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karp/devlocal/prod-miner-pm/x-project/bplan/numbers/"/>
    </mc:Choice>
  </mc:AlternateContent>
  <xr:revisionPtr revIDLastSave="0" documentId="13_ncr:1_{F4C2B47C-9423-8E4D-BEDB-C71184681D88}" xr6:coauthVersionLast="47" xr6:coauthVersionMax="47" xr10:uidLastSave="{00000000-0000-0000-0000-000000000000}"/>
  <bookViews>
    <workbookView xWindow="-8960" yWindow="-27680" windowWidth="50700" windowHeight="25680" tabRatio="871" activeTab="1" xr2:uid="{5F16EBE3-4880-445B-8C8C-D14FA70BA9D1}"/>
  </bookViews>
  <sheets>
    <sheet name="Math" sheetId="66" state="hidden" r:id="rId1"/>
    <sheet name="2026 Summary - BK No Bonus" sheetId="74" r:id="rId2"/>
    <sheet name="2026 Summary (2)" sheetId="73" r:id="rId3"/>
    <sheet name="Assumptions" sheetId="72" r:id="rId4"/>
    <sheet name="Overview" sheetId="71" r:id="rId5"/>
    <sheet name="2025 to 2026 Detail View" sheetId="70" r:id="rId6"/>
    <sheet name="2025 Summary" sheetId="37" r:id="rId7"/>
    <sheet name="CF Detail - Allocated" sheetId="53" state="hidden" r:id="rId8"/>
    <sheet name="(R) CF Summary By Dept" sheetId="51" state="hidden" r:id="rId9"/>
    <sheet name="2025 Detail" sheetId="35" r:id="rId10"/>
    <sheet name="2025 CF Basic" sheetId="61" r:id="rId11"/>
    <sheet name="(R) Bookings" sheetId="55" state="hidden" r:id="rId12"/>
    <sheet name="(R) Billings" sheetId="56" state="hidden" r:id="rId13"/>
    <sheet name="2026 Summary" sheetId="69" r:id="rId14"/>
    <sheet name="2026 Detail" sheetId="68" r:id="rId15"/>
    <sheet name="2026 CF Basic" sheetId="67" r:id="rId16"/>
    <sheet name="1 Collections" sheetId="57" r:id="rId17"/>
    <sheet name="1 Collections Build" sheetId="54" state="hidden" r:id="rId18"/>
    <sheet name="2 Employees" sheetId="42" r:id="rId19"/>
    <sheet name="3 Benefits" sheetId="38" r:id="rId20"/>
    <sheet name="4 Contractors" sheetId="43" r:id="rId21"/>
    <sheet name="5 Allocations" sheetId="52" state="hidden" r:id="rId22"/>
    <sheet name="6 Other" sheetId="45" r:id="rId23"/>
    <sheet name="PV" sheetId="59" r:id="rId24"/>
    <sheet name="Data" sheetId="58" r:id="rId25"/>
    <sheet name="Version" sheetId="46" r:id="rId26"/>
    <sheet name="Last Month" sheetId="15" state="hidden" r:id="rId27"/>
    <sheet name="% of Collections" sheetId="12" state="hidden" r:id="rId28"/>
    <sheet name="% of Disbursements" sheetId="14" state="hidden" r:id="rId29"/>
  </sheets>
  <definedNames>
    <definedName name="_xlnm._FilterDatabase" localSheetId="24" hidden="1">Data!$A$1:$O$1413</definedName>
    <definedName name="_xlnm.Print_Area" localSheetId="8">'(R) CF Summary By Dept'!$B$2:$U$41</definedName>
    <definedName name="_xlnm.Print_Area" localSheetId="6">'2025 Summary'!$B$2:$U$48</definedName>
    <definedName name="_xlnm.Print_Area" localSheetId="13">'2026 Summary'!$B$2:$U$48</definedName>
    <definedName name="_xlnm.Print_Area" localSheetId="1">'2026 Summary - BK No Bonus'!$B$2:$U$48</definedName>
    <definedName name="_xlnm.Print_Area" localSheetId="2">'2026 Summary (2)'!$B$2:$U$48</definedName>
    <definedName name="_xlnm.Print_Area" localSheetId="22">'6 Other'!$B$3:$AM$15</definedName>
  </definedNames>
  <calcPr calcId="191029"/>
  <pivotCaches>
    <pivotCache cacheId="3" r:id="rId3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3" i="74" l="1"/>
  <c r="S83" i="74"/>
  <c r="R83" i="74"/>
  <c r="Q83" i="74"/>
  <c r="P83" i="74"/>
  <c r="D83" i="74"/>
  <c r="E83" i="74"/>
  <c r="F83" i="74"/>
  <c r="G83" i="74"/>
  <c r="H83" i="74"/>
  <c r="I83" i="74"/>
  <c r="J83" i="74"/>
  <c r="K83" i="74"/>
  <c r="L83" i="74"/>
  <c r="M83" i="74"/>
  <c r="N83" i="74"/>
  <c r="C83" i="74"/>
  <c r="U77" i="74"/>
  <c r="S77" i="74"/>
  <c r="R77" i="74"/>
  <c r="Q77" i="74"/>
  <c r="P77" i="74"/>
  <c r="C80" i="74"/>
  <c r="D76" i="74"/>
  <c r="D78" i="74" s="1"/>
  <c r="E76" i="74"/>
  <c r="E78" i="74" s="1"/>
  <c r="F76" i="74"/>
  <c r="F78" i="74" s="1"/>
  <c r="G76" i="74"/>
  <c r="G78" i="74" s="1"/>
  <c r="H76" i="74"/>
  <c r="H78" i="74" s="1"/>
  <c r="I76" i="74"/>
  <c r="I78" i="74" s="1"/>
  <c r="J76" i="74"/>
  <c r="J78" i="74" s="1"/>
  <c r="K76" i="74"/>
  <c r="K78" i="74" s="1"/>
  <c r="L76" i="74"/>
  <c r="L78" i="74" s="1"/>
  <c r="M76" i="74"/>
  <c r="M78" i="74" s="1"/>
  <c r="N76" i="74"/>
  <c r="N78" i="74" s="1"/>
  <c r="C76" i="74"/>
  <c r="C78" i="74" s="1"/>
  <c r="B3" i="74"/>
  <c r="N72" i="74"/>
  <c r="N93" i="74" s="1"/>
  <c r="M72" i="74"/>
  <c r="M93" i="74" s="1"/>
  <c r="L72" i="74"/>
  <c r="L93" i="74" s="1"/>
  <c r="K72" i="74"/>
  <c r="K93" i="74" s="1"/>
  <c r="J72" i="74"/>
  <c r="J93" i="74" s="1"/>
  <c r="I72" i="74"/>
  <c r="I93" i="74" s="1"/>
  <c r="H72" i="74"/>
  <c r="H93" i="74" s="1"/>
  <c r="G72" i="74"/>
  <c r="G93" i="74" s="1"/>
  <c r="F72" i="74"/>
  <c r="F93" i="74" s="1"/>
  <c r="E72" i="74"/>
  <c r="E93" i="74" s="1"/>
  <c r="D72" i="74"/>
  <c r="D93" i="74" s="1"/>
  <c r="C72" i="74"/>
  <c r="C93" i="74" s="1"/>
  <c r="N71" i="74"/>
  <c r="N92" i="74" s="1"/>
  <c r="M71" i="74"/>
  <c r="M92" i="74" s="1"/>
  <c r="L71" i="74"/>
  <c r="L92" i="74" s="1"/>
  <c r="K71" i="74"/>
  <c r="K92" i="74" s="1"/>
  <c r="J71" i="74"/>
  <c r="J92" i="74" s="1"/>
  <c r="I71" i="74"/>
  <c r="I92" i="74" s="1"/>
  <c r="H71" i="74"/>
  <c r="H92" i="74" s="1"/>
  <c r="G71" i="74"/>
  <c r="G92" i="74" s="1"/>
  <c r="F71" i="74"/>
  <c r="F92" i="74" s="1"/>
  <c r="E71" i="74"/>
  <c r="E92" i="74" s="1"/>
  <c r="D71" i="74"/>
  <c r="D92" i="74" s="1"/>
  <c r="C71" i="74"/>
  <c r="C92" i="74" s="1"/>
  <c r="U63" i="74"/>
  <c r="U80" i="74" s="1"/>
  <c r="P63" i="74"/>
  <c r="P80" i="74" s="1"/>
  <c r="N60" i="74"/>
  <c r="N61" i="74" s="1"/>
  <c r="N64" i="74" s="1"/>
  <c r="N81" i="74" s="1"/>
  <c r="M60" i="74"/>
  <c r="M61" i="74" s="1"/>
  <c r="M64" i="74" s="1"/>
  <c r="M81" i="74" s="1"/>
  <c r="L60" i="74"/>
  <c r="L61" i="74" s="1"/>
  <c r="K60" i="74"/>
  <c r="K61" i="74" s="1"/>
  <c r="K64" i="74" s="1"/>
  <c r="K81" i="74" s="1"/>
  <c r="J60" i="74"/>
  <c r="J61" i="74" s="1"/>
  <c r="J64" i="74" s="1"/>
  <c r="J81" i="74" s="1"/>
  <c r="I60" i="74"/>
  <c r="I61" i="74" s="1"/>
  <c r="I64" i="74" s="1"/>
  <c r="I81" i="74" s="1"/>
  <c r="H60" i="74"/>
  <c r="H61" i="74" s="1"/>
  <c r="H64" i="74" s="1"/>
  <c r="H81" i="74" s="1"/>
  <c r="G60" i="74"/>
  <c r="F60" i="74"/>
  <c r="F61" i="74" s="1"/>
  <c r="F64" i="74" s="1"/>
  <c r="F81" i="74" s="1"/>
  <c r="E60" i="74"/>
  <c r="E61" i="74" s="1"/>
  <c r="E64" i="74" s="1"/>
  <c r="E81" i="74" s="1"/>
  <c r="D60" i="74"/>
  <c r="D61" i="74" s="1"/>
  <c r="D64" i="74" s="1"/>
  <c r="D81" i="74" s="1"/>
  <c r="C60" i="74"/>
  <c r="U59" i="74"/>
  <c r="U76" i="74" s="1"/>
  <c r="S59" i="74"/>
  <c r="S76" i="74" s="1"/>
  <c r="R59" i="74"/>
  <c r="R76" i="74" s="1"/>
  <c r="Q59" i="74"/>
  <c r="Q76" i="74" s="1"/>
  <c r="P59" i="74"/>
  <c r="P76" i="74" s="1"/>
  <c r="N46" i="74"/>
  <c r="M46" i="74"/>
  <c r="L46" i="74"/>
  <c r="K46" i="74"/>
  <c r="J46" i="74"/>
  <c r="I46" i="74"/>
  <c r="H46" i="74"/>
  <c r="G46" i="74"/>
  <c r="F46" i="74"/>
  <c r="E46" i="74"/>
  <c r="D46" i="74"/>
  <c r="C46" i="74"/>
  <c r="C43" i="74"/>
  <c r="P43" i="74" s="1"/>
  <c r="N41" i="74"/>
  <c r="M41" i="74"/>
  <c r="L41" i="74"/>
  <c r="K41" i="74"/>
  <c r="J41" i="74"/>
  <c r="I41" i="74"/>
  <c r="H41" i="74"/>
  <c r="G41" i="74"/>
  <c r="F41" i="74"/>
  <c r="E41" i="74"/>
  <c r="D41" i="74"/>
  <c r="C41" i="74"/>
  <c r="N40" i="74"/>
  <c r="M40" i="74"/>
  <c r="L40" i="74"/>
  <c r="K40" i="74"/>
  <c r="J40" i="74"/>
  <c r="I40" i="74"/>
  <c r="H40" i="74"/>
  <c r="G40" i="74"/>
  <c r="F40" i="74"/>
  <c r="E40" i="74"/>
  <c r="D40" i="74"/>
  <c r="C40" i="74"/>
  <c r="N39" i="74"/>
  <c r="M39" i="74"/>
  <c r="L39" i="74"/>
  <c r="K39" i="74"/>
  <c r="J39" i="74"/>
  <c r="I39" i="74"/>
  <c r="H39" i="74"/>
  <c r="G39" i="74"/>
  <c r="F39" i="74"/>
  <c r="E39" i="74"/>
  <c r="D39" i="74"/>
  <c r="C39" i="74"/>
  <c r="N38" i="74"/>
  <c r="M38" i="74"/>
  <c r="L38" i="74"/>
  <c r="K38" i="74"/>
  <c r="J38" i="74"/>
  <c r="I38" i="74"/>
  <c r="H38" i="74"/>
  <c r="G38" i="74"/>
  <c r="F38" i="74"/>
  <c r="E38" i="74"/>
  <c r="D38" i="74"/>
  <c r="C38" i="74"/>
  <c r="N37" i="74"/>
  <c r="M37" i="74"/>
  <c r="L37" i="74"/>
  <c r="K37" i="74"/>
  <c r="J37" i="74"/>
  <c r="I37" i="74"/>
  <c r="H37" i="74"/>
  <c r="G37" i="74"/>
  <c r="F37" i="74"/>
  <c r="E37" i="74"/>
  <c r="D37" i="74"/>
  <c r="C37" i="74"/>
  <c r="N36" i="74"/>
  <c r="M36" i="74"/>
  <c r="L36" i="74"/>
  <c r="K36" i="74"/>
  <c r="J36" i="74"/>
  <c r="I36" i="74"/>
  <c r="H36" i="74"/>
  <c r="G36" i="74"/>
  <c r="F36" i="74"/>
  <c r="E36" i="74"/>
  <c r="D36" i="74"/>
  <c r="C36" i="74"/>
  <c r="N35" i="74"/>
  <c r="M35" i="74"/>
  <c r="L35" i="74"/>
  <c r="K35" i="74"/>
  <c r="J35" i="74"/>
  <c r="I35" i="74"/>
  <c r="H35" i="74"/>
  <c r="G35" i="74"/>
  <c r="F35" i="74"/>
  <c r="E35" i="74"/>
  <c r="D35" i="74"/>
  <c r="C35" i="74"/>
  <c r="N30" i="74"/>
  <c r="M30" i="74"/>
  <c r="L30" i="74"/>
  <c r="K30" i="74"/>
  <c r="J30" i="74"/>
  <c r="I30" i="74"/>
  <c r="H30" i="74"/>
  <c r="G30" i="74"/>
  <c r="F30" i="74"/>
  <c r="E30" i="74"/>
  <c r="D30" i="74"/>
  <c r="C30" i="74"/>
  <c r="N29" i="74"/>
  <c r="M29" i="74"/>
  <c r="L29" i="74"/>
  <c r="K29" i="74"/>
  <c r="J29" i="74"/>
  <c r="I29" i="74"/>
  <c r="H29" i="74"/>
  <c r="G29" i="74"/>
  <c r="F29" i="74"/>
  <c r="E29" i="74"/>
  <c r="D29" i="74"/>
  <c r="C29" i="74"/>
  <c r="N28" i="74"/>
  <c r="M28" i="74"/>
  <c r="L28" i="74"/>
  <c r="K28" i="74"/>
  <c r="J28" i="74"/>
  <c r="I28" i="74"/>
  <c r="H28" i="74"/>
  <c r="G28" i="74"/>
  <c r="F28" i="74"/>
  <c r="E28" i="74"/>
  <c r="D28" i="74"/>
  <c r="C28" i="74"/>
  <c r="N27" i="74"/>
  <c r="M27" i="74"/>
  <c r="L27" i="74"/>
  <c r="K27" i="74"/>
  <c r="J27" i="74"/>
  <c r="I27" i="74"/>
  <c r="H27" i="74"/>
  <c r="G27" i="74"/>
  <c r="F27" i="74"/>
  <c r="E27" i="74"/>
  <c r="D27" i="74"/>
  <c r="C27" i="74"/>
  <c r="N26" i="74"/>
  <c r="M26" i="74"/>
  <c r="L26" i="74"/>
  <c r="K26" i="74"/>
  <c r="J26" i="74"/>
  <c r="I26" i="74"/>
  <c r="H26" i="74"/>
  <c r="G26" i="74"/>
  <c r="F26" i="74"/>
  <c r="E26" i="74"/>
  <c r="D26" i="74"/>
  <c r="C26" i="74"/>
  <c r="N25" i="74"/>
  <c r="M25" i="74"/>
  <c r="L25" i="74"/>
  <c r="K25" i="74"/>
  <c r="J25" i="74"/>
  <c r="I25" i="74"/>
  <c r="H25" i="74"/>
  <c r="G25" i="74"/>
  <c r="F25" i="74"/>
  <c r="E25" i="74"/>
  <c r="D25" i="74"/>
  <c r="C25" i="74"/>
  <c r="N24" i="74"/>
  <c r="M24" i="74"/>
  <c r="L24" i="74"/>
  <c r="K24" i="74"/>
  <c r="J24" i="74"/>
  <c r="I24" i="74"/>
  <c r="H24" i="74"/>
  <c r="G24" i="74"/>
  <c r="F24" i="74"/>
  <c r="E24" i="74"/>
  <c r="D24" i="74"/>
  <c r="C24" i="74"/>
  <c r="N23" i="74"/>
  <c r="M23" i="74"/>
  <c r="L23" i="74"/>
  <c r="K23" i="74"/>
  <c r="J23" i="74"/>
  <c r="I23" i="74"/>
  <c r="H23" i="74"/>
  <c r="G23" i="74"/>
  <c r="F23" i="74"/>
  <c r="E23" i="74"/>
  <c r="D23" i="74"/>
  <c r="C23" i="74"/>
  <c r="N22" i="74"/>
  <c r="M22" i="74"/>
  <c r="L22" i="74"/>
  <c r="K22" i="74"/>
  <c r="J22" i="74"/>
  <c r="I22" i="74"/>
  <c r="H22" i="74"/>
  <c r="G22" i="74"/>
  <c r="F22" i="74"/>
  <c r="E22" i="74"/>
  <c r="D22" i="74"/>
  <c r="C22" i="74"/>
  <c r="N19" i="74"/>
  <c r="N20" i="74" s="1"/>
  <c r="M19" i="74"/>
  <c r="M20" i="74" s="1"/>
  <c r="L19" i="74"/>
  <c r="L20" i="74" s="1"/>
  <c r="K19" i="74"/>
  <c r="K20" i="74" s="1"/>
  <c r="J19" i="74"/>
  <c r="J20" i="74" s="1"/>
  <c r="I19" i="74"/>
  <c r="I20" i="74" s="1"/>
  <c r="H19" i="74"/>
  <c r="H20" i="74" s="1"/>
  <c r="G19" i="74"/>
  <c r="G20" i="74" s="1"/>
  <c r="F19" i="74"/>
  <c r="E19" i="74"/>
  <c r="E20" i="74" s="1"/>
  <c r="C19" i="74"/>
  <c r="C20" i="74" s="1"/>
  <c r="D20" i="74" s="1"/>
  <c r="N16" i="74"/>
  <c r="M16" i="74"/>
  <c r="L16" i="74"/>
  <c r="K16" i="74"/>
  <c r="J16" i="74"/>
  <c r="I16" i="74"/>
  <c r="H16" i="74"/>
  <c r="G16" i="74"/>
  <c r="F16" i="74"/>
  <c r="E16" i="74"/>
  <c r="C16" i="74"/>
  <c r="D16" i="74" s="1"/>
  <c r="N15" i="74"/>
  <c r="M15" i="74"/>
  <c r="L15" i="74"/>
  <c r="K15" i="74"/>
  <c r="J15" i="74"/>
  <c r="I15" i="74"/>
  <c r="H15" i="74"/>
  <c r="G15" i="74"/>
  <c r="F15" i="74"/>
  <c r="E15" i="74"/>
  <c r="D15" i="74"/>
  <c r="C15" i="74"/>
  <c r="N14" i="74"/>
  <c r="M14" i="74"/>
  <c r="L14" i="74"/>
  <c r="K14" i="74"/>
  <c r="J14" i="74"/>
  <c r="I14" i="74"/>
  <c r="H14" i="74"/>
  <c r="G14" i="74"/>
  <c r="F14" i="74"/>
  <c r="E14" i="74"/>
  <c r="D14" i="74"/>
  <c r="C14" i="74"/>
  <c r="N11" i="74"/>
  <c r="M11" i="74"/>
  <c r="L11" i="74"/>
  <c r="K11" i="74"/>
  <c r="J11" i="74"/>
  <c r="I11" i="74"/>
  <c r="H11" i="74"/>
  <c r="G11" i="74"/>
  <c r="F11" i="74"/>
  <c r="E11" i="74"/>
  <c r="C11" i="74"/>
  <c r="D11" i="74" s="1"/>
  <c r="N10" i="74"/>
  <c r="M10" i="74"/>
  <c r="L10" i="74"/>
  <c r="K10" i="74"/>
  <c r="J10" i="74"/>
  <c r="I10" i="74"/>
  <c r="H10" i="74"/>
  <c r="G10" i="74"/>
  <c r="F10" i="74"/>
  <c r="E10" i="74"/>
  <c r="C10" i="74"/>
  <c r="N6" i="74"/>
  <c r="M6" i="74"/>
  <c r="L6" i="74"/>
  <c r="K6" i="74"/>
  <c r="J6" i="74"/>
  <c r="I6" i="74"/>
  <c r="H6" i="74"/>
  <c r="G6" i="74"/>
  <c r="F6" i="74"/>
  <c r="E6" i="74"/>
  <c r="D6" i="74"/>
  <c r="C6" i="74"/>
  <c r="N5" i="74"/>
  <c r="M5" i="74"/>
  <c r="L5" i="74"/>
  <c r="K5" i="74"/>
  <c r="J5" i="74"/>
  <c r="I5" i="74"/>
  <c r="H5" i="74"/>
  <c r="G5" i="74"/>
  <c r="F5" i="74"/>
  <c r="E5" i="74"/>
  <c r="D5" i="74"/>
  <c r="C5" i="74"/>
  <c r="D2" i="74"/>
  <c r="E2" i="74" s="1"/>
  <c r="F2" i="74" s="1"/>
  <c r="G2" i="74" s="1"/>
  <c r="H2" i="74" s="1"/>
  <c r="I2" i="74" s="1"/>
  <c r="J2" i="74" s="1"/>
  <c r="K2" i="74" s="1"/>
  <c r="L2" i="74" s="1"/>
  <c r="M2" i="74" s="1"/>
  <c r="N2" i="74" s="1"/>
  <c r="N74" i="73"/>
  <c r="M74" i="73"/>
  <c r="L74" i="73"/>
  <c r="S74" i="73" s="1"/>
  <c r="K74" i="73"/>
  <c r="J74" i="73"/>
  <c r="I74" i="73"/>
  <c r="R74" i="73" s="1"/>
  <c r="H74" i="73"/>
  <c r="G74" i="73"/>
  <c r="F74" i="73"/>
  <c r="U74" i="73" s="1"/>
  <c r="E74" i="73"/>
  <c r="D74" i="73"/>
  <c r="N73" i="73"/>
  <c r="N75" i="73" s="1"/>
  <c r="M73" i="73"/>
  <c r="M75" i="73" s="1"/>
  <c r="L73" i="73"/>
  <c r="L75" i="73" s="1"/>
  <c r="S75" i="73" s="1"/>
  <c r="K73" i="73"/>
  <c r="K75" i="73" s="1"/>
  <c r="J73" i="73"/>
  <c r="J75" i="73" s="1"/>
  <c r="I73" i="73"/>
  <c r="I75" i="73" s="1"/>
  <c r="R75" i="73" s="1"/>
  <c r="H73" i="73"/>
  <c r="H75" i="73" s="1"/>
  <c r="G73" i="73"/>
  <c r="G75" i="73" s="1"/>
  <c r="F73" i="73"/>
  <c r="Q73" i="73" s="1"/>
  <c r="E73" i="73"/>
  <c r="E75" i="73" s="1"/>
  <c r="D73" i="73"/>
  <c r="P73" i="73" s="1"/>
  <c r="C73" i="73"/>
  <c r="C75" i="73"/>
  <c r="C74" i="73"/>
  <c r="P74" i="73"/>
  <c r="S73" i="73"/>
  <c r="R73" i="73"/>
  <c r="U68" i="73"/>
  <c r="U69" i="73" s="1"/>
  <c r="S68" i="73"/>
  <c r="S69" i="73" s="1"/>
  <c r="R68" i="73"/>
  <c r="R69" i="73" s="1"/>
  <c r="Q68" i="73"/>
  <c r="Q69" i="73" s="1"/>
  <c r="P68" i="73"/>
  <c r="P69" i="73" s="1"/>
  <c r="E69" i="73"/>
  <c r="D69" i="73"/>
  <c r="N68" i="73"/>
  <c r="N69" i="73" s="1"/>
  <c r="M68" i="73"/>
  <c r="M69" i="73" s="1"/>
  <c r="L68" i="73"/>
  <c r="L69" i="73" s="1"/>
  <c r="K68" i="73"/>
  <c r="K69" i="73" s="1"/>
  <c r="J68" i="73"/>
  <c r="J69" i="73" s="1"/>
  <c r="I68" i="73"/>
  <c r="I69" i="73" s="1"/>
  <c r="H68" i="73"/>
  <c r="H69" i="73" s="1"/>
  <c r="G68" i="73"/>
  <c r="G69" i="73" s="1"/>
  <c r="F68" i="73"/>
  <c r="F69" i="73" s="1"/>
  <c r="E68" i="73"/>
  <c r="D68" i="73"/>
  <c r="C69" i="73"/>
  <c r="C68" i="73"/>
  <c r="U63" i="73"/>
  <c r="S63" i="73"/>
  <c r="R63" i="73"/>
  <c r="Q63" i="73"/>
  <c r="U66" i="73"/>
  <c r="S66" i="73"/>
  <c r="R66" i="73"/>
  <c r="Q66" i="73"/>
  <c r="P66" i="73"/>
  <c r="P63" i="73"/>
  <c r="U65" i="73"/>
  <c r="S65" i="73"/>
  <c r="R65" i="73"/>
  <c r="Q65" i="73"/>
  <c r="P65" i="73"/>
  <c r="U64" i="73"/>
  <c r="S64" i="73"/>
  <c r="R64" i="73"/>
  <c r="Q64" i="73"/>
  <c r="P64" i="73"/>
  <c r="N65" i="73"/>
  <c r="M65" i="73"/>
  <c r="L65" i="73"/>
  <c r="K65" i="73"/>
  <c r="J65" i="73"/>
  <c r="I65" i="73"/>
  <c r="H65" i="73"/>
  <c r="G65" i="73"/>
  <c r="F65" i="73"/>
  <c r="E65" i="73"/>
  <c r="N64" i="73"/>
  <c r="M64" i="73"/>
  <c r="L64" i="73"/>
  <c r="K64" i="73"/>
  <c r="J64" i="73"/>
  <c r="I64" i="73"/>
  <c r="H64" i="73"/>
  <c r="G64" i="73"/>
  <c r="F64" i="73"/>
  <c r="E64" i="73"/>
  <c r="E63" i="73"/>
  <c r="E66" i="73" s="1"/>
  <c r="F63" i="73" s="1"/>
  <c r="F66" i="73" s="1"/>
  <c r="G63" i="73" s="1"/>
  <c r="G66" i="73" s="1"/>
  <c r="H63" i="73" s="1"/>
  <c r="H66" i="73" s="1"/>
  <c r="I63" i="73" s="1"/>
  <c r="I66" i="73" s="1"/>
  <c r="J63" i="73" s="1"/>
  <c r="J66" i="73" s="1"/>
  <c r="K63" i="73" s="1"/>
  <c r="K66" i="73" s="1"/>
  <c r="L63" i="73" s="1"/>
  <c r="L66" i="73" s="1"/>
  <c r="M63" i="73" s="1"/>
  <c r="M66" i="73" s="1"/>
  <c r="N63" i="73" s="1"/>
  <c r="N66" i="73" s="1"/>
  <c r="D63" i="73"/>
  <c r="D65" i="73"/>
  <c r="D64" i="73"/>
  <c r="D66" i="73" s="1"/>
  <c r="C66" i="73"/>
  <c r="C65" i="73"/>
  <c r="C64" i="73"/>
  <c r="U61" i="73"/>
  <c r="S61" i="73"/>
  <c r="R61" i="73"/>
  <c r="Q61" i="73"/>
  <c r="P61" i="73"/>
  <c r="U60" i="73"/>
  <c r="S60" i="73"/>
  <c r="R60" i="73"/>
  <c r="Q60" i="73"/>
  <c r="P60" i="73"/>
  <c r="U59" i="73"/>
  <c r="S59" i="73"/>
  <c r="R59" i="73"/>
  <c r="Q59" i="73"/>
  <c r="P59" i="73"/>
  <c r="N61" i="73"/>
  <c r="M61" i="73"/>
  <c r="L61" i="73"/>
  <c r="K61" i="73"/>
  <c r="J61" i="73"/>
  <c r="I61" i="73"/>
  <c r="H61" i="73"/>
  <c r="G61" i="73"/>
  <c r="F61" i="73"/>
  <c r="E61" i="73"/>
  <c r="D61" i="73"/>
  <c r="C61" i="73"/>
  <c r="N60" i="73"/>
  <c r="M60" i="73"/>
  <c r="L60" i="73"/>
  <c r="K60" i="73"/>
  <c r="J60" i="73"/>
  <c r="I60" i="73"/>
  <c r="H60" i="73"/>
  <c r="G60" i="73"/>
  <c r="F60" i="73"/>
  <c r="E60" i="73"/>
  <c r="D60" i="73"/>
  <c r="C60" i="73"/>
  <c r="J52" i="73"/>
  <c r="J53" i="73" s="1"/>
  <c r="N51" i="73"/>
  <c r="M51" i="73"/>
  <c r="J51" i="73"/>
  <c r="H51" i="73"/>
  <c r="G51" i="73"/>
  <c r="K50" i="73"/>
  <c r="J50" i="73"/>
  <c r="E50" i="73"/>
  <c r="E52" i="73" s="1"/>
  <c r="E53" i="73" s="1"/>
  <c r="D50" i="73"/>
  <c r="D52" i="73" s="1"/>
  <c r="D53" i="73" s="1"/>
  <c r="U46" i="73"/>
  <c r="N46" i="73"/>
  <c r="M46" i="73"/>
  <c r="L46" i="73"/>
  <c r="S46" i="73" s="1"/>
  <c r="K46" i="73"/>
  <c r="J46" i="73"/>
  <c r="I46" i="73"/>
  <c r="R46" i="73" s="1"/>
  <c r="H46" i="73"/>
  <c r="G46" i="73"/>
  <c r="F46" i="73"/>
  <c r="Q46" i="73" s="1"/>
  <c r="E46" i="73"/>
  <c r="D46" i="73"/>
  <c r="C46" i="73"/>
  <c r="P46" i="73" s="1"/>
  <c r="P43" i="73"/>
  <c r="C43" i="73"/>
  <c r="Q41" i="73"/>
  <c r="P41" i="73"/>
  <c r="N41" i="73"/>
  <c r="M41" i="73"/>
  <c r="L41" i="73"/>
  <c r="U41" i="73" s="1"/>
  <c r="K41" i="73"/>
  <c r="R41" i="73" s="1"/>
  <c r="J41" i="73"/>
  <c r="I41" i="73"/>
  <c r="H41" i="73"/>
  <c r="G41" i="73"/>
  <c r="F41" i="73"/>
  <c r="E41" i="73"/>
  <c r="D41" i="73"/>
  <c r="C41" i="73"/>
  <c r="Q40" i="73"/>
  <c r="N40" i="73"/>
  <c r="M40" i="73"/>
  <c r="L40" i="73"/>
  <c r="S40" i="73" s="1"/>
  <c r="K40" i="73"/>
  <c r="J40" i="73"/>
  <c r="R40" i="73" s="1"/>
  <c r="I40" i="73"/>
  <c r="H40" i="73"/>
  <c r="G40" i="73"/>
  <c r="F40" i="73"/>
  <c r="E40" i="73"/>
  <c r="D40" i="73"/>
  <c r="C40" i="73"/>
  <c r="P40" i="73" s="1"/>
  <c r="P39" i="73"/>
  <c r="N39" i="73"/>
  <c r="M39" i="73"/>
  <c r="L39" i="73"/>
  <c r="S39" i="73" s="1"/>
  <c r="K39" i="73"/>
  <c r="J39" i="73"/>
  <c r="I39" i="73"/>
  <c r="R39" i="73" s="1"/>
  <c r="H39" i="73"/>
  <c r="G39" i="73"/>
  <c r="U39" i="73" s="1"/>
  <c r="F39" i="73"/>
  <c r="E39" i="73"/>
  <c r="D39" i="73"/>
  <c r="C39" i="73"/>
  <c r="P38" i="73"/>
  <c r="N38" i="73"/>
  <c r="M38" i="73"/>
  <c r="L38" i="73"/>
  <c r="S38" i="73" s="1"/>
  <c r="K38" i="73"/>
  <c r="J38" i="73"/>
  <c r="I38" i="73"/>
  <c r="R38" i="73" s="1"/>
  <c r="H38" i="73"/>
  <c r="G38" i="73"/>
  <c r="F38" i="73"/>
  <c r="U38" i="73" s="1"/>
  <c r="E38" i="73"/>
  <c r="D38" i="73"/>
  <c r="C38" i="73"/>
  <c r="N37" i="73"/>
  <c r="M37" i="73"/>
  <c r="L37" i="73"/>
  <c r="S37" i="73" s="1"/>
  <c r="K37" i="73"/>
  <c r="J37" i="73"/>
  <c r="R37" i="73" s="1"/>
  <c r="I37" i="73"/>
  <c r="H37" i="73"/>
  <c r="G37" i="73"/>
  <c r="Q37" i="73" s="1"/>
  <c r="F37" i="73"/>
  <c r="E37" i="73"/>
  <c r="D37" i="73"/>
  <c r="C37" i="73"/>
  <c r="U37" i="73" s="1"/>
  <c r="N36" i="73"/>
  <c r="M36" i="73"/>
  <c r="L36" i="73"/>
  <c r="S36" i="73" s="1"/>
  <c r="K36" i="73"/>
  <c r="J36" i="73"/>
  <c r="I36" i="73"/>
  <c r="R36" i="73" s="1"/>
  <c r="H36" i="73"/>
  <c r="G36" i="73"/>
  <c r="F36" i="73"/>
  <c r="Q36" i="73" s="1"/>
  <c r="E36" i="73"/>
  <c r="D36" i="73"/>
  <c r="C36" i="73"/>
  <c r="U36" i="73" s="1"/>
  <c r="N35" i="73"/>
  <c r="M35" i="73"/>
  <c r="L35" i="73"/>
  <c r="S35" i="73" s="1"/>
  <c r="K35" i="73"/>
  <c r="J35" i="73"/>
  <c r="I35" i="73"/>
  <c r="R35" i="73" s="1"/>
  <c r="H35" i="73"/>
  <c r="G35" i="73"/>
  <c r="F35" i="73"/>
  <c r="Q35" i="73" s="1"/>
  <c r="E35" i="73"/>
  <c r="D35" i="73"/>
  <c r="C35" i="73"/>
  <c r="P35" i="73" s="1"/>
  <c r="R30" i="73"/>
  <c r="P30" i="73"/>
  <c r="N30" i="73"/>
  <c r="M30" i="73"/>
  <c r="S30" i="73" s="1"/>
  <c r="L30" i="73"/>
  <c r="K30" i="73"/>
  <c r="J30" i="73"/>
  <c r="I30" i="73"/>
  <c r="H30" i="73"/>
  <c r="G30" i="73"/>
  <c r="F30" i="73"/>
  <c r="Q30" i="73" s="1"/>
  <c r="E30" i="73"/>
  <c r="D30" i="73"/>
  <c r="C30" i="73"/>
  <c r="U30" i="73" s="1"/>
  <c r="Q29" i="73"/>
  <c r="P29" i="73"/>
  <c r="N29" i="73"/>
  <c r="M29" i="73"/>
  <c r="L29" i="73"/>
  <c r="U29" i="73" s="1"/>
  <c r="K29" i="73"/>
  <c r="R29" i="73" s="1"/>
  <c r="J29" i="73"/>
  <c r="I29" i="73"/>
  <c r="H29" i="73"/>
  <c r="G29" i="73"/>
  <c r="F29" i="73"/>
  <c r="E29" i="73"/>
  <c r="D29" i="73"/>
  <c r="C29" i="73"/>
  <c r="Q28" i="73"/>
  <c r="N28" i="73"/>
  <c r="M28" i="73"/>
  <c r="L28" i="73"/>
  <c r="S28" i="73" s="1"/>
  <c r="K28" i="73"/>
  <c r="J28" i="73"/>
  <c r="R28" i="73" s="1"/>
  <c r="I28" i="73"/>
  <c r="H28" i="73"/>
  <c r="G28" i="73"/>
  <c r="F28" i="73"/>
  <c r="E28" i="73"/>
  <c r="D28" i="73"/>
  <c r="C28" i="73"/>
  <c r="P28" i="73" s="1"/>
  <c r="P27" i="73"/>
  <c r="N27" i="73"/>
  <c r="M27" i="73"/>
  <c r="L27" i="73"/>
  <c r="S27" i="73" s="1"/>
  <c r="K27" i="73"/>
  <c r="J27" i="73"/>
  <c r="I27" i="73"/>
  <c r="R27" i="73" s="1"/>
  <c r="H27" i="73"/>
  <c r="G27" i="73"/>
  <c r="U27" i="73" s="1"/>
  <c r="F27" i="73"/>
  <c r="E27" i="73"/>
  <c r="D27" i="73"/>
  <c r="C27" i="73"/>
  <c r="P26" i="73"/>
  <c r="N26" i="73"/>
  <c r="M26" i="73"/>
  <c r="L26" i="73"/>
  <c r="S26" i="73" s="1"/>
  <c r="K26" i="73"/>
  <c r="J26" i="73"/>
  <c r="I26" i="73"/>
  <c r="R26" i="73" s="1"/>
  <c r="H26" i="73"/>
  <c r="G26" i="73"/>
  <c r="F26" i="73"/>
  <c r="U26" i="73" s="1"/>
  <c r="E26" i="73"/>
  <c r="D26" i="73"/>
  <c r="C26" i="73"/>
  <c r="N25" i="73"/>
  <c r="M25" i="73"/>
  <c r="L25" i="73"/>
  <c r="S25" i="73" s="1"/>
  <c r="K25" i="73"/>
  <c r="J25" i="73"/>
  <c r="R25" i="73" s="1"/>
  <c r="I25" i="73"/>
  <c r="H25" i="73"/>
  <c r="G25" i="73"/>
  <c r="Q25" i="73" s="1"/>
  <c r="F25" i="73"/>
  <c r="E25" i="73"/>
  <c r="D25" i="73"/>
  <c r="C25" i="73"/>
  <c r="U25" i="73" s="1"/>
  <c r="N24" i="73"/>
  <c r="M24" i="73"/>
  <c r="L24" i="73"/>
  <c r="S24" i="73" s="1"/>
  <c r="K24" i="73"/>
  <c r="J24" i="73"/>
  <c r="I24" i="73"/>
  <c r="R24" i="73" s="1"/>
  <c r="H24" i="73"/>
  <c r="H31" i="73" s="1"/>
  <c r="G24" i="73"/>
  <c r="F24" i="73"/>
  <c r="Q24" i="73" s="1"/>
  <c r="E24" i="73"/>
  <c r="D24" i="73"/>
  <c r="C24" i="73"/>
  <c r="P24" i="73" s="1"/>
  <c r="N23" i="73"/>
  <c r="M23" i="73"/>
  <c r="L23" i="73"/>
  <c r="S23" i="73" s="1"/>
  <c r="K23" i="73"/>
  <c r="J23" i="73"/>
  <c r="I23" i="73"/>
  <c r="R23" i="73" s="1"/>
  <c r="H23" i="73"/>
  <c r="G23" i="73"/>
  <c r="F23" i="73"/>
  <c r="Q23" i="73" s="1"/>
  <c r="E23" i="73"/>
  <c r="D23" i="73"/>
  <c r="C23" i="73"/>
  <c r="P23" i="73" s="1"/>
  <c r="U22" i="73"/>
  <c r="S22" i="73"/>
  <c r="N22" i="73"/>
  <c r="N31" i="73" s="1"/>
  <c r="M22" i="73"/>
  <c r="M31" i="73" s="1"/>
  <c r="L22" i="73"/>
  <c r="L31" i="73" s="1"/>
  <c r="K22" i="73"/>
  <c r="K31" i="73" s="1"/>
  <c r="J22" i="73"/>
  <c r="J31" i="73" s="1"/>
  <c r="I22" i="73"/>
  <c r="H22" i="73"/>
  <c r="G22" i="73"/>
  <c r="G31" i="73" s="1"/>
  <c r="F22" i="73"/>
  <c r="Q22" i="73" s="1"/>
  <c r="E22" i="73"/>
  <c r="E31" i="73" s="1"/>
  <c r="D22" i="73"/>
  <c r="D31" i="73" s="1"/>
  <c r="C22" i="73"/>
  <c r="P22" i="73" s="1"/>
  <c r="R20" i="73"/>
  <c r="J20" i="73"/>
  <c r="I20" i="73"/>
  <c r="H20" i="73"/>
  <c r="E20" i="73"/>
  <c r="D20" i="73"/>
  <c r="C20" i="73"/>
  <c r="R19" i="73"/>
  <c r="P19" i="73"/>
  <c r="P20" i="73" s="1"/>
  <c r="N19" i="73"/>
  <c r="N20" i="73" s="1"/>
  <c r="M19" i="73"/>
  <c r="M20" i="73" s="1"/>
  <c r="L19" i="73"/>
  <c r="L20" i="73" s="1"/>
  <c r="K19" i="73"/>
  <c r="K20" i="73" s="1"/>
  <c r="J19" i="73"/>
  <c r="I19" i="73"/>
  <c r="H19" i="73"/>
  <c r="G19" i="73"/>
  <c r="G20" i="73" s="1"/>
  <c r="F19" i="73"/>
  <c r="F20" i="73" s="1"/>
  <c r="E19" i="73"/>
  <c r="D19" i="73"/>
  <c r="C19" i="73"/>
  <c r="U19" i="73" s="1"/>
  <c r="M17" i="73"/>
  <c r="L17" i="73"/>
  <c r="D17" i="73"/>
  <c r="Q16" i="73"/>
  <c r="N16" i="73"/>
  <c r="M16" i="73"/>
  <c r="L16" i="73"/>
  <c r="S16" i="73" s="1"/>
  <c r="K16" i="73"/>
  <c r="J16" i="73"/>
  <c r="R16" i="73" s="1"/>
  <c r="I16" i="73"/>
  <c r="H16" i="73"/>
  <c r="G16" i="73"/>
  <c r="F16" i="73"/>
  <c r="E16" i="73"/>
  <c r="D16" i="73"/>
  <c r="C16" i="73"/>
  <c r="C17" i="73" s="1"/>
  <c r="P15" i="73"/>
  <c r="N15" i="73"/>
  <c r="N17" i="73" s="1"/>
  <c r="M15" i="73"/>
  <c r="L15" i="73"/>
  <c r="S15" i="73" s="1"/>
  <c r="K15" i="73"/>
  <c r="J15" i="73"/>
  <c r="I15" i="73"/>
  <c r="R15" i="73" s="1"/>
  <c r="H15" i="73"/>
  <c r="G15" i="73"/>
  <c r="U15" i="73" s="1"/>
  <c r="F15" i="73"/>
  <c r="E15" i="73"/>
  <c r="D15" i="73"/>
  <c r="C15" i="73"/>
  <c r="P14" i="73"/>
  <c r="N14" i="73"/>
  <c r="M14" i="73"/>
  <c r="L14" i="73"/>
  <c r="S14" i="73" s="1"/>
  <c r="K14" i="73"/>
  <c r="K51" i="73" s="1"/>
  <c r="K52" i="73" s="1"/>
  <c r="K53" i="73" s="1"/>
  <c r="J14" i="73"/>
  <c r="J17" i="73" s="1"/>
  <c r="I14" i="73"/>
  <c r="I17" i="73" s="1"/>
  <c r="H14" i="73"/>
  <c r="H17" i="73" s="1"/>
  <c r="G14" i="73"/>
  <c r="G17" i="73" s="1"/>
  <c r="F14" i="73"/>
  <c r="F17" i="73" s="1"/>
  <c r="E14" i="73"/>
  <c r="U14" i="73" s="1"/>
  <c r="D14" i="73"/>
  <c r="C14" i="73"/>
  <c r="M12" i="73"/>
  <c r="M33" i="73" s="1"/>
  <c r="K12" i="73"/>
  <c r="J12" i="73"/>
  <c r="J33" i="73" s="1"/>
  <c r="E12" i="73"/>
  <c r="D12" i="73"/>
  <c r="D33" i="73" s="1"/>
  <c r="N11" i="73"/>
  <c r="N12" i="73" s="1"/>
  <c r="N33" i="73" s="1"/>
  <c r="M11" i="73"/>
  <c r="L11" i="73"/>
  <c r="S11" i="73" s="1"/>
  <c r="K11" i="73"/>
  <c r="J11" i="73"/>
  <c r="I11" i="73"/>
  <c r="R11" i="73" s="1"/>
  <c r="H11" i="73"/>
  <c r="G11" i="73"/>
  <c r="F11" i="73"/>
  <c r="Q11" i="73" s="1"/>
  <c r="E11" i="73"/>
  <c r="D11" i="73"/>
  <c r="C11" i="73"/>
  <c r="U11" i="73" s="1"/>
  <c r="N10" i="73"/>
  <c r="M10" i="73"/>
  <c r="L10" i="73"/>
  <c r="S10" i="73" s="1"/>
  <c r="K10" i="73"/>
  <c r="J10" i="73"/>
  <c r="I10" i="73"/>
  <c r="R10" i="73" s="1"/>
  <c r="H10" i="73"/>
  <c r="H12" i="73" s="1"/>
  <c r="G10" i="73"/>
  <c r="G12" i="73" s="1"/>
  <c r="G33" i="73" s="1"/>
  <c r="F10" i="73"/>
  <c r="Q10" i="73" s="1"/>
  <c r="E10" i="73"/>
  <c r="E51" i="73" s="1"/>
  <c r="D10" i="73"/>
  <c r="D51" i="73" s="1"/>
  <c r="C10" i="73"/>
  <c r="C51" i="73" s="1"/>
  <c r="L8" i="73"/>
  <c r="K8" i="73"/>
  <c r="J8" i="73"/>
  <c r="G8" i="73"/>
  <c r="E8" i="73"/>
  <c r="D8" i="73"/>
  <c r="S6" i="73"/>
  <c r="R6" i="73"/>
  <c r="Q6" i="73"/>
  <c r="N6" i="73"/>
  <c r="M6" i="73"/>
  <c r="L6" i="73"/>
  <c r="K6" i="73"/>
  <c r="J6" i="73"/>
  <c r="I6" i="73"/>
  <c r="I8" i="73" s="1"/>
  <c r="H6" i="73"/>
  <c r="H8" i="73" s="1"/>
  <c r="G6" i="73"/>
  <c r="F6" i="73"/>
  <c r="E6" i="73"/>
  <c r="D6" i="73"/>
  <c r="C6" i="73"/>
  <c r="U6" i="73" s="1"/>
  <c r="R5" i="73"/>
  <c r="R8" i="73" s="1"/>
  <c r="R50" i="73" s="1"/>
  <c r="P5" i="73"/>
  <c r="N5" i="73"/>
  <c r="N8" i="73" s="1"/>
  <c r="M5" i="73"/>
  <c r="M8" i="73" s="1"/>
  <c r="L5" i="73"/>
  <c r="K5" i="73"/>
  <c r="J5" i="73"/>
  <c r="I5" i="73"/>
  <c r="H5" i="73"/>
  <c r="G5" i="73"/>
  <c r="F5" i="73"/>
  <c r="F8" i="73" s="1"/>
  <c r="E5" i="73"/>
  <c r="D5" i="73"/>
  <c r="C5" i="73"/>
  <c r="C8" i="73" s="1"/>
  <c r="B3" i="73"/>
  <c r="D2" i="73"/>
  <c r="E2" i="73" s="1"/>
  <c r="F2" i="73" s="1"/>
  <c r="G2" i="73" s="1"/>
  <c r="H2" i="73" s="1"/>
  <c r="I2" i="73" s="1"/>
  <c r="J2" i="73" s="1"/>
  <c r="K2" i="73" s="1"/>
  <c r="L2" i="73" s="1"/>
  <c r="M2" i="73" s="1"/>
  <c r="N2" i="73" s="1"/>
  <c r="N104" i="43"/>
  <c r="M71" i="35"/>
  <c r="M70" i="35"/>
  <c r="M69" i="35"/>
  <c r="M118" i="38"/>
  <c r="M298" i="42"/>
  <c r="M300" i="42" s="1"/>
  <c r="M294" i="42"/>
  <c r="M296" i="42" s="1"/>
  <c r="N172" i="42"/>
  <c r="M151" i="42"/>
  <c r="M146" i="42"/>
  <c r="M141" i="42"/>
  <c r="M136" i="42"/>
  <c r="M131" i="42"/>
  <c r="M40" i="59"/>
  <c r="P78" i="74" l="1"/>
  <c r="Q78" i="74"/>
  <c r="R78" i="74"/>
  <c r="S78" i="74"/>
  <c r="U78" i="74"/>
  <c r="D19" i="74"/>
  <c r="U19" i="74" s="1"/>
  <c r="S25" i="74"/>
  <c r="Q29" i="74"/>
  <c r="R35" i="74"/>
  <c r="P36" i="74"/>
  <c r="Q24" i="74"/>
  <c r="R6" i="74"/>
  <c r="Q16" i="74"/>
  <c r="Q14" i="74"/>
  <c r="R36" i="74"/>
  <c r="P60" i="74"/>
  <c r="S11" i="74"/>
  <c r="Q19" i="74"/>
  <c r="Q20" i="74" s="1"/>
  <c r="Q41" i="74"/>
  <c r="Q39" i="74"/>
  <c r="C12" i="74"/>
  <c r="P35" i="74"/>
  <c r="Q10" i="74"/>
  <c r="H12" i="74"/>
  <c r="D8" i="74"/>
  <c r="R26" i="74"/>
  <c r="D10" i="74"/>
  <c r="P10" i="74" s="1"/>
  <c r="S22" i="74"/>
  <c r="P24" i="74"/>
  <c r="Q26" i="74"/>
  <c r="Q38" i="74"/>
  <c r="S41" i="74"/>
  <c r="R14" i="74"/>
  <c r="R27" i="74"/>
  <c r="R39" i="74"/>
  <c r="S72" i="74"/>
  <c r="S93" i="74" s="1"/>
  <c r="S24" i="74"/>
  <c r="P27" i="74"/>
  <c r="P28" i="74"/>
  <c r="R30" i="74"/>
  <c r="Q35" i="74"/>
  <c r="N73" i="74"/>
  <c r="N94" i="74" s="1"/>
  <c r="S6" i="74"/>
  <c r="Q40" i="74"/>
  <c r="Q30" i="74"/>
  <c r="P26" i="74"/>
  <c r="R29" i="74"/>
  <c r="U41" i="74"/>
  <c r="S29" i="74"/>
  <c r="P15" i="74"/>
  <c r="Q23" i="74"/>
  <c r="S26" i="74"/>
  <c r="P37" i="74"/>
  <c r="R64" i="74"/>
  <c r="R81" i="74" s="1"/>
  <c r="P46" i="74"/>
  <c r="I31" i="74"/>
  <c r="K17" i="74"/>
  <c r="E51" i="74"/>
  <c r="S23" i="74"/>
  <c r="R38" i="74"/>
  <c r="R16" i="74"/>
  <c r="S27" i="74"/>
  <c r="P40" i="74"/>
  <c r="Q72" i="74"/>
  <c r="Q93" i="74" s="1"/>
  <c r="R23" i="74"/>
  <c r="R72" i="74"/>
  <c r="R93" i="74" s="1"/>
  <c r="G8" i="74"/>
  <c r="M12" i="74"/>
  <c r="J73" i="74"/>
  <c r="J94" i="74" s="1"/>
  <c r="E12" i="74"/>
  <c r="G51" i="74"/>
  <c r="K31" i="74"/>
  <c r="J51" i="74"/>
  <c r="Q5" i="74"/>
  <c r="K8" i="74"/>
  <c r="S36" i="74"/>
  <c r="S38" i="74"/>
  <c r="K73" i="74"/>
  <c r="K94" i="74" s="1"/>
  <c r="Q11" i="74"/>
  <c r="P6" i="74"/>
  <c r="M17" i="74"/>
  <c r="P11" i="74"/>
  <c r="D17" i="74"/>
  <c r="Q15" i="74"/>
  <c r="R19" i="74"/>
  <c r="R20" i="74" s="1"/>
  <c r="R25" i="74"/>
  <c r="S35" i="74"/>
  <c r="P16" i="74"/>
  <c r="M31" i="74"/>
  <c r="R11" i="74"/>
  <c r="N31" i="74"/>
  <c r="U46" i="74"/>
  <c r="U72" i="74"/>
  <c r="U93" i="74" s="1"/>
  <c r="G17" i="74"/>
  <c r="R22" i="74"/>
  <c r="U37" i="74"/>
  <c r="D73" i="74"/>
  <c r="D94" i="74" s="1"/>
  <c r="H51" i="74"/>
  <c r="U35" i="74"/>
  <c r="L12" i="74"/>
  <c r="D31" i="74"/>
  <c r="P25" i="74"/>
  <c r="R60" i="74"/>
  <c r="G73" i="74"/>
  <c r="G94" i="74" s="1"/>
  <c r="E8" i="74"/>
  <c r="S16" i="74"/>
  <c r="E31" i="74"/>
  <c r="Q25" i="74"/>
  <c r="Q27" i="74"/>
  <c r="Q28" i="74"/>
  <c r="Q36" i="74"/>
  <c r="Q37" i="74"/>
  <c r="R41" i="74"/>
  <c r="Q46" i="74"/>
  <c r="H73" i="74"/>
  <c r="H94" i="74" s="1"/>
  <c r="P5" i="74"/>
  <c r="H8" i="74"/>
  <c r="S14" i="74"/>
  <c r="S15" i="74"/>
  <c r="R40" i="74"/>
  <c r="R46" i="74"/>
  <c r="P41" i="74"/>
  <c r="M8" i="74"/>
  <c r="U26" i="74"/>
  <c r="N8" i="74"/>
  <c r="U6" i="74"/>
  <c r="J17" i="74"/>
  <c r="N17" i="74"/>
  <c r="R28" i="74"/>
  <c r="R37" i="74"/>
  <c r="J12" i="74"/>
  <c r="E17" i="74"/>
  <c r="S30" i="74"/>
  <c r="S46" i="74"/>
  <c r="Q60" i="74"/>
  <c r="L73" i="74"/>
  <c r="L94" i="74" s="1"/>
  <c r="J8" i="74"/>
  <c r="I12" i="74"/>
  <c r="U25" i="74"/>
  <c r="F12" i="74"/>
  <c r="H31" i="74"/>
  <c r="H17" i="74"/>
  <c r="J31" i="74"/>
  <c r="S28" i="74"/>
  <c r="S37" i="74"/>
  <c r="M73" i="74"/>
  <c r="M94" i="74" s="1"/>
  <c r="E73" i="74"/>
  <c r="E94" i="74" s="1"/>
  <c r="P71" i="74"/>
  <c r="P92" i="74" s="1"/>
  <c r="K51" i="74"/>
  <c r="K12" i="74"/>
  <c r="U14" i="74"/>
  <c r="C17" i="74"/>
  <c r="P14" i="74"/>
  <c r="C61" i="74"/>
  <c r="U60" i="74"/>
  <c r="S60" i="74"/>
  <c r="U39" i="74"/>
  <c r="P39" i="74"/>
  <c r="F8" i="74"/>
  <c r="Q6" i="74"/>
  <c r="U22" i="74"/>
  <c r="P22" i="74"/>
  <c r="C31" i="74"/>
  <c r="U29" i="74"/>
  <c r="P29" i="74"/>
  <c r="U36" i="74"/>
  <c r="R71" i="74"/>
  <c r="R92" i="74" s="1"/>
  <c r="I73" i="74"/>
  <c r="I94" i="74" s="1"/>
  <c r="U23" i="74"/>
  <c r="P23" i="74"/>
  <c r="U28" i="74"/>
  <c r="U30" i="74"/>
  <c r="P30" i="74"/>
  <c r="Q71" i="74"/>
  <c r="Q92" i="74" s="1"/>
  <c r="F73" i="74"/>
  <c r="F94" i="74" s="1"/>
  <c r="N51" i="74"/>
  <c r="N12" i="74"/>
  <c r="F17" i="74"/>
  <c r="F51" i="74"/>
  <c r="Q22" i="74"/>
  <c r="F31" i="74"/>
  <c r="L31" i="74"/>
  <c r="U43" i="74"/>
  <c r="L64" i="74"/>
  <c r="S61" i="74"/>
  <c r="U38" i="74"/>
  <c r="P38" i="74"/>
  <c r="S10" i="74"/>
  <c r="U16" i="74"/>
  <c r="I8" i="74"/>
  <c r="R5" i="74"/>
  <c r="G31" i="74"/>
  <c r="C51" i="74"/>
  <c r="U11" i="74"/>
  <c r="P19" i="74"/>
  <c r="P20" i="74" s="1"/>
  <c r="R61" i="74"/>
  <c r="R15" i="74"/>
  <c r="I17" i="74"/>
  <c r="S19" i="74"/>
  <c r="S20" i="74" s="1"/>
  <c r="L51" i="74"/>
  <c r="U71" i="74"/>
  <c r="U92" i="74" s="1"/>
  <c r="U27" i="74"/>
  <c r="L8" i="74"/>
  <c r="S5" i="74"/>
  <c r="G12" i="74"/>
  <c r="R24" i="74"/>
  <c r="S39" i="74"/>
  <c r="S40" i="74"/>
  <c r="M51" i="74"/>
  <c r="P72" i="74"/>
  <c r="P93" i="74" s="1"/>
  <c r="C73" i="74"/>
  <c r="C94" i="74" s="1"/>
  <c r="U5" i="74"/>
  <c r="U15" i="74"/>
  <c r="U24" i="74"/>
  <c r="U40" i="74"/>
  <c r="G61" i="74"/>
  <c r="L17" i="74"/>
  <c r="I51" i="74"/>
  <c r="F20" i="74"/>
  <c r="S71" i="74"/>
  <c r="S92" i="74" s="1"/>
  <c r="C8" i="74"/>
  <c r="R10" i="74"/>
  <c r="D75" i="73"/>
  <c r="F75" i="73"/>
  <c r="Q75" i="73" s="1"/>
  <c r="U73" i="73"/>
  <c r="Q74" i="73"/>
  <c r="H33" i="73"/>
  <c r="Q12" i="73"/>
  <c r="S31" i="73"/>
  <c r="W29" i="73"/>
  <c r="W46" i="73"/>
  <c r="F50" i="73"/>
  <c r="F52" i="73" s="1"/>
  <c r="F53" i="73" s="1"/>
  <c r="H45" i="73"/>
  <c r="H50" i="73"/>
  <c r="H52" i="73" s="1"/>
  <c r="H53" i="73" s="1"/>
  <c r="C50" i="73"/>
  <c r="C52" i="73" s="1"/>
  <c r="C53" i="73" s="1"/>
  <c r="R12" i="73"/>
  <c r="R51" i="73"/>
  <c r="R52" i="73" s="1"/>
  <c r="R53" i="73" s="1"/>
  <c r="W41" i="73"/>
  <c r="I50" i="73"/>
  <c r="M45" i="73"/>
  <c r="M50" i="73"/>
  <c r="M52" i="73" s="1"/>
  <c r="M53" i="73" s="1"/>
  <c r="W30" i="73"/>
  <c r="G45" i="73"/>
  <c r="S12" i="73"/>
  <c r="S33" i="73" s="1"/>
  <c r="S51" i="73"/>
  <c r="P31" i="73"/>
  <c r="D45" i="73"/>
  <c r="J45" i="73"/>
  <c r="W6" i="73"/>
  <c r="U20" i="73"/>
  <c r="U17" i="73"/>
  <c r="N45" i="73"/>
  <c r="N50" i="73"/>
  <c r="N52" i="73" s="1"/>
  <c r="N53" i="73" s="1"/>
  <c r="S17" i="73"/>
  <c r="W39" i="73"/>
  <c r="P6" i="73"/>
  <c r="P8" i="73" s="1"/>
  <c r="P50" i="73" s="1"/>
  <c r="U10" i="73"/>
  <c r="C12" i="73"/>
  <c r="C33" i="73" s="1"/>
  <c r="C45" i="73" s="1"/>
  <c r="K17" i="73"/>
  <c r="K33" i="73" s="1"/>
  <c r="K45" i="73" s="1"/>
  <c r="R22" i="73"/>
  <c r="R31" i="73" s="1"/>
  <c r="U23" i="73"/>
  <c r="W23" i="73" s="1"/>
  <c r="U35" i="73"/>
  <c r="W35" i="73" s="1"/>
  <c r="F51" i="73"/>
  <c r="Q5" i="73"/>
  <c r="Q8" i="73" s="1"/>
  <c r="Q50" i="73" s="1"/>
  <c r="F12" i="73"/>
  <c r="Q19" i="73"/>
  <c r="Q20" i="73" s="1"/>
  <c r="I51" i="73"/>
  <c r="G50" i="73"/>
  <c r="G52" i="73" s="1"/>
  <c r="G53" i="73" s="1"/>
  <c r="S5" i="73"/>
  <c r="S8" i="73" s="1"/>
  <c r="S50" i="73" s="1"/>
  <c r="S19" i="73"/>
  <c r="S20" i="73" s="1"/>
  <c r="U5" i="73"/>
  <c r="I12" i="73"/>
  <c r="P16" i="73"/>
  <c r="P17" i="73" s="1"/>
  <c r="U43" i="73"/>
  <c r="L51" i="73"/>
  <c r="S41" i="73"/>
  <c r="L12" i="73"/>
  <c r="L33" i="73" s="1"/>
  <c r="L45" i="73" s="1"/>
  <c r="S45" i="73" s="1"/>
  <c r="Q15" i="73"/>
  <c r="W15" i="73" s="1"/>
  <c r="Q27" i="73"/>
  <c r="W27" i="73" s="1"/>
  <c r="Q39" i="73"/>
  <c r="L50" i="73"/>
  <c r="S29" i="73"/>
  <c r="C31" i="73"/>
  <c r="U16" i="73"/>
  <c r="U28" i="73"/>
  <c r="W28" i="73" s="1"/>
  <c r="U40" i="73"/>
  <c r="W40" i="73" s="1"/>
  <c r="Q14" i="73"/>
  <c r="Q51" i="73" s="1"/>
  <c r="Q26" i="73"/>
  <c r="W26" i="73" s="1"/>
  <c r="F31" i="73"/>
  <c r="Q38" i="73"/>
  <c r="W38" i="73" s="1"/>
  <c r="R14" i="73"/>
  <c r="R17" i="73" s="1"/>
  <c r="P25" i="73"/>
  <c r="W25" i="73" s="1"/>
  <c r="P37" i="73"/>
  <c r="W37" i="73" s="1"/>
  <c r="P11" i="73"/>
  <c r="W11" i="73" s="1"/>
  <c r="E17" i="73"/>
  <c r="E33" i="73" s="1"/>
  <c r="E45" i="73" s="1"/>
  <c r="P36" i="73"/>
  <c r="W36" i="73" s="1"/>
  <c r="P10" i="73"/>
  <c r="I31" i="73"/>
  <c r="U24" i="73"/>
  <c r="W24" i="73" s="1"/>
  <c r="M146" i="43"/>
  <c r="AT16" i="43"/>
  <c r="M26" i="45"/>
  <c r="M31" i="45"/>
  <c r="H45" i="45"/>
  <c r="D45" i="45"/>
  <c r="H41" i="45"/>
  <c r="H42" i="45"/>
  <c r="H40" i="45"/>
  <c r="H39" i="45"/>
  <c r="H38" i="45"/>
  <c r="H37" i="45"/>
  <c r="H36" i="45"/>
  <c r="H34" i="45"/>
  <c r="H35" i="45"/>
  <c r="AB40" i="61"/>
  <c r="AB37" i="61"/>
  <c r="AB36" i="61"/>
  <c r="AB35" i="61"/>
  <c r="AB34" i="61"/>
  <c r="AB33" i="61"/>
  <c r="AB32" i="61"/>
  <c r="AB31" i="61"/>
  <c r="AB30" i="61"/>
  <c r="AB29" i="61"/>
  <c r="AB28" i="61"/>
  <c r="AB25" i="61"/>
  <c r="AB24" i="61"/>
  <c r="AB23" i="61"/>
  <c r="AB20" i="61"/>
  <c r="AB19" i="61"/>
  <c r="AB18" i="61"/>
  <c r="AB17" i="61"/>
  <c r="M39" i="59"/>
  <c r="S64" i="74" l="1"/>
  <c r="S81" i="74" s="1"/>
  <c r="L81" i="74"/>
  <c r="G64" i="74"/>
  <c r="R8" i="74"/>
  <c r="R50" i="74" s="1"/>
  <c r="Q51" i="74"/>
  <c r="Q12" i="74"/>
  <c r="Q17" i="74"/>
  <c r="D51" i="74"/>
  <c r="D12" i="74"/>
  <c r="D33" i="74" s="1"/>
  <c r="D65" i="74" s="1"/>
  <c r="D82" i="74" s="1"/>
  <c r="D50" i="74"/>
  <c r="N50" i="74"/>
  <c r="N52" i="74" s="1"/>
  <c r="S8" i="74"/>
  <c r="S50" i="74" s="1"/>
  <c r="J50" i="74"/>
  <c r="J52" i="74" s="1"/>
  <c r="G50" i="74"/>
  <c r="G52" i="74" s="1"/>
  <c r="E50" i="74"/>
  <c r="E52" i="74" s="1"/>
  <c r="M50" i="74"/>
  <c r="M52" i="74" s="1"/>
  <c r="H50" i="74"/>
  <c r="K50" i="74"/>
  <c r="K52" i="74" s="1"/>
  <c r="S73" i="74"/>
  <c r="S94" i="74" s="1"/>
  <c r="R17" i="74"/>
  <c r="U10" i="74"/>
  <c r="U51" i="74" s="1"/>
  <c r="W26" i="74"/>
  <c r="W35" i="74"/>
  <c r="J33" i="74"/>
  <c r="J65" i="74" s="1"/>
  <c r="J82" i="74" s="1"/>
  <c r="N33" i="74"/>
  <c r="N65" i="74" s="1"/>
  <c r="N82" i="74" s="1"/>
  <c r="W15" i="74"/>
  <c r="W25" i="74"/>
  <c r="W28" i="74"/>
  <c r="W41" i="74"/>
  <c r="R73" i="74"/>
  <c r="R94" i="74" s="1"/>
  <c r="L33" i="74"/>
  <c r="L65" i="74" s="1"/>
  <c r="L82" i="74" s="1"/>
  <c r="P12" i="74"/>
  <c r="S31" i="74"/>
  <c r="M33" i="74"/>
  <c r="M65" i="74" s="1"/>
  <c r="M82" i="74" s="1"/>
  <c r="W11" i="74"/>
  <c r="W27" i="74"/>
  <c r="P8" i="74"/>
  <c r="P50" i="74" s="1"/>
  <c r="K33" i="74"/>
  <c r="W40" i="74"/>
  <c r="H33" i="74"/>
  <c r="H45" i="74" s="1"/>
  <c r="W36" i="74"/>
  <c r="S17" i="74"/>
  <c r="W16" i="74"/>
  <c r="Q73" i="74"/>
  <c r="Q94" i="74" s="1"/>
  <c r="H52" i="74"/>
  <c r="W37" i="74"/>
  <c r="F33" i="74"/>
  <c r="F65" i="74" s="1"/>
  <c r="F82" i="74" s="1"/>
  <c r="R31" i="74"/>
  <c r="W6" i="74"/>
  <c r="Q31" i="74"/>
  <c r="Q33" i="74" s="1"/>
  <c r="I33" i="74"/>
  <c r="I65" i="74" s="1"/>
  <c r="I82" i="74" s="1"/>
  <c r="W46" i="74"/>
  <c r="E33" i="74"/>
  <c r="G33" i="74"/>
  <c r="G65" i="74" s="1"/>
  <c r="G82" i="74" s="1"/>
  <c r="C33" i="74"/>
  <c r="C65" i="74" s="1"/>
  <c r="C82" i="74" s="1"/>
  <c r="F50" i="74"/>
  <c r="F52" i="74" s="1"/>
  <c r="W24" i="74"/>
  <c r="U20" i="74"/>
  <c r="W20" i="74" s="1"/>
  <c r="W19" i="74"/>
  <c r="W39" i="74"/>
  <c r="W23" i="74"/>
  <c r="L50" i="74"/>
  <c r="L52" i="74" s="1"/>
  <c r="W29" i="74"/>
  <c r="U73" i="74"/>
  <c r="U94" i="74" s="1"/>
  <c r="P73" i="74"/>
  <c r="P94" i="74" s="1"/>
  <c r="Q61" i="74"/>
  <c r="P31" i="74"/>
  <c r="C64" i="74"/>
  <c r="C81" i="74" s="1"/>
  <c r="U61" i="74"/>
  <c r="P61" i="74"/>
  <c r="S51" i="74"/>
  <c r="S12" i="74"/>
  <c r="W5" i="74"/>
  <c r="U8" i="74"/>
  <c r="R51" i="74"/>
  <c r="R52" i="74" s="1"/>
  <c r="R53" i="74" s="1"/>
  <c r="R12" i="74"/>
  <c r="U31" i="74"/>
  <c r="W22" i="74"/>
  <c r="Q8" i="74"/>
  <c r="Q50" i="74" s="1"/>
  <c r="U17" i="74"/>
  <c r="W14" i="74"/>
  <c r="I50" i="74"/>
  <c r="I52" i="74" s="1"/>
  <c r="W38" i="74"/>
  <c r="C50" i="74"/>
  <c r="C52" i="74" s="1"/>
  <c r="W30" i="74"/>
  <c r="P17" i="74"/>
  <c r="P51" i="74"/>
  <c r="U75" i="73"/>
  <c r="P75" i="73"/>
  <c r="P45" i="73"/>
  <c r="P48" i="73" s="1"/>
  <c r="Q43" i="73" s="1"/>
  <c r="C48" i="73"/>
  <c r="R33" i="73"/>
  <c r="I33" i="73"/>
  <c r="I45" i="73" s="1"/>
  <c r="R45" i="73" s="1"/>
  <c r="S52" i="73"/>
  <c r="S53" i="73" s="1"/>
  <c r="W22" i="73"/>
  <c r="W16" i="73"/>
  <c r="Q31" i="73"/>
  <c r="U8" i="73"/>
  <c r="W5" i="73"/>
  <c r="Q17" i="73"/>
  <c r="Q33" i="73" s="1"/>
  <c r="W14" i="73"/>
  <c r="I52" i="73"/>
  <c r="I53" i="73" s="1"/>
  <c r="W20" i="73"/>
  <c r="U31" i="73"/>
  <c r="W31" i="73" s="1"/>
  <c r="P12" i="73"/>
  <c r="P33" i="73" s="1"/>
  <c r="P51" i="73"/>
  <c r="P52" i="73" s="1"/>
  <c r="P53" i="73" s="1"/>
  <c r="U12" i="73"/>
  <c r="U51" i="73"/>
  <c r="W10" i="73"/>
  <c r="F33" i="73"/>
  <c r="F45" i="73" s="1"/>
  <c r="Q45" i="73" s="1"/>
  <c r="Q52" i="73"/>
  <c r="Q53" i="73" s="1"/>
  <c r="L52" i="73"/>
  <c r="L53" i="73" s="1"/>
  <c r="W19" i="73"/>
  <c r="O68" i="61"/>
  <c r="O69" i="61" s="1"/>
  <c r="O53" i="61"/>
  <c r="O48" i="61"/>
  <c r="O47" i="61"/>
  <c r="O46" i="61"/>
  <c r="O45" i="61"/>
  <c r="O44" i="61"/>
  <c r="O43" i="61"/>
  <c r="O42" i="61"/>
  <c r="O37" i="61"/>
  <c r="O36" i="61"/>
  <c r="O35" i="61"/>
  <c r="O34" i="61"/>
  <c r="O33" i="61"/>
  <c r="O32" i="61"/>
  <c r="O31" i="61"/>
  <c r="O30" i="61"/>
  <c r="O29" i="61"/>
  <c r="O28" i="61"/>
  <c r="O25" i="61"/>
  <c r="O24" i="61"/>
  <c r="O23" i="61"/>
  <c r="O20" i="61"/>
  <c r="O19" i="61"/>
  <c r="O18" i="61"/>
  <c r="O17" i="61"/>
  <c r="Q64" i="74" l="1"/>
  <c r="Q81" i="74" s="1"/>
  <c r="G81" i="74"/>
  <c r="J53" i="74"/>
  <c r="N53" i="74"/>
  <c r="L53" i="74"/>
  <c r="H53" i="74"/>
  <c r="K53" i="74"/>
  <c r="M53" i="74"/>
  <c r="C53" i="74"/>
  <c r="F53" i="74"/>
  <c r="E53" i="74"/>
  <c r="G53" i="74"/>
  <c r="I53" i="74"/>
  <c r="Q52" i="74"/>
  <c r="Q53" i="74" s="1"/>
  <c r="D52" i="74"/>
  <c r="J45" i="74"/>
  <c r="W10" i="74"/>
  <c r="S52" i="74"/>
  <c r="S53" i="74" s="1"/>
  <c r="U12" i="74"/>
  <c r="H65" i="74"/>
  <c r="H82" i="74" s="1"/>
  <c r="S65" i="74"/>
  <c r="S82" i="74" s="1"/>
  <c r="S86" i="74" s="1"/>
  <c r="M45" i="74"/>
  <c r="W17" i="74"/>
  <c r="Q65" i="74"/>
  <c r="Q82" i="74" s="1"/>
  <c r="Q86" i="74" s="1"/>
  <c r="I45" i="74"/>
  <c r="N45" i="74"/>
  <c r="D45" i="74"/>
  <c r="G45" i="74"/>
  <c r="L45" i="74"/>
  <c r="K65" i="74"/>
  <c r="K45" i="74"/>
  <c r="P52" i="74"/>
  <c r="P53" i="74" s="1"/>
  <c r="R33" i="74"/>
  <c r="E65" i="74"/>
  <c r="E82" i="74" s="1"/>
  <c r="E45" i="74"/>
  <c r="F45" i="74"/>
  <c r="C45" i="74"/>
  <c r="C48" i="74" s="1"/>
  <c r="S33" i="74"/>
  <c r="W12" i="74"/>
  <c r="U33" i="74"/>
  <c r="P33" i="74"/>
  <c r="W31" i="74"/>
  <c r="U64" i="74"/>
  <c r="U81" i="74" s="1"/>
  <c r="P64" i="74"/>
  <c r="P81" i="74" s="1"/>
  <c r="C66" i="74"/>
  <c r="C84" i="74" s="1"/>
  <c r="W8" i="74"/>
  <c r="U50" i="74"/>
  <c r="U52" i="74" s="1"/>
  <c r="U53" i="74" s="1"/>
  <c r="U50" i="73"/>
  <c r="U52" i="73" s="1"/>
  <c r="U53" i="73" s="1"/>
  <c r="W8" i="73"/>
  <c r="D43" i="73"/>
  <c r="D48" i="73" s="1"/>
  <c r="C55" i="73"/>
  <c r="W17" i="73"/>
  <c r="W12" i="73"/>
  <c r="U33" i="73"/>
  <c r="W33" i="73" s="1"/>
  <c r="U45" i="73"/>
  <c r="Q48" i="73"/>
  <c r="R43" i="73" s="1"/>
  <c r="R48" i="73" s="1"/>
  <c r="S43" i="73" s="1"/>
  <c r="S48" i="73" s="1"/>
  <c r="O2658" i="58"/>
  <c r="M2329" i="58"/>
  <c r="C2329" i="58"/>
  <c r="B2329" i="58"/>
  <c r="R65" i="74" l="1"/>
  <c r="R82" i="74" s="1"/>
  <c r="R86" i="74" s="1"/>
  <c r="K82" i="74"/>
  <c r="D53" i="74"/>
  <c r="R45" i="74"/>
  <c r="S45" i="74"/>
  <c r="Q45" i="74"/>
  <c r="U65" i="74"/>
  <c r="P65" i="74"/>
  <c r="P45" i="74"/>
  <c r="P48" i="74" s="1"/>
  <c r="P68" i="74" s="1"/>
  <c r="P89" i="74" s="1"/>
  <c r="U45" i="74"/>
  <c r="D63" i="74"/>
  <c r="C68" i="74"/>
  <c r="C55" i="74"/>
  <c r="D43" i="74"/>
  <c r="D48" i="74" s="1"/>
  <c r="W33" i="74"/>
  <c r="E43" i="73"/>
  <c r="E48" i="73" s="1"/>
  <c r="D55" i="73"/>
  <c r="W45" i="73"/>
  <c r="U48" i="73"/>
  <c r="O2329" i="58"/>
  <c r="M2658" i="58"/>
  <c r="M2657" i="58"/>
  <c r="M2656" i="58"/>
  <c r="M2655" i="58"/>
  <c r="M2647" i="58"/>
  <c r="M2645" i="58"/>
  <c r="M2643" i="58"/>
  <c r="M2640" i="58"/>
  <c r="M2638" i="58"/>
  <c r="M2637" i="58"/>
  <c r="M2629" i="58"/>
  <c r="M2628" i="58"/>
  <c r="M2627" i="58"/>
  <c r="M2626" i="58"/>
  <c r="M2622" i="58"/>
  <c r="M2620" i="58"/>
  <c r="M2619" i="58"/>
  <c r="M2618" i="58"/>
  <c r="M2615" i="58"/>
  <c r="M2614" i="58"/>
  <c r="M2613" i="58"/>
  <c r="M2612" i="58"/>
  <c r="M2611" i="58"/>
  <c r="M2610" i="58"/>
  <c r="M2609" i="58"/>
  <c r="M2608" i="58"/>
  <c r="M2607" i="58"/>
  <c r="M2606" i="58"/>
  <c r="M2605" i="58"/>
  <c r="M2604" i="58"/>
  <c r="M2603" i="58"/>
  <c r="M2602" i="58"/>
  <c r="M2601" i="58"/>
  <c r="M2600" i="58"/>
  <c r="M2599" i="58"/>
  <c r="M2597" i="58"/>
  <c r="M2594" i="58"/>
  <c r="M2593" i="58"/>
  <c r="M2591" i="58"/>
  <c r="M2588" i="58"/>
  <c r="M2585" i="58"/>
  <c r="M2583" i="58"/>
  <c r="M2582" i="58"/>
  <c r="M2581" i="58"/>
  <c r="M2580" i="58"/>
  <c r="M2579" i="58"/>
  <c r="M2576" i="58"/>
  <c r="M2575" i="58"/>
  <c r="M2574" i="58"/>
  <c r="M2573" i="58"/>
  <c r="M2572" i="58"/>
  <c r="M2571" i="58"/>
  <c r="M2570" i="58"/>
  <c r="M2569" i="58"/>
  <c r="M2568" i="58"/>
  <c r="M2567" i="58"/>
  <c r="M2566" i="58"/>
  <c r="M2564" i="58"/>
  <c r="M2563" i="58"/>
  <c r="M2562" i="58"/>
  <c r="M2561" i="58"/>
  <c r="M2560" i="58"/>
  <c r="M2559" i="58"/>
  <c r="M2558" i="58"/>
  <c r="M2556" i="58"/>
  <c r="M2555" i="58"/>
  <c r="M2552" i="58"/>
  <c r="M2551" i="58"/>
  <c r="M2550" i="58"/>
  <c r="M2549" i="58"/>
  <c r="M2548" i="58"/>
  <c r="M2547" i="58"/>
  <c r="M2546" i="58"/>
  <c r="M2545" i="58"/>
  <c r="M2544" i="58"/>
  <c r="M2543" i="58"/>
  <c r="M2542" i="58"/>
  <c r="M2541" i="58"/>
  <c r="M2540" i="58"/>
  <c r="M2539" i="58"/>
  <c r="M2538" i="58"/>
  <c r="M2537" i="58"/>
  <c r="M2536" i="58"/>
  <c r="M2535" i="58"/>
  <c r="M2534" i="58"/>
  <c r="M2531" i="58"/>
  <c r="M2530" i="58"/>
  <c r="M2529" i="58"/>
  <c r="M2528" i="58"/>
  <c r="M2526" i="58"/>
  <c r="M2525" i="58"/>
  <c r="M2524" i="58"/>
  <c r="M2523" i="58"/>
  <c r="M2522" i="58"/>
  <c r="M2518" i="58"/>
  <c r="M2517" i="58"/>
  <c r="M2516" i="58"/>
  <c r="M2512" i="58"/>
  <c r="M2511" i="58"/>
  <c r="M2507" i="58"/>
  <c r="M2506" i="58"/>
  <c r="M2504" i="58"/>
  <c r="M2502" i="58"/>
  <c r="M2501" i="58"/>
  <c r="M2500" i="58"/>
  <c r="M2499" i="58"/>
  <c r="M2498" i="58"/>
  <c r="M2497" i="58"/>
  <c r="M2496" i="58"/>
  <c r="M2495" i="58"/>
  <c r="M2494" i="58"/>
  <c r="M2493" i="58"/>
  <c r="M2491" i="58"/>
  <c r="M2490" i="58"/>
  <c r="M2489" i="58"/>
  <c r="M2488" i="58"/>
  <c r="M2487" i="58"/>
  <c r="M2486" i="58"/>
  <c r="M2484" i="58"/>
  <c r="M2481" i="58"/>
  <c r="M2480" i="58"/>
  <c r="M2479" i="58"/>
  <c r="M2478" i="58"/>
  <c r="M2477" i="58"/>
  <c r="M2476" i="58"/>
  <c r="M2475" i="58"/>
  <c r="M2474" i="58"/>
  <c r="M2473" i="58"/>
  <c r="M2472" i="58"/>
  <c r="M2471" i="58"/>
  <c r="M2469" i="58"/>
  <c r="M2468" i="58"/>
  <c r="M2467" i="58"/>
  <c r="M2466" i="58"/>
  <c r="M2461" i="58"/>
  <c r="M2460" i="58"/>
  <c r="M2459" i="58"/>
  <c r="M2458" i="58"/>
  <c r="M2457" i="58"/>
  <c r="M2438" i="58"/>
  <c r="M2434" i="58"/>
  <c r="M2389" i="58"/>
  <c r="M2388" i="58"/>
  <c r="M2387" i="58"/>
  <c r="M2386" i="58"/>
  <c r="M2385" i="58"/>
  <c r="M2384" i="58"/>
  <c r="M2382" i="58"/>
  <c r="M2381" i="58"/>
  <c r="M2378" i="58"/>
  <c r="M2377" i="58"/>
  <c r="M2376" i="58"/>
  <c r="M2375" i="58"/>
  <c r="M2374" i="58"/>
  <c r="M2373" i="58"/>
  <c r="M2372" i="58"/>
  <c r="M2367" i="58"/>
  <c r="M2362" i="58"/>
  <c r="M2361" i="58"/>
  <c r="M2360" i="58"/>
  <c r="M2359" i="58"/>
  <c r="M2356" i="58"/>
  <c r="M2353" i="58"/>
  <c r="M2352" i="58"/>
  <c r="M2349" i="58"/>
  <c r="M2348" i="58"/>
  <c r="M2347" i="58"/>
  <c r="M2346" i="58"/>
  <c r="M2345" i="58"/>
  <c r="M2344" i="58"/>
  <c r="M2343" i="58"/>
  <c r="M2342" i="58"/>
  <c r="M2341" i="58"/>
  <c r="M2340" i="58"/>
  <c r="M2339" i="58"/>
  <c r="M2338" i="58"/>
  <c r="M2337" i="58"/>
  <c r="M2335" i="58"/>
  <c r="M2334" i="58"/>
  <c r="M2333" i="58"/>
  <c r="M2332" i="58"/>
  <c r="M2331" i="58"/>
  <c r="M2330" i="58"/>
  <c r="C2658" i="58"/>
  <c r="B2658" i="58"/>
  <c r="C2657" i="58"/>
  <c r="B2657" i="58"/>
  <c r="C2656" i="58"/>
  <c r="B2656" i="58"/>
  <c r="C2655" i="58"/>
  <c r="B2655" i="58"/>
  <c r="C2647" i="58"/>
  <c r="B2647" i="58"/>
  <c r="C2645" i="58"/>
  <c r="B2645" i="58"/>
  <c r="C2643" i="58"/>
  <c r="B2643" i="58"/>
  <c r="C2640" i="58"/>
  <c r="B2640" i="58"/>
  <c r="C2638" i="58"/>
  <c r="B2638" i="58"/>
  <c r="C2637" i="58"/>
  <c r="B2637" i="58"/>
  <c r="C2629" i="58"/>
  <c r="B2629" i="58"/>
  <c r="C2628" i="58"/>
  <c r="B2628" i="58"/>
  <c r="C2627" i="58"/>
  <c r="B2627" i="58"/>
  <c r="C2626" i="58"/>
  <c r="B2626" i="58"/>
  <c r="C2622" i="58"/>
  <c r="B2622" i="58"/>
  <c r="C2620" i="58"/>
  <c r="B2620" i="58"/>
  <c r="C2619" i="58"/>
  <c r="B2619" i="58"/>
  <c r="C2618" i="58"/>
  <c r="B2618" i="58"/>
  <c r="C2615" i="58"/>
  <c r="B2615" i="58"/>
  <c r="C2614" i="58"/>
  <c r="B2614" i="58"/>
  <c r="C2613" i="58"/>
  <c r="B2613" i="58"/>
  <c r="C2612" i="58"/>
  <c r="B2612" i="58"/>
  <c r="C2611" i="58"/>
  <c r="B2611" i="58"/>
  <c r="C2610" i="58"/>
  <c r="B2610" i="58"/>
  <c r="C2609" i="58"/>
  <c r="B2609" i="58"/>
  <c r="C2608" i="58"/>
  <c r="B2608" i="58"/>
  <c r="C2607" i="58"/>
  <c r="B2607" i="58"/>
  <c r="C2606" i="58"/>
  <c r="B2606" i="58"/>
  <c r="C2605" i="58"/>
  <c r="B2605" i="58"/>
  <c r="C2604" i="58"/>
  <c r="B2604" i="58"/>
  <c r="C2603" i="58"/>
  <c r="B2603" i="58"/>
  <c r="C2602" i="58"/>
  <c r="B2602" i="58"/>
  <c r="C2601" i="58"/>
  <c r="B2601" i="58"/>
  <c r="C2600" i="58"/>
  <c r="B2600" i="58"/>
  <c r="C2599" i="58"/>
  <c r="B2599" i="58"/>
  <c r="C2597" i="58"/>
  <c r="B2597" i="58"/>
  <c r="C2594" i="58"/>
  <c r="B2594" i="58"/>
  <c r="C2593" i="58"/>
  <c r="B2593" i="58"/>
  <c r="C2591" i="58"/>
  <c r="B2591" i="58"/>
  <c r="C2588" i="58"/>
  <c r="B2588" i="58"/>
  <c r="C2585" i="58"/>
  <c r="B2585" i="58"/>
  <c r="C2583" i="58"/>
  <c r="B2583" i="58"/>
  <c r="C2582" i="58"/>
  <c r="B2582" i="58"/>
  <c r="C2581" i="58"/>
  <c r="B2581" i="58"/>
  <c r="C2580" i="58"/>
  <c r="B2580" i="58"/>
  <c r="C2579" i="58"/>
  <c r="B2579" i="58"/>
  <c r="C2576" i="58"/>
  <c r="B2576" i="58"/>
  <c r="C2575" i="58"/>
  <c r="B2575" i="58"/>
  <c r="C2574" i="58"/>
  <c r="B2574" i="58"/>
  <c r="C2573" i="58"/>
  <c r="B2573" i="58"/>
  <c r="C2572" i="58"/>
  <c r="B2572" i="58"/>
  <c r="C2571" i="58"/>
  <c r="B2571" i="58"/>
  <c r="C2570" i="58"/>
  <c r="B2570" i="58"/>
  <c r="C2569" i="58"/>
  <c r="B2569" i="58"/>
  <c r="C2568" i="58"/>
  <c r="B2568" i="58"/>
  <c r="C2567" i="58"/>
  <c r="B2567" i="58"/>
  <c r="C2566" i="58"/>
  <c r="B2566" i="58"/>
  <c r="C2564" i="58"/>
  <c r="B2564" i="58"/>
  <c r="C2563" i="58"/>
  <c r="B2563" i="58"/>
  <c r="C2562" i="58"/>
  <c r="B2562" i="58"/>
  <c r="C2561" i="58"/>
  <c r="B2561" i="58"/>
  <c r="C2560" i="58"/>
  <c r="B2560" i="58"/>
  <c r="C2559" i="58"/>
  <c r="B2559" i="58"/>
  <c r="C2558" i="58"/>
  <c r="B2558" i="58"/>
  <c r="C2556" i="58"/>
  <c r="B2556" i="58"/>
  <c r="C2555" i="58"/>
  <c r="B2555" i="58"/>
  <c r="C2552" i="58"/>
  <c r="B2552" i="58"/>
  <c r="C2551" i="58"/>
  <c r="B2551" i="58"/>
  <c r="C2550" i="58"/>
  <c r="B2550" i="58"/>
  <c r="C2549" i="58"/>
  <c r="B2549" i="58"/>
  <c r="C2548" i="58"/>
  <c r="B2548" i="58"/>
  <c r="C2547" i="58"/>
  <c r="B2547" i="58"/>
  <c r="C2546" i="58"/>
  <c r="B2546" i="58"/>
  <c r="C2545" i="58"/>
  <c r="B2545" i="58"/>
  <c r="C2544" i="58"/>
  <c r="B2544" i="58"/>
  <c r="C2543" i="58"/>
  <c r="B2543" i="58"/>
  <c r="C2542" i="58"/>
  <c r="B2542" i="58"/>
  <c r="C2541" i="58"/>
  <c r="B2541" i="58"/>
  <c r="C2540" i="58"/>
  <c r="B2540" i="58"/>
  <c r="C2539" i="58"/>
  <c r="B2539" i="58"/>
  <c r="C2538" i="58"/>
  <c r="B2538" i="58"/>
  <c r="C2537" i="58"/>
  <c r="B2537" i="58"/>
  <c r="C2536" i="58"/>
  <c r="B2536" i="58"/>
  <c r="C2535" i="58"/>
  <c r="B2535" i="58"/>
  <c r="C2534" i="58"/>
  <c r="B2534" i="58"/>
  <c r="C2531" i="58"/>
  <c r="B2531" i="58"/>
  <c r="C2530" i="58"/>
  <c r="B2530" i="58"/>
  <c r="C2529" i="58"/>
  <c r="B2529" i="58"/>
  <c r="C2528" i="58"/>
  <c r="B2528" i="58"/>
  <c r="C2526" i="58"/>
  <c r="B2526" i="58"/>
  <c r="C2525" i="58"/>
  <c r="B2525" i="58"/>
  <c r="C2524" i="58"/>
  <c r="B2524" i="58"/>
  <c r="C2523" i="58"/>
  <c r="B2523" i="58"/>
  <c r="C2522" i="58"/>
  <c r="B2522" i="58"/>
  <c r="C2518" i="58"/>
  <c r="B2518" i="58"/>
  <c r="C2517" i="58"/>
  <c r="B2517" i="58"/>
  <c r="C2516" i="58"/>
  <c r="B2516" i="58"/>
  <c r="C2512" i="58"/>
  <c r="B2512" i="58"/>
  <c r="C2511" i="58"/>
  <c r="B2511" i="58"/>
  <c r="C2507" i="58"/>
  <c r="B2507" i="58"/>
  <c r="C2506" i="58"/>
  <c r="B2506" i="58"/>
  <c r="C2504" i="58"/>
  <c r="B2504" i="58"/>
  <c r="C2502" i="58"/>
  <c r="B2502" i="58"/>
  <c r="C2501" i="58"/>
  <c r="B2501" i="58"/>
  <c r="C2500" i="58"/>
  <c r="B2500" i="58"/>
  <c r="C2499" i="58"/>
  <c r="B2499" i="58"/>
  <c r="C2498" i="58"/>
  <c r="B2498" i="58"/>
  <c r="C2497" i="58"/>
  <c r="B2497" i="58"/>
  <c r="C2496" i="58"/>
  <c r="B2496" i="58"/>
  <c r="C2495" i="58"/>
  <c r="B2495" i="58"/>
  <c r="C2494" i="58"/>
  <c r="B2494" i="58"/>
  <c r="C2493" i="58"/>
  <c r="B2493" i="58"/>
  <c r="C2491" i="58"/>
  <c r="B2491" i="58"/>
  <c r="C2490" i="58"/>
  <c r="B2490" i="58"/>
  <c r="C2489" i="58"/>
  <c r="B2489" i="58"/>
  <c r="C2488" i="58"/>
  <c r="B2488" i="58"/>
  <c r="C2487" i="58"/>
  <c r="B2487" i="58"/>
  <c r="C2486" i="58"/>
  <c r="B2486" i="58"/>
  <c r="C2484" i="58"/>
  <c r="B2484" i="58"/>
  <c r="C2481" i="58"/>
  <c r="B2481" i="58"/>
  <c r="C2480" i="58"/>
  <c r="B2480" i="58"/>
  <c r="C2479" i="58"/>
  <c r="B2479" i="58"/>
  <c r="C2478" i="58"/>
  <c r="B2478" i="58"/>
  <c r="C2477" i="58"/>
  <c r="B2477" i="58"/>
  <c r="C2476" i="58"/>
  <c r="B2476" i="58"/>
  <c r="C2475" i="58"/>
  <c r="B2475" i="58"/>
  <c r="C2474" i="58"/>
  <c r="B2474" i="58"/>
  <c r="C2473" i="58"/>
  <c r="B2473" i="58"/>
  <c r="C2472" i="58"/>
  <c r="B2472" i="58"/>
  <c r="C2471" i="58"/>
  <c r="B2471" i="58"/>
  <c r="C2469" i="58"/>
  <c r="B2469" i="58"/>
  <c r="C2468" i="58"/>
  <c r="B2468" i="58"/>
  <c r="C2467" i="58"/>
  <c r="B2467" i="58"/>
  <c r="C2466" i="58"/>
  <c r="B2466" i="58"/>
  <c r="C2461" i="58"/>
  <c r="B2461" i="58"/>
  <c r="C2460" i="58"/>
  <c r="B2460" i="58"/>
  <c r="C2459" i="58"/>
  <c r="B2459" i="58"/>
  <c r="C2458" i="58"/>
  <c r="B2458" i="58"/>
  <c r="C2457" i="58"/>
  <c r="B2457" i="58"/>
  <c r="C2438" i="58"/>
  <c r="B2438" i="58"/>
  <c r="C2434" i="58"/>
  <c r="B2434" i="58"/>
  <c r="C2389" i="58"/>
  <c r="B2389" i="58"/>
  <c r="C2388" i="58"/>
  <c r="B2388" i="58"/>
  <c r="C2387" i="58"/>
  <c r="B2387" i="58"/>
  <c r="C2386" i="58"/>
  <c r="B2386" i="58"/>
  <c r="C2385" i="58"/>
  <c r="B2385" i="58"/>
  <c r="C2384" i="58"/>
  <c r="B2384" i="58"/>
  <c r="C2382" i="58"/>
  <c r="B2382" i="58"/>
  <c r="C2381" i="58"/>
  <c r="B2381" i="58"/>
  <c r="C2378" i="58"/>
  <c r="B2378" i="58"/>
  <c r="C2377" i="58"/>
  <c r="B2377" i="58"/>
  <c r="C2376" i="58"/>
  <c r="B2376" i="58"/>
  <c r="C2375" i="58"/>
  <c r="B2375" i="58"/>
  <c r="C2374" i="58"/>
  <c r="B2374" i="58"/>
  <c r="C2373" i="58"/>
  <c r="B2373" i="58"/>
  <c r="C2372" i="58"/>
  <c r="B2372" i="58"/>
  <c r="C2367" i="58"/>
  <c r="B2367" i="58"/>
  <c r="C2362" i="58"/>
  <c r="B2362" i="58"/>
  <c r="C2361" i="58"/>
  <c r="B2361" i="58"/>
  <c r="C2360" i="58"/>
  <c r="B2360" i="58"/>
  <c r="C2359" i="58"/>
  <c r="B2359" i="58"/>
  <c r="C2356" i="58"/>
  <c r="B2356" i="58"/>
  <c r="C2353" i="58"/>
  <c r="B2353" i="58"/>
  <c r="C2352" i="58"/>
  <c r="B2352" i="58"/>
  <c r="C2349" i="58"/>
  <c r="B2349" i="58"/>
  <c r="C2348" i="58"/>
  <c r="B2348" i="58"/>
  <c r="C2347" i="58"/>
  <c r="B2347" i="58"/>
  <c r="C2346" i="58"/>
  <c r="B2346" i="58"/>
  <c r="C2345" i="58"/>
  <c r="B2345" i="58"/>
  <c r="C2344" i="58"/>
  <c r="B2344" i="58"/>
  <c r="C2343" i="58"/>
  <c r="B2343" i="58"/>
  <c r="C2342" i="58"/>
  <c r="B2342" i="58"/>
  <c r="C2341" i="58"/>
  <c r="B2341" i="58"/>
  <c r="C2340" i="58"/>
  <c r="B2340" i="58"/>
  <c r="C2339" i="58"/>
  <c r="B2339" i="58"/>
  <c r="C2338" i="58"/>
  <c r="B2338" i="58"/>
  <c r="C2337" i="58"/>
  <c r="B2337" i="58"/>
  <c r="C2335" i="58"/>
  <c r="B2335" i="58"/>
  <c r="C2334" i="58"/>
  <c r="B2334" i="58"/>
  <c r="C2333" i="58"/>
  <c r="B2333" i="58"/>
  <c r="C2332" i="58"/>
  <c r="B2332" i="58"/>
  <c r="C2331" i="58"/>
  <c r="B2331" i="58"/>
  <c r="C2330" i="58"/>
  <c r="B2330" i="58"/>
  <c r="C69" i="74" l="1"/>
  <c r="C90" i="74" s="1"/>
  <c r="C89" i="74"/>
  <c r="P66" i="74"/>
  <c r="P84" i="74" s="1"/>
  <c r="P82" i="74"/>
  <c r="P86" i="74" s="1"/>
  <c r="U66" i="74"/>
  <c r="U84" i="74" s="1"/>
  <c r="U82" i="74"/>
  <c r="U86" i="74" s="1"/>
  <c r="D66" i="74"/>
  <c r="D84" i="74" s="1"/>
  <c r="D80" i="74"/>
  <c r="W45" i="74"/>
  <c r="Q43" i="74"/>
  <c r="Q48" i="74" s="1"/>
  <c r="Q68" i="74" s="1"/>
  <c r="Q89" i="74" s="1"/>
  <c r="U48" i="74"/>
  <c r="U68" i="74" s="1"/>
  <c r="P69" i="74"/>
  <c r="P90" i="74" s="1"/>
  <c r="Q63" i="74"/>
  <c r="E63" i="74"/>
  <c r="D68" i="74"/>
  <c r="D55" i="74"/>
  <c r="E43" i="74"/>
  <c r="E48" i="74" s="1"/>
  <c r="F43" i="73"/>
  <c r="F48" i="73" s="1"/>
  <c r="E55" i="73"/>
  <c r="M2654" i="58"/>
  <c r="M2653" i="58"/>
  <c r="M2652" i="58"/>
  <c r="M2651" i="58"/>
  <c r="M2650" i="58"/>
  <c r="M2649" i="58"/>
  <c r="M2648" i="58"/>
  <c r="M2646" i="58"/>
  <c r="M2644" i="58"/>
  <c r="M2642" i="58"/>
  <c r="M2641" i="58"/>
  <c r="M2639" i="58"/>
  <c r="M2636" i="58"/>
  <c r="M2635" i="58"/>
  <c r="M2634" i="58"/>
  <c r="M2633" i="58"/>
  <c r="M2632" i="58"/>
  <c r="M2631" i="58"/>
  <c r="M2630" i="58"/>
  <c r="M2625" i="58"/>
  <c r="M2624" i="58"/>
  <c r="M2623" i="58"/>
  <c r="M2621" i="58"/>
  <c r="M2617" i="58"/>
  <c r="M2616" i="58"/>
  <c r="M2598" i="58"/>
  <c r="M2596" i="58"/>
  <c r="M2595" i="58"/>
  <c r="M2592" i="58"/>
  <c r="M2590" i="58"/>
  <c r="M2589" i="58"/>
  <c r="M2587" i="58"/>
  <c r="M2586" i="58"/>
  <c r="M2584" i="58"/>
  <c r="M2578" i="58"/>
  <c r="M2577" i="58"/>
  <c r="M2565" i="58"/>
  <c r="M2557" i="58"/>
  <c r="M2554" i="58"/>
  <c r="M2553" i="58"/>
  <c r="M2533" i="58"/>
  <c r="M2532" i="58"/>
  <c r="M2527" i="58"/>
  <c r="M2521" i="58"/>
  <c r="M2520" i="58"/>
  <c r="M2519" i="58"/>
  <c r="M2515" i="58"/>
  <c r="M2514" i="58"/>
  <c r="M2513" i="58"/>
  <c r="M2510" i="58"/>
  <c r="M2509" i="58"/>
  <c r="M2508" i="58"/>
  <c r="M2505" i="58"/>
  <c r="M2503" i="58"/>
  <c r="M2492" i="58"/>
  <c r="M2485" i="58"/>
  <c r="M2483" i="58"/>
  <c r="M2482" i="58"/>
  <c r="M2470" i="58"/>
  <c r="M2465" i="58"/>
  <c r="M2464" i="58"/>
  <c r="M2463" i="58"/>
  <c r="M2462" i="58"/>
  <c r="M2456" i="58"/>
  <c r="M2455" i="58"/>
  <c r="M2454" i="58"/>
  <c r="M2453" i="58"/>
  <c r="M2452" i="58"/>
  <c r="M2451" i="58"/>
  <c r="M2450" i="58"/>
  <c r="M2449" i="58"/>
  <c r="M2448" i="58"/>
  <c r="M2447" i="58"/>
  <c r="M2446" i="58"/>
  <c r="M2445" i="58"/>
  <c r="M2444" i="58"/>
  <c r="M2443" i="58"/>
  <c r="M2442" i="58"/>
  <c r="M2441" i="58"/>
  <c r="M2440" i="58"/>
  <c r="M2439" i="58"/>
  <c r="M2437" i="58"/>
  <c r="M2436" i="58"/>
  <c r="M2435" i="58"/>
  <c r="M2433" i="58"/>
  <c r="M2432" i="58"/>
  <c r="M2431" i="58"/>
  <c r="M2430" i="58"/>
  <c r="M2429" i="58"/>
  <c r="M2428" i="58"/>
  <c r="M2427" i="58"/>
  <c r="M2426" i="58"/>
  <c r="M2425" i="58"/>
  <c r="M2424" i="58"/>
  <c r="M2423" i="58"/>
  <c r="M2422" i="58"/>
  <c r="M2421" i="58"/>
  <c r="M2420" i="58"/>
  <c r="M2419" i="58"/>
  <c r="M2418" i="58"/>
  <c r="M2417" i="58"/>
  <c r="M2416" i="58"/>
  <c r="M2415" i="58"/>
  <c r="M2414" i="58"/>
  <c r="M2413" i="58"/>
  <c r="M2412" i="58"/>
  <c r="M2411" i="58"/>
  <c r="M2410" i="58"/>
  <c r="M2409" i="58"/>
  <c r="M2408" i="58"/>
  <c r="M2407" i="58"/>
  <c r="M2406" i="58"/>
  <c r="M2405" i="58"/>
  <c r="M2404" i="58"/>
  <c r="M2403" i="58"/>
  <c r="M2402" i="58"/>
  <c r="M2401" i="58"/>
  <c r="M2400" i="58"/>
  <c r="M2399" i="58"/>
  <c r="M2398" i="58"/>
  <c r="M2397" i="58"/>
  <c r="M2396" i="58"/>
  <c r="M2395" i="58"/>
  <c r="M2394" i="58"/>
  <c r="M2393" i="58"/>
  <c r="M2392" i="58"/>
  <c r="M2391" i="58"/>
  <c r="M2390" i="58"/>
  <c r="M2383" i="58"/>
  <c r="M2380" i="58"/>
  <c r="M2379" i="58"/>
  <c r="M2371" i="58"/>
  <c r="M2370" i="58"/>
  <c r="M2369" i="58"/>
  <c r="M2368" i="58"/>
  <c r="M2366" i="58"/>
  <c r="M2365" i="58"/>
  <c r="M2364" i="58"/>
  <c r="M2363" i="58"/>
  <c r="M2358" i="58"/>
  <c r="M2357" i="58"/>
  <c r="M2355" i="58"/>
  <c r="M2354" i="58"/>
  <c r="M2351" i="58"/>
  <c r="M2350" i="58"/>
  <c r="M2336" i="58"/>
  <c r="C2654" i="58"/>
  <c r="B2654" i="58"/>
  <c r="C2653" i="58"/>
  <c r="B2653" i="58"/>
  <c r="C2652" i="58"/>
  <c r="B2652" i="58"/>
  <c r="C2651" i="58"/>
  <c r="B2651" i="58"/>
  <c r="C2650" i="58"/>
  <c r="B2650" i="58"/>
  <c r="C2649" i="58"/>
  <c r="B2649" i="58"/>
  <c r="C2648" i="58"/>
  <c r="B2648" i="58"/>
  <c r="C2646" i="58"/>
  <c r="B2646" i="58"/>
  <c r="C2644" i="58"/>
  <c r="B2644" i="58"/>
  <c r="C2642" i="58"/>
  <c r="B2642" i="58"/>
  <c r="C2641" i="58"/>
  <c r="B2641" i="58"/>
  <c r="C2639" i="58"/>
  <c r="B2639" i="58"/>
  <c r="C2636" i="58"/>
  <c r="B2636" i="58"/>
  <c r="C2635" i="58"/>
  <c r="B2635" i="58"/>
  <c r="C2634" i="58"/>
  <c r="B2634" i="58"/>
  <c r="C2633" i="58"/>
  <c r="B2633" i="58"/>
  <c r="C2632" i="58"/>
  <c r="B2632" i="58"/>
  <c r="C2631" i="58"/>
  <c r="B2631" i="58"/>
  <c r="C2630" i="58"/>
  <c r="B2630" i="58"/>
  <c r="C2625" i="58"/>
  <c r="B2625" i="58"/>
  <c r="C2624" i="58"/>
  <c r="B2624" i="58"/>
  <c r="C2623" i="58"/>
  <c r="B2623" i="58"/>
  <c r="C2621" i="58"/>
  <c r="B2621" i="58"/>
  <c r="C2617" i="58"/>
  <c r="B2617" i="58"/>
  <c r="C2616" i="58"/>
  <c r="B2616" i="58"/>
  <c r="C2598" i="58"/>
  <c r="B2598" i="58"/>
  <c r="C2596" i="58"/>
  <c r="B2596" i="58"/>
  <c r="C2595" i="58"/>
  <c r="B2595" i="58"/>
  <c r="C2592" i="58"/>
  <c r="B2592" i="58"/>
  <c r="C2590" i="58"/>
  <c r="B2590" i="58"/>
  <c r="C2589" i="58"/>
  <c r="B2589" i="58"/>
  <c r="C2587" i="58"/>
  <c r="B2587" i="58"/>
  <c r="C2586" i="58"/>
  <c r="B2586" i="58"/>
  <c r="C2584" i="58"/>
  <c r="B2584" i="58"/>
  <c r="C2578" i="58"/>
  <c r="B2578" i="58"/>
  <c r="C2577" i="58"/>
  <c r="B2577" i="58"/>
  <c r="C2565" i="58"/>
  <c r="B2565" i="58"/>
  <c r="C2557" i="58"/>
  <c r="B2557" i="58"/>
  <c r="C2554" i="58"/>
  <c r="B2554" i="58"/>
  <c r="C2553" i="58"/>
  <c r="B2553" i="58"/>
  <c r="C2533" i="58"/>
  <c r="B2533" i="58"/>
  <c r="C2532" i="58"/>
  <c r="B2532" i="58"/>
  <c r="C2527" i="58"/>
  <c r="B2527" i="58"/>
  <c r="C2521" i="58"/>
  <c r="B2521" i="58"/>
  <c r="C2520" i="58"/>
  <c r="B2520" i="58"/>
  <c r="C2519" i="58"/>
  <c r="B2519" i="58"/>
  <c r="C2515" i="58"/>
  <c r="B2515" i="58"/>
  <c r="C2514" i="58"/>
  <c r="B2514" i="58"/>
  <c r="C2513" i="58"/>
  <c r="B2513" i="58"/>
  <c r="C2510" i="58"/>
  <c r="B2510" i="58"/>
  <c r="C2509" i="58"/>
  <c r="B2509" i="58"/>
  <c r="C2508" i="58"/>
  <c r="B2508" i="58"/>
  <c r="C2505" i="58"/>
  <c r="B2505" i="58"/>
  <c r="C2503" i="58"/>
  <c r="B2503" i="58"/>
  <c r="C2492" i="58"/>
  <c r="B2492" i="58"/>
  <c r="C2485" i="58"/>
  <c r="B2485" i="58"/>
  <c r="C2483" i="58"/>
  <c r="B2483" i="58"/>
  <c r="C2482" i="58"/>
  <c r="B2482" i="58"/>
  <c r="C2470" i="58"/>
  <c r="B2470" i="58"/>
  <c r="C2465" i="58"/>
  <c r="B2465" i="58"/>
  <c r="C2464" i="58"/>
  <c r="B2464" i="58"/>
  <c r="C2463" i="58"/>
  <c r="B2463" i="58"/>
  <c r="C2462" i="58"/>
  <c r="B2462" i="58"/>
  <c r="C2456" i="58"/>
  <c r="B2456" i="58"/>
  <c r="C2455" i="58"/>
  <c r="B2455" i="58"/>
  <c r="C2454" i="58"/>
  <c r="B2454" i="58"/>
  <c r="C2453" i="58"/>
  <c r="B2453" i="58"/>
  <c r="C2452" i="58"/>
  <c r="B2452" i="58"/>
  <c r="C2451" i="58"/>
  <c r="B2451" i="58"/>
  <c r="C2450" i="58"/>
  <c r="B2450" i="58"/>
  <c r="C2449" i="58"/>
  <c r="B2449" i="58"/>
  <c r="C2448" i="58"/>
  <c r="B2448" i="58"/>
  <c r="C2447" i="58"/>
  <c r="B2447" i="58"/>
  <c r="C2446" i="58"/>
  <c r="B2446" i="58"/>
  <c r="C2445" i="58"/>
  <c r="B2445" i="58"/>
  <c r="C2444" i="58"/>
  <c r="B2444" i="58"/>
  <c r="C2443" i="58"/>
  <c r="B2443" i="58"/>
  <c r="C2442" i="58"/>
  <c r="B2442" i="58"/>
  <c r="C2441" i="58"/>
  <c r="B2441" i="58"/>
  <c r="C2440" i="58"/>
  <c r="B2440" i="58"/>
  <c r="C2439" i="58"/>
  <c r="B2439" i="58"/>
  <c r="C2437" i="58"/>
  <c r="B2437" i="58"/>
  <c r="C2436" i="58"/>
  <c r="B2436" i="58"/>
  <c r="C2435" i="58"/>
  <c r="B2435" i="58"/>
  <c r="C2433" i="58"/>
  <c r="B2433" i="58"/>
  <c r="C2432" i="58"/>
  <c r="B2432" i="58"/>
  <c r="C2431" i="58"/>
  <c r="B2431" i="58"/>
  <c r="C2430" i="58"/>
  <c r="B2430" i="58"/>
  <c r="C2429" i="58"/>
  <c r="B2429" i="58"/>
  <c r="C2428" i="58"/>
  <c r="B2428" i="58"/>
  <c r="C2427" i="58"/>
  <c r="B2427" i="58"/>
  <c r="C2426" i="58"/>
  <c r="B2426" i="58"/>
  <c r="C2425" i="58"/>
  <c r="B2425" i="58"/>
  <c r="C2424" i="58"/>
  <c r="B2424" i="58"/>
  <c r="C2423" i="58"/>
  <c r="B2423" i="58"/>
  <c r="C2422" i="58"/>
  <c r="B2422" i="58"/>
  <c r="C2421" i="58"/>
  <c r="B2421" i="58"/>
  <c r="C2420" i="58"/>
  <c r="B2420" i="58"/>
  <c r="C2419" i="58"/>
  <c r="B2419" i="58"/>
  <c r="C2418" i="58"/>
  <c r="B2418" i="58"/>
  <c r="C2417" i="58"/>
  <c r="B2417" i="58"/>
  <c r="C2416" i="58"/>
  <c r="B2416" i="58"/>
  <c r="C2415" i="58"/>
  <c r="B2415" i="58"/>
  <c r="C2414" i="58"/>
  <c r="B2414" i="58"/>
  <c r="C2413" i="58"/>
  <c r="B2413" i="58"/>
  <c r="C2412" i="58"/>
  <c r="B2412" i="58"/>
  <c r="C2411" i="58"/>
  <c r="B2411" i="58"/>
  <c r="C2410" i="58"/>
  <c r="B2410" i="58"/>
  <c r="C2409" i="58"/>
  <c r="B2409" i="58"/>
  <c r="C2408" i="58"/>
  <c r="B2408" i="58"/>
  <c r="C2407" i="58"/>
  <c r="B2407" i="58"/>
  <c r="C2406" i="58"/>
  <c r="B2406" i="58"/>
  <c r="C2405" i="58"/>
  <c r="B2405" i="58"/>
  <c r="C2404" i="58"/>
  <c r="B2404" i="58"/>
  <c r="C2403" i="58"/>
  <c r="B2403" i="58"/>
  <c r="C2402" i="58"/>
  <c r="B2402" i="58"/>
  <c r="C2401" i="58"/>
  <c r="B2401" i="58"/>
  <c r="C2400" i="58"/>
  <c r="B2400" i="58"/>
  <c r="C2399" i="58"/>
  <c r="B2399" i="58"/>
  <c r="C2398" i="58"/>
  <c r="B2398" i="58"/>
  <c r="C2397" i="58"/>
  <c r="B2397" i="58"/>
  <c r="C2396" i="58"/>
  <c r="B2396" i="58"/>
  <c r="C2395" i="58"/>
  <c r="B2395" i="58"/>
  <c r="C2394" i="58"/>
  <c r="B2394" i="58"/>
  <c r="C2393" i="58"/>
  <c r="B2393" i="58"/>
  <c r="C2392" i="58"/>
  <c r="B2392" i="58"/>
  <c r="C2391" i="58"/>
  <c r="B2391" i="58"/>
  <c r="C2390" i="58"/>
  <c r="B2390" i="58"/>
  <c r="C2383" i="58"/>
  <c r="B2383" i="58"/>
  <c r="C2380" i="58"/>
  <c r="B2380" i="58"/>
  <c r="C2379" i="58"/>
  <c r="B2379" i="58"/>
  <c r="C2371" i="58"/>
  <c r="B2371" i="58"/>
  <c r="C2370" i="58"/>
  <c r="B2370" i="58"/>
  <c r="C2369" i="58"/>
  <c r="B2369" i="58"/>
  <c r="C2368" i="58"/>
  <c r="B2368" i="58"/>
  <c r="C2366" i="58"/>
  <c r="B2366" i="58"/>
  <c r="C2365" i="58"/>
  <c r="B2365" i="58"/>
  <c r="C2364" i="58"/>
  <c r="B2364" i="58"/>
  <c r="C2363" i="58"/>
  <c r="B2363" i="58"/>
  <c r="C2358" i="58"/>
  <c r="B2358" i="58"/>
  <c r="C2357" i="58"/>
  <c r="B2357" i="58"/>
  <c r="C2355" i="58"/>
  <c r="B2355" i="58"/>
  <c r="C2354" i="58"/>
  <c r="B2354" i="58"/>
  <c r="C2351" i="58"/>
  <c r="B2351" i="58"/>
  <c r="C2350" i="58"/>
  <c r="B2350" i="58"/>
  <c r="C2336" i="58"/>
  <c r="B2336" i="58"/>
  <c r="L71" i="35"/>
  <c r="L70" i="35"/>
  <c r="L69" i="35"/>
  <c r="L118" i="38"/>
  <c r="L298" i="42"/>
  <c r="L300" i="42" s="1"/>
  <c r="L294" i="42"/>
  <c r="L296" i="42" s="1"/>
  <c r="L151" i="42"/>
  <c r="L146" i="42"/>
  <c r="L141" i="42"/>
  <c r="L136" i="42"/>
  <c r="L131" i="42"/>
  <c r="K42" i="59"/>
  <c r="L40" i="59"/>
  <c r="Q66" i="74" l="1"/>
  <c r="Q80" i="74"/>
  <c r="U69" i="74"/>
  <c r="U90" i="74" s="1"/>
  <c r="U89" i="74"/>
  <c r="D69" i="74"/>
  <c r="D90" i="74" s="1"/>
  <c r="D89" i="74"/>
  <c r="E66" i="74"/>
  <c r="E84" i="74" s="1"/>
  <c r="E80" i="74"/>
  <c r="R43" i="74"/>
  <c r="R48" i="74" s="1"/>
  <c r="S43" i="74" s="1"/>
  <c r="S48" i="74" s="1"/>
  <c r="S68" i="74" s="1"/>
  <c r="S89" i="74" s="1"/>
  <c r="Q69" i="74"/>
  <c r="Q90" i="74" s="1"/>
  <c r="F43" i="74"/>
  <c r="F48" i="74" s="1"/>
  <c r="E55" i="74"/>
  <c r="E68" i="74"/>
  <c r="R68" i="74"/>
  <c r="G43" i="73"/>
  <c r="G48" i="73" s="1"/>
  <c r="F55" i="73"/>
  <c r="N83" i="43"/>
  <c r="L3" i="45"/>
  <c r="M3" i="45" s="1"/>
  <c r="N3" i="45" s="1"/>
  <c r="P3" i="45" s="1"/>
  <c r="Q3" i="45" s="1"/>
  <c r="R3" i="45" s="1"/>
  <c r="S3" i="45" s="1"/>
  <c r="T3" i="45" s="1"/>
  <c r="U3" i="45" s="1"/>
  <c r="V3" i="45" s="1"/>
  <c r="W3" i="45" s="1"/>
  <c r="X3" i="45" s="1"/>
  <c r="Y3" i="45" s="1"/>
  <c r="Z3" i="45" s="1"/>
  <c r="AA3" i="45" s="1"/>
  <c r="L15" i="45"/>
  <c r="L26" i="45"/>
  <c r="L31" i="45"/>
  <c r="D43" i="45"/>
  <c r="D42" i="45"/>
  <c r="D41" i="45"/>
  <c r="D40" i="45"/>
  <c r="D39" i="45"/>
  <c r="D38" i="45"/>
  <c r="D37" i="45"/>
  <c r="D36" i="45"/>
  <c r="D35" i="45"/>
  <c r="D34" i="45"/>
  <c r="L39" i="59"/>
  <c r="K39" i="59"/>
  <c r="R89" i="74" l="1"/>
  <c r="E69" i="74"/>
  <c r="E90" i="74" s="1"/>
  <c r="E89" i="74"/>
  <c r="F63" i="74"/>
  <c r="R63" i="74"/>
  <c r="Q84" i="74"/>
  <c r="G43" i="74"/>
  <c r="G48" i="74" s="1"/>
  <c r="F68" i="74"/>
  <c r="F55" i="74"/>
  <c r="H43" i="73"/>
  <c r="H48" i="73" s="1"/>
  <c r="G55" i="73"/>
  <c r="L146" i="43"/>
  <c r="F89" i="74" l="1"/>
  <c r="R66" i="74"/>
  <c r="R80" i="74"/>
  <c r="F66" i="74"/>
  <c r="F80" i="74"/>
  <c r="G68" i="74"/>
  <c r="G89" i="74" s="1"/>
  <c r="H43" i="74"/>
  <c r="H48" i="74" s="1"/>
  <c r="G55" i="74"/>
  <c r="I43" i="73"/>
  <c r="I48" i="73" s="1"/>
  <c r="H55" i="73"/>
  <c r="M2328" i="58"/>
  <c r="M2323" i="58"/>
  <c r="M2316" i="58"/>
  <c r="M2315" i="58"/>
  <c r="M2314" i="58"/>
  <c r="M2313" i="58"/>
  <c r="M2311" i="58"/>
  <c r="M2309" i="58"/>
  <c r="M2308" i="58"/>
  <c r="M2307" i="58"/>
  <c r="M2306" i="58"/>
  <c r="M2305" i="58"/>
  <c r="M2303" i="58"/>
  <c r="M2301" i="58"/>
  <c r="M2300" i="58"/>
  <c r="M2299" i="58"/>
  <c r="M2298" i="58"/>
  <c r="M2297" i="58"/>
  <c r="M2294" i="58"/>
  <c r="M2293" i="58"/>
  <c r="M2292" i="58"/>
  <c r="M2289" i="58"/>
  <c r="M2288" i="58"/>
  <c r="M2287" i="58"/>
  <c r="M2286" i="58"/>
  <c r="M2285" i="58"/>
  <c r="M2284" i="58"/>
  <c r="M2283" i="58"/>
  <c r="M2279" i="58"/>
  <c r="M2278" i="58"/>
  <c r="M2274" i="58"/>
  <c r="M2270" i="58"/>
  <c r="M2269" i="58"/>
  <c r="M2268" i="58"/>
  <c r="M2267" i="58"/>
  <c r="M2266" i="58"/>
  <c r="M2265" i="58"/>
  <c r="M2264" i="58"/>
  <c r="M2263" i="58"/>
  <c r="M2262" i="58"/>
  <c r="M2260" i="58"/>
  <c r="M2259" i="58"/>
  <c r="M2257" i="58"/>
  <c r="M2256" i="58"/>
  <c r="M2255" i="58"/>
  <c r="M2253" i="58"/>
  <c r="M2251" i="58"/>
  <c r="M2250" i="58"/>
  <c r="M2248" i="58"/>
  <c r="M2247" i="58"/>
  <c r="M2246" i="58"/>
  <c r="M2244" i="58"/>
  <c r="M2243" i="58"/>
  <c r="M2242" i="58"/>
  <c r="M2239" i="58"/>
  <c r="M2238" i="58"/>
  <c r="M2237" i="58"/>
  <c r="M2236" i="58"/>
  <c r="M2235" i="58"/>
  <c r="M2233" i="58"/>
  <c r="M2232" i="58"/>
  <c r="M2231" i="58"/>
  <c r="M2230" i="58"/>
  <c r="M2229" i="58"/>
  <c r="M2228" i="58"/>
  <c r="M2227" i="58"/>
  <c r="M2225" i="58"/>
  <c r="M2223" i="58"/>
  <c r="M2222" i="58"/>
  <c r="M2221" i="58"/>
  <c r="M2220" i="58"/>
  <c r="M2217" i="58"/>
  <c r="M2216" i="58"/>
  <c r="M2215" i="58"/>
  <c r="M2214" i="58"/>
  <c r="M2213" i="58"/>
  <c r="M2212" i="58"/>
  <c r="M2211" i="58"/>
  <c r="M2210" i="58"/>
  <c r="M2209" i="58"/>
  <c r="M2208" i="58"/>
  <c r="M2207" i="58"/>
  <c r="M2206" i="58"/>
  <c r="M2205" i="58"/>
  <c r="M2204" i="58"/>
  <c r="M2203" i="58"/>
  <c r="M2202" i="58"/>
  <c r="M2201" i="58"/>
  <c r="M2200" i="58"/>
  <c r="M2199" i="58"/>
  <c r="M2197" i="58"/>
  <c r="M2196" i="58"/>
  <c r="M2195" i="58"/>
  <c r="M2194" i="58"/>
  <c r="M2193" i="58"/>
  <c r="M2191" i="58"/>
  <c r="M2190" i="58"/>
  <c r="M2189" i="58"/>
  <c r="M2188" i="58"/>
  <c r="M2186" i="58"/>
  <c r="M2185" i="58"/>
  <c r="M2184" i="58"/>
  <c r="M2183" i="58"/>
  <c r="M2182" i="58"/>
  <c r="M2181" i="58"/>
  <c r="M2180" i="58"/>
  <c r="M2179" i="58"/>
  <c r="M2178" i="58"/>
  <c r="M2177" i="58"/>
  <c r="M2176" i="58"/>
  <c r="M2175" i="58"/>
  <c r="M2174" i="58"/>
  <c r="M2173" i="58"/>
  <c r="M2172" i="58"/>
  <c r="M2171" i="58"/>
  <c r="M2170" i="58"/>
  <c r="M2169" i="58"/>
  <c r="M2166" i="58"/>
  <c r="M2165" i="58"/>
  <c r="M2164" i="58"/>
  <c r="M2163" i="58"/>
  <c r="M2162" i="58"/>
  <c r="M2161" i="58"/>
  <c r="M2160" i="58"/>
  <c r="M2157" i="58"/>
  <c r="M2156" i="58"/>
  <c r="M2155" i="58"/>
  <c r="M2154" i="58"/>
  <c r="M2153" i="58"/>
  <c r="M2152" i="58"/>
  <c r="M2151" i="58"/>
  <c r="M2150" i="58"/>
  <c r="M2149" i="58"/>
  <c r="M2148" i="58"/>
  <c r="M2146" i="58"/>
  <c r="M2142" i="58"/>
  <c r="M2141" i="58"/>
  <c r="M2140" i="58"/>
  <c r="M2139" i="58"/>
  <c r="M2138" i="58"/>
  <c r="M2137" i="58"/>
  <c r="M2135" i="58"/>
  <c r="M2134" i="58"/>
  <c r="M2133" i="58"/>
  <c r="M2132" i="58"/>
  <c r="M2131" i="58"/>
  <c r="M2130" i="58"/>
  <c r="M2129" i="58"/>
  <c r="M2128" i="58"/>
  <c r="M2127" i="58"/>
  <c r="M2126" i="58"/>
  <c r="M2125" i="58"/>
  <c r="M2124" i="58"/>
  <c r="M2123" i="58"/>
  <c r="M2122" i="58"/>
  <c r="M2121" i="58"/>
  <c r="M2120" i="58"/>
  <c r="M2119" i="58"/>
  <c r="M2118" i="58"/>
  <c r="M2117" i="58"/>
  <c r="M2116" i="58"/>
  <c r="M2115" i="58"/>
  <c r="M2114" i="58"/>
  <c r="M2113" i="58"/>
  <c r="M2112" i="58"/>
  <c r="M2111" i="58"/>
  <c r="M2108" i="58"/>
  <c r="M2107" i="58"/>
  <c r="M2106" i="58"/>
  <c r="M2105" i="58"/>
  <c r="M2103" i="58"/>
  <c r="M2102" i="58"/>
  <c r="M2100" i="58"/>
  <c r="M2099" i="58"/>
  <c r="M2098" i="58"/>
  <c r="M2097" i="58"/>
  <c r="M2096" i="58"/>
  <c r="M2095" i="58"/>
  <c r="M2094" i="58"/>
  <c r="M2093" i="58"/>
  <c r="M2092" i="58"/>
  <c r="M2091" i="58"/>
  <c r="M2090" i="58"/>
  <c r="M2089" i="58"/>
  <c r="M2088" i="58"/>
  <c r="M2087" i="58"/>
  <c r="M2086" i="58"/>
  <c r="M2084" i="58"/>
  <c r="M2083" i="58"/>
  <c r="M2081" i="58"/>
  <c r="M2080" i="58"/>
  <c r="M2079" i="58"/>
  <c r="M2078" i="58"/>
  <c r="M2075" i="58"/>
  <c r="M2074" i="58"/>
  <c r="M2073" i="58"/>
  <c r="M2071" i="58"/>
  <c r="M2069" i="58"/>
  <c r="M2068" i="58"/>
  <c r="M2067" i="58"/>
  <c r="M2066" i="58"/>
  <c r="M2065" i="58"/>
  <c r="M2064" i="58"/>
  <c r="M2063" i="58"/>
  <c r="M2062" i="58"/>
  <c r="M2061" i="58"/>
  <c r="M2060" i="58"/>
  <c r="M2059" i="58"/>
  <c r="M2058" i="58"/>
  <c r="M2056" i="58"/>
  <c r="M2055" i="58"/>
  <c r="M2054" i="58"/>
  <c r="M2034" i="58"/>
  <c r="M2031" i="58"/>
  <c r="M2027" i="58"/>
  <c r="M1978" i="58"/>
  <c r="M1977" i="58"/>
  <c r="M1976" i="58"/>
  <c r="M1975" i="58"/>
  <c r="M1974" i="58"/>
  <c r="M1973" i="58"/>
  <c r="M1972" i="58"/>
  <c r="M1971" i="58"/>
  <c r="M1970" i="58"/>
  <c r="M1969" i="58"/>
  <c r="M1968" i="58"/>
  <c r="M1965" i="58"/>
  <c r="M1964" i="58"/>
  <c r="M1958" i="58"/>
  <c r="M1957" i="58"/>
  <c r="M1949" i="58"/>
  <c r="M1948" i="58"/>
  <c r="M1947" i="58"/>
  <c r="M1946" i="58"/>
  <c r="M1945" i="58"/>
  <c r="M1942" i="58"/>
  <c r="C2328" i="58"/>
  <c r="B2328" i="58"/>
  <c r="C2323" i="58"/>
  <c r="B2323" i="58"/>
  <c r="C2316" i="58"/>
  <c r="B2316" i="58"/>
  <c r="C2315" i="58"/>
  <c r="B2315" i="58"/>
  <c r="C2314" i="58"/>
  <c r="B2314" i="58"/>
  <c r="C2313" i="58"/>
  <c r="B2313" i="58"/>
  <c r="C2311" i="58"/>
  <c r="B2311" i="58"/>
  <c r="C2309" i="58"/>
  <c r="B2309" i="58"/>
  <c r="C2308" i="58"/>
  <c r="B2308" i="58"/>
  <c r="C2307" i="58"/>
  <c r="B2307" i="58"/>
  <c r="C2306" i="58"/>
  <c r="B2306" i="58"/>
  <c r="C2305" i="58"/>
  <c r="B2305" i="58"/>
  <c r="C2303" i="58"/>
  <c r="B2303" i="58"/>
  <c r="C2301" i="58"/>
  <c r="B2301" i="58"/>
  <c r="C2300" i="58"/>
  <c r="B2300" i="58"/>
  <c r="C2299" i="58"/>
  <c r="B2299" i="58"/>
  <c r="C2298" i="58"/>
  <c r="B2298" i="58"/>
  <c r="C2297" i="58"/>
  <c r="B2297" i="58"/>
  <c r="C2294" i="58"/>
  <c r="B2294" i="58"/>
  <c r="C2293" i="58"/>
  <c r="B2293" i="58"/>
  <c r="C2292" i="58"/>
  <c r="B2292" i="58"/>
  <c r="C2289" i="58"/>
  <c r="B2289" i="58"/>
  <c r="C2288" i="58"/>
  <c r="B2288" i="58"/>
  <c r="C2287" i="58"/>
  <c r="B2287" i="58"/>
  <c r="C2286" i="58"/>
  <c r="B2286" i="58"/>
  <c r="C2285" i="58"/>
  <c r="B2285" i="58"/>
  <c r="C2284" i="58"/>
  <c r="B2284" i="58"/>
  <c r="C2283" i="58"/>
  <c r="B2283" i="58"/>
  <c r="C2279" i="58"/>
  <c r="B2279" i="58"/>
  <c r="C2278" i="58"/>
  <c r="B2278" i="58"/>
  <c r="C2274" i="58"/>
  <c r="B2274" i="58"/>
  <c r="C2270" i="58"/>
  <c r="B2270" i="58"/>
  <c r="C2269" i="58"/>
  <c r="B2269" i="58"/>
  <c r="C2268" i="58"/>
  <c r="B2268" i="58"/>
  <c r="C2267" i="58"/>
  <c r="B2267" i="58"/>
  <c r="C2266" i="58"/>
  <c r="B2266" i="58"/>
  <c r="C2265" i="58"/>
  <c r="B2265" i="58"/>
  <c r="C2264" i="58"/>
  <c r="B2264" i="58"/>
  <c r="C2263" i="58"/>
  <c r="B2263" i="58"/>
  <c r="C2262" i="58"/>
  <c r="B2262" i="58"/>
  <c r="C2260" i="58"/>
  <c r="B2260" i="58"/>
  <c r="C2259" i="58"/>
  <c r="B2259" i="58"/>
  <c r="C2257" i="58"/>
  <c r="B2257" i="58"/>
  <c r="C2256" i="58"/>
  <c r="B2256" i="58"/>
  <c r="C2255" i="58"/>
  <c r="B2255" i="58"/>
  <c r="C2253" i="58"/>
  <c r="B2253" i="58"/>
  <c r="C2251" i="58"/>
  <c r="B2251" i="58"/>
  <c r="C2250" i="58"/>
  <c r="B2250" i="58"/>
  <c r="C2248" i="58"/>
  <c r="B2248" i="58"/>
  <c r="C2247" i="58"/>
  <c r="B2247" i="58"/>
  <c r="C2246" i="58"/>
  <c r="B2246" i="58"/>
  <c r="C2244" i="58"/>
  <c r="B2244" i="58"/>
  <c r="C2243" i="58"/>
  <c r="B2243" i="58"/>
  <c r="C2242" i="58"/>
  <c r="B2242" i="58"/>
  <c r="C2239" i="58"/>
  <c r="B2239" i="58"/>
  <c r="C2238" i="58"/>
  <c r="B2238" i="58"/>
  <c r="C2237" i="58"/>
  <c r="B2237" i="58"/>
  <c r="C2236" i="58"/>
  <c r="B2236" i="58"/>
  <c r="C2235" i="58"/>
  <c r="B2235" i="58"/>
  <c r="C2233" i="58"/>
  <c r="B2233" i="58"/>
  <c r="C2232" i="58"/>
  <c r="B2232" i="58"/>
  <c r="C2231" i="58"/>
  <c r="B2231" i="58"/>
  <c r="C2230" i="58"/>
  <c r="B2230" i="58"/>
  <c r="C2229" i="58"/>
  <c r="B2229" i="58"/>
  <c r="C2228" i="58"/>
  <c r="B2228" i="58"/>
  <c r="C2227" i="58"/>
  <c r="B2227" i="58"/>
  <c r="C2225" i="58"/>
  <c r="B2225" i="58"/>
  <c r="C2223" i="58"/>
  <c r="B2223" i="58"/>
  <c r="C2222" i="58"/>
  <c r="B2222" i="58"/>
  <c r="C2221" i="58"/>
  <c r="B2221" i="58"/>
  <c r="C2220" i="58"/>
  <c r="B2220" i="58"/>
  <c r="C2217" i="58"/>
  <c r="B2217" i="58"/>
  <c r="C2216" i="58"/>
  <c r="B2216" i="58"/>
  <c r="C2215" i="58"/>
  <c r="B2215" i="58"/>
  <c r="C2214" i="58"/>
  <c r="B2214" i="58"/>
  <c r="C2213" i="58"/>
  <c r="B2213" i="58"/>
  <c r="C2212" i="58"/>
  <c r="B2212" i="58"/>
  <c r="C2211" i="58"/>
  <c r="B2211" i="58"/>
  <c r="C2210" i="58"/>
  <c r="B2210" i="58"/>
  <c r="C2209" i="58"/>
  <c r="B2209" i="58"/>
  <c r="C2208" i="58"/>
  <c r="B2208" i="58"/>
  <c r="C2207" i="58"/>
  <c r="B2207" i="58"/>
  <c r="C2206" i="58"/>
  <c r="B2206" i="58"/>
  <c r="C2205" i="58"/>
  <c r="B2205" i="58"/>
  <c r="C2204" i="58"/>
  <c r="B2204" i="58"/>
  <c r="C2203" i="58"/>
  <c r="B2203" i="58"/>
  <c r="C2202" i="58"/>
  <c r="B2202" i="58"/>
  <c r="C2201" i="58"/>
  <c r="B2201" i="58"/>
  <c r="C2200" i="58"/>
  <c r="B2200" i="58"/>
  <c r="C2199" i="58"/>
  <c r="B2199" i="58"/>
  <c r="C2197" i="58"/>
  <c r="B2197" i="58"/>
  <c r="C2196" i="58"/>
  <c r="B2196" i="58"/>
  <c r="C2195" i="58"/>
  <c r="B2195" i="58"/>
  <c r="C2194" i="58"/>
  <c r="B2194" i="58"/>
  <c r="C2193" i="58"/>
  <c r="B2193" i="58"/>
  <c r="C2191" i="58"/>
  <c r="B2191" i="58"/>
  <c r="C2190" i="58"/>
  <c r="B2190" i="58"/>
  <c r="C2189" i="58"/>
  <c r="B2189" i="58"/>
  <c r="C2188" i="58"/>
  <c r="B2188" i="58"/>
  <c r="C2186" i="58"/>
  <c r="B2186" i="58"/>
  <c r="C2185" i="58"/>
  <c r="B2185" i="58"/>
  <c r="C2184" i="58"/>
  <c r="B2184" i="58"/>
  <c r="C2183" i="58"/>
  <c r="B2183" i="58"/>
  <c r="C2182" i="58"/>
  <c r="B2182" i="58"/>
  <c r="C2181" i="58"/>
  <c r="B2181" i="58"/>
  <c r="C2180" i="58"/>
  <c r="B2180" i="58"/>
  <c r="C2179" i="58"/>
  <c r="B2179" i="58"/>
  <c r="C2178" i="58"/>
  <c r="B2178" i="58"/>
  <c r="C2177" i="58"/>
  <c r="B2177" i="58"/>
  <c r="C2176" i="58"/>
  <c r="B2176" i="58"/>
  <c r="C2175" i="58"/>
  <c r="B2175" i="58"/>
  <c r="C2174" i="58"/>
  <c r="B2174" i="58"/>
  <c r="C2173" i="58"/>
  <c r="B2173" i="58"/>
  <c r="C2172" i="58"/>
  <c r="B2172" i="58"/>
  <c r="C2171" i="58"/>
  <c r="B2171" i="58"/>
  <c r="C2170" i="58"/>
  <c r="B2170" i="58"/>
  <c r="C2169" i="58"/>
  <c r="B2169" i="58"/>
  <c r="C2166" i="58"/>
  <c r="B2166" i="58"/>
  <c r="C2165" i="58"/>
  <c r="B2165" i="58"/>
  <c r="C2164" i="58"/>
  <c r="B2164" i="58"/>
  <c r="C2163" i="58"/>
  <c r="B2163" i="58"/>
  <c r="C2162" i="58"/>
  <c r="B2162" i="58"/>
  <c r="C2161" i="58"/>
  <c r="B2161" i="58"/>
  <c r="C2160" i="58"/>
  <c r="B2160" i="58"/>
  <c r="C2157" i="58"/>
  <c r="B2157" i="58"/>
  <c r="C2156" i="58"/>
  <c r="B2156" i="58"/>
  <c r="C2155" i="58"/>
  <c r="B2155" i="58"/>
  <c r="C2154" i="58"/>
  <c r="B2154" i="58"/>
  <c r="C2153" i="58"/>
  <c r="B2153" i="58"/>
  <c r="C2152" i="58"/>
  <c r="B2152" i="58"/>
  <c r="C2151" i="58"/>
  <c r="B2151" i="58"/>
  <c r="C2150" i="58"/>
  <c r="B2150" i="58"/>
  <c r="C2149" i="58"/>
  <c r="B2149" i="58"/>
  <c r="C2148" i="58"/>
  <c r="B2148" i="58"/>
  <c r="C2146" i="58"/>
  <c r="B2146" i="58"/>
  <c r="C2142" i="58"/>
  <c r="B2142" i="58"/>
  <c r="C2141" i="58"/>
  <c r="B2141" i="58"/>
  <c r="C2140" i="58"/>
  <c r="B2140" i="58"/>
  <c r="C2139" i="58"/>
  <c r="B2139" i="58"/>
  <c r="C2138" i="58"/>
  <c r="B2138" i="58"/>
  <c r="C2137" i="58"/>
  <c r="B2137" i="58"/>
  <c r="C2135" i="58"/>
  <c r="B2135" i="58"/>
  <c r="C2134" i="58"/>
  <c r="B2134" i="58"/>
  <c r="C2133" i="58"/>
  <c r="B2133" i="58"/>
  <c r="C2132" i="58"/>
  <c r="B2132" i="58"/>
  <c r="C2131" i="58"/>
  <c r="B2131" i="58"/>
  <c r="C2130" i="58"/>
  <c r="B2130" i="58"/>
  <c r="C2129" i="58"/>
  <c r="B2129" i="58"/>
  <c r="C2128" i="58"/>
  <c r="B2128" i="58"/>
  <c r="C2127" i="58"/>
  <c r="B2127" i="58"/>
  <c r="C2126" i="58"/>
  <c r="B2126" i="58"/>
  <c r="C2125" i="58"/>
  <c r="B2125" i="58"/>
  <c r="C2124" i="58"/>
  <c r="B2124" i="58"/>
  <c r="C2123" i="58"/>
  <c r="B2123" i="58"/>
  <c r="C2122" i="58"/>
  <c r="B2122" i="58"/>
  <c r="C2121" i="58"/>
  <c r="B2121" i="58"/>
  <c r="C2120" i="58"/>
  <c r="B2120" i="58"/>
  <c r="C2119" i="58"/>
  <c r="B2119" i="58"/>
  <c r="C2118" i="58"/>
  <c r="B2118" i="58"/>
  <c r="C2117" i="58"/>
  <c r="B2117" i="58"/>
  <c r="C2116" i="58"/>
  <c r="B2116" i="58"/>
  <c r="C2115" i="58"/>
  <c r="B2115" i="58"/>
  <c r="C2114" i="58"/>
  <c r="B2114" i="58"/>
  <c r="C2113" i="58"/>
  <c r="B2113" i="58"/>
  <c r="C2112" i="58"/>
  <c r="B2112" i="58"/>
  <c r="C2111" i="58"/>
  <c r="B2111" i="58"/>
  <c r="C2108" i="58"/>
  <c r="B2108" i="58"/>
  <c r="C2107" i="58"/>
  <c r="B2107" i="58"/>
  <c r="C2106" i="58"/>
  <c r="B2106" i="58"/>
  <c r="C2105" i="58"/>
  <c r="B2105" i="58"/>
  <c r="C2103" i="58"/>
  <c r="B2103" i="58"/>
  <c r="C2102" i="58"/>
  <c r="B2102" i="58"/>
  <c r="C2100" i="58"/>
  <c r="B2100" i="58"/>
  <c r="C2099" i="58"/>
  <c r="B2099" i="58"/>
  <c r="C2098" i="58"/>
  <c r="B2098" i="58"/>
  <c r="C2097" i="58"/>
  <c r="B2097" i="58"/>
  <c r="C2096" i="58"/>
  <c r="B2096" i="58"/>
  <c r="C2095" i="58"/>
  <c r="B2095" i="58"/>
  <c r="C2094" i="58"/>
  <c r="B2094" i="58"/>
  <c r="C2093" i="58"/>
  <c r="B2093" i="58"/>
  <c r="C2092" i="58"/>
  <c r="B2092" i="58"/>
  <c r="C2091" i="58"/>
  <c r="B2091" i="58"/>
  <c r="C2090" i="58"/>
  <c r="B2090" i="58"/>
  <c r="C2089" i="58"/>
  <c r="B2089" i="58"/>
  <c r="C2088" i="58"/>
  <c r="B2088" i="58"/>
  <c r="C2087" i="58"/>
  <c r="B2087" i="58"/>
  <c r="C2086" i="58"/>
  <c r="B2086" i="58"/>
  <c r="C2084" i="58"/>
  <c r="B2084" i="58"/>
  <c r="C2083" i="58"/>
  <c r="B2083" i="58"/>
  <c r="C2081" i="58"/>
  <c r="B2081" i="58"/>
  <c r="C2080" i="58"/>
  <c r="B2080" i="58"/>
  <c r="C2079" i="58"/>
  <c r="B2079" i="58"/>
  <c r="C2078" i="58"/>
  <c r="B2078" i="58"/>
  <c r="C2075" i="58"/>
  <c r="B2075" i="58"/>
  <c r="C2074" i="58"/>
  <c r="B2074" i="58"/>
  <c r="C2073" i="58"/>
  <c r="B2073" i="58"/>
  <c r="C2071" i="58"/>
  <c r="B2071" i="58"/>
  <c r="C2069" i="58"/>
  <c r="B2069" i="58"/>
  <c r="C2068" i="58"/>
  <c r="B2068" i="58"/>
  <c r="C2067" i="58"/>
  <c r="B2067" i="58"/>
  <c r="C2066" i="58"/>
  <c r="B2066" i="58"/>
  <c r="C2065" i="58"/>
  <c r="B2065" i="58"/>
  <c r="C2064" i="58"/>
  <c r="B2064" i="58"/>
  <c r="C2063" i="58"/>
  <c r="B2063" i="58"/>
  <c r="C2062" i="58"/>
  <c r="B2062" i="58"/>
  <c r="C2061" i="58"/>
  <c r="B2061" i="58"/>
  <c r="C2060" i="58"/>
  <c r="B2060" i="58"/>
  <c r="C2059" i="58"/>
  <c r="B2059" i="58"/>
  <c r="C2058" i="58"/>
  <c r="B2058" i="58"/>
  <c r="C2056" i="58"/>
  <c r="B2056" i="58"/>
  <c r="C2055" i="58"/>
  <c r="B2055" i="58"/>
  <c r="C2054" i="58"/>
  <c r="B2054" i="58"/>
  <c r="C2034" i="58"/>
  <c r="B2034" i="58"/>
  <c r="C2031" i="58"/>
  <c r="B2031" i="58"/>
  <c r="C2027" i="58"/>
  <c r="B2027" i="58"/>
  <c r="C1978" i="58"/>
  <c r="B1978" i="58"/>
  <c r="C1977" i="58"/>
  <c r="B1977" i="58"/>
  <c r="C1976" i="58"/>
  <c r="B1976" i="58"/>
  <c r="C1975" i="58"/>
  <c r="B1975" i="58"/>
  <c r="C1974" i="58"/>
  <c r="B1974" i="58"/>
  <c r="C1973" i="58"/>
  <c r="B1973" i="58"/>
  <c r="C1972" i="58"/>
  <c r="B1972" i="58"/>
  <c r="C1971" i="58"/>
  <c r="B1971" i="58"/>
  <c r="C1970" i="58"/>
  <c r="B1970" i="58"/>
  <c r="C1969" i="58"/>
  <c r="B1969" i="58"/>
  <c r="C1968" i="58"/>
  <c r="B1968" i="58"/>
  <c r="C1965" i="58"/>
  <c r="B1965" i="58"/>
  <c r="C1964" i="58"/>
  <c r="B1964" i="58"/>
  <c r="C1958" i="58"/>
  <c r="B1958" i="58"/>
  <c r="C1957" i="58"/>
  <c r="B1957" i="58"/>
  <c r="C1949" i="58"/>
  <c r="B1949" i="58"/>
  <c r="C1948" i="58"/>
  <c r="B1948" i="58"/>
  <c r="C1947" i="58"/>
  <c r="B1947" i="58"/>
  <c r="C1946" i="58"/>
  <c r="B1946" i="58"/>
  <c r="C1945" i="58"/>
  <c r="B1945" i="58"/>
  <c r="C1942" i="58"/>
  <c r="B1942" i="58"/>
  <c r="M1936" i="58"/>
  <c r="C1936" i="58"/>
  <c r="B1936" i="58"/>
  <c r="M2327" i="58"/>
  <c r="M2326" i="58"/>
  <c r="M2325" i="58"/>
  <c r="M2324" i="58"/>
  <c r="M2322" i="58"/>
  <c r="M2319" i="58"/>
  <c r="M2318" i="58"/>
  <c r="M2321" i="58"/>
  <c r="M2320" i="58"/>
  <c r="M2317" i="58"/>
  <c r="M2312" i="58"/>
  <c r="M2310" i="58"/>
  <c r="M2304" i="58"/>
  <c r="M2302" i="58"/>
  <c r="M2296" i="58"/>
  <c r="M2295" i="58"/>
  <c r="M2291" i="58"/>
  <c r="M2290" i="58"/>
  <c r="M2282" i="58"/>
  <c r="M2281" i="58"/>
  <c r="M2280" i="58"/>
  <c r="M2277" i="58"/>
  <c r="M2276" i="58"/>
  <c r="M2275" i="58"/>
  <c r="M2273" i="58"/>
  <c r="M2272" i="58"/>
  <c r="M2271" i="58"/>
  <c r="M2261" i="58"/>
  <c r="M2258" i="58"/>
  <c r="M2254" i="58"/>
  <c r="M2252" i="58"/>
  <c r="M2249" i="58"/>
  <c r="M2245" i="58"/>
  <c r="M2241" i="58"/>
  <c r="M2240" i="58"/>
  <c r="M2234" i="58"/>
  <c r="M2226" i="58"/>
  <c r="M2224" i="58"/>
  <c r="M2219" i="58"/>
  <c r="M2218" i="58"/>
  <c r="M2198" i="58"/>
  <c r="M2192" i="58"/>
  <c r="M2187" i="58"/>
  <c r="M2168" i="58"/>
  <c r="M2167" i="58"/>
  <c r="M2159" i="58"/>
  <c r="M2158" i="58"/>
  <c r="M2147" i="58"/>
  <c r="M2145" i="58"/>
  <c r="M2144" i="58"/>
  <c r="M2143" i="58"/>
  <c r="M2136" i="58"/>
  <c r="M2110" i="58"/>
  <c r="M2109" i="58"/>
  <c r="M2104" i="58"/>
  <c r="M2101" i="58"/>
  <c r="M2085" i="58"/>
  <c r="M2082" i="58"/>
  <c r="M2077" i="58"/>
  <c r="M2076" i="58"/>
  <c r="M2072" i="58"/>
  <c r="M2070" i="58"/>
  <c r="M2057" i="58"/>
  <c r="M2053" i="58"/>
  <c r="M2052" i="58"/>
  <c r="M2051" i="58"/>
  <c r="M2050" i="58"/>
  <c r="M2049" i="58"/>
  <c r="M2048" i="58"/>
  <c r="M2047" i="58"/>
  <c r="M2046" i="58"/>
  <c r="M2045" i="58"/>
  <c r="M2044" i="58"/>
  <c r="M2043" i="58"/>
  <c r="M2042" i="58"/>
  <c r="M2041" i="58"/>
  <c r="M2040" i="58"/>
  <c r="M2039" i="58"/>
  <c r="M2038" i="58"/>
  <c r="M2037" i="58"/>
  <c r="M2036" i="58"/>
  <c r="M2035" i="58"/>
  <c r="M2033" i="58"/>
  <c r="M2032" i="58"/>
  <c r="M2030" i="58"/>
  <c r="M2029" i="58"/>
  <c r="M2028" i="58"/>
  <c r="M2026" i="58"/>
  <c r="M2025" i="58"/>
  <c r="M2024" i="58"/>
  <c r="M2023" i="58"/>
  <c r="M2022" i="58"/>
  <c r="M2021" i="58"/>
  <c r="M2020" i="58"/>
  <c r="M2019" i="58"/>
  <c r="M2018" i="58"/>
  <c r="M2017" i="58"/>
  <c r="M2016" i="58"/>
  <c r="M2015" i="58"/>
  <c r="M2014" i="58"/>
  <c r="M2013" i="58"/>
  <c r="M2012" i="58"/>
  <c r="M2011" i="58"/>
  <c r="M2010" i="58"/>
  <c r="M2009" i="58"/>
  <c r="M2008" i="58"/>
  <c r="M2007" i="58"/>
  <c r="M2006" i="58"/>
  <c r="M2005" i="58"/>
  <c r="M2004" i="58"/>
  <c r="M2003" i="58"/>
  <c r="M2002" i="58"/>
  <c r="M2001" i="58"/>
  <c r="M2000" i="58"/>
  <c r="M1999" i="58"/>
  <c r="M1998" i="58"/>
  <c r="M1997" i="58"/>
  <c r="M1996" i="58"/>
  <c r="M1995" i="58"/>
  <c r="M1994" i="58"/>
  <c r="M1993" i="58"/>
  <c r="M1992" i="58"/>
  <c r="M1991" i="58"/>
  <c r="M1990" i="58"/>
  <c r="M1989" i="58"/>
  <c r="M1988" i="58"/>
  <c r="M1987" i="58"/>
  <c r="M1986" i="58"/>
  <c r="M1985" i="58"/>
  <c r="M1984" i="58"/>
  <c r="M1983" i="58"/>
  <c r="M1982" i="58"/>
  <c r="M1981" i="58"/>
  <c r="M1980" i="58"/>
  <c r="M1979" i="58"/>
  <c r="M1967" i="58"/>
  <c r="M1966" i="58"/>
  <c r="M1963" i="58"/>
  <c r="M1962" i="58"/>
  <c r="M1961" i="58"/>
  <c r="M1960" i="58"/>
  <c r="M1959" i="58"/>
  <c r="M1956" i="58"/>
  <c r="M1955" i="58"/>
  <c r="M1954" i="58"/>
  <c r="M1953" i="58"/>
  <c r="M1952" i="58"/>
  <c r="M1951" i="58"/>
  <c r="M1950" i="58"/>
  <c r="M1944" i="58"/>
  <c r="M1943" i="58"/>
  <c r="C2327" i="58"/>
  <c r="B2327" i="58"/>
  <c r="C2326" i="58"/>
  <c r="B2326" i="58"/>
  <c r="C2325" i="58"/>
  <c r="B2325" i="58"/>
  <c r="C2324" i="58"/>
  <c r="B2324" i="58"/>
  <c r="C2322" i="58"/>
  <c r="B2322" i="58"/>
  <c r="C2319" i="58"/>
  <c r="B2319" i="58"/>
  <c r="C2318" i="58"/>
  <c r="B2318" i="58"/>
  <c r="C2321" i="58"/>
  <c r="B2321" i="58"/>
  <c r="C2320" i="58"/>
  <c r="B2320" i="58"/>
  <c r="C2317" i="58"/>
  <c r="B2317" i="58"/>
  <c r="C2312" i="58"/>
  <c r="B2312" i="58"/>
  <c r="C2310" i="58"/>
  <c r="B2310" i="58"/>
  <c r="C2304" i="58"/>
  <c r="B2304" i="58"/>
  <c r="C2302" i="58"/>
  <c r="B2302" i="58"/>
  <c r="C2296" i="58"/>
  <c r="B2296" i="58"/>
  <c r="C2295" i="58"/>
  <c r="B2295" i="58"/>
  <c r="C2291" i="58"/>
  <c r="B2291" i="58"/>
  <c r="C2290" i="58"/>
  <c r="B2290" i="58"/>
  <c r="C2282" i="58"/>
  <c r="B2282" i="58"/>
  <c r="C2281" i="58"/>
  <c r="B2281" i="58"/>
  <c r="C2280" i="58"/>
  <c r="B2280" i="58"/>
  <c r="C2277" i="58"/>
  <c r="B2277" i="58"/>
  <c r="C2276" i="58"/>
  <c r="B2276" i="58"/>
  <c r="C2275" i="58"/>
  <c r="B2275" i="58"/>
  <c r="C2273" i="58"/>
  <c r="B2273" i="58"/>
  <c r="C2272" i="58"/>
  <c r="B2272" i="58"/>
  <c r="C2271" i="58"/>
  <c r="B2271" i="58"/>
  <c r="C2261" i="58"/>
  <c r="B2261" i="58"/>
  <c r="C2258" i="58"/>
  <c r="B2258" i="58"/>
  <c r="C2254" i="58"/>
  <c r="B2254" i="58"/>
  <c r="C2252" i="58"/>
  <c r="B2252" i="58"/>
  <c r="C2249" i="58"/>
  <c r="B2249" i="58"/>
  <c r="C2245" i="58"/>
  <c r="B2245" i="58"/>
  <c r="C2241" i="58"/>
  <c r="B2241" i="58"/>
  <c r="C2240" i="58"/>
  <c r="B2240" i="58"/>
  <c r="C2234" i="58"/>
  <c r="B2234" i="58"/>
  <c r="C2226" i="58"/>
  <c r="B2226" i="58"/>
  <c r="C2224" i="58"/>
  <c r="B2224" i="58"/>
  <c r="C2219" i="58"/>
  <c r="B2219" i="58"/>
  <c r="C2218" i="58"/>
  <c r="B2218" i="58"/>
  <c r="C2198" i="58"/>
  <c r="B2198" i="58"/>
  <c r="C2192" i="58"/>
  <c r="B2192" i="58"/>
  <c r="C2187" i="58"/>
  <c r="B2187" i="58"/>
  <c r="C2168" i="58"/>
  <c r="B2168" i="58"/>
  <c r="C2167" i="58"/>
  <c r="B2167" i="58"/>
  <c r="C2159" i="58"/>
  <c r="B2159" i="58"/>
  <c r="C2158" i="58"/>
  <c r="B2158" i="58"/>
  <c r="C2147" i="58"/>
  <c r="B2147" i="58"/>
  <c r="C2145" i="58"/>
  <c r="B2145" i="58"/>
  <c r="C2144" i="58"/>
  <c r="B2144" i="58"/>
  <c r="C2143" i="58"/>
  <c r="B2143" i="58"/>
  <c r="C2136" i="58"/>
  <c r="B2136" i="58"/>
  <c r="C2110" i="58"/>
  <c r="B2110" i="58"/>
  <c r="C2109" i="58"/>
  <c r="B2109" i="58"/>
  <c r="C2104" i="58"/>
  <c r="B2104" i="58"/>
  <c r="C2101" i="58"/>
  <c r="B2101" i="58"/>
  <c r="C2085" i="58"/>
  <c r="B2085" i="58"/>
  <c r="C2082" i="58"/>
  <c r="B2082" i="58"/>
  <c r="C2077" i="58"/>
  <c r="B2077" i="58"/>
  <c r="C2076" i="58"/>
  <c r="B2076" i="58"/>
  <c r="C2072" i="58"/>
  <c r="B2072" i="58"/>
  <c r="C2070" i="58"/>
  <c r="B2070" i="58"/>
  <c r="C2057" i="58"/>
  <c r="B2057" i="58"/>
  <c r="C2053" i="58"/>
  <c r="B2053" i="58"/>
  <c r="C2052" i="58"/>
  <c r="B2052" i="58"/>
  <c r="C2051" i="58"/>
  <c r="B2051" i="58"/>
  <c r="C2050" i="58"/>
  <c r="B2050" i="58"/>
  <c r="C2049" i="58"/>
  <c r="B2049" i="58"/>
  <c r="C2048" i="58"/>
  <c r="B2048" i="58"/>
  <c r="C2047" i="58"/>
  <c r="B2047" i="58"/>
  <c r="C2046" i="58"/>
  <c r="B2046" i="58"/>
  <c r="C2045" i="58"/>
  <c r="B2045" i="58"/>
  <c r="C2044" i="58"/>
  <c r="B2044" i="58"/>
  <c r="C2043" i="58"/>
  <c r="B2043" i="58"/>
  <c r="C2042" i="58"/>
  <c r="B2042" i="58"/>
  <c r="C2041" i="58"/>
  <c r="B2041" i="58"/>
  <c r="C2040" i="58"/>
  <c r="B2040" i="58"/>
  <c r="C2039" i="58"/>
  <c r="B2039" i="58"/>
  <c r="C2038" i="58"/>
  <c r="B2038" i="58"/>
  <c r="C2037" i="58"/>
  <c r="B2037" i="58"/>
  <c r="C2036" i="58"/>
  <c r="B2036" i="58"/>
  <c r="C2035" i="58"/>
  <c r="B2035" i="58"/>
  <c r="C2033" i="58"/>
  <c r="B2033" i="58"/>
  <c r="C2032" i="58"/>
  <c r="B2032" i="58"/>
  <c r="C2030" i="58"/>
  <c r="B2030" i="58"/>
  <c r="C2029" i="58"/>
  <c r="B2029" i="58"/>
  <c r="C2028" i="58"/>
  <c r="B2028" i="58"/>
  <c r="C2026" i="58"/>
  <c r="B2026" i="58"/>
  <c r="C2025" i="58"/>
  <c r="B2025" i="58"/>
  <c r="C2024" i="58"/>
  <c r="B2024" i="58"/>
  <c r="C2023" i="58"/>
  <c r="B2023" i="58"/>
  <c r="C2022" i="58"/>
  <c r="B2022" i="58"/>
  <c r="C2021" i="58"/>
  <c r="B2021" i="58"/>
  <c r="C2020" i="58"/>
  <c r="B2020" i="58"/>
  <c r="C2019" i="58"/>
  <c r="B2019" i="58"/>
  <c r="C2018" i="58"/>
  <c r="B2018" i="58"/>
  <c r="C2017" i="58"/>
  <c r="B2017" i="58"/>
  <c r="C2016" i="58"/>
  <c r="B2016" i="58"/>
  <c r="C2015" i="58"/>
  <c r="B2015" i="58"/>
  <c r="C2014" i="58"/>
  <c r="B2014" i="58"/>
  <c r="C2013" i="58"/>
  <c r="B2013" i="58"/>
  <c r="C2012" i="58"/>
  <c r="B2012" i="58"/>
  <c r="C2011" i="58"/>
  <c r="B2011" i="58"/>
  <c r="C2010" i="58"/>
  <c r="B2010" i="58"/>
  <c r="C2009" i="58"/>
  <c r="B2009" i="58"/>
  <c r="C2008" i="58"/>
  <c r="B2008" i="58"/>
  <c r="C2007" i="58"/>
  <c r="B2007" i="58"/>
  <c r="C2006" i="58"/>
  <c r="B2006" i="58"/>
  <c r="C2005" i="58"/>
  <c r="B2005" i="58"/>
  <c r="C2004" i="58"/>
  <c r="B2004" i="58"/>
  <c r="C2003" i="58"/>
  <c r="B2003" i="58"/>
  <c r="C2002" i="58"/>
  <c r="B2002" i="58"/>
  <c r="C2001" i="58"/>
  <c r="B2001" i="58"/>
  <c r="C2000" i="58"/>
  <c r="B2000" i="58"/>
  <c r="C1999" i="58"/>
  <c r="B1999" i="58"/>
  <c r="C1998" i="58"/>
  <c r="B1998" i="58"/>
  <c r="C1997" i="58"/>
  <c r="B1997" i="58"/>
  <c r="C1996" i="58"/>
  <c r="B1996" i="58"/>
  <c r="C1995" i="58"/>
  <c r="B1995" i="58"/>
  <c r="C1994" i="58"/>
  <c r="B1994" i="58"/>
  <c r="C1993" i="58"/>
  <c r="B1993" i="58"/>
  <c r="C1992" i="58"/>
  <c r="B1992" i="58"/>
  <c r="C1991" i="58"/>
  <c r="B1991" i="58"/>
  <c r="C1990" i="58"/>
  <c r="B1990" i="58"/>
  <c r="C1989" i="58"/>
  <c r="B1989" i="58"/>
  <c r="C1988" i="58"/>
  <c r="B1988" i="58"/>
  <c r="C1987" i="58"/>
  <c r="B1987" i="58"/>
  <c r="C1986" i="58"/>
  <c r="B1986" i="58"/>
  <c r="C1985" i="58"/>
  <c r="B1985" i="58"/>
  <c r="C1984" i="58"/>
  <c r="B1984" i="58"/>
  <c r="C1983" i="58"/>
  <c r="B1983" i="58"/>
  <c r="C1982" i="58"/>
  <c r="B1982" i="58"/>
  <c r="C1981" i="58"/>
  <c r="B1981" i="58"/>
  <c r="C1980" i="58"/>
  <c r="B1980" i="58"/>
  <c r="C1979" i="58"/>
  <c r="B1979" i="58"/>
  <c r="C1967" i="58"/>
  <c r="B1967" i="58"/>
  <c r="C1966" i="58"/>
  <c r="B1966" i="58"/>
  <c r="C1963" i="58"/>
  <c r="B1963" i="58"/>
  <c r="C1962" i="58"/>
  <c r="B1962" i="58"/>
  <c r="C1961" i="58"/>
  <c r="B1961" i="58"/>
  <c r="C1960" i="58"/>
  <c r="B1960" i="58"/>
  <c r="C1959" i="58"/>
  <c r="B1959" i="58"/>
  <c r="C1956" i="58"/>
  <c r="B1956" i="58"/>
  <c r="C1955" i="58"/>
  <c r="B1955" i="58"/>
  <c r="C1954" i="58"/>
  <c r="B1954" i="58"/>
  <c r="C1953" i="58"/>
  <c r="B1953" i="58"/>
  <c r="C1952" i="58"/>
  <c r="B1952" i="58"/>
  <c r="C1951" i="58"/>
  <c r="B1951" i="58"/>
  <c r="C1950" i="58"/>
  <c r="B1950" i="58"/>
  <c r="C1944" i="58"/>
  <c r="B1944" i="58"/>
  <c r="C1943" i="58"/>
  <c r="B1943" i="58"/>
  <c r="A2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A4" i="72"/>
  <c r="S274" i="42"/>
  <c r="T274" i="42" s="1"/>
  <c r="U274" i="42" s="1"/>
  <c r="V274" i="42" s="1"/>
  <c r="W274" i="42" s="1"/>
  <c r="X274" i="42" s="1"/>
  <c r="Y274" i="42" s="1"/>
  <c r="Z274" i="42" s="1"/>
  <c r="AA274" i="42" s="1"/>
  <c r="S273" i="42"/>
  <c r="T273" i="42" s="1"/>
  <c r="U273" i="42" s="1"/>
  <c r="V273" i="42" s="1"/>
  <c r="W273" i="42" s="1"/>
  <c r="X273" i="42" s="1"/>
  <c r="Y273" i="42" s="1"/>
  <c r="Z273" i="42" s="1"/>
  <c r="AA273" i="42" s="1"/>
  <c r="S272" i="42"/>
  <c r="T272" i="42" s="1"/>
  <c r="U272" i="42" s="1"/>
  <c r="V272" i="42" s="1"/>
  <c r="W272" i="42" s="1"/>
  <c r="X272" i="42" s="1"/>
  <c r="Y272" i="42" s="1"/>
  <c r="Z272" i="42" s="1"/>
  <c r="AA272" i="42" s="1"/>
  <c r="S269" i="42"/>
  <c r="T269" i="42" s="1"/>
  <c r="U269" i="42" s="1"/>
  <c r="V269" i="42" s="1"/>
  <c r="W269" i="42" s="1"/>
  <c r="X269" i="42" s="1"/>
  <c r="Y269" i="42" s="1"/>
  <c r="Z269" i="42" s="1"/>
  <c r="AA269" i="42" s="1"/>
  <c r="S268" i="42"/>
  <c r="T268" i="42" s="1"/>
  <c r="U268" i="42" s="1"/>
  <c r="V268" i="42" s="1"/>
  <c r="W268" i="42" s="1"/>
  <c r="X268" i="42" s="1"/>
  <c r="Y268" i="42" s="1"/>
  <c r="Z268" i="42" s="1"/>
  <c r="AA268" i="42" s="1"/>
  <c r="S267" i="42"/>
  <c r="T267" i="42" s="1"/>
  <c r="U267" i="42" s="1"/>
  <c r="V267" i="42" s="1"/>
  <c r="W267" i="42" s="1"/>
  <c r="X267" i="42" s="1"/>
  <c r="Y267" i="42" s="1"/>
  <c r="Z267" i="42" s="1"/>
  <c r="AA267" i="42" s="1"/>
  <c r="S264" i="42"/>
  <c r="T264" i="42" s="1"/>
  <c r="U264" i="42" s="1"/>
  <c r="V264" i="42" s="1"/>
  <c r="W264" i="42" s="1"/>
  <c r="X264" i="42" s="1"/>
  <c r="Y264" i="42" s="1"/>
  <c r="Z264" i="42" s="1"/>
  <c r="AA264" i="42" s="1"/>
  <c r="S263" i="42"/>
  <c r="T263" i="42" s="1"/>
  <c r="U263" i="42" s="1"/>
  <c r="V263" i="42" s="1"/>
  <c r="W263" i="42" s="1"/>
  <c r="X263" i="42" s="1"/>
  <c r="Y263" i="42" s="1"/>
  <c r="Z263" i="42" s="1"/>
  <c r="AA263" i="42" s="1"/>
  <c r="S262" i="42"/>
  <c r="T262" i="42" s="1"/>
  <c r="U262" i="42" s="1"/>
  <c r="V262" i="42" s="1"/>
  <c r="W262" i="42" s="1"/>
  <c r="X262" i="42" s="1"/>
  <c r="Y262" i="42" s="1"/>
  <c r="Z262" i="42" s="1"/>
  <c r="AA262" i="42" s="1"/>
  <c r="S259" i="42"/>
  <c r="T259" i="42" s="1"/>
  <c r="U259" i="42" s="1"/>
  <c r="V259" i="42" s="1"/>
  <c r="W259" i="42" s="1"/>
  <c r="X259" i="42" s="1"/>
  <c r="Y259" i="42" s="1"/>
  <c r="Z259" i="42" s="1"/>
  <c r="AA259" i="42" s="1"/>
  <c r="S258" i="42"/>
  <c r="T258" i="42" s="1"/>
  <c r="U258" i="42" s="1"/>
  <c r="V258" i="42" s="1"/>
  <c r="W258" i="42" s="1"/>
  <c r="X258" i="42" s="1"/>
  <c r="Y258" i="42" s="1"/>
  <c r="Z258" i="42" s="1"/>
  <c r="AA258" i="42" s="1"/>
  <c r="S257" i="42"/>
  <c r="T257" i="42" s="1"/>
  <c r="U257" i="42" s="1"/>
  <c r="V257" i="42" s="1"/>
  <c r="W257" i="42" s="1"/>
  <c r="X257" i="42" s="1"/>
  <c r="Y257" i="42" s="1"/>
  <c r="Z257" i="42" s="1"/>
  <c r="AA257" i="42" s="1"/>
  <c r="S254" i="42"/>
  <c r="T254" i="42" s="1"/>
  <c r="U254" i="42" s="1"/>
  <c r="V254" i="42" s="1"/>
  <c r="W254" i="42" s="1"/>
  <c r="X254" i="42" s="1"/>
  <c r="Y254" i="42" s="1"/>
  <c r="Z254" i="42" s="1"/>
  <c r="AA254" i="42" s="1"/>
  <c r="S253" i="42"/>
  <c r="T253" i="42" s="1"/>
  <c r="U253" i="42" s="1"/>
  <c r="V253" i="42" s="1"/>
  <c r="W253" i="42" s="1"/>
  <c r="X253" i="42" s="1"/>
  <c r="Y253" i="42" s="1"/>
  <c r="Z253" i="42" s="1"/>
  <c r="AA253" i="42" s="1"/>
  <c r="S252" i="42"/>
  <c r="T252" i="42" s="1"/>
  <c r="U252" i="42" s="1"/>
  <c r="V252" i="42" s="1"/>
  <c r="W252" i="42" s="1"/>
  <c r="X252" i="42" s="1"/>
  <c r="Y252" i="42" s="1"/>
  <c r="Z252" i="42" s="1"/>
  <c r="AA252" i="42" s="1"/>
  <c r="S244" i="42"/>
  <c r="T244" i="42" s="1"/>
  <c r="U244" i="42" s="1"/>
  <c r="V244" i="42" s="1"/>
  <c r="W244" i="42" s="1"/>
  <c r="X244" i="42" s="1"/>
  <c r="Y244" i="42" s="1"/>
  <c r="Z244" i="42" s="1"/>
  <c r="AA244" i="42" s="1"/>
  <c r="S243" i="42"/>
  <c r="T243" i="42" s="1"/>
  <c r="U243" i="42" s="1"/>
  <c r="V243" i="42" s="1"/>
  <c r="W243" i="42" s="1"/>
  <c r="X243" i="42" s="1"/>
  <c r="Y243" i="42" s="1"/>
  <c r="Z243" i="42" s="1"/>
  <c r="AA243" i="42" s="1"/>
  <c r="S242" i="42"/>
  <c r="T242" i="42" s="1"/>
  <c r="U242" i="42" s="1"/>
  <c r="V242" i="42" s="1"/>
  <c r="W242" i="42" s="1"/>
  <c r="X242" i="42" s="1"/>
  <c r="Y242" i="42" s="1"/>
  <c r="Z242" i="42" s="1"/>
  <c r="AA242" i="42" s="1"/>
  <c r="S239" i="42"/>
  <c r="T239" i="42" s="1"/>
  <c r="U239" i="42" s="1"/>
  <c r="V239" i="42" s="1"/>
  <c r="W239" i="42" s="1"/>
  <c r="X239" i="42" s="1"/>
  <c r="Y239" i="42" s="1"/>
  <c r="Z239" i="42" s="1"/>
  <c r="AA239" i="42" s="1"/>
  <c r="S238" i="42"/>
  <c r="T238" i="42" s="1"/>
  <c r="U238" i="42" s="1"/>
  <c r="V238" i="42" s="1"/>
  <c r="W238" i="42" s="1"/>
  <c r="X238" i="42" s="1"/>
  <c r="Y238" i="42" s="1"/>
  <c r="Z238" i="42" s="1"/>
  <c r="AA238" i="42" s="1"/>
  <c r="S237" i="42"/>
  <c r="T237" i="42" s="1"/>
  <c r="U237" i="42" s="1"/>
  <c r="V237" i="42" s="1"/>
  <c r="W237" i="42" s="1"/>
  <c r="X237" i="42" s="1"/>
  <c r="Y237" i="42" s="1"/>
  <c r="Z237" i="42" s="1"/>
  <c r="AA237" i="42" s="1"/>
  <c r="S234" i="42"/>
  <c r="T234" i="42" s="1"/>
  <c r="U234" i="42" s="1"/>
  <c r="V234" i="42" s="1"/>
  <c r="W234" i="42" s="1"/>
  <c r="X234" i="42" s="1"/>
  <c r="Y234" i="42" s="1"/>
  <c r="Z234" i="42" s="1"/>
  <c r="AA234" i="42" s="1"/>
  <c r="S233" i="42"/>
  <c r="T233" i="42" s="1"/>
  <c r="U233" i="42" s="1"/>
  <c r="V233" i="42" s="1"/>
  <c r="W233" i="42" s="1"/>
  <c r="X233" i="42" s="1"/>
  <c r="Y233" i="42" s="1"/>
  <c r="Z233" i="42" s="1"/>
  <c r="AA233" i="42" s="1"/>
  <c r="S232" i="42"/>
  <c r="T232" i="42" s="1"/>
  <c r="U232" i="42" s="1"/>
  <c r="V232" i="42" s="1"/>
  <c r="W232" i="42" s="1"/>
  <c r="X232" i="42" s="1"/>
  <c r="Y232" i="42" s="1"/>
  <c r="Z232" i="42" s="1"/>
  <c r="AA232" i="42" s="1"/>
  <c r="S221" i="42"/>
  <c r="T221" i="42" s="1"/>
  <c r="U221" i="42" s="1"/>
  <c r="V221" i="42" s="1"/>
  <c r="W221" i="42" s="1"/>
  <c r="X221" i="42" s="1"/>
  <c r="Y221" i="42" s="1"/>
  <c r="Z221" i="42" s="1"/>
  <c r="AA221" i="42" s="1"/>
  <c r="S220" i="42"/>
  <c r="T220" i="42" s="1"/>
  <c r="U220" i="42" s="1"/>
  <c r="V220" i="42" s="1"/>
  <c r="W220" i="42" s="1"/>
  <c r="X220" i="42" s="1"/>
  <c r="Y220" i="42" s="1"/>
  <c r="Z220" i="42" s="1"/>
  <c r="AA220" i="42" s="1"/>
  <c r="S219" i="42"/>
  <c r="T219" i="42" s="1"/>
  <c r="U219" i="42" s="1"/>
  <c r="V219" i="42" s="1"/>
  <c r="W219" i="42" s="1"/>
  <c r="X219" i="42" s="1"/>
  <c r="Y219" i="42" s="1"/>
  <c r="Z219" i="42" s="1"/>
  <c r="AA219" i="42" s="1"/>
  <c r="S216" i="42"/>
  <c r="T216" i="42" s="1"/>
  <c r="U216" i="42" s="1"/>
  <c r="V216" i="42" s="1"/>
  <c r="W216" i="42" s="1"/>
  <c r="X216" i="42" s="1"/>
  <c r="Y216" i="42" s="1"/>
  <c r="Z216" i="42" s="1"/>
  <c r="AA216" i="42" s="1"/>
  <c r="S215" i="42"/>
  <c r="T215" i="42" s="1"/>
  <c r="U215" i="42" s="1"/>
  <c r="V215" i="42" s="1"/>
  <c r="W215" i="42" s="1"/>
  <c r="X215" i="42" s="1"/>
  <c r="Y215" i="42" s="1"/>
  <c r="Z215" i="42" s="1"/>
  <c r="AA215" i="42" s="1"/>
  <c r="S214" i="42"/>
  <c r="T214" i="42" s="1"/>
  <c r="U214" i="42" s="1"/>
  <c r="V214" i="42" s="1"/>
  <c r="W214" i="42" s="1"/>
  <c r="X214" i="42" s="1"/>
  <c r="Y214" i="42" s="1"/>
  <c r="Z214" i="42" s="1"/>
  <c r="AA214" i="42" s="1"/>
  <c r="S211" i="42"/>
  <c r="T211" i="42" s="1"/>
  <c r="U211" i="42" s="1"/>
  <c r="V211" i="42" s="1"/>
  <c r="W211" i="42" s="1"/>
  <c r="X211" i="42" s="1"/>
  <c r="Y211" i="42" s="1"/>
  <c r="Z211" i="42" s="1"/>
  <c r="AA211" i="42" s="1"/>
  <c r="S210" i="42"/>
  <c r="T210" i="42" s="1"/>
  <c r="U210" i="42" s="1"/>
  <c r="V210" i="42" s="1"/>
  <c r="W210" i="42" s="1"/>
  <c r="X210" i="42" s="1"/>
  <c r="Y210" i="42" s="1"/>
  <c r="Z210" i="42" s="1"/>
  <c r="AA210" i="42" s="1"/>
  <c r="S209" i="42"/>
  <c r="T209" i="42" s="1"/>
  <c r="U209" i="42" s="1"/>
  <c r="V209" i="42" s="1"/>
  <c r="W209" i="42" s="1"/>
  <c r="X209" i="42" s="1"/>
  <c r="Y209" i="42" s="1"/>
  <c r="Z209" i="42" s="1"/>
  <c r="AA209" i="42" s="1"/>
  <c r="S205" i="42"/>
  <c r="T205" i="42" s="1"/>
  <c r="U205" i="42" s="1"/>
  <c r="V205" i="42" s="1"/>
  <c r="W205" i="42" s="1"/>
  <c r="X205" i="42" s="1"/>
  <c r="Y205" i="42" s="1"/>
  <c r="Z205" i="42" s="1"/>
  <c r="AA205" i="42" s="1"/>
  <c r="S204" i="42"/>
  <c r="T204" i="42" s="1"/>
  <c r="U204" i="42" s="1"/>
  <c r="V204" i="42" s="1"/>
  <c r="W204" i="42" s="1"/>
  <c r="X204" i="42" s="1"/>
  <c r="Y204" i="42" s="1"/>
  <c r="Z204" i="42" s="1"/>
  <c r="AA204" i="42" s="1"/>
  <c r="R201" i="42"/>
  <c r="S201" i="42" s="1"/>
  <c r="T201" i="42" s="1"/>
  <c r="U201" i="42" s="1"/>
  <c r="V201" i="42" s="1"/>
  <c r="W201" i="42" s="1"/>
  <c r="X201" i="42" s="1"/>
  <c r="Y201" i="42" s="1"/>
  <c r="Z201" i="42" s="1"/>
  <c r="AA201" i="42" s="1"/>
  <c r="S200" i="42"/>
  <c r="T200" i="42" s="1"/>
  <c r="U200" i="42" s="1"/>
  <c r="V200" i="42" s="1"/>
  <c r="W200" i="42" s="1"/>
  <c r="X200" i="42" s="1"/>
  <c r="Y200" i="42" s="1"/>
  <c r="Z200" i="42" s="1"/>
  <c r="AA200" i="42" s="1"/>
  <c r="R199" i="42"/>
  <c r="S199" i="42" s="1"/>
  <c r="T199" i="42" s="1"/>
  <c r="U199" i="42" s="1"/>
  <c r="V199" i="42" s="1"/>
  <c r="W199" i="42" s="1"/>
  <c r="X199" i="42" s="1"/>
  <c r="Y199" i="42" s="1"/>
  <c r="Z199" i="42" s="1"/>
  <c r="AA199" i="42" s="1"/>
  <c r="S195" i="42"/>
  <c r="T195" i="42" s="1"/>
  <c r="U195" i="42" s="1"/>
  <c r="V195" i="42" s="1"/>
  <c r="W195" i="42" s="1"/>
  <c r="X195" i="42" s="1"/>
  <c r="Y195" i="42" s="1"/>
  <c r="Z195" i="42" s="1"/>
  <c r="AA195" i="42" s="1"/>
  <c r="R194" i="42"/>
  <c r="R196" i="42" s="1"/>
  <c r="S196" i="42" s="1"/>
  <c r="T196" i="42" s="1"/>
  <c r="U196" i="42" s="1"/>
  <c r="V196" i="42" s="1"/>
  <c r="W196" i="42" s="1"/>
  <c r="X196" i="42" s="1"/>
  <c r="Y196" i="42" s="1"/>
  <c r="Z196" i="42" s="1"/>
  <c r="AA196" i="42" s="1"/>
  <c r="S173" i="42"/>
  <c r="T173" i="42" s="1"/>
  <c r="U173" i="42" s="1"/>
  <c r="V173" i="42" s="1"/>
  <c r="W173" i="42" s="1"/>
  <c r="X173" i="42" s="1"/>
  <c r="Y173" i="42" s="1"/>
  <c r="Z173" i="42" s="1"/>
  <c r="AA173" i="42" s="1"/>
  <c r="S171" i="42"/>
  <c r="T171" i="42" s="1"/>
  <c r="U171" i="42" s="1"/>
  <c r="V171" i="42" s="1"/>
  <c r="W171" i="42" s="1"/>
  <c r="X171" i="42" s="1"/>
  <c r="Y171" i="42" s="1"/>
  <c r="Z171" i="42" s="1"/>
  <c r="AA171" i="42" s="1"/>
  <c r="S183" i="42"/>
  <c r="T183" i="42" s="1"/>
  <c r="U183" i="42" s="1"/>
  <c r="V183" i="42" s="1"/>
  <c r="W183" i="42" s="1"/>
  <c r="X183" i="42" s="1"/>
  <c r="Y183" i="42" s="1"/>
  <c r="Z183" i="42" s="1"/>
  <c r="AA183" i="42" s="1"/>
  <c r="T182" i="42"/>
  <c r="U182" i="42" s="1"/>
  <c r="V182" i="42" s="1"/>
  <c r="W182" i="42" s="1"/>
  <c r="X182" i="42" s="1"/>
  <c r="Y182" i="42" s="1"/>
  <c r="Z182" i="42" s="1"/>
  <c r="AA182" i="42" s="1"/>
  <c r="S182" i="42"/>
  <c r="S181" i="42"/>
  <c r="T181" i="42" s="1"/>
  <c r="U181" i="42" s="1"/>
  <c r="V181" i="42" s="1"/>
  <c r="W181" i="42" s="1"/>
  <c r="X181" i="42" s="1"/>
  <c r="Y181" i="42" s="1"/>
  <c r="Z181" i="42" s="1"/>
  <c r="AA181" i="42" s="1"/>
  <c r="T178" i="42"/>
  <c r="U178" i="42" s="1"/>
  <c r="V178" i="42" s="1"/>
  <c r="W178" i="42" s="1"/>
  <c r="X178" i="42" s="1"/>
  <c r="Y178" i="42" s="1"/>
  <c r="Z178" i="42" s="1"/>
  <c r="AA178" i="42" s="1"/>
  <c r="S178" i="42"/>
  <c r="S177" i="42"/>
  <c r="T177" i="42" s="1"/>
  <c r="U177" i="42" s="1"/>
  <c r="V177" i="42" s="1"/>
  <c r="W177" i="42" s="1"/>
  <c r="X177" i="42" s="1"/>
  <c r="Y177" i="42" s="1"/>
  <c r="Z177" i="42" s="1"/>
  <c r="AA177" i="42" s="1"/>
  <c r="S176" i="42"/>
  <c r="T176" i="42" s="1"/>
  <c r="U176" i="42" s="1"/>
  <c r="V176" i="42" s="1"/>
  <c r="W176" i="42" s="1"/>
  <c r="X176" i="42" s="1"/>
  <c r="Y176" i="42" s="1"/>
  <c r="Z176" i="42" s="1"/>
  <c r="AA176" i="42" s="1"/>
  <c r="S168" i="42"/>
  <c r="T168" i="42" s="1"/>
  <c r="U168" i="42" s="1"/>
  <c r="V168" i="42" s="1"/>
  <c r="W168" i="42" s="1"/>
  <c r="X168" i="42" s="1"/>
  <c r="Y168" i="42" s="1"/>
  <c r="Z168" i="42" s="1"/>
  <c r="AA168" i="42" s="1"/>
  <c r="S167" i="42"/>
  <c r="T167" i="42" s="1"/>
  <c r="U167" i="42" s="1"/>
  <c r="V167" i="42" s="1"/>
  <c r="W167" i="42" s="1"/>
  <c r="X167" i="42" s="1"/>
  <c r="Y167" i="42" s="1"/>
  <c r="Z167" i="42" s="1"/>
  <c r="AA167" i="42" s="1"/>
  <c r="S166" i="42"/>
  <c r="T166" i="42" s="1"/>
  <c r="U166" i="42" s="1"/>
  <c r="V166" i="42" s="1"/>
  <c r="W166" i="42" s="1"/>
  <c r="X166" i="42" s="1"/>
  <c r="Y166" i="42" s="1"/>
  <c r="Z166" i="42" s="1"/>
  <c r="AA166" i="42" s="1"/>
  <c r="S163" i="42"/>
  <c r="T163" i="42" s="1"/>
  <c r="U163" i="42" s="1"/>
  <c r="V163" i="42" s="1"/>
  <c r="W163" i="42" s="1"/>
  <c r="X163" i="42" s="1"/>
  <c r="Y163" i="42" s="1"/>
  <c r="Z163" i="42" s="1"/>
  <c r="AA163" i="42" s="1"/>
  <c r="S162" i="42"/>
  <c r="T162" i="42" s="1"/>
  <c r="U162" i="42" s="1"/>
  <c r="V162" i="42" s="1"/>
  <c r="W162" i="42" s="1"/>
  <c r="X162" i="42" s="1"/>
  <c r="Y162" i="42" s="1"/>
  <c r="Z162" i="42" s="1"/>
  <c r="AA162" i="42" s="1"/>
  <c r="S161" i="42"/>
  <c r="T161" i="42" s="1"/>
  <c r="U161" i="42" s="1"/>
  <c r="V161" i="42" s="1"/>
  <c r="W161" i="42" s="1"/>
  <c r="X161" i="42" s="1"/>
  <c r="Y161" i="42" s="1"/>
  <c r="Z161" i="42" s="1"/>
  <c r="AA161" i="42" s="1"/>
  <c r="S150" i="42"/>
  <c r="T150" i="42" s="1"/>
  <c r="U150" i="42" s="1"/>
  <c r="V150" i="42" s="1"/>
  <c r="W150" i="42" s="1"/>
  <c r="X150" i="42" s="1"/>
  <c r="Y150" i="42" s="1"/>
  <c r="Z150" i="42" s="1"/>
  <c r="AA150" i="42" s="1"/>
  <c r="S149" i="42"/>
  <c r="T149" i="42" s="1"/>
  <c r="U149" i="42" s="1"/>
  <c r="V149" i="42" s="1"/>
  <c r="W149" i="42" s="1"/>
  <c r="X149" i="42" s="1"/>
  <c r="Y149" i="42" s="1"/>
  <c r="Z149" i="42" s="1"/>
  <c r="AA149" i="42" s="1"/>
  <c r="S148" i="42"/>
  <c r="T148" i="42" s="1"/>
  <c r="U148" i="42" s="1"/>
  <c r="V148" i="42" s="1"/>
  <c r="W148" i="42" s="1"/>
  <c r="X148" i="42" s="1"/>
  <c r="Y148" i="42" s="1"/>
  <c r="Z148" i="42" s="1"/>
  <c r="AA148" i="42" s="1"/>
  <c r="T145" i="42"/>
  <c r="U145" i="42" s="1"/>
  <c r="V145" i="42" s="1"/>
  <c r="W145" i="42" s="1"/>
  <c r="X145" i="42" s="1"/>
  <c r="Y145" i="42" s="1"/>
  <c r="Z145" i="42" s="1"/>
  <c r="AA145" i="42" s="1"/>
  <c r="S145" i="42"/>
  <c r="T144" i="42"/>
  <c r="U144" i="42" s="1"/>
  <c r="V144" i="42" s="1"/>
  <c r="W144" i="42" s="1"/>
  <c r="X144" i="42" s="1"/>
  <c r="Y144" i="42" s="1"/>
  <c r="Z144" i="42" s="1"/>
  <c r="AA144" i="42" s="1"/>
  <c r="S144" i="42"/>
  <c r="S143" i="42"/>
  <c r="T143" i="42" s="1"/>
  <c r="U143" i="42" s="1"/>
  <c r="V143" i="42" s="1"/>
  <c r="W143" i="42" s="1"/>
  <c r="X143" i="42" s="1"/>
  <c r="Y143" i="42" s="1"/>
  <c r="Z143" i="42" s="1"/>
  <c r="AA143" i="42" s="1"/>
  <c r="T140" i="42"/>
  <c r="U140" i="42" s="1"/>
  <c r="V140" i="42" s="1"/>
  <c r="W140" i="42" s="1"/>
  <c r="X140" i="42" s="1"/>
  <c r="Y140" i="42" s="1"/>
  <c r="Z140" i="42" s="1"/>
  <c r="AA140" i="42" s="1"/>
  <c r="S140" i="42"/>
  <c r="S139" i="42"/>
  <c r="T139" i="42" s="1"/>
  <c r="U139" i="42" s="1"/>
  <c r="V139" i="42" s="1"/>
  <c r="W139" i="42" s="1"/>
  <c r="X139" i="42" s="1"/>
  <c r="Y139" i="42" s="1"/>
  <c r="Z139" i="42" s="1"/>
  <c r="AA139" i="42" s="1"/>
  <c r="S138" i="42"/>
  <c r="T138" i="42" s="1"/>
  <c r="U138" i="42" s="1"/>
  <c r="V138" i="42" s="1"/>
  <c r="W138" i="42" s="1"/>
  <c r="X138" i="42" s="1"/>
  <c r="Y138" i="42" s="1"/>
  <c r="Z138" i="42" s="1"/>
  <c r="AA138" i="42" s="1"/>
  <c r="S135" i="42"/>
  <c r="T135" i="42" s="1"/>
  <c r="U135" i="42" s="1"/>
  <c r="V135" i="42" s="1"/>
  <c r="W135" i="42" s="1"/>
  <c r="X135" i="42" s="1"/>
  <c r="Y135" i="42" s="1"/>
  <c r="Z135" i="42" s="1"/>
  <c r="AA135" i="42" s="1"/>
  <c r="S134" i="42"/>
  <c r="T134" i="42" s="1"/>
  <c r="U134" i="42" s="1"/>
  <c r="V134" i="42" s="1"/>
  <c r="W134" i="42" s="1"/>
  <c r="X134" i="42" s="1"/>
  <c r="Y134" i="42" s="1"/>
  <c r="Z134" i="42" s="1"/>
  <c r="AA134" i="42" s="1"/>
  <c r="S133" i="42"/>
  <c r="T133" i="42" s="1"/>
  <c r="U133" i="42" s="1"/>
  <c r="V133" i="42" s="1"/>
  <c r="W133" i="42" s="1"/>
  <c r="X133" i="42" s="1"/>
  <c r="Y133" i="42" s="1"/>
  <c r="Z133" i="42" s="1"/>
  <c r="AA133" i="42" s="1"/>
  <c r="S130" i="42"/>
  <c r="T130" i="42" s="1"/>
  <c r="U130" i="42" s="1"/>
  <c r="V130" i="42" s="1"/>
  <c r="W130" i="42" s="1"/>
  <c r="X130" i="42" s="1"/>
  <c r="Y130" i="42" s="1"/>
  <c r="Z130" i="42" s="1"/>
  <c r="AA130" i="42" s="1"/>
  <c r="S129" i="42"/>
  <c r="T129" i="42" s="1"/>
  <c r="U129" i="42" s="1"/>
  <c r="V129" i="42" s="1"/>
  <c r="W129" i="42" s="1"/>
  <c r="X129" i="42" s="1"/>
  <c r="Y129" i="42" s="1"/>
  <c r="Z129" i="42" s="1"/>
  <c r="AA129" i="42" s="1"/>
  <c r="S128" i="42"/>
  <c r="T128" i="42" s="1"/>
  <c r="U128" i="42" s="1"/>
  <c r="V128" i="42" s="1"/>
  <c r="W128" i="42" s="1"/>
  <c r="X128" i="42" s="1"/>
  <c r="Y128" i="42" s="1"/>
  <c r="Z128" i="42" s="1"/>
  <c r="AA128" i="42" s="1"/>
  <c r="S117" i="42"/>
  <c r="T117" i="42" s="1"/>
  <c r="U117" i="42" s="1"/>
  <c r="V117" i="42" s="1"/>
  <c r="W117" i="42" s="1"/>
  <c r="X117" i="42" s="1"/>
  <c r="Y117" i="42" s="1"/>
  <c r="Z117" i="42" s="1"/>
  <c r="AA117" i="42" s="1"/>
  <c r="S116" i="42"/>
  <c r="T116" i="42" s="1"/>
  <c r="U116" i="42" s="1"/>
  <c r="V116" i="42" s="1"/>
  <c r="W116" i="42" s="1"/>
  <c r="X116" i="42" s="1"/>
  <c r="Y116" i="42" s="1"/>
  <c r="Z116" i="42" s="1"/>
  <c r="AA116" i="42" s="1"/>
  <c r="S115" i="42"/>
  <c r="T115" i="42" s="1"/>
  <c r="U115" i="42" s="1"/>
  <c r="V115" i="42" s="1"/>
  <c r="W115" i="42" s="1"/>
  <c r="X115" i="42" s="1"/>
  <c r="Y115" i="42" s="1"/>
  <c r="Z115" i="42" s="1"/>
  <c r="AA115" i="42" s="1"/>
  <c r="S112" i="42"/>
  <c r="T112" i="42" s="1"/>
  <c r="U112" i="42" s="1"/>
  <c r="V112" i="42" s="1"/>
  <c r="W112" i="42" s="1"/>
  <c r="X112" i="42" s="1"/>
  <c r="Y112" i="42" s="1"/>
  <c r="Z112" i="42" s="1"/>
  <c r="AA112" i="42" s="1"/>
  <c r="S111" i="42"/>
  <c r="T111" i="42" s="1"/>
  <c r="U111" i="42" s="1"/>
  <c r="V111" i="42" s="1"/>
  <c r="W111" i="42" s="1"/>
  <c r="X111" i="42" s="1"/>
  <c r="Y111" i="42" s="1"/>
  <c r="Z111" i="42" s="1"/>
  <c r="AA111" i="42" s="1"/>
  <c r="S110" i="42"/>
  <c r="T110" i="42" s="1"/>
  <c r="U110" i="42" s="1"/>
  <c r="V110" i="42" s="1"/>
  <c r="W110" i="42" s="1"/>
  <c r="X110" i="42" s="1"/>
  <c r="Y110" i="42" s="1"/>
  <c r="Z110" i="42" s="1"/>
  <c r="AA110" i="42" s="1"/>
  <c r="S107" i="42"/>
  <c r="T107" i="42" s="1"/>
  <c r="U107" i="42" s="1"/>
  <c r="V107" i="42" s="1"/>
  <c r="W107" i="42" s="1"/>
  <c r="X107" i="42" s="1"/>
  <c r="Y107" i="42" s="1"/>
  <c r="Z107" i="42" s="1"/>
  <c r="AA107" i="42" s="1"/>
  <c r="S106" i="42"/>
  <c r="T106" i="42" s="1"/>
  <c r="U106" i="42" s="1"/>
  <c r="V106" i="42" s="1"/>
  <c r="W106" i="42" s="1"/>
  <c r="X106" i="42" s="1"/>
  <c r="Y106" i="42" s="1"/>
  <c r="Z106" i="42" s="1"/>
  <c r="AA106" i="42" s="1"/>
  <c r="S105" i="42"/>
  <c r="T105" i="42" s="1"/>
  <c r="U105" i="42" s="1"/>
  <c r="V105" i="42" s="1"/>
  <c r="W105" i="42" s="1"/>
  <c r="X105" i="42" s="1"/>
  <c r="Y105" i="42" s="1"/>
  <c r="Z105" i="42" s="1"/>
  <c r="AA105" i="42" s="1"/>
  <c r="S102" i="42"/>
  <c r="T102" i="42" s="1"/>
  <c r="U102" i="42" s="1"/>
  <c r="V102" i="42" s="1"/>
  <c r="W102" i="42" s="1"/>
  <c r="X102" i="42" s="1"/>
  <c r="Y102" i="42" s="1"/>
  <c r="Z102" i="42" s="1"/>
  <c r="AA102" i="42" s="1"/>
  <c r="T101" i="42"/>
  <c r="U101" i="42" s="1"/>
  <c r="V101" i="42" s="1"/>
  <c r="W101" i="42" s="1"/>
  <c r="X101" i="42" s="1"/>
  <c r="Y101" i="42" s="1"/>
  <c r="Z101" i="42" s="1"/>
  <c r="AA101" i="42" s="1"/>
  <c r="S101" i="42"/>
  <c r="S100" i="42"/>
  <c r="T100" i="42" s="1"/>
  <c r="U100" i="42" s="1"/>
  <c r="V100" i="42" s="1"/>
  <c r="W100" i="42" s="1"/>
  <c r="X100" i="42" s="1"/>
  <c r="Y100" i="42" s="1"/>
  <c r="Z100" i="42" s="1"/>
  <c r="AA100" i="42" s="1"/>
  <c r="S97" i="42"/>
  <c r="T97" i="42" s="1"/>
  <c r="U97" i="42" s="1"/>
  <c r="V97" i="42" s="1"/>
  <c r="W97" i="42" s="1"/>
  <c r="X97" i="42" s="1"/>
  <c r="Y97" i="42" s="1"/>
  <c r="Z97" i="42" s="1"/>
  <c r="AA97" i="42" s="1"/>
  <c r="S96" i="42"/>
  <c r="T96" i="42" s="1"/>
  <c r="U96" i="42" s="1"/>
  <c r="V96" i="42" s="1"/>
  <c r="W96" i="42" s="1"/>
  <c r="X96" i="42" s="1"/>
  <c r="Y96" i="42" s="1"/>
  <c r="Z96" i="42" s="1"/>
  <c r="AA96" i="42" s="1"/>
  <c r="S95" i="42"/>
  <c r="T95" i="42" s="1"/>
  <c r="U95" i="42" s="1"/>
  <c r="V95" i="42" s="1"/>
  <c r="W95" i="42" s="1"/>
  <c r="X95" i="42" s="1"/>
  <c r="Y95" i="42" s="1"/>
  <c r="Z95" i="42" s="1"/>
  <c r="AA95" i="42" s="1"/>
  <c r="S92" i="42"/>
  <c r="T92" i="42" s="1"/>
  <c r="U92" i="42" s="1"/>
  <c r="V92" i="42" s="1"/>
  <c r="W92" i="42" s="1"/>
  <c r="X92" i="42" s="1"/>
  <c r="Y92" i="42" s="1"/>
  <c r="Z92" i="42" s="1"/>
  <c r="AA92" i="42" s="1"/>
  <c r="T91" i="42"/>
  <c r="U91" i="42" s="1"/>
  <c r="V91" i="42" s="1"/>
  <c r="W91" i="42" s="1"/>
  <c r="X91" i="42" s="1"/>
  <c r="Y91" i="42" s="1"/>
  <c r="Z91" i="42" s="1"/>
  <c r="AA91" i="42" s="1"/>
  <c r="S91" i="42"/>
  <c r="S90" i="42"/>
  <c r="T90" i="42" s="1"/>
  <c r="U90" i="42" s="1"/>
  <c r="V90" i="42" s="1"/>
  <c r="W90" i="42" s="1"/>
  <c r="X90" i="42" s="1"/>
  <c r="Y90" i="42" s="1"/>
  <c r="Z90" i="42" s="1"/>
  <c r="AA90" i="42" s="1"/>
  <c r="S87" i="42"/>
  <c r="T87" i="42" s="1"/>
  <c r="U87" i="42" s="1"/>
  <c r="V87" i="42" s="1"/>
  <c r="W87" i="42" s="1"/>
  <c r="X87" i="42" s="1"/>
  <c r="Y87" i="42" s="1"/>
  <c r="Z87" i="42" s="1"/>
  <c r="AA87" i="42" s="1"/>
  <c r="S86" i="42"/>
  <c r="T86" i="42" s="1"/>
  <c r="U86" i="42" s="1"/>
  <c r="V86" i="42" s="1"/>
  <c r="W86" i="42" s="1"/>
  <c r="X86" i="42" s="1"/>
  <c r="Y86" i="42" s="1"/>
  <c r="Z86" i="42" s="1"/>
  <c r="AA86" i="42" s="1"/>
  <c r="S85" i="42"/>
  <c r="T85" i="42" s="1"/>
  <c r="U85" i="42" s="1"/>
  <c r="V85" i="42" s="1"/>
  <c r="W85" i="42" s="1"/>
  <c r="X85" i="42" s="1"/>
  <c r="Y85" i="42" s="1"/>
  <c r="Z85" i="42" s="1"/>
  <c r="AA85" i="42" s="1"/>
  <c r="S74" i="42"/>
  <c r="T74" i="42" s="1"/>
  <c r="U74" i="42" s="1"/>
  <c r="V74" i="42" s="1"/>
  <c r="W74" i="42" s="1"/>
  <c r="X74" i="42" s="1"/>
  <c r="Y74" i="42" s="1"/>
  <c r="Z74" i="42" s="1"/>
  <c r="AA74" i="42" s="1"/>
  <c r="T73" i="42"/>
  <c r="U73" i="42" s="1"/>
  <c r="V73" i="42" s="1"/>
  <c r="W73" i="42" s="1"/>
  <c r="X73" i="42" s="1"/>
  <c r="Y73" i="42" s="1"/>
  <c r="Z73" i="42" s="1"/>
  <c r="AA73" i="42" s="1"/>
  <c r="S73" i="42"/>
  <c r="S72" i="42"/>
  <c r="T72" i="42" s="1"/>
  <c r="U72" i="42" s="1"/>
  <c r="V72" i="42" s="1"/>
  <c r="W72" i="42" s="1"/>
  <c r="X72" i="42" s="1"/>
  <c r="Y72" i="42" s="1"/>
  <c r="Z72" i="42" s="1"/>
  <c r="AA72" i="42" s="1"/>
  <c r="T69" i="42"/>
  <c r="U69" i="42" s="1"/>
  <c r="V69" i="42" s="1"/>
  <c r="W69" i="42" s="1"/>
  <c r="X69" i="42" s="1"/>
  <c r="Y69" i="42" s="1"/>
  <c r="Z69" i="42" s="1"/>
  <c r="AA69" i="42" s="1"/>
  <c r="S69" i="42"/>
  <c r="S68" i="42"/>
  <c r="T68" i="42" s="1"/>
  <c r="U68" i="42" s="1"/>
  <c r="V68" i="42" s="1"/>
  <c r="W68" i="42" s="1"/>
  <c r="X68" i="42" s="1"/>
  <c r="Y68" i="42" s="1"/>
  <c r="Z68" i="42" s="1"/>
  <c r="AA68" i="42" s="1"/>
  <c r="S67" i="42"/>
  <c r="T67" i="42" s="1"/>
  <c r="U67" i="42" s="1"/>
  <c r="V67" i="42" s="1"/>
  <c r="W67" i="42" s="1"/>
  <c r="X67" i="42" s="1"/>
  <c r="Y67" i="42" s="1"/>
  <c r="Z67" i="42" s="1"/>
  <c r="AA67" i="42" s="1"/>
  <c r="T64" i="42"/>
  <c r="U64" i="42" s="1"/>
  <c r="V64" i="42" s="1"/>
  <c r="W64" i="42" s="1"/>
  <c r="X64" i="42" s="1"/>
  <c r="Y64" i="42" s="1"/>
  <c r="Z64" i="42" s="1"/>
  <c r="AA64" i="42" s="1"/>
  <c r="S64" i="42"/>
  <c r="S63" i="42"/>
  <c r="T63" i="42" s="1"/>
  <c r="U63" i="42" s="1"/>
  <c r="V63" i="42" s="1"/>
  <c r="W63" i="42" s="1"/>
  <c r="X63" i="42" s="1"/>
  <c r="Y63" i="42" s="1"/>
  <c r="Z63" i="42" s="1"/>
  <c r="AA63" i="42" s="1"/>
  <c r="S62" i="42"/>
  <c r="T62" i="42" s="1"/>
  <c r="U62" i="42" s="1"/>
  <c r="V62" i="42" s="1"/>
  <c r="W62" i="42" s="1"/>
  <c r="X62" i="42" s="1"/>
  <c r="Y62" i="42" s="1"/>
  <c r="Z62" i="42" s="1"/>
  <c r="AA62" i="42" s="1"/>
  <c r="S59" i="42"/>
  <c r="T59" i="42" s="1"/>
  <c r="U59" i="42" s="1"/>
  <c r="V59" i="42" s="1"/>
  <c r="W59" i="42" s="1"/>
  <c r="X59" i="42" s="1"/>
  <c r="Y59" i="42" s="1"/>
  <c r="Z59" i="42" s="1"/>
  <c r="AA59" i="42" s="1"/>
  <c r="T58" i="42"/>
  <c r="U58" i="42" s="1"/>
  <c r="V58" i="42" s="1"/>
  <c r="W58" i="42" s="1"/>
  <c r="X58" i="42" s="1"/>
  <c r="Y58" i="42" s="1"/>
  <c r="Z58" i="42" s="1"/>
  <c r="AA58" i="42" s="1"/>
  <c r="S58" i="42"/>
  <c r="S57" i="42"/>
  <c r="T57" i="42" s="1"/>
  <c r="U57" i="42" s="1"/>
  <c r="V57" i="42" s="1"/>
  <c r="W57" i="42" s="1"/>
  <c r="X57" i="42" s="1"/>
  <c r="Y57" i="42" s="1"/>
  <c r="Z57" i="42" s="1"/>
  <c r="AA57" i="42" s="1"/>
  <c r="S54" i="42"/>
  <c r="T54" i="42" s="1"/>
  <c r="U54" i="42" s="1"/>
  <c r="V54" i="42" s="1"/>
  <c r="W54" i="42" s="1"/>
  <c r="X54" i="42" s="1"/>
  <c r="Y54" i="42" s="1"/>
  <c r="Z54" i="42" s="1"/>
  <c r="AA54" i="42" s="1"/>
  <c r="T53" i="42"/>
  <c r="U53" i="42" s="1"/>
  <c r="V53" i="42" s="1"/>
  <c r="W53" i="42" s="1"/>
  <c r="X53" i="42" s="1"/>
  <c r="Y53" i="42" s="1"/>
  <c r="Z53" i="42" s="1"/>
  <c r="AA53" i="42" s="1"/>
  <c r="S53" i="42"/>
  <c r="S52" i="42"/>
  <c r="T52" i="42" s="1"/>
  <c r="U52" i="42" s="1"/>
  <c r="V52" i="42" s="1"/>
  <c r="W52" i="42" s="1"/>
  <c r="X52" i="42" s="1"/>
  <c r="Y52" i="42" s="1"/>
  <c r="Z52" i="42" s="1"/>
  <c r="AA52" i="42" s="1"/>
  <c r="S49" i="42"/>
  <c r="T49" i="42" s="1"/>
  <c r="U49" i="42" s="1"/>
  <c r="V49" i="42" s="1"/>
  <c r="W49" i="42" s="1"/>
  <c r="X49" i="42" s="1"/>
  <c r="Y49" i="42" s="1"/>
  <c r="Z49" i="42" s="1"/>
  <c r="AA49" i="42" s="1"/>
  <c r="S48" i="42"/>
  <c r="T48" i="42" s="1"/>
  <c r="U48" i="42" s="1"/>
  <c r="V48" i="42" s="1"/>
  <c r="W48" i="42" s="1"/>
  <c r="X48" i="42" s="1"/>
  <c r="Y48" i="42" s="1"/>
  <c r="Z48" i="42" s="1"/>
  <c r="AA48" i="42" s="1"/>
  <c r="S47" i="42"/>
  <c r="T47" i="42" s="1"/>
  <c r="U47" i="42" s="1"/>
  <c r="V47" i="42" s="1"/>
  <c r="W47" i="42" s="1"/>
  <c r="X47" i="42" s="1"/>
  <c r="Y47" i="42" s="1"/>
  <c r="Z47" i="42" s="1"/>
  <c r="AA47" i="42" s="1"/>
  <c r="S44" i="42"/>
  <c r="T44" i="42" s="1"/>
  <c r="U44" i="42" s="1"/>
  <c r="V44" i="42" s="1"/>
  <c r="W44" i="42" s="1"/>
  <c r="X44" i="42" s="1"/>
  <c r="Y44" i="42" s="1"/>
  <c r="Z44" i="42" s="1"/>
  <c r="AA44" i="42" s="1"/>
  <c r="S43" i="42"/>
  <c r="T43" i="42" s="1"/>
  <c r="U43" i="42" s="1"/>
  <c r="V43" i="42" s="1"/>
  <c r="W43" i="42" s="1"/>
  <c r="X43" i="42" s="1"/>
  <c r="Y43" i="42" s="1"/>
  <c r="Z43" i="42" s="1"/>
  <c r="AA43" i="42" s="1"/>
  <c r="S42" i="42"/>
  <c r="T42" i="42" s="1"/>
  <c r="U42" i="42" s="1"/>
  <c r="V42" i="42" s="1"/>
  <c r="W42" i="42" s="1"/>
  <c r="X42" i="42" s="1"/>
  <c r="Y42" i="42" s="1"/>
  <c r="Z42" i="42" s="1"/>
  <c r="AA42" i="42" s="1"/>
  <c r="S34" i="42"/>
  <c r="T34" i="42" s="1"/>
  <c r="U34" i="42" s="1"/>
  <c r="V34" i="42" s="1"/>
  <c r="W34" i="42" s="1"/>
  <c r="X34" i="42" s="1"/>
  <c r="Y34" i="42" s="1"/>
  <c r="Z34" i="42" s="1"/>
  <c r="AA34" i="42" s="1"/>
  <c r="S33" i="42"/>
  <c r="T33" i="42" s="1"/>
  <c r="U33" i="42" s="1"/>
  <c r="V33" i="42" s="1"/>
  <c r="W33" i="42" s="1"/>
  <c r="X33" i="42" s="1"/>
  <c r="Y33" i="42" s="1"/>
  <c r="Z33" i="42" s="1"/>
  <c r="AA33" i="42" s="1"/>
  <c r="S32" i="42"/>
  <c r="T32" i="42" s="1"/>
  <c r="U32" i="42" s="1"/>
  <c r="V32" i="42" s="1"/>
  <c r="W32" i="42" s="1"/>
  <c r="X32" i="42" s="1"/>
  <c r="Y32" i="42" s="1"/>
  <c r="Z32" i="42" s="1"/>
  <c r="AA32" i="42" s="1"/>
  <c r="S29" i="42"/>
  <c r="T29" i="42" s="1"/>
  <c r="U29" i="42" s="1"/>
  <c r="V29" i="42" s="1"/>
  <c r="W29" i="42" s="1"/>
  <c r="X29" i="42" s="1"/>
  <c r="Y29" i="42" s="1"/>
  <c r="Z29" i="42" s="1"/>
  <c r="AA29" i="42" s="1"/>
  <c r="S28" i="42"/>
  <c r="T28" i="42" s="1"/>
  <c r="U28" i="42" s="1"/>
  <c r="V28" i="42" s="1"/>
  <c r="W28" i="42" s="1"/>
  <c r="X28" i="42" s="1"/>
  <c r="Y28" i="42" s="1"/>
  <c r="Z28" i="42" s="1"/>
  <c r="AA28" i="42" s="1"/>
  <c r="S27" i="42"/>
  <c r="T27" i="42" s="1"/>
  <c r="U27" i="42" s="1"/>
  <c r="V27" i="42" s="1"/>
  <c r="W27" i="42" s="1"/>
  <c r="X27" i="42" s="1"/>
  <c r="Y27" i="42" s="1"/>
  <c r="Z27" i="42" s="1"/>
  <c r="AA27" i="42" s="1"/>
  <c r="S24" i="42"/>
  <c r="T24" i="42" s="1"/>
  <c r="U24" i="42" s="1"/>
  <c r="V24" i="42" s="1"/>
  <c r="W24" i="42" s="1"/>
  <c r="X24" i="42" s="1"/>
  <c r="Y24" i="42" s="1"/>
  <c r="Z24" i="42" s="1"/>
  <c r="AA24" i="42" s="1"/>
  <c r="S23" i="42"/>
  <c r="T23" i="42" s="1"/>
  <c r="U23" i="42" s="1"/>
  <c r="V23" i="42" s="1"/>
  <c r="W23" i="42" s="1"/>
  <c r="X23" i="42" s="1"/>
  <c r="Y23" i="42" s="1"/>
  <c r="Z23" i="42" s="1"/>
  <c r="AA23" i="42" s="1"/>
  <c r="S22" i="42"/>
  <c r="T22" i="42" s="1"/>
  <c r="U22" i="42" s="1"/>
  <c r="V22" i="42" s="1"/>
  <c r="W22" i="42" s="1"/>
  <c r="X22" i="42" s="1"/>
  <c r="Y22" i="42" s="1"/>
  <c r="Z22" i="42" s="1"/>
  <c r="AA22" i="42" s="1"/>
  <c r="S19" i="42"/>
  <c r="T19" i="42" s="1"/>
  <c r="U19" i="42" s="1"/>
  <c r="V19" i="42" s="1"/>
  <c r="W19" i="42" s="1"/>
  <c r="X19" i="42" s="1"/>
  <c r="Y19" i="42" s="1"/>
  <c r="Z19" i="42" s="1"/>
  <c r="AA19" i="42" s="1"/>
  <c r="S18" i="42"/>
  <c r="T18" i="42" s="1"/>
  <c r="U18" i="42" s="1"/>
  <c r="V18" i="42" s="1"/>
  <c r="W18" i="42" s="1"/>
  <c r="X18" i="42" s="1"/>
  <c r="Y18" i="42" s="1"/>
  <c r="Z18" i="42" s="1"/>
  <c r="AA18" i="42" s="1"/>
  <c r="S17" i="42"/>
  <c r="T17" i="42" s="1"/>
  <c r="U17" i="42" s="1"/>
  <c r="V17" i="42" s="1"/>
  <c r="W17" i="42" s="1"/>
  <c r="X17" i="42" s="1"/>
  <c r="Y17" i="42" s="1"/>
  <c r="Z17" i="42" s="1"/>
  <c r="AA17" i="42" s="1"/>
  <c r="T14" i="42"/>
  <c r="U14" i="42" s="1"/>
  <c r="V14" i="42" s="1"/>
  <c r="W14" i="42" s="1"/>
  <c r="X14" i="42" s="1"/>
  <c r="Y14" i="42" s="1"/>
  <c r="Z14" i="42" s="1"/>
  <c r="AA14" i="42" s="1"/>
  <c r="T13" i="42"/>
  <c r="U13" i="42" s="1"/>
  <c r="V13" i="42" s="1"/>
  <c r="W13" i="42" s="1"/>
  <c r="X13" i="42" s="1"/>
  <c r="Y13" i="42" s="1"/>
  <c r="Z13" i="42" s="1"/>
  <c r="AA13" i="42" s="1"/>
  <c r="T12" i="42"/>
  <c r="U12" i="42" s="1"/>
  <c r="V12" i="42" s="1"/>
  <c r="W12" i="42" s="1"/>
  <c r="X12" i="42" s="1"/>
  <c r="Y12" i="42" s="1"/>
  <c r="Z12" i="42" s="1"/>
  <c r="AA12" i="42" s="1"/>
  <c r="S14" i="42"/>
  <c r="S13" i="42"/>
  <c r="S12" i="42"/>
  <c r="R272" i="42"/>
  <c r="R274" i="42" s="1"/>
  <c r="R267" i="42"/>
  <c r="R269" i="42" s="1"/>
  <c r="R262" i="42"/>
  <c r="R264" i="42" s="1"/>
  <c r="R257" i="42"/>
  <c r="R259" i="42" s="1"/>
  <c r="R252" i="42"/>
  <c r="R254" i="42" s="1"/>
  <c r="R242" i="42"/>
  <c r="R244" i="42" s="1"/>
  <c r="R237" i="42"/>
  <c r="R239" i="42" s="1"/>
  <c r="R232" i="42"/>
  <c r="R234" i="42" s="1"/>
  <c r="R219" i="42"/>
  <c r="R221" i="42" s="1"/>
  <c r="R214" i="42"/>
  <c r="R216" i="42" s="1"/>
  <c r="R209" i="42"/>
  <c r="R211" i="42" s="1"/>
  <c r="R204" i="42"/>
  <c r="R206" i="42" s="1"/>
  <c r="S206" i="42" s="1"/>
  <c r="T206" i="42" s="1"/>
  <c r="U206" i="42" s="1"/>
  <c r="V206" i="42" s="1"/>
  <c r="W206" i="42" s="1"/>
  <c r="X206" i="42" s="1"/>
  <c r="Y206" i="42" s="1"/>
  <c r="Z206" i="42" s="1"/>
  <c r="AA206" i="42" s="1"/>
  <c r="R181" i="42"/>
  <c r="R183" i="42" s="1"/>
  <c r="R176" i="42"/>
  <c r="R178" i="42" s="1"/>
  <c r="R171" i="42"/>
  <c r="R173" i="42" s="1"/>
  <c r="R166" i="42"/>
  <c r="R168" i="42" s="1"/>
  <c r="R161" i="42"/>
  <c r="R163" i="42" s="1"/>
  <c r="R148" i="42"/>
  <c r="R150" i="42" s="1"/>
  <c r="R143" i="42"/>
  <c r="R145" i="42" s="1"/>
  <c r="R138" i="42"/>
  <c r="R140" i="42" s="1"/>
  <c r="R133" i="42"/>
  <c r="R135" i="42" s="1"/>
  <c r="R128" i="42"/>
  <c r="R130" i="42" s="1"/>
  <c r="R115" i="42"/>
  <c r="R117" i="42" s="1"/>
  <c r="R110" i="42"/>
  <c r="R112" i="42" s="1"/>
  <c r="R105" i="42"/>
  <c r="R107" i="42" s="1"/>
  <c r="R100" i="42"/>
  <c r="R102" i="42" s="1"/>
  <c r="R95" i="42"/>
  <c r="R97" i="42" s="1"/>
  <c r="R90" i="42"/>
  <c r="R92" i="42" s="1"/>
  <c r="R85" i="42"/>
  <c r="R87" i="42" s="1"/>
  <c r="R72" i="42"/>
  <c r="R74" i="42" s="1"/>
  <c r="R67" i="42"/>
  <c r="R69" i="42" s="1"/>
  <c r="R62" i="42"/>
  <c r="R64" i="42" s="1"/>
  <c r="R57" i="42"/>
  <c r="R59" i="42" s="1"/>
  <c r="R54" i="42"/>
  <c r="R52" i="42"/>
  <c r="R47" i="42"/>
  <c r="R49" i="42" s="1"/>
  <c r="R42" i="42"/>
  <c r="R44" i="42" s="1"/>
  <c r="R32" i="42"/>
  <c r="R34" i="42" s="1"/>
  <c r="R27" i="42"/>
  <c r="R29" i="42" s="1"/>
  <c r="R22" i="42"/>
  <c r="R24" i="42" s="1"/>
  <c r="R17" i="42"/>
  <c r="R19" i="42" s="1"/>
  <c r="R14" i="42"/>
  <c r="R12" i="42"/>
  <c r="H329" i="42"/>
  <c r="H328" i="42"/>
  <c r="G337" i="42"/>
  <c r="H337" i="42"/>
  <c r="H333" i="42"/>
  <c r="H324" i="42"/>
  <c r="H320" i="42"/>
  <c r="H319" i="42"/>
  <c r="H318" i="42"/>
  <c r="H314" i="42"/>
  <c r="H313" i="42"/>
  <c r="H312" i="42"/>
  <c r="H311" i="42"/>
  <c r="H310" i="42"/>
  <c r="H309" i="42"/>
  <c r="H308" i="42"/>
  <c r="G333" i="42"/>
  <c r="G329" i="42"/>
  <c r="G328" i="42"/>
  <c r="G324" i="42"/>
  <c r="G320" i="42"/>
  <c r="G319" i="42"/>
  <c r="G318" i="42"/>
  <c r="G314" i="42"/>
  <c r="G313" i="42"/>
  <c r="G312" i="42"/>
  <c r="G311" i="42"/>
  <c r="G310" i="42"/>
  <c r="G309" i="42"/>
  <c r="G308" i="42"/>
  <c r="F339" i="42"/>
  <c r="F337" i="42"/>
  <c r="F333" i="42"/>
  <c r="I333" i="42" s="1"/>
  <c r="F329" i="42"/>
  <c r="F328" i="42"/>
  <c r="F331" i="42" s="1"/>
  <c r="F324" i="42"/>
  <c r="I324" i="42" s="1"/>
  <c r="I326" i="42" s="1"/>
  <c r="F320" i="42"/>
  <c r="I320" i="42" s="1"/>
  <c r="F319" i="42"/>
  <c r="F318" i="42"/>
  <c r="I318" i="42" s="1"/>
  <c r="Q86" i="42" s="1"/>
  <c r="F314" i="42"/>
  <c r="F313" i="42"/>
  <c r="F312" i="42"/>
  <c r="F311" i="42"/>
  <c r="F310" i="42"/>
  <c r="F309" i="42"/>
  <c r="F308" i="42"/>
  <c r="I308" i="42" s="1"/>
  <c r="Q13" i="42" s="1"/>
  <c r="F84" i="74" l="1"/>
  <c r="G63" i="74"/>
  <c r="R84" i="74"/>
  <c r="S63" i="74"/>
  <c r="R69" i="74"/>
  <c r="R90" i="74" s="1"/>
  <c r="F69" i="74"/>
  <c r="F90" i="74" s="1"/>
  <c r="H55" i="74"/>
  <c r="H68" i="74"/>
  <c r="I43" i="74"/>
  <c r="I48" i="74" s="1"/>
  <c r="J43" i="73"/>
  <c r="J48" i="73" s="1"/>
  <c r="I55" i="73"/>
  <c r="S194" i="42"/>
  <c r="T194" i="42" s="1"/>
  <c r="U194" i="42" s="1"/>
  <c r="V194" i="42" s="1"/>
  <c r="W194" i="42" s="1"/>
  <c r="X194" i="42" s="1"/>
  <c r="Y194" i="42" s="1"/>
  <c r="Z194" i="42" s="1"/>
  <c r="AA194" i="42" s="1"/>
  <c r="I319" i="42"/>
  <c r="Q91" i="42"/>
  <c r="Q96" i="42"/>
  <c r="Q248" i="42"/>
  <c r="F316" i="42"/>
  <c r="I322" i="42"/>
  <c r="F326" i="42"/>
  <c r="H326" i="42"/>
  <c r="F322" i="42"/>
  <c r="I309" i="42"/>
  <c r="Q18" i="42" s="1"/>
  <c r="H322" i="42"/>
  <c r="I310" i="42"/>
  <c r="Q23" i="42" s="1"/>
  <c r="H89" i="74" l="1"/>
  <c r="S66" i="74"/>
  <c r="S80" i="74"/>
  <c r="G66" i="74"/>
  <c r="G80" i="74"/>
  <c r="I55" i="74"/>
  <c r="I68" i="74"/>
  <c r="I89" i="74" s="1"/>
  <c r="J43" i="74"/>
  <c r="J48" i="74" s="1"/>
  <c r="K43" i="73"/>
  <c r="K48" i="73" s="1"/>
  <c r="J55" i="73"/>
  <c r="I312" i="42"/>
  <c r="Q33" i="42"/>
  <c r="I313" i="42"/>
  <c r="Q43" i="42"/>
  <c r="I329" i="42"/>
  <c r="Q215" i="42"/>
  <c r="I314" i="42"/>
  <c r="Q48" i="42"/>
  <c r="I328" i="42"/>
  <c r="Q205" i="42"/>
  <c r="I331" i="42"/>
  <c r="H331" i="42"/>
  <c r="H316" i="42"/>
  <c r="I311" i="42"/>
  <c r="I316" i="42" s="1"/>
  <c r="I339" i="42" s="1"/>
  <c r="S84" i="74" l="1"/>
  <c r="S69" i="74"/>
  <c r="S90" i="74" s="1"/>
  <c r="G84" i="74"/>
  <c r="H63" i="74"/>
  <c r="G69" i="74"/>
  <c r="G90" i="74" s="1"/>
  <c r="J68" i="74"/>
  <c r="K43" i="74"/>
  <c r="K48" i="74" s="1"/>
  <c r="J55" i="74"/>
  <c r="L43" i="73"/>
  <c r="L48" i="73" s="1"/>
  <c r="K55" i="73"/>
  <c r="H339" i="42"/>
  <c r="Q28" i="42"/>
  <c r="C27" i="71"/>
  <c r="M27" i="71" s="1"/>
  <c r="B3" i="71"/>
  <c r="K118" i="38"/>
  <c r="K146" i="42"/>
  <c r="K141" i="42"/>
  <c r="K136" i="42"/>
  <c r="K131" i="42"/>
  <c r="K118" i="42"/>
  <c r="K113" i="42"/>
  <c r="K108" i="42"/>
  <c r="H66" i="74" l="1"/>
  <c r="H80" i="74"/>
  <c r="J89" i="74"/>
  <c r="L43" i="74"/>
  <c r="L48" i="74" s="1"/>
  <c r="K55" i="74"/>
  <c r="K68" i="74"/>
  <c r="K89" i="74" s="1"/>
  <c r="L55" i="73"/>
  <c r="M43" i="73"/>
  <c r="M48" i="73" s="1"/>
  <c r="AN101" i="43"/>
  <c r="AM101" i="43"/>
  <c r="AK101" i="43"/>
  <c r="AJ101" i="43"/>
  <c r="AI101" i="43"/>
  <c r="AH101" i="43"/>
  <c r="AF101" i="43"/>
  <c r="AE101" i="43"/>
  <c r="AD101" i="43"/>
  <c r="AC101" i="43"/>
  <c r="J39" i="59"/>
  <c r="K40" i="59"/>
  <c r="H84" i="74" l="1"/>
  <c r="I63" i="74"/>
  <c r="H69" i="74"/>
  <c r="H90" i="74" s="1"/>
  <c r="M43" i="74"/>
  <c r="M48" i="74" s="1"/>
  <c r="L55" i="74"/>
  <c r="L68" i="74"/>
  <c r="N43" i="73"/>
  <c r="N48" i="73" s="1"/>
  <c r="N55" i="73" s="1"/>
  <c r="M55" i="73"/>
  <c r="AQ101" i="43"/>
  <c r="AP101" i="43"/>
  <c r="K146" i="43"/>
  <c r="K59" i="35"/>
  <c r="K46" i="37" s="1"/>
  <c r="K53" i="35"/>
  <c r="K40" i="37" s="1"/>
  <c r="K52" i="35"/>
  <c r="K39" i="37" s="1"/>
  <c r="K51" i="35"/>
  <c r="K38" i="37" s="1"/>
  <c r="K50" i="35"/>
  <c r="K37" i="37" s="1"/>
  <c r="K49" i="35"/>
  <c r="K36" i="37" s="1"/>
  <c r="K48" i="35"/>
  <c r="K35" i="37" s="1"/>
  <c r="K43" i="35"/>
  <c r="K30" i="37" s="1"/>
  <c r="K42" i="35"/>
  <c r="K29" i="37" s="1"/>
  <c r="K41" i="35"/>
  <c r="K28" i="37" s="1"/>
  <c r="K40" i="35"/>
  <c r="K27" i="37" s="1"/>
  <c r="K39" i="35"/>
  <c r="K26" i="37" s="1"/>
  <c r="K38" i="35"/>
  <c r="K25" i="37" s="1"/>
  <c r="K37" i="35"/>
  <c r="K24" i="37" s="1"/>
  <c r="K36" i="35"/>
  <c r="K23" i="37" s="1"/>
  <c r="K35" i="35"/>
  <c r="K22" i="37" s="1"/>
  <c r="K71" i="35"/>
  <c r="K70" i="35"/>
  <c r="K69" i="35"/>
  <c r="L89" i="74" l="1"/>
  <c r="I66" i="74"/>
  <c r="I80" i="74"/>
  <c r="M68" i="74"/>
  <c r="M89" i="74" s="1"/>
  <c r="N43" i="74"/>
  <c r="N48" i="74" s="1"/>
  <c r="M55" i="74"/>
  <c r="O1941" i="58"/>
  <c r="M1935" i="58"/>
  <c r="M1934" i="58"/>
  <c r="M1933" i="58"/>
  <c r="M1926" i="58"/>
  <c r="M1925" i="58"/>
  <c r="M1923" i="58"/>
  <c r="M1922" i="58"/>
  <c r="M1921" i="58"/>
  <c r="M1916" i="58"/>
  <c r="M1912" i="58"/>
  <c r="M1910" i="58"/>
  <c r="M1909" i="58"/>
  <c r="M1908" i="58"/>
  <c r="M1907" i="58"/>
  <c r="M1906" i="58"/>
  <c r="M1905" i="58"/>
  <c r="M1904" i="58"/>
  <c r="M1903" i="58"/>
  <c r="M1902" i="58"/>
  <c r="M1901" i="58"/>
  <c r="M1900" i="58"/>
  <c r="M1899" i="58"/>
  <c r="M1887" i="58"/>
  <c r="M1886" i="58"/>
  <c r="M1885" i="58"/>
  <c r="M1884" i="58"/>
  <c r="M1883" i="58"/>
  <c r="M1878" i="58"/>
  <c r="M1875" i="58"/>
  <c r="M1866" i="58"/>
  <c r="M1865" i="58"/>
  <c r="M1863" i="58"/>
  <c r="M1858" i="58"/>
  <c r="M1857" i="58"/>
  <c r="M1855" i="58"/>
  <c r="M1854" i="58"/>
  <c r="M1853" i="58"/>
  <c r="M1851" i="58"/>
  <c r="M1847" i="58"/>
  <c r="M1846" i="58"/>
  <c r="M1845" i="58"/>
  <c r="M1844" i="58"/>
  <c r="M1843" i="58"/>
  <c r="M1842" i="58"/>
  <c r="M1840" i="58"/>
  <c r="M1839" i="58"/>
  <c r="M1836" i="58"/>
  <c r="M1809" i="58"/>
  <c r="M1804" i="58"/>
  <c r="M1757" i="58"/>
  <c r="M1756" i="58"/>
  <c r="M1755" i="58"/>
  <c r="M1754" i="58"/>
  <c r="M1753" i="58"/>
  <c r="M1752" i="58"/>
  <c r="M1751" i="58"/>
  <c r="M1749" i="58"/>
  <c r="M1747" i="58"/>
  <c r="M1746" i="58"/>
  <c r="M1744" i="58"/>
  <c r="M1743" i="58"/>
  <c r="M1742" i="58"/>
  <c r="M1740" i="58"/>
  <c r="M1739" i="58"/>
  <c r="M1733" i="58"/>
  <c r="M1732" i="58"/>
  <c r="M1727" i="58"/>
  <c r="M1726" i="58"/>
  <c r="M1725" i="58"/>
  <c r="M1724" i="58"/>
  <c r="M1723" i="58"/>
  <c r="M1722" i="58"/>
  <c r="M1721" i="58"/>
  <c r="M1720" i="58"/>
  <c r="M1719" i="58"/>
  <c r="C1935" i="58"/>
  <c r="B1935" i="58"/>
  <c r="C1934" i="58"/>
  <c r="B1934" i="58"/>
  <c r="C1933" i="58"/>
  <c r="B1933" i="58"/>
  <c r="C1926" i="58"/>
  <c r="B1926" i="58"/>
  <c r="C1925" i="58"/>
  <c r="B1925" i="58"/>
  <c r="C1923" i="58"/>
  <c r="B1923" i="58"/>
  <c r="C1922" i="58"/>
  <c r="B1922" i="58"/>
  <c r="C1921" i="58"/>
  <c r="B1921" i="58"/>
  <c r="C1916" i="58"/>
  <c r="B1916" i="58"/>
  <c r="C1912" i="58"/>
  <c r="B1912" i="58"/>
  <c r="C1910" i="58"/>
  <c r="B1910" i="58"/>
  <c r="C1909" i="58"/>
  <c r="B1909" i="58"/>
  <c r="C1908" i="58"/>
  <c r="B1908" i="58"/>
  <c r="C1907" i="58"/>
  <c r="B1907" i="58"/>
  <c r="C1906" i="58"/>
  <c r="B1906" i="58"/>
  <c r="C1905" i="58"/>
  <c r="B1905" i="58"/>
  <c r="C1904" i="58"/>
  <c r="B1904" i="58"/>
  <c r="C1903" i="58"/>
  <c r="B1903" i="58"/>
  <c r="C1902" i="58"/>
  <c r="B1902" i="58"/>
  <c r="C1901" i="58"/>
  <c r="B1901" i="58"/>
  <c r="C1900" i="58"/>
  <c r="B1900" i="58"/>
  <c r="C1899" i="58"/>
  <c r="B1899" i="58"/>
  <c r="C1887" i="58"/>
  <c r="B1887" i="58"/>
  <c r="C1886" i="58"/>
  <c r="B1886" i="58"/>
  <c r="C1885" i="58"/>
  <c r="B1885" i="58"/>
  <c r="C1884" i="58"/>
  <c r="B1884" i="58"/>
  <c r="C1883" i="58"/>
  <c r="B1883" i="58"/>
  <c r="C1878" i="58"/>
  <c r="B1878" i="58"/>
  <c r="C1875" i="58"/>
  <c r="B1875" i="58"/>
  <c r="C1866" i="58"/>
  <c r="B1866" i="58"/>
  <c r="C1865" i="58"/>
  <c r="B1865" i="58"/>
  <c r="C1863" i="58"/>
  <c r="B1863" i="58"/>
  <c r="C1858" i="58"/>
  <c r="B1858" i="58"/>
  <c r="C1857" i="58"/>
  <c r="B1857" i="58"/>
  <c r="C1855" i="58"/>
  <c r="B1855" i="58"/>
  <c r="C1854" i="58"/>
  <c r="B1854" i="58"/>
  <c r="C1853" i="58"/>
  <c r="B1853" i="58"/>
  <c r="C1851" i="58"/>
  <c r="B1851" i="58"/>
  <c r="C1847" i="58"/>
  <c r="B1847" i="58"/>
  <c r="C1846" i="58"/>
  <c r="B1846" i="58"/>
  <c r="C1845" i="58"/>
  <c r="B1845" i="58"/>
  <c r="C1844" i="58"/>
  <c r="B1844" i="58"/>
  <c r="C1843" i="58"/>
  <c r="B1843" i="58"/>
  <c r="C1842" i="58"/>
  <c r="B1842" i="58"/>
  <c r="C1840" i="58"/>
  <c r="B1840" i="58"/>
  <c r="C1839" i="58"/>
  <c r="B1839" i="58"/>
  <c r="C1836" i="58"/>
  <c r="B1836" i="58"/>
  <c r="C1809" i="58"/>
  <c r="B1809" i="58"/>
  <c r="C1804" i="58"/>
  <c r="B1804" i="58"/>
  <c r="C1757" i="58"/>
  <c r="B1757" i="58"/>
  <c r="C1756" i="58"/>
  <c r="B1756" i="58"/>
  <c r="C1755" i="58"/>
  <c r="B1755" i="58"/>
  <c r="C1754" i="58"/>
  <c r="B1754" i="58"/>
  <c r="C1753" i="58"/>
  <c r="B1753" i="58"/>
  <c r="C1752" i="58"/>
  <c r="B1752" i="58"/>
  <c r="C1751" i="58"/>
  <c r="B1751" i="58"/>
  <c r="C1749" i="58"/>
  <c r="B1749" i="58"/>
  <c r="C1747" i="58"/>
  <c r="B1747" i="58"/>
  <c r="C1746" i="58"/>
  <c r="B1746" i="58"/>
  <c r="C1744" i="58"/>
  <c r="B1744" i="58"/>
  <c r="C1743" i="58"/>
  <c r="B1743" i="58"/>
  <c r="C1742" i="58"/>
  <c r="B1742" i="58"/>
  <c r="C1740" i="58"/>
  <c r="B1740" i="58"/>
  <c r="C1739" i="58"/>
  <c r="B1739" i="58"/>
  <c r="C1733" i="58"/>
  <c r="B1733" i="58"/>
  <c r="C1732" i="58"/>
  <c r="B1732" i="58"/>
  <c r="C1727" i="58"/>
  <c r="B1727" i="58"/>
  <c r="C1726" i="58"/>
  <c r="B1726" i="58"/>
  <c r="C1725" i="58"/>
  <c r="B1725" i="58"/>
  <c r="C1724" i="58"/>
  <c r="B1724" i="58"/>
  <c r="C1723" i="58"/>
  <c r="B1723" i="58"/>
  <c r="C1722" i="58"/>
  <c r="B1722" i="58"/>
  <c r="C1721" i="58"/>
  <c r="B1721" i="58"/>
  <c r="C1720" i="58"/>
  <c r="B1720" i="58"/>
  <c r="C1719" i="58"/>
  <c r="B1719" i="58"/>
  <c r="M1941" i="58"/>
  <c r="M1940" i="58"/>
  <c r="M1939" i="58"/>
  <c r="M1938" i="58"/>
  <c r="M1937" i="58"/>
  <c r="M1932" i="58"/>
  <c r="M1931" i="58"/>
  <c r="M1930" i="58"/>
  <c r="M1929" i="58"/>
  <c r="M1928" i="58"/>
  <c r="M1927" i="58"/>
  <c r="M1924" i="58"/>
  <c r="M1920" i="58"/>
  <c r="M1919" i="58"/>
  <c r="M1918" i="58"/>
  <c r="M1917" i="58"/>
  <c r="M1915" i="58"/>
  <c r="M1914" i="58"/>
  <c r="M1913" i="58"/>
  <c r="M1911" i="58"/>
  <c r="M1898" i="58"/>
  <c r="M1897" i="58"/>
  <c r="M1896" i="58"/>
  <c r="M1895" i="58"/>
  <c r="M1894" i="58"/>
  <c r="M1893" i="58"/>
  <c r="M1892" i="58"/>
  <c r="M1891" i="58"/>
  <c r="M1890" i="58"/>
  <c r="M1889" i="58"/>
  <c r="M1888" i="58"/>
  <c r="M1882" i="58"/>
  <c r="M1881" i="58"/>
  <c r="M1880" i="58"/>
  <c r="M1879" i="58"/>
  <c r="M1877" i="58"/>
  <c r="M1876" i="58"/>
  <c r="M1874" i="58"/>
  <c r="M1873" i="58"/>
  <c r="M1872" i="58"/>
  <c r="M1871" i="58"/>
  <c r="M1870" i="58"/>
  <c r="M1869" i="58"/>
  <c r="M1868" i="58"/>
  <c r="M1867" i="58"/>
  <c r="M1864" i="58"/>
  <c r="M1862" i="58"/>
  <c r="M1861" i="58"/>
  <c r="M1860" i="58"/>
  <c r="M1859" i="58"/>
  <c r="M1856" i="58"/>
  <c r="M1852" i="58"/>
  <c r="M1850" i="58"/>
  <c r="M1849" i="58"/>
  <c r="M1848" i="58"/>
  <c r="M1841" i="58"/>
  <c r="M1838" i="58"/>
  <c r="M1837" i="58"/>
  <c r="M1835" i="58"/>
  <c r="M1834" i="58"/>
  <c r="M1833" i="58"/>
  <c r="M1832" i="58"/>
  <c r="M1831" i="58"/>
  <c r="M1830" i="58"/>
  <c r="M1829" i="58"/>
  <c r="M1828" i="58"/>
  <c r="M1827" i="58"/>
  <c r="M1826" i="58"/>
  <c r="M1825" i="58"/>
  <c r="M1824" i="58"/>
  <c r="M1823" i="58"/>
  <c r="M1822" i="58"/>
  <c r="M1821" i="58"/>
  <c r="M1820" i="58"/>
  <c r="M1819" i="58"/>
  <c r="M1818" i="58"/>
  <c r="M1817" i="58"/>
  <c r="M1816" i="58"/>
  <c r="M1815" i="58"/>
  <c r="M1814" i="58"/>
  <c r="M1813" i="58"/>
  <c r="M1812" i="58"/>
  <c r="M1811" i="58"/>
  <c r="M1810" i="58"/>
  <c r="M1808" i="58"/>
  <c r="M1807" i="58"/>
  <c r="M1806" i="58"/>
  <c r="M1805" i="58"/>
  <c r="M1803" i="58"/>
  <c r="M1802" i="58"/>
  <c r="M1801" i="58"/>
  <c r="M1800" i="58"/>
  <c r="M1799" i="58"/>
  <c r="M1798" i="58"/>
  <c r="M1797" i="58"/>
  <c r="M1796" i="58"/>
  <c r="M1795" i="58"/>
  <c r="M1794" i="58"/>
  <c r="M1793" i="58"/>
  <c r="M1792" i="58"/>
  <c r="M1791" i="58"/>
  <c r="M1790" i="58"/>
  <c r="M1789" i="58"/>
  <c r="M1788" i="58"/>
  <c r="M1787" i="58"/>
  <c r="M1786" i="58"/>
  <c r="M1785" i="58"/>
  <c r="M1784" i="58"/>
  <c r="M1783" i="58"/>
  <c r="M1782" i="58"/>
  <c r="M1781" i="58"/>
  <c r="M1780" i="58"/>
  <c r="M1779" i="58"/>
  <c r="M1778" i="58"/>
  <c r="M1777" i="58"/>
  <c r="M1776" i="58"/>
  <c r="M1775" i="58"/>
  <c r="M1774" i="58"/>
  <c r="M1773" i="58"/>
  <c r="M1772" i="58"/>
  <c r="M1771" i="58"/>
  <c r="M1770" i="58"/>
  <c r="M1769" i="58"/>
  <c r="M1768" i="58"/>
  <c r="M1767" i="58"/>
  <c r="M1766" i="58"/>
  <c r="M1765" i="58"/>
  <c r="M1764" i="58"/>
  <c r="M1763" i="58"/>
  <c r="M1762" i="58"/>
  <c r="M1761" i="58"/>
  <c r="M1760" i="58"/>
  <c r="M1759" i="58"/>
  <c r="M1758" i="58"/>
  <c r="M1750" i="58"/>
  <c r="M1748" i="58"/>
  <c r="M1745" i="58"/>
  <c r="M1741" i="58"/>
  <c r="M1738" i="58"/>
  <c r="M1737" i="58"/>
  <c r="M1736" i="58"/>
  <c r="M1735" i="58"/>
  <c r="M1734" i="58"/>
  <c r="M1731" i="58"/>
  <c r="M1730" i="58"/>
  <c r="M1729" i="58"/>
  <c r="M1728" i="58"/>
  <c r="C1941" i="58"/>
  <c r="B1941" i="58"/>
  <c r="C1940" i="58"/>
  <c r="B1940" i="58"/>
  <c r="C1939" i="58"/>
  <c r="B1939" i="58"/>
  <c r="C1938" i="58"/>
  <c r="B1938" i="58"/>
  <c r="C1937" i="58"/>
  <c r="B1937" i="58"/>
  <c r="C1932" i="58"/>
  <c r="B1932" i="58"/>
  <c r="C1931" i="58"/>
  <c r="B1931" i="58"/>
  <c r="C1930" i="58"/>
  <c r="B1930" i="58"/>
  <c r="C1929" i="58"/>
  <c r="B1929" i="58"/>
  <c r="C1928" i="58"/>
  <c r="B1928" i="58"/>
  <c r="C1927" i="58"/>
  <c r="B1927" i="58"/>
  <c r="C1924" i="58"/>
  <c r="B1924" i="58"/>
  <c r="C1920" i="58"/>
  <c r="B1920" i="58"/>
  <c r="C1919" i="58"/>
  <c r="B1919" i="58"/>
  <c r="C1918" i="58"/>
  <c r="B1918" i="58"/>
  <c r="C1917" i="58"/>
  <c r="B1917" i="58"/>
  <c r="C1915" i="58"/>
  <c r="B1915" i="58"/>
  <c r="C1914" i="58"/>
  <c r="B1914" i="58"/>
  <c r="C1913" i="58"/>
  <c r="B1913" i="58"/>
  <c r="C1911" i="58"/>
  <c r="B1911" i="58"/>
  <c r="C1898" i="58"/>
  <c r="B1898" i="58"/>
  <c r="C1897" i="58"/>
  <c r="B1897" i="58"/>
  <c r="C1896" i="58"/>
  <c r="B1896" i="58"/>
  <c r="C1895" i="58"/>
  <c r="B1895" i="58"/>
  <c r="C1894" i="58"/>
  <c r="B1894" i="58"/>
  <c r="C1893" i="58"/>
  <c r="B1893" i="58"/>
  <c r="C1892" i="58"/>
  <c r="B1892" i="58"/>
  <c r="C1891" i="58"/>
  <c r="B1891" i="58"/>
  <c r="C1890" i="58"/>
  <c r="B1890" i="58"/>
  <c r="C1889" i="58"/>
  <c r="B1889" i="58"/>
  <c r="C1888" i="58"/>
  <c r="B1888" i="58"/>
  <c r="C1882" i="58"/>
  <c r="B1882" i="58"/>
  <c r="C1881" i="58"/>
  <c r="B1881" i="58"/>
  <c r="C1880" i="58"/>
  <c r="B1880" i="58"/>
  <c r="C1879" i="58"/>
  <c r="B1879" i="58"/>
  <c r="C1877" i="58"/>
  <c r="B1877" i="58"/>
  <c r="C1876" i="58"/>
  <c r="B1876" i="58"/>
  <c r="C1874" i="58"/>
  <c r="B1874" i="58"/>
  <c r="C1873" i="58"/>
  <c r="B1873" i="58"/>
  <c r="C1872" i="58"/>
  <c r="B1872" i="58"/>
  <c r="C1871" i="58"/>
  <c r="B1871" i="58"/>
  <c r="C1870" i="58"/>
  <c r="B1870" i="58"/>
  <c r="C1869" i="58"/>
  <c r="B1869" i="58"/>
  <c r="C1868" i="58"/>
  <c r="B1868" i="58"/>
  <c r="C1867" i="58"/>
  <c r="B1867" i="58"/>
  <c r="C1864" i="58"/>
  <c r="B1864" i="58"/>
  <c r="C1862" i="58"/>
  <c r="B1862" i="58"/>
  <c r="C1861" i="58"/>
  <c r="B1861" i="58"/>
  <c r="C1860" i="58"/>
  <c r="B1860" i="58"/>
  <c r="C1859" i="58"/>
  <c r="B1859" i="58"/>
  <c r="C1856" i="58"/>
  <c r="B1856" i="58"/>
  <c r="C1852" i="58"/>
  <c r="B1852" i="58"/>
  <c r="C1850" i="58"/>
  <c r="B1850" i="58"/>
  <c r="C1849" i="58"/>
  <c r="B1849" i="58"/>
  <c r="C1848" i="58"/>
  <c r="B1848" i="58"/>
  <c r="C1841" i="58"/>
  <c r="B1841" i="58"/>
  <c r="C1838" i="58"/>
  <c r="B1838" i="58"/>
  <c r="C1837" i="58"/>
  <c r="B1837" i="58"/>
  <c r="C1835" i="58"/>
  <c r="B1835" i="58"/>
  <c r="C1834" i="58"/>
  <c r="B1834" i="58"/>
  <c r="C1833" i="58"/>
  <c r="B1833" i="58"/>
  <c r="C1832" i="58"/>
  <c r="B1832" i="58"/>
  <c r="C1831" i="58"/>
  <c r="B1831" i="58"/>
  <c r="C1830" i="58"/>
  <c r="B1830" i="58"/>
  <c r="C1829" i="58"/>
  <c r="B1829" i="58"/>
  <c r="C1828" i="58"/>
  <c r="B1828" i="58"/>
  <c r="C1827" i="58"/>
  <c r="B1827" i="58"/>
  <c r="C1826" i="58"/>
  <c r="B1826" i="58"/>
  <c r="C1825" i="58"/>
  <c r="B1825" i="58"/>
  <c r="C1824" i="58"/>
  <c r="B1824" i="58"/>
  <c r="C1823" i="58"/>
  <c r="B1823" i="58"/>
  <c r="C1822" i="58"/>
  <c r="B1822" i="58"/>
  <c r="C1821" i="58"/>
  <c r="B1821" i="58"/>
  <c r="C1820" i="58"/>
  <c r="B1820" i="58"/>
  <c r="C1819" i="58"/>
  <c r="B1819" i="58"/>
  <c r="C1818" i="58"/>
  <c r="B1818" i="58"/>
  <c r="C1817" i="58"/>
  <c r="B1817" i="58"/>
  <c r="C1816" i="58"/>
  <c r="B1816" i="58"/>
  <c r="C1815" i="58"/>
  <c r="B1815" i="58"/>
  <c r="C1814" i="58"/>
  <c r="B1814" i="58"/>
  <c r="C1813" i="58"/>
  <c r="B1813" i="58"/>
  <c r="C1812" i="58"/>
  <c r="B1812" i="58"/>
  <c r="C1811" i="58"/>
  <c r="B1811" i="58"/>
  <c r="C1810" i="58"/>
  <c r="B1810" i="58"/>
  <c r="C1808" i="58"/>
  <c r="B1808" i="58"/>
  <c r="C1807" i="58"/>
  <c r="B1807" i="58"/>
  <c r="C1806" i="58"/>
  <c r="B1806" i="58"/>
  <c r="C1805" i="58"/>
  <c r="B1805" i="58"/>
  <c r="C1803" i="58"/>
  <c r="B1803" i="58"/>
  <c r="C1802" i="58"/>
  <c r="B1802" i="58"/>
  <c r="C1801" i="58"/>
  <c r="B1801" i="58"/>
  <c r="C1800" i="58"/>
  <c r="B1800" i="58"/>
  <c r="C1799" i="58"/>
  <c r="B1799" i="58"/>
  <c r="C1798" i="58"/>
  <c r="B1798" i="58"/>
  <c r="C1797" i="58"/>
  <c r="B1797" i="58"/>
  <c r="C1796" i="58"/>
  <c r="B1796" i="58"/>
  <c r="C1795" i="58"/>
  <c r="B1795" i="58"/>
  <c r="C1794" i="58"/>
  <c r="B1794" i="58"/>
  <c r="C1793" i="58"/>
  <c r="B1793" i="58"/>
  <c r="C1792" i="58"/>
  <c r="B1792" i="58"/>
  <c r="C1791" i="58"/>
  <c r="B1791" i="58"/>
  <c r="C1790" i="58"/>
  <c r="B1790" i="58"/>
  <c r="C1789" i="58"/>
  <c r="B1789" i="58"/>
  <c r="C1788" i="58"/>
  <c r="B1788" i="58"/>
  <c r="C1787" i="58"/>
  <c r="B1787" i="58"/>
  <c r="C1786" i="58"/>
  <c r="B1786" i="58"/>
  <c r="C1785" i="58"/>
  <c r="B1785" i="58"/>
  <c r="C1784" i="58"/>
  <c r="B1784" i="58"/>
  <c r="C1783" i="58"/>
  <c r="B1783" i="58"/>
  <c r="C1782" i="58"/>
  <c r="B1782" i="58"/>
  <c r="C1781" i="58"/>
  <c r="B1781" i="58"/>
  <c r="C1780" i="58"/>
  <c r="B1780" i="58"/>
  <c r="C1779" i="58"/>
  <c r="B1779" i="58"/>
  <c r="C1778" i="58"/>
  <c r="B1778" i="58"/>
  <c r="C1777" i="58"/>
  <c r="B1777" i="58"/>
  <c r="C1776" i="58"/>
  <c r="B1776" i="58"/>
  <c r="C1775" i="58"/>
  <c r="B1775" i="58"/>
  <c r="C1774" i="58"/>
  <c r="B1774" i="58"/>
  <c r="C1773" i="58"/>
  <c r="B1773" i="58"/>
  <c r="C1772" i="58"/>
  <c r="B1772" i="58"/>
  <c r="C1771" i="58"/>
  <c r="B1771" i="58"/>
  <c r="C1770" i="58"/>
  <c r="B1770" i="58"/>
  <c r="C1769" i="58"/>
  <c r="B1769" i="58"/>
  <c r="C1768" i="58"/>
  <c r="B1768" i="58"/>
  <c r="C1767" i="58"/>
  <c r="B1767" i="58"/>
  <c r="C1766" i="58"/>
  <c r="B1766" i="58"/>
  <c r="C1765" i="58"/>
  <c r="B1765" i="58"/>
  <c r="C1764" i="58"/>
  <c r="B1764" i="58"/>
  <c r="C1763" i="58"/>
  <c r="B1763" i="58"/>
  <c r="C1762" i="58"/>
  <c r="B1762" i="58"/>
  <c r="C1761" i="58"/>
  <c r="B1761" i="58"/>
  <c r="C1760" i="58"/>
  <c r="B1760" i="58"/>
  <c r="C1759" i="58"/>
  <c r="B1759" i="58"/>
  <c r="C1758" i="58"/>
  <c r="B1758" i="58"/>
  <c r="C1750" i="58"/>
  <c r="B1750" i="58"/>
  <c r="C1748" i="58"/>
  <c r="B1748" i="58"/>
  <c r="C1745" i="58"/>
  <c r="B1745" i="58"/>
  <c r="C1741" i="58"/>
  <c r="B1741" i="58"/>
  <c r="C1738" i="58"/>
  <c r="B1738" i="58"/>
  <c r="C1737" i="58"/>
  <c r="B1737" i="58"/>
  <c r="C1736" i="58"/>
  <c r="B1736" i="58"/>
  <c r="C1735" i="58"/>
  <c r="B1735" i="58"/>
  <c r="C1734" i="58"/>
  <c r="B1734" i="58"/>
  <c r="C1731" i="58"/>
  <c r="B1731" i="58"/>
  <c r="C1730" i="58"/>
  <c r="B1730" i="58"/>
  <c r="C1729" i="58"/>
  <c r="B1729" i="58"/>
  <c r="C1728" i="58"/>
  <c r="B1728" i="58"/>
  <c r="Q13" i="45"/>
  <c r="AA8" i="45"/>
  <c r="Z8" i="45"/>
  <c r="O32" i="67" s="1"/>
  <c r="Y8" i="45"/>
  <c r="L38" i="68" s="1"/>
  <c r="X8" i="45"/>
  <c r="M32" i="67" s="1"/>
  <c r="W8" i="45"/>
  <c r="V8" i="45"/>
  <c r="U8" i="45"/>
  <c r="T8" i="45"/>
  <c r="S8" i="45"/>
  <c r="R8" i="45"/>
  <c r="Q8" i="45"/>
  <c r="P8" i="45"/>
  <c r="AA6" i="45"/>
  <c r="N36" i="68" s="1"/>
  <c r="N23" i="69" s="1"/>
  <c r="Z6" i="45"/>
  <c r="M36" i="68" s="1"/>
  <c r="M23" i="69" s="1"/>
  <c r="Y6" i="45"/>
  <c r="X6" i="45"/>
  <c r="W6" i="45"/>
  <c r="V6" i="45"/>
  <c r="U6" i="45"/>
  <c r="T6" i="45"/>
  <c r="S6" i="45"/>
  <c r="R6" i="45"/>
  <c r="Q6" i="45"/>
  <c r="P6" i="45"/>
  <c r="AA55" i="42"/>
  <c r="Z55" i="42"/>
  <c r="Y55" i="42"/>
  <c r="X55" i="42"/>
  <c r="W55" i="42"/>
  <c r="V55" i="42"/>
  <c r="U55" i="42"/>
  <c r="T55" i="42"/>
  <c r="S55" i="42"/>
  <c r="R55" i="42"/>
  <c r="Q55" i="42"/>
  <c r="P55" i="42"/>
  <c r="N55" i="42"/>
  <c r="M55" i="42"/>
  <c r="L55" i="42"/>
  <c r="K55" i="42"/>
  <c r="J55" i="42"/>
  <c r="I55" i="42"/>
  <c r="H55" i="42"/>
  <c r="G55" i="42"/>
  <c r="F55" i="42"/>
  <c r="C55" i="42"/>
  <c r="D52" i="42"/>
  <c r="D55" i="42" s="1"/>
  <c r="C56" i="70"/>
  <c r="M56" i="70" s="1"/>
  <c r="B3" i="70"/>
  <c r="D2" i="69"/>
  <c r="E2" i="69" s="1"/>
  <c r="F2" i="69" s="1"/>
  <c r="G2" i="69" s="1"/>
  <c r="H2" i="69" s="1"/>
  <c r="I2" i="69" s="1"/>
  <c r="J2" i="69" s="1"/>
  <c r="K2" i="69" s="1"/>
  <c r="L2" i="69" s="1"/>
  <c r="M2" i="69" s="1"/>
  <c r="N2" i="69" s="1"/>
  <c r="D2" i="68"/>
  <c r="E2" i="68" s="1"/>
  <c r="F2" i="68" s="1"/>
  <c r="G2" i="68" s="1"/>
  <c r="H2" i="68" s="1"/>
  <c r="I2" i="68" s="1"/>
  <c r="J2" i="68" s="1"/>
  <c r="K2" i="68" s="1"/>
  <c r="L2" i="68" s="1"/>
  <c r="M2" i="68" s="1"/>
  <c r="N2" i="68" s="1"/>
  <c r="B3" i="69"/>
  <c r="N42" i="68"/>
  <c r="N29" i="69" s="1"/>
  <c r="M42" i="68"/>
  <c r="M29" i="69" s="1"/>
  <c r="L42" i="68"/>
  <c r="K42" i="68"/>
  <c r="K29" i="69" s="1"/>
  <c r="J42" i="68"/>
  <c r="J29" i="69" s="1"/>
  <c r="I42" i="68"/>
  <c r="H42" i="68"/>
  <c r="H29" i="69" s="1"/>
  <c r="G42" i="68"/>
  <c r="G29" i="69" s="1"/>
  <c r="F42" i="68"/>
  <c r="E42" i="68"/>
  <c r="E29" i="69" s="1"/>
  <c r="D42" i="68"/>
  <c r="D29" i="69" s="1"/>
  <c r="N41" i="68"/>
  <c r="N28" i="69" s="1"/>
  <c r="M41" i="68"/>
  <c r="L41" i="68"/>
  <c r="L28" i="69" s="1"/>
  <c r="K41" i="68"/>
  <c r="K28" i="69" s="1"/>
  <c r="J41" i="68"/>
  <c r="I41" i="68"/>
  <c r="I28" i="69" s="1"/>
  <c r="H41" i="68"/>
  <c r="H28" i="69" s="1"/>
  <c r="G41" i="68"/>
  <c r="G28" i="69" s="1"/>
  <c r="F41" i="68"/>
  <c r="F28" i="69" s="1"/>
  <c r="E41" i="68"/>
  <c r="E28" i="69" s="1"/>
  <c r="D41" i="68"/>
  <c r="N40" i="68"/>
  <c r="N27" i="69" s="1"/>
  <c r="M40" i="68"/>
  <c r="M27" i="69" s="1"/>
  <c r="L40" i="68"/>
  <c r="L27" i="69" s="1"/>
  <c r="K40" i="68"/>
  <c r="K27" i="69" s="1"/>
  <c r="J40" i="68"/>
  <c r="J27" i="69" s="1"/>
  <c r="I40" i="68"/>
  <c r="I27" i="69" s="1"/>
  <c r="H40" i="68"/>
  <c r="H27" i="69" s="1"/>
  <c r="G40" i="68"/>
  <c r="G27" i="69" s="1"/>
  <c r="F40" i="68"/>
  <c r="F27" i="69" s="1"/>
  <c r="E40" i="68"/>
  <c r="E27" i="69" s="1"/>
  <c r="D40" i="68"/>
  <c r="D27" i="69" s="1"/>
  <c r="N39" i="68"/>
  <c r="N26" i="69" s="1"/>
  <c r="M39" i="68"/>
  <c r="M26" i="69" s="1"/>
  <c r="L39" i="68"/>
  <c r="L26" i="69" s="1"/>
  <c r="K39" i="68"/>
  <c r="K26" i="69" s="1"/>
  <c r="J39" i="68"/>
  <c r="J26" i="69" s="1"/>
  <c r="I39" i="68"/>
  <c r="I26" i="69" s="1"/>
  <c r="H39" i="68"/>
  <c r="H26" i="69" s="1"/>
  <c r="G39" i="68"/>
  <c r="F39" i="68"/>
  <c r="F26" i="69" s="1"/>
  <c r="E39" i="68"/>
  <c r="E26" i="69" s="1"/>
  <c r="D39" i="68"/>
  <c r="D26" i="69" s="1"/>
  <c r="N38" i="68"/>
  <c r="N25" i="69" s="1"/>
  <c r="M38" i="68"/>
  <c r="J38" i="68"/>
  <c r="I38" i="68"/>
  <c r="I25" i="69" s="1"/>
  <c r="H38" i="68"/>
  <c r="H25" i="69" s="1"/>
  <c r="G38" i="68"/>
  <c r="G25" i="69" s="1"/>
  <c r="F38" i="68"/>
  <c r="F25" i="69" s="1"/>
  <c r="E38" i="68"/>
  <c r="E25" i="69" s="1"/>
  <c r="D38" i="68"/>
  <c r="D25" i="69" s="1"/>
  <c r="N37" i="68"/>
  <c r="N24" i="69" s="1"/>
  <c r="M37" i="68"/>
  <c r="M24" i="69" s="1"/>
  <c r="L37" i="68"/>
  <c r="L24" i="69" s="1"/>
  <c r="K37" i="68"/>
  <c r="K24" i="69" s="1"/>
  <c r="J37" i="68"/>
  <c r="J24" i="69" s="1"/>
  <c r="I37" i="68"/>
  <c r="H37" i="68"/>
  <c r="H24" i="69" s="1"/>
  <c r="G37" i="68"/>
  <c r="G24" i="69" s="1"/>
  <c r="F37" i="68"/>
  <c r="F24" i="69" s="1"/>
  <c r="E37" i="68"/>
  <c r="E24" i="69" s="1"/>
  <c r="D37" i="68"/>
  <c r="D24" i="69" s="1"/>
  <c r="L36" i="68"/>
  <c r="L23" i="69" s="1"/>
  <c r="K36" i="68"/>
  <c r="K23" i="69" s="1"/>
  <c r="J36" i="68"/>
  <c r="J23" i="69" s="1"/>
  <c r="I36" i="68"/>
  <c r="I23" i="69" s="1"/>
  <c r="H36" i="68"/>
  <c r="H23" i="69" s="1"/>
  <c r="G36" i="68"/>
  <c r="G23" i="69" s="1"/>
  <c r="F36" i="68"/>
  <c r="F23" i="69" s="1"/>
  <c r="E36" i="68"/>
  <c r="E23" i="69" s="1"/>
  <c r="D36" i="68"/>
  <c r="D23" i="69" s="1"/>
  <c r="N35" i="68"/>
  <c r="M35" i="68"/>
  <c r="M22" i="69" s="1"/>
  <c r="L35" i="68"/>
  <c r="L22" i="69" s="1"/>
  <c r="K35" i="68"/>
  <c r="K22" i="69" s="1"/>
  <c r="J35" i="68"/>
  <c r="J22" i="69" s="1"/>
  <c r="I35" i="68"/>
  <c r="I22" i="69" s="1"/>
  <c r="H35" i="68"/>
  <c r="H22" i="69" s="1"/>
  <c r="G35" i="68"/>
  <c r="G22" i="69" s="1"/>
  <c r="F35" i="68"/>
  <c r="E35" i="68"/>
  <c r="E22" i="69" s="1"/>
  <c r="D35" i="68"/>
  <c r="D22" i="69" s="1"/>
  <c r="C43" i="68"/>
  <c r="C30" i="69" s="1"/>
  <c r="N43" i="35"/>
  <c r="M43" i="35"/>
  <c r="L43" i="35"/>
  <c r="N42" i="35"/>
  <c r="M42" i="35"/>
  <c r="L42" i="35"/>
  <c r="N41" i="35"/>
  <c r="M41" i="35"/>
  <c r="L41" i="35"/>
  <c r="N40" i="35"/>
  <c r="M40" i="35"/>
  <c r="L40" i="35"/>
  <c r="N39" i="35"/>
  <c r="M39" i="35"/>
  <c r="L39" i="35"/>
  <c r="N38" i="35"/>
  <c r="M38" i="35"/>
  <c r="L38" i="35"/>
  <c r="N37" i="35"/>
  <c r="M37" i="35"/>
  <c r="L37" i="35"/>
  <c r="N36" i="35"/>
  <c r="M36" i="35"/>
  <c r="L36" i="35"/>
  <c r="N35" i="35"/>
  <c r="M35" i="35"/>
  <c r="L35" i="35"/>
  <c r="N59" i="68"/>
  <c r="N46" i="69" s="1"/>
  <c r="M59" i="68"/>
  <c r="M46" i="69" s="1"/>
  <c r="L59" i="68"/>
  <c r="L46" i="69" s="1"/>
  <c r="K59" i="68"/>
  <c r="K46" i="69" s="1"/>
  <c r="J59" i="68"/>
  <c r="J46" i="69" s="1"/>
  <c r="I59" i="68"/>
  <c r="I46" i="69" s="1"/>
  <c r="H59" i="68"/>
  <c r="H46" i="69" s="1"/>
  <c r="G59" i="68"/>
  <c r="G46" i="69" s="1"/>
  <c r="F59" i="68"/>
  <c r="F46" i="69" s="1"/>
  <c r="E59" i="68"/>
  <c r="E46" i="69" s="1"/>
  <c r="D59" i="68"/>
  <c r="D46" i="69" s="1"/>
  <c r="C59" i="68"/>
  <c r="C46" i="69" s="1"/>
  <c r="N53" i="68"/>
  <c r="N40" i="69" s="1"/>
  <c r="M53" i="68"/>
  <c r="M40" i="69" s="1"/>
  <c r="L53" i="68"/>
  <c r="L40" i="69" s="1"/>
  <c r="K53" i="68"/>
  <c r="K40" i="69" s="1"/>
  <c r="J53" i="68"/>
  <c r="J40" i="69" s="1"/>
  <c r="I53" i="68"/>
  <c r="I40" i="69" s="1"/>
  <c r="H53" i="68"/>
  <c r="H40" i="69" s="1"/>
  <c r="G53" i="68"/>
  <c r="G40" i="69" s="1"/>
  <c r="F53" i="68"/>
  <c r="F40" i="69" s="1"/>
  <c r="E53" i="68"/>
  <c r="E40" i="69" s="1"/>
  <c r="D53" i="68"/>
  <c r="D40" i="69" s="1"/>
  <c r="N52" i="68"/>
  <c r="N39" i="69" s="1"/>
  <c r="M52" i="68"/>
  <c r="M39" i="69" s="1"/>
  <c r="L52" i="68"/>
  <c r="L39" i="69" s="1"/>
  <c r="K52" i="68"/>
  <c r="K39" i="69" s="1"/>
  <c r="J52" i="68"/>
  <c r="J39" i="69" s="1"/>
  <c r="I52" i="68"/>
  <c r="I39" i="69" s="1"/>
  <c r="H52" i="68"/>
  <c r="H39" i="69" s="1"/>
  <c r="G52" i="68"/>
  <c r="G39" i="69" s="1"/>
  <c r="F52" i="68"/>
  <c r="E52" i="68"/>
  <c r="E39" i="69" s="1"/>
  <c r="D52" i="68"/>
  <c r="D39" i="69" s="1"/>
  <c r="N51" i="68"/>
  <c r="N38" i="69" s="1"/>
  <c r="M51" i="68"/>
  <c r="M38" i="69" s="1"/>
  <c r="L51" i="68"/>
  <c r="K51" i="68"/>
  <c r="K38" i="69" s="1"/>
  <c r="J51" i="68"/>
  <c r="J38" i="69" s="1"/>
  <c r="I51" i="68"/>
  <c r="H51" i="68"/>
  <c r="H38" i="69" s="1"/>
  <c r="G51" i="68"/>
  <c r="G38" i="69" s="1"/>
  <c r="F51" i="68"/>
  <c r="F38" i="69" s="1"/>
  <c r="E51" i="68"/>
  <c r="E38" i="69" s="1"/>
  <c r="D51" i="68"/>
  <c r="D38" i="69" s="1"/>
  <c r="N50" i="68"/>
  <c r="N37" i="69" s="1"/>
  <c r="M50" i="68"/>
  <c r="M37" i="69" s="1"/>
  <c r="L50" i="68"/>
  <c r="L37" i="69" s="1"/>
  <c r="K50" i="68"/>
  <c r="K37" i="69" s="1"/>
  <c r="J50" i="68"/>
  <c r="J37" i="69" s="1"/>
  <c r="I50" i="68"/>
  <c r="I37" i="69" s="1"/>
  <c r="H50" i="68"/>
  <c r="H37" i="69" s="1"/>
  <c r="G50" i="68"/>
  <c r="G37" i="69" s="1"/>
  <c r="F50" i="68"/>
  <c r="F37" i="69" s="1"/>
  <c r="E50" i="68"/>
  <c r="E37" i="69" s="1"/>
  <c r="D50" i="68"/>
  <c r="D37" i="69" s="1"/>
  <c r="N49" i="68"/>
  <c r="N36" i="69" s="1"/>
  <c r="M49" i="68"/>
  <c r="M36" i="69" s="1"/>
  <c r="L49" i="68"/>
  <c r="L36" i="69" s="1"/>
  <c r="K49" i="68"/>
  <c r="K36" i="69" s="1"/>
  <c r="J49" i="68"/>
  <c r="J36" i="69" s="1"/>
  <c r="I49" i="68"/>
  <c r="I36" i="69" s="1"/>
  <c r="H49" i="68"/>
  <c r="H36" i="69" s="1"/>
  <c r="G49" i="68"/>
  <c r="G36" i="69" s="1"/>
  <c r="F49" i="68"/>
  <c r="F36" i="69" s="1"/>
  <c r="E49" i="68"/>
  <c r="E36" i="69" s="1"/>
  <c r="D49" i="68"/>
  <c r="D36" i="69" s="1"/>
  <c r="N48" i="68"/>
  <c r="M48" i="68"/>
  <c r="M35" i="69" s="1"/>
  <c r="L48" i="68"/>
  <c r="L35" i="69" s="1"/>
  <c r="K48" i="68"/>
  <c r="K35" i="69" s="1"/>
  <c r="J48" i="68"/>
  <c r="J35" i="69" s="1"/>
  <c r="I48" i="68"/>
  <c r="H48" i="68"/>
  <c r="H35" i="69" s="1"/>
  <c r="G48" i="68"/>
  <c r="G35" i="69" s="1"/>
  <c r="F48" i="68"/>
  <c r="F35" i="69" s="1"/>
  <c r="E48" i="68"/>
  <c r="E35" i="69" s="1"/>
  <c r="D48" i="68"/>
  <c r="D35" i="69" s="1"/>
  <c r="C53" i="68"/>
  <c r="C40" i="69" s="1"/>
  <c r="C52" i="68"/>
  <c r="C39" i="69" s="1"/>
  <c r="C51" i="68"/>
  <c r="C38" i="69" s="1"/>
  <c r="C50" i="68"/>
  <c r="C49" i="68"/>
  <c r="C36" i="69" s="1"/>
  <c r="C48" i="68"/>
  <c r="C35" i="69" s="1"/>
  <c r="C42" i="68"/>
  <c r="C29" i="69" s="1"/>
  <c r="C41" i="68"/>
  <c r="C28" i="69" s="1"/>
  <c r="C40" i="68"/>
  <c r="C27" i="69" s="1"/>
  <c r="C39" i="68"/>
  <c r="C38" i="68"/>
  <c r="C37" i="68"/>
  <c r="C24" i="69" s="1"/>
  <c r="C36" i="68"/>
  <c r="C35" i="68"/>
  <c r="C22" i="69" s="1"/>
  <c r="B3" i="68"/>
  <c r="P53" i="67"/>
  <c r="O53" i="67"/>
  <c r="N53" i="67"/>
  <c r="M53" i="67"/>
  <c r="L53" i="67"/>
  <c r="K53" i="67"/>
  <c r="J53" i="67"/>
  <c r="I53" i="67"/>
  <c r="H53" i="67"/>
  <c r="G53" i="67"/>
  <c r="F53" i="67"/>
  <c r="E53" i="67"/>
  <c r="P47" i="67"/>
  <c r="O47" i="67"/>
  <c r="N47" i="67"/>
  <c r="M47" i="67"/>
  <c r="L47" i="67"/>
  <c r="K47" i="67"/>
  <c r="J47" i="67"/>
  <c r="I47" i="67"/>
  <c r="H47" i="67"/>
  <c r="G47" i="67"/>
  <c r="F47" i="67"/>
  <c r="P46" i="67"/>
  <c r="O46" i="67"/>
  <c r="N46" i="67"/>
  <c r="M46" i="67"/>
  <c r="L46" i="67"/>
  <c r="K46" i="67"/>
  <c r="J46" i="67"/>
  <c r="I46" i="67"/>
  <c r="H46" i="67"/>
  <c r="G46" i="67"/>
  <c r="F46" i="67"/>
  <c r="P45" i="67"/>
  <c r="O45" i="67"/>
  <c r="N45" i="67"/>
  <c r="M45" i="67"/>
  <c r="L45" i="67"/>
  <c r="K45" i="67"/>
  <c r="J45" i="67"/>
  <c r="I45" i="67"/>
  <c r="H45" i="67"/>
  <c r="G45" i="67"/>
  <c r="F45" i="67"/>
  <c r="P44" i="67"/>
  <c r="O44" i="67"/>
  <c r="N44" i="67"/>
  <c r="M44" i="67"/>
  <c r="L44" i="67"/>
  <c r="K44" i="67"/>
  <c r="J44" i="67"/>
  <c r="I44" i="67"/>
  <c r="H44" i="67"/>
  <c r="G44" i="67"/>
  <c r="F44" i="67"/>
  <c r="P43" i="67"/>
  <c r="O43" i="67"/>
  <c r="N43" i="67"/>
  <c r="M43" i="67"/>
  <c r="L43" i="67"/>
  <c r="K43" i="67"/>
  <c r="J43" i="67"/>
  <c r="I43" i="67"/>
  <c r="H43" i="67"/>
  <c r="G43" i="67"/>
  <c r="F43" i="67"/>
  <c r="P42" i="67"/>
  <c r="O42" i="67"/>
  <c r="N42" i="67"/>
  <c r="M42" i="67"/>
  <c r="L42" i="67"/>
  <c r="K42" i="67"/>
  <c r="J42" i="67"/>
  <c r="I42" i="67"/>
  <c r="H42" i="67"/>
  <c r="G42" i="67"/>
  <c r="F42" i="67"/>
  <c r="E47" i="67"/>
  <c r="E46" i="67"/>
  <c r="E45" i="67"/>
  <c r="E44" i="67"/>
  <c r="E43" i="67"/>
  <c r="E42" i="67"/>
  <c r="P36" i="67"/>
  <c r="O36" i="67"/>
  <c r="N36" i="67"/>
  <c r="M36" i="67"/>
  <c r="L36" i="67"/>
  <c r="K36" i="67"/>
  <c r="J36" i="67"/>
  <c r="I36" i="67"/>
  <c r="H36" i="67"/>
  <c r="G36" i="67"/>
  <c r="F36" i="67"/>
  <c r="P35" i="67"/>
  <c r="O35" i="67"/>
  <c r="N35" i="67"/>
  <c r="M35" i="67"/>
  <c r="L35" i="67"/>
  <c r="K35" i="67"/>
  <c r="J35" i="67"/>
  <c r="I35" i="67"/>
  <c r="H35" i="67"/>
  <c r="G35" i="67"/>
  <c r="F35" i="67"/>
  <c r="P34" i="67"/>
  <c r="O34" i="67"/>
  <c r="N34" i="67"/>
  <c r="M34" i="67"/>
  <c r="L34" i="67"/>
  <c r="K34" i="67"/>
  <c r="J34" i="67"/>
  <c r="I34" i="67"/>
  <c r="H34" i="67"/>
  <c r="G34" i="67"/>
  <c r="F34" i="67"/>
  <c r="P33" i="67"/>
  <c r="O33" i="67"/>
  <c r="N33" i="67"/>
  <c r="M33" i="67"/>
  <c r="L33" i="67"/>
  <c r="K33" i="67"/>
  <c r="J33" i="67"/>
  <c r="I33" i="67"/>
  <c r="H33" i="67"/>
  <c r="G33" i="67"/>
  <c r="F33" i="67"/>
  <c r="P32" i="67"/>
  <c r="N32" i="67"/>
  <c r="L32" i="67"/>
  <c r="K32" i="67"/>
  <c r="J32" i="67"/>
  <c r="I32" i="67"/>
  <c r="H32" i="67"/>
  <c r="G32" i="67"/>
  <c r="F32" i="67"/>
  <c r="P31" i="67"/>
  <c r="O31" i="67"/>
  <c r="N31" i="67"/>
  <c r="M31" i="67"/>
  <c r="L31" i="67"/>
  <c r="K31" i="67"/>
  <c r="J31" i="67"/>
  <c r="I31" i="67"/>
  <c r="H31" i="67"/>
  <c r="G31" i="67"/>
  <c r="F31" i="67"/>
  <c r="O30" i="67"/>
  <c r="N30" i="67"/>
  <c r="M30" i="67"/>
  <c r="L30" i="67"/>
  <c r="K30" i="67"/>
  <c r="J30" i="67"/>
  <c r="I30" i="67"/>
  <c r="H30" i="67"/>
  <c r="G30" i="67"/>
  <c r="F30" i="67"/>
  <c r="P29" i="67"/>
  <c r="O29" i="67"/>
  <c r="N29" i="67"/>
  <c r="M29" i="67"/>
  <c r="L29" i="67"/>
  <c r="K29" i="67"/>
  <c r="J29" i="67"/>
  <c r="I29" i="67"/>
  <c r="H29" i="67"/>
  <c r="G29" i="67"/>
  <c r="F29" i="67"/>
  <c r="P28" i="67"/>
  <c r="O28" i="67"/>
  <c r="N28" i="67"/>
  <c r="M28" i="67"/>
  <c r="L28" i="67"/>
  <c r="K28" i="67"/>
  <c r="J28" i="67"/>
  <c r="I28" i="67"/>
  <c r="H28" i="67"/>
  <c r="G28" i="67"/>
  <c r="F28" i="67"/>
  <c r="E37" i="67"/>
  <c r="E36" i="67"/>
  <c r="E35" i="67"/>
  <c r="E34" i="67"/>
  <c r="E33" i="67"/>
  <c r="E32" i="67"/>
  <c r="E31" i="67"/>
  <c r="E30" i="67"/>
  <c r="E29" i="67"/>
  <c r="E28" i="67"/>
  <c r="U20" i="67"/>
  <c r="D3" i="67"/>
  <c r="F2" i="67"/>
  <c r="AF27" i="57"/>
  <c r="AE27" i="57"/>
  <c r="AP24" i="57"/>
  <c r="AO24" i="57"/>
  <c r="AM24" i="57"/>
  <c r="AL24" i="57"/>
  <c r="AK24" i="57"/>
  <c r="AJ24" i="57"/>
  <c r="AH24" i="57"/>
  <c r="AG24" i="57"/>
  <c r="AF24" i="57"/>
  <c r="AE24" i="57"/>
  <c r="AP23" i="57"/>
  <c r="AO23" i="57"/>
  <c r="AM23" i="57"/>
  <c r="AL23" i="57"/>
  <c r="AK23" i="57"/>
  <c r="AJ23" i="57"/>
  <c r="AH23" i="57"/>
  <c r="AG23" i="57"/>
  <c r="AF23" i="57"/>
  <c r="AF25" i="57" s="1"/>
  <c r="AE23" i="57"/>
  <c r="AE25" i="57" s="1"/>
  <c r="AP22" i="57"/>
  <c r="AO22" i="57"/>
  <c r="AM22" i="57"/>
  <c r="AL22" i="57"/>
  <c r="AK22" i="57"/>
  <c r="AJ22" i="57"/>
  <c r="AH22" i="57"/>
  <c r="AG22" i="57"/>
  <c r="AF22" i="57"/>
  <c r="AE22" i="57"/>
  <c r="AP19" i="57"/>
  <c r="AO19" i="57"/>
  <c r="AM19" i="57"/>
  <c r="AL19" i="57"/>
  <c r="AK19" i="57"/>
  <c r="AJ19" i="57"/>
  <c r="AH19" i="57"/>
  <c r="AG19" i="57"/>
  <c r="AF19" i="57"/>
  <c r="AE19" i="57"/>
  <c r="AP18" i="57"/>
  <c r="AO18" i="57"/>
  <c r="AM18" i="57"/>
  <c r="AL18" i="57"/>
  <c r="AK18" i="57"/>
  <c r="AJ18" i="57"/>
  <c r="AH18" i="57"/>
  <c r="AG18" i="57"/>
  <c r="AF18" i="57"/>
  <c r="AF20" i="57" s="1"/>
  <c r="AE18" i="57"/>
  <c r="AE20" i="57" s="1"/>
  <c r="AP17" i="57"/>
  <c r="AO17" i="57"/>
  <c r="AM17" i="57"/>
  <c r="AL17" i="57"/>
  <c r="AK17" i="57"/>
  <c r="AJ17" i="57"/>
  <c r="AH17" i="57"/>
  <c r="AG17" i="57"/>
  <c r="AF17" i="57"/>
  <c r="AE17" i="57"/>
  <c r="AP12" i="57"/>
  <c r="AO12" i="57"/>
  <c r="AM12" i="57"/>
  <c r="AL12" i="57"/>
  <c r="AK12" i="57"/>
  <c r="AJ12" i="57"/>
  <c r="AH12" i="57"/>
  <c r="AG12" i="57"/>
  <c r="AF12" i="57"/>
  <c r="AE12" i="57"/>
  <c r="AP11" i="57"/>
  <c r="AO11" i="57"/>
  <c r="AM11" i="57"/>
  <c r="AL11" i="57"/>
  <c r="AK11" i="57"/>
  <c r="AJ11" i="57"/>
  <c r="AH11" i="57"/>
  <c r="AG11" i="57"/>
  <c r="AF11" i="57"/>
  <c r="AE11" i="57"/>
  <c r="AP10" i="57"/>
  <c r="AO10" i="57"/>
  <c r="AM10" i="57"/>
  <c r="AL10" i="57"/>
  <c r="AK10" i="57"/>
  <c r="AJ10" i="57"/>
  <c r="AH10" i="57"/>
  <c r="AG10" i="57"/>
  <c r="AF10" i="57"/>
  <c r="AE10" i="57"/>
  <c r="AP7" i="57"/>
  <c r="AO7" i="57"/>
  <c r="AM7" i="57"/>
  <c r="AL7" i="57"/>
  <c r="AK7" i="57"/>
  <c r="AJ7" i="57"/>
  <c r="AH7" i="57"/>
  <c r="AG7" i="57"/>
  <c r="AF7" i="57"/>
  <c r="AE7" i="57"/>
  <c r="AP6" i="57"/>
  <c r="AO6" i="57"/>
  <c r="AM6" i="57"/>
  <c r="AL6" i="57"/>
  <c r="AK6" i="57"/>
  <c r="AJ6" i="57"/>
  <c r="AH6" i="57"/>
  <c r="AG6" i="57"/>
  <c r="AF6" i="57"/>
  <c r="AE6" i="57"/>
  <c r="AP5" i="57"/>
  <c r="AO5" i="57"/>
  <c r="AM5" i="57"/>
  <c r="AL5" i="57"/>
  <c r="AK5" i="57"/>
  <c r="AJ5" i="57"/>
  <c r="AH5" i="57"/>
  <c r="AG5" i="57"/>
  <c r="AF5" i="57"/>
  <c r="AE5" i="57"/>
  <c r="R25" i="57"/>
  <c r="R20" i="57"/>
  <c r="R13" i="57"/>
  <c r="R8" i="57"/>
  <c r="R15" i="57" s="1"/>
  <c r="AC36" i="57"/>
  <c r="P12" i="67" s="1"/>
  <c r="AB36" i="57"/>
  <c r="O12" i="67" s="1"/>
  <c r="AA36" i="57"/>
  <c r="Z36" i="57"/>
  <c r="M12" i="67" s="1"/>
  <c r="Y36" i="57"/>
  <c r="J12" i="68" s="1"/>
  <c r="X36" i="57"/>
  <c r="I12" i="68" s="1"/>
  <c r="W36" i="57"/>
  <c r="J12" i="67" s="1"/>
  <c r="V36" i="57"/>
  <c r="G12" i="68" s="1"/>
  <c r="U36" i="57"/>
  <c r="T36" i="57"/>
  <c r="S36" i="57"/>
  <c r="R36" i="57"/>
  <c r="AC35" i="57"/>
  <c r="P11" i="67" s="1"/>
  <c r="AB35" i="57"/>
  <c r="O11" i="67" s="1"/>
  <c r="AA35" i="57"/>
  <c r="Z35" i="57"/>
  <c r="M11" i="67" s="1"/>
  <c r="Y35" i="57"/>
  <c r="J11" i="68" s="1"/>
  <c r="X35" i="57"/>
  <c r="I11" i="68" s="1"/>
  <c r="W35" i="57"/>
  <c r="V35" i="57"/>
  <c r="U35" i="57"/>
  <c r="T35" i="57"/>
  <c r="G11" i="67" s="1"/>
  <c r="S35" i="57"/>
  <c r="F11" i="67" s="1"/>
  <c r="R35" i="57"/>
  <c r="AC34" i="57"/>
  <c r="AB34" i="57"/>
  <c r="AA34" i="57"/>
  <c r="Z34" i="57"/>
  <c r="Y34" i="57"/>
  <c r="X34" i="57"/>
  <c r="W34" i="57"/>
  <c r="J10" i="67" s="1"/>
  <c r="V34" i="57"/>
  <c r="G10" i="68" s="1"/>
  <c r="U34" i="57"/>
  <c r="H10" i="67" s="1"/>
  <c r="T34" i="57"/>
  <c r="G10" i="67" s="1"/>
  <c r="S34" i="57"/>
  <c r="F10" i="67" s="1"/>
  <c r="R34" i="57"/>
  <c r="E10" i="67" s="1"/>
  <c r="AC31" i="57"/>
  <c r="AB31" i="57"/>
  <c r="AA31" i="57"/>
  <c r="N7" i="67" s="1"/>
  <c r="Z31" i="57"/>
  <c r="Y31" i="57"/>
  <c r="X31" i="57"/>
  <c r="W31" i="57"/>
  <c r="V31" i="57"/>
  <c r="U31" i="57"/>
  <c r="T31" i="57"/>
  <c r="S31" i="57"/>
  <c r="F7" i="67" s="1"/>
  <c r="R31" i="57"/>
  <c r="AC30" i="57"/>
  <c r="P6" i="67" s="1"/>
  <c r="AB30" i="57"/>
  <c r="O6" i="67" s="1"/>
  <c r="AA30" i="57"/>
  <c r="Z30" i="57"/>
  <c r="M6" i="67" s="1"/>
  <c r="Y30" i="57"/>
  <c r="J6" i="68" s="1"/>
  <c r="X30" i="57"/>
  <c r="W30" i="57"/>
  <c r="H6" i="68" s="1"/>
  <c r="V30" i="57"/>
  <c r="I6" i="67" s="1"/>
  <c r="U30" i="57"/>
  <c r="T30" i="57"/>
  <c r="E6" i="68" s="1"/>
  <c r="S30" i="57"/>
  <c r="R30" i="57"/>
  <c r="AC29" i="57"/>
  <c r="AB29" i="57"/>
  <c r="AA29" i="57"/>
  <c r="Z29" i="57"/>
  <c r="Y29" i="57"/>
  <c r="X29" i="57"/>
  <c r="I5" i="68" s="1"/>
  <c r="W29" i="57"/>
  <c r="H5" i="68" s="1"/>
  <c r="V29" i="57"/>
  <c r="G5" i="68" s="1"/>
  <c r="U29" i="57"/>
  <c r="H5" i="67" s="1"/>
  <c r="T29" i="57"/>
  <c r="E5" i="68" s="1"/>
  <c r="S29" i="57"/>
  <c r="R29" i="57"/>
  <c r="AC25" i="57"/>
  <c r="AB25" i="57"/>
  <c r="AA25" i="57"/>
  <c r="Z25" i="57"/>
  <c r="Y25" i="57"/>
  <c r="X25" i="57"/>
  <c r="W25" i="57"/>
  <c r="V25" i="57"/>
  <c r="U25" i="57"/>
  <c r="T25" i="57"/>
  <c r="S25" i="57"/>
  <c r="AC20" i="57"/>
  <c r="AB20" i="57"/>
  <c r="AA20" i="57"/>
  <c r="Z20" i="57"/>
  <c r="Y20" i="57"/>
  <c r="X20" i="57"/>
  <c r="W20" i="57"/>
  <c r="V20" i="57"/>
  <c r="U20" i="57"/>
  <c r="T20" i="57"/>
  <c r="S20" i="57"/>
  <c r="AC13" i="57"/>
  <c r="AB13" i="57"/>
  <c r="AA13" i="57"/>
  <c r="Z13" i="57"/>
  <c r="Y13" i="57"/>
  <c r="X13" i="57"/>
  <c r="W13" i="57"/>
  <c r="V13" i="57"/>
  <c r="U13" i="57"/>
  <c r="T13" i="57"/>
  <c r="S13" i="57"/>
  <c r="AC8" i="57"/>
  <c r="AB8" i="57"/>
  <c r="AA8" i="57"/>
  <c r="Z8" i="57"/>
  <c r="Y8" i="57"/>
  <c r="X8" i="57"/>
  <c r="W8" i="57"/>
  <c r="V8" i="57"/>
  <c r="U8" i="57"/>
  <c r="T8" i="57"/>
  <c r="S8" i="57"/>
  <c r="I84" i="74" l="1"/>
  <c r="J63" i="74"/>
  <c r="I69" i="74"/>
  <c r="I90" i="74" s="1"/>
  <c r="N55" i="74"/>
  <c r="N68" i="74"/>
  <c r="P30" i="67"/>
  <c r="Q41" i="68"/>
  <c r="I41" i="70" s="1"/>
  <c r="AR23" i="57"/>
  <c r="AR19" i="57"/>
  <c r="AH20" i="57"/>
  <c r="W15" i="57"/>
  <c r="AK8" i="57"/>
  <c r="AM35" i="57"/>
  <c r="AL13" i="57"/>
  <c r="E7" i="67"/>
  <c r="R7" i="67" s="1"/>
  <c r="E5" i="67"/>
  <c r="D7" i="68"/>
  <c r="D5" i="68"/>
  <c r="C6" i="68"/>
  <c r="AE8" i="57"/>
  <c r="N11" i="67"/>
  <c r="U11" i="67" s="1"/>
  <c r="H11" i="68"/>
  <c r="G11" i="68"/>
  <c r="G13" i="68" s="1"/>
  <c r="G6" i="69" s="1"/>
  <c r="H11" i="67"/>
  <c r="P10" i="67"/>
  <c r="P13" i="67" s="1"/>
  <c r="AC27" i="57"/>
  <c r="AM25" i="57"/>
  <c r="O10" i="67"/>
  <c r="O13" i="67" s="1"/>
  <c r="N10" i="67"/>
  <c r="M10" i="67"/>
  <c r="M13" i="67" s="1"/>
  <c r="L10" i="67"/>
  <c r="I10" i="68"/>
  <c r="AL25" i="57"/>
  <c r="G12" i="67"/>
  <c r="G13" i="67" s="1"/>
  <c r="F12" i="67"/>
  <c r="AP25" i="57"/>
  <c r="C12" i="68"/>
  <c r="AA32" i="57"/>
  <c r="AA44" i="57" s="1"/>
  <c r="F7" i="68"/>
  <c r="G7" i="68"/>
  <c r="H7" i="68"/>
  <c r="H8" i="68" s="1"/>
  <c r="H5" i="69" s="1"/>
  <c r="I7" i="68"/>
  <c r="U27" i="57"/>
  <c r="J7" i="68"/>
  <c r="K7" i="68"/>
  <c r="AK20" i="57"/>
  <c r="L7" i="68"/>
  <c r="AL20" i="57"/>
  <c r="M7" i="68"/>
  <c r="N7" i="68"/>
  <c r="AS19" i="57"/>
  <c r="AP20" i="57"/>
  <c r="AJ20" i="57"/>
  <c r="G7" i="67"/>
  <c r="AG20" i="57"/>
  <c r="AK36" i="57"/>
  <c r="AJ35" i="57"/>
  <c r="AM36" i="57"/>
  <c r="C7" i="68"/>
  <c r="AJ8" i="57"/>
  <c r="Z32" i="57"/>
  <c r="S32" i="57"/>
  <c r="S44" i="57" s="1"/>
  <c r="K38" i="68"/>
  <c r="K25" i="69" s="1"/>
  <c r="P29" i="69"/>
  <c r="U36" i="67"/>
  <c r="R39" i="68"/>
  <c r="J39" i="70" s="1"/>
  <c r="S40" i="69"/>
  <c r="R37" i="69"/>
  <c r="Q37" i="68"/>
  <c r="I37" i="70" s="1"/>
  <c r="U29" i="67"/>
  <c r="U33" i="67"/>
  <c r="Q36" i="69"/>
  <c r="R37" i="68"/>
  <c r="J37" i="70" s="1"/>
  <c r="Q39" i="68"/>
  <c r="I39" i="70" s="1"/>
  <c r="P50" i="68"/>
  <c r="H50" i="70" s="1"/>
  <c r="S35" i="68"/>
  <c r="K35" i="70" s="1"/>
  <c r="Q35" i="69"/>
  <c r="Q40" i="69"/>
  <c r="U32" i="67"/>
  <c r="P39" i="69"/>
  <c r="R51" i="68"/>
  <c r="J51" i="70" s="1"/>
  <c r="R41" i="68"/>
  <c r="J41" i="70" s="1"/>
  <c r="U44" i="67"/>
  <c r="P53" i="68"/>
  <c r="H53" i="70" s="1"/>
  <c r="Q59" i="68"/>
  <c r="R46" i="69"/>
  <c r="I24" i="69"/>
  <c r="R24" i="69" s="1"/>
  <c r="U46" i="67"/>
  <c r="S46" i="69"/>
  <c r="R26" i="69"/>
  <c r="P38" i="69"/>
  <c r="S36" i="69"/>
  <c r="U53" i="67"/>
  <c r="S51" i="68"/>
  <c r="K51" i="70" s="1"/>
  <c r="C37" i="69"/>
  <c r="P37" i="69" s="1"/>
  <c r="Q49" i="68"/>
  <c r="I49" i="70" s="1"/>
  <c r="U50" i="68"/>
  <c r="Q37" i="69"/>
  <c r="R50" i="68"/>
  <c r="J50" i="70" s="1"/>
  <c r="R48" i="68"/>
  <c r="J48" i="70" s="1"/>
  <c r="Q42" i="68"/>
  <c r="I42" i="70" s="1"/>
  <c r="Q52" i="68"/>
  <c r="I52" i="70" s="1"/>
  <c r="N22" i="69"/>
  <c r="S22" i="69" s="1"/>
  <c r="S52" i="68"/>
  <c r="K52" i="70" s="1"/>
  <c r="F39" i="69"/>
  <c r="Q39" i="69" s="1"/>
  <c r="S50" i="68"/>
  <c r="K50" i="70" s="1"/>
  <c r="U42" i="67"/>
  <c r="U59" i="68"/>
  <c r="S48" i="68"/>
  <c r="K48" i="70" s="1"/>
  <c r="R22" i="69"/>
  <c r="Q46" i="69"/>
  <c r="S39" i="69"/>
  <c r="R36" i="69"/>
  <c r="P40" i="69"/>
  <c r="S37" i="69"/>
  <c r="L38" i="69"/>
  <c r="S38" i="69" s="1"/>
  <c r="Q50" i="68"/>
  <c r="I50" i="70" s="1"/>
  <c r="U34" i="67"/>
  <c r="U48" i="68"/>
  <c r="R53" i="68"/>
  <c r="J53" i="70" s="1"/>
  <c r="S41" i="68"/>
  <c r="K41" i="70" s="1"/>
  <c r="Q24" i="69"/>
  <c r="Q48" i="68"/>
  <c r="I48" i="70" s="1"/>
  <c r="R23" i="69"/>
  <c r="R52" i="68"/>
  <c r="J52" i="70" s="1"/>
  <c r="S53" i="68"/>
  <c r="K53" i="70" s="1"/>
  <c r="I35" i="69"/>
  <c r="R35" i="69" s="1"/>
  <c r="U46" i="69"/>
  <c r="J28" i="69"/>
  <c r="R28" i="69" s="1"/>
  <c r="U31" i="67"/>
  <c r="R59" i="68"/>
  <c r="Q35" i="68"/>
  <c r="I35" i="70" s="1"/>
  <c r="R42" i="68"/>
  <c r="J42" i="70" s="1"/>
  <c r="N35" i="69"/>
  <c r="S35" i="69" s="1"/>
  <c r="P52" i="68"/>
  <c r="H52" i="70" s="1"/>
  <c r="P59" i="68"/>
  <c r="S59" i="68"/>
  <c r="F29" i="69"/>
  <c r="Q29" i="69" s="1"/>
  <c r="U43" i="67"/>
  <c r="Q36" i="68"/>
  <c r="I36" i="70" s="1"/>
  <c r="S42" i="68"/>
  <c r="K42" i="70" s="1"/>
  <c r="F22" i="69"/>
  <c r="Q22" i="69" s="1"/>
  <c r="G26" i="69"/>
  <c r="Q26" i="69" s="1"/>
  <c r="U35" i="67"/>
  <c r="U45" i="67"/>
  <c r="I29" i="69"/>
  <c r="R29" i="69" s="1"/>
  <c r="U47" i="67"/>
  <c r="Q28" i="69"/>
  <c r="L29" i="69"/>
  <c r="S29" i="69" s="1"/>
  <c r="I38" i="69"/>
  <c r="R38" i="69" s="1"/>
  <c r="S24" i="69"/>
  <c r="U30" i="67"/>
  <c r="S49" i="68"/>
  <c r="K49" i="70" s="1"/>
  <c r="R49" i="68"/>
  <c r="J49" i="70" s="1"/>
  <c r="Q51" i="68"/>
  <c r="I51" i="70" s="1"/>
  <c r="Q53" i="68"/>
  <c r="I53" i="70" s="1"/>
  <c r="R36" i="68"/>
  <c r="J36" i="70" s="1"/>
  <c r="AF13" i="57"/>
  <c r="AG13" i="57"/>
  <c r="AH13" i="57"/>
  <c r="AO8" i="57"/>
  <c r="I12" i="67"/>
  <c r="K10" i="68"/>
  <c r="AL35" i="57"/>
  <c r="S15" i="57"/>
  <c r="T15" i="57"/>
  <c r="U15" i="57"/>
  <c r="V15" i="57"/>
  <c r="AL34" i="57"/>
  <c r="AK13" i="57"/>
  <c r="AK15" i="57" s="1"/>
  <c r="O7" i="67"/>
  <c r="N6" i="68"/>
  <c r="AC32" i="57"/>
  <c r="AB32" i="57"/>
  <c r="AM30" i="57"/>
  <c r="AL8" i="57"/>
  <c r="AL15" i="57" s="1"/>
  <c r="AM8" i="57"/>
  <c r="AR11" i="57"/>
  <c r="AR12" i="57"/>
  <c r="AR10" i="57"/>
  <c r="AE13" i="57"/>
  <c r="AR7" i="57"/>
  <c r="AR5" i="57"/>
  <c r="AR6" i="57"/>
  <c r="AO25" i="57"/>
  <c r="AR24" i="57"/>
  <c r="AG25" i="57"/>
  <c r="AG27" i="57" s="1"/>
  <c r="AH25" i="57"/>
  <c r="AH27" i="57" s="1"/>
  <c r="AR18" i="57"/>
  <c r="AO20" i="57"/>
  <c r="AR17" i="57"/>
  <c r="R27" i="57"/>
  <c r="H10" i="68"/>
  <c r="J10" i="68"/>
  <c r="L10" i="68"/>
  <c r="S27" i="57"/>
  <c r="D12" i="68"/>
  <c r="AS22" i="57"/>
  <c r="AS24" i="57"/>
  <c r="E12" i="68"/>
  <c r="AM34" i="57"/>
  <c r="F12" i="68"/>
  <c r="X27" i="57"/>
  <c r="I11" i="67"/>
  <c r="W27" i="57"/>
  <c r="J11" i="67"/>
  <c r="J13" i="67" s="1"/>
  <c r="H12" i="68"/>
  <c r="V27" i="57"/>
  <c r="Y27" i="57"/>
  <c r="Y37" i="57"/>
  <c r="Z27" i="57"/>
  <c r="AA27" i="57"/>
  <c r="K11" i="67"/>
  <c r="T27" i="57"/>
  <c r="AB27" i="57"/>
  <c r="AL36" i="57"/>
  <c r="AJ25" i="57"/>
  <c r="L11" i="67"/>
  <c r="AK25" i="57"/>
  <c r="AS23" i="57"/>
  <c r="L12" i="67"/>
  <c r="X32" i="57"/>
  <c r="X44" i="57" s="1"/>
  <c r="F5" i="67"/>
  <c r="G5" i="67"/>
  <c r="AK29" i="57"/>
  <c r="I5" i="67"/>
  <c r="J5" i="67"/>
  <c r="F5" i="68"/>
  <c r="Q5" i="68" s="1"/>
  <c r="N6" i="67"/>
  <c r="U6" i="67" s="1"/>
  <c r="Y32" i="57"/>
  <c r="Y44" i="57" s="1"/>
  <c r="AM20" i="57"/>
  <c r="K6" i="68"/>
  <c r="M6" i="68"/>
  <c r="AS18" i="57"/>
  <c r="AS11" i="57"/>
  <c r="AK35" i="57"/>
  <c r="F13" i="67"/>
  <c r="M10" i="68"/>
  <c r="N10" i="68"/>
  <c r="K12" i="68"/>
  <c r="R12" i="68" s="1"/>
  <c r="J12" i="70" s="1"/>
  <c r="V37" i="57"/>
  <c r="X37" i="57"/>
  <c r="X47" i="57" s="1"/>
  <c r="AP34" i="57"/>
  <c r="Z37" i="57"/>
  <c r="C11" i="68"/>
  <c r="L12" i="68"/>
  <c r="W37" i="57"/>
  <c r="X15" i="57"/>
  <c r="S37" i="57"/>
  <c r="AA37" i="57"/>
  <c r="I10" i="67"/>
  <c r="S10" i="67" s="1"/>
  <c r="D11" i="68"/>
  <c r="M12" i="68"/>
  <c r="Y15" i="57"/>
  <c r="T37" i="57"/>
  <c r="AB37" i="57"/>
  <c r="AB47" i="57" s="1"/>
  <c r="H12" i="67"/>
  <c r="E11" i="68"/>
  <c r="N12" i="68"/>
  <c r="AC37" i="57"/>
  <c r="K10" i="67"/>
  <c r="F11" i="68"/>
  <c r="Z15" i="57"/>
  <c r="AA15" i="57"/>
  <c r="AB15" i="57"/>
  <c r="AM13" i="57"/>
  <c r="K12" i="67"/>
  <c r="AC15" i="57"/>
  <c r="AJ36" i="57"/>
  <c r="N12" i="67"/>
  <c r="U12" i="67" s="1"/>
  <c r="C10" i="68"/>
  <c r="K11" i="68"/>
  <c r="R11" i="68" s="1"/>
  <c r="D10" i="68"/>
  <c r="L11" i="68"/>
  <c r="U37" i="57"/>
  <c r="AK34" i="57"/>
  <c r="E10" i="68"/>
  <c r="M11" i="68"/>
  <c r="F10" i="68"/>
  <c r="N11" i="68"/>
  <c r="L6" i="68"/>
  <c r="AS7" i="57"/>
  <c r="AJ31" i="57"/>
  <c r="H7" i="67"/>
  <c r="AM31" i="57"/>
  <c r="K5" i="67"/>
  <c r="I7" i="67"/>
  <c r="E7" i="68"/>
  <c r="E8" i="68" s="1"/>
  <c r="E5" i="69" s="1"/>
  <c r="AK31" i="57"/>
  <c r="AL31" i="57"/>
  <c r="AL29" i="57"/>
  <c r="L5" i="67"/>
  <c r="J7" i="67"/>
  <c r="AM29" i="57"/>
  <c r="AP31" i="57"/>
  <c r="M5" i="67"/>
  <c r="K7" i="67"/>
  <c r="J5" i="68"/>
  <c r="L7" i="67"/>
  <c r="K5" i="68"/>
  <c r="U32" i="57"/>
  <c r="N5" i="67"/>
  <c r="V32" i="57"/>
  <c r="O5" i="67"/>
  <c r="M7" i="67"/>
  <c r="L5" i="68"/>
  <c r="M5" i="68"/>
  <c r="N5" i="68"/>
  <c r="F6" i="67"/>
  <c r="AS6" i="57"/>
  <c r="G6" i="67"/>
  <c r="P7" i="67"/>
  <c r="D6" i="68"/>
  <c r="H6" i="67"/>
  <c r="F6" i="68"/>
  <c r="AJ30" i="57"/>
  <c r="J6" i="67"/>
  <c r="G6" i="68"/>
  <c r="T32" i="57"/>
  <c r="T44" i="57" s="1"/>
  <c r="K6" i="67"/>
  <c r="P5" i="67"/>
  <c r="AK30" i="57"/>
  <c r="AL30" i="57"/>
  <c r="E6" i="67"/>
  <c r="L6" i="67"/>
  <c r="I6" i="68"/>
  <c r="W32" i="57"/>
  <c r="AP36" i="57"/>
  <c r="AS12" i="57"/>
  <c r="AP13" i="57"/>
  <c r="E12" i="67"/>
  <c r="R12" i="67" s="1"/>
  <c r="AJ13" i="57"/>
  <c r="E11" i="67"/>
  <c r="R11" i="67" s="1"/>
  <c r="AP35" i="57"/>
  <c r="R37" i="57"/>
  <c r="AJ34" i="57"/>
  <c r="AP8" i="57"/>
  <c r="AP30" i="57"/>
  <c r="C5" i="68"/>
  <c r="R32" i="57"/>
  <c r="R44" i="57" s="1"/>
  <c r="AJ29" i="57"/>
  <c r="AP29" i="57"/>
  <c r="AS5" i="57"/>
  <c r="R13" i="45"/>
  <c r="S13" i="45" s="1"/>
  <c r="S15" i="45" s="1"/>
  <c r="F37" i="67"/>
  <c r="D43" i="68"/>
  <c r="D44" i="68" s="1"/>
  <c r="M28" i="69"/>
  <c r="S28" i="69" s="1"/>
  <c r="U41" i="68"/>
  <c r="D28" i="69"/>
  <c r="P28" i="69" s="1"/>
  <c r="Q27" i="69"/>
  <c r="P27" i="69"/>
  <c r="S27" i="69"/>
  <c r="R40" i="68"/>
  <c r="J40" i="70" s="1"/>
  <c r="S40" i="68"/>
  <c r="K40" i="70" s="1"/>
  <c r="U40" i="68"/>
  <c r="P40" i="68"/>
  <c r="H40" i="70" s="1"/>
  <c r="S26" i="69"/>
  <c r="S39" i="68"/>
  <c r="K39" i="70" s="1"/>
  <c r="U39" i="68"/>
  <c r="C26" i="69"/>
  <c r="P26" i="69" s="1"/>
  <c r="Q25" i="69"/>
  <c r="Q38" i="68"/>
  <c r="I38" i="70" s="1"/>
  <c r="S38" i="68"/>
  <c r="K38" i="70" s="1"/>
  <c r="P38" i="68"/>
  <c r="H38" i="70" s="1"/>
  <c r="J25" i="69"/>
  <c r="L25" i="69"/>
  <c r="M25" i="69"/>
  <c r="C25" i="69"/>
  <c r="P25" i="69" s="1"/>
  <c r="U37" i="68"/>
  <c r="S37" i="68"/>
  <c r="K37" i="70" s="1"/>
  <c r="Q23" i="69"/>
  <c r="S23" i="69"/>
  <c r="P36" i="68"/>
  <c r="H36" i="70" s="1"/>
  <c r="C23" i="69"/>
  <c r="P23" i="69" s="1"/>
  <c r="E52" i="42"/>
  <c r="E55" i="42" s="1"/>
  <c r="U36" i="69"/>
  <c r="U27" i="69"/>
  <c r="P22" i="69"/>
  <c r="U40" i="69"/>
  <c r="R40" i="69"/>
  <c r="R27" i="69"/>
  <c r="R39" i="69"/>
  <c r="Q38" i="69"/>
  <c r="P24" i="69"/>
  <c r="P36" i="69"/>
  <c r="P35" i="69"/>
  <c r="P46" i="69"/>
  <c r="Q40" i="68"/>
  <c r="I40" i="70" s="1"/>
  <c r="P41" i="68"/>
  <c r="H41" i="70" s="1"/>
  <c r="K44" i="35"/>
  <c r="U51" i="68"/>
  <c r="P48" i="68"/>
  <c r="H48" i="70" s="1"/>
  <c r="U52" i="68"/>
  <c r="U53" i="68"/>
  <c r="U49" i="68"/>
  <c r="U38" i="68"/>
  <c r="U42" i="68"/>
  <c r="P35" i="68"/>
  <c r="H35" i="70" s="1"/>
  <c r="P39" i="68"/>
  <c r="U36" i="68"/>
  <c r="I13" i="68"/>
  <c r="I6" i="69" s="1"/>
  <c r="S36" i="68"/>
  <c r="K36" i="70" s="1"/>
  <c r="R35" i="68"/>
  <c r="J35" i="70" s="1"/>
  <c r="U35" i="68"/>
  <c r="P42" i="68"/>
  <c r="H42" i="70" s="1"/>
  <c r="C44" i="68"/>
  <c r="P51" i="68"/>
  <c r="P37" i="68"/>
  <c r="P49" i="68"/>
  <c r="H49" i="70" s="1"/>
  <c r="U28" i="67"/>
  <c r="R10" i="67"/>
  <c r="E38" i="67"/>
  <c r="G2" i="67"/>
  <c r="AR22" i="57"/>
  <c r="AS17" i="57"/>
  <c r="AS10" i="57"/>
  <c r="AO13" i="57"/>
  <c r="AA16" i="38"/>
  <c r="AK16" i="38" s="1"/>
  <c r="Z16" i="38"/>
  <c r="Y16" i="38"/>
  <c r="X16" i="38"/>
  <c r="AJ16" i="38" s="1"/>
  <c r="W16" i="38"/>
  <c r="V16" i="38"/>
  <c r="U16" i="38"/>
  <c r="AI16" i="38" s="1"/>
  <c r="T16" i="38"/>
  <c r="S16" i="38"/>
  <c r="R16" i="38"/>
  <c r="AH16" i="38" s="1"/>
  <c r="Q16" i="38"/>
  <c r="P16" i="38"/>
  <c r="AN274" i="42"/>
  <c r="AM274" i="42"/>
  <c r="AK274" i="42"/>
  <c r="AJ274" i="42"/>
  <c r="AI274" i="42"/>
  <c r="AH274" i="42"/>
  <c r="AN273" i="42"/>
  <c r="AM273" i="42"/>
  <c r="AK273" i="42"/>
  <c r="AJ273" i="42"/>
  <c r="AI273" i="42"/>
  <c r="AH273" i="42"/>
  <c r="AN272" i="42"/>
  <c r="AM272" i="42"/>
  <c r="AK272" i="42"/>
  <c r="AJ272" i="42"/>
  <c r="AI272" i="42"/>
  <c r="AH272" i="42"/>
  <c r="AN269" i="42"/>
  <c r="AM269" i="42"/>
  <c r="AK269" i="42"/>
  <c r="AJ269" i="42"/>
  <c r="AI269" i="42"/>
  <c r="AH269" i="42"/>
  <c r="AN268" i="42"/>
  <c r="AM268" i="42"/>
  <c r="AK268" i="42"/>
  <c r="AJ268" i="42"/>
  <c r="AI268" i="42"/>
  <c r="AH268" i="42"/>
  <c r="AN267" i="42"/>
  <c r="AM267" i="42"/>
  <c r="AK267" i="42"/>
  <c r="AJ267" i="42"/>
  <c r="AI267" i="42"/>
  <c r="AH267" i="42"/>
  <c r="AN264" i="42"/>
  <c r="AM264" i="42"/>
  <c r="AK264" i="42"/>
  <c r="AJ264" i="42"/>
  <c r="AI264" i="42"/>
  <c r="AH264" i="42"/>
  <c r="AN263" i="42"/>
  <c r="AM263" i="42"/>
  <c r="AK263" i="42"/>
  <c r="AJ263" i="42"/>
  <c r="AI263" i="42"/>
  <c r="AH263" i="42"/>
  <c r="AN262" i="42"/>
  <c r="AM262" i="42"/>
  <c r="AK262" i="42"/>
  <c r="AJ262" i="42"/>
  <c r="AI262" i="42"/>
  <c r="AH262" i="42"/>
  <c r="AN259" i="42"/>
  <c r="AM259" i="42"/>
  <c r="AK259" i="42"/>
  <c r="AJ259" i="42"/>
  <c r="AI259" i="42"/>
  <c r="AH259" i="42"/>
  <c r="AN258" i="42"/>
  <c r="AM258" i="42"/>
  <c r="AK258" i="42"/>
  <c r="AJ258" i="42"/>
  <c r="AI258" i="42"/>
  <c r="AH258" i="42"/>
  <c r="AN257" i="42"/>
  <c r="AM257" i="42"/>
  <c r="AK257" i="42"/>
  <c r="AJ257" i="42"/>
  <c r="AI257" i="42"/>
  <c r="AH257" i="42"/>
  <c r="AN254" i="42"/>
  <c r="AM254" i="42"/>
  <c r="AK254" i="42"/>
  <c r="AJ254" i="42"/>
  <c r="AI254" i="42"/>
  <c r="AH254" i="42"/>
  <c r="AN253" i="42"/>
  <c r="AM253" i="42"/>
  <c r="AK253" i="42"/>
  <c r="AJ253" i="42"/>
  <c r="AI253" i="42"/>
  <c r="AH253" i="42"/>
  <c r="AN252" i="42"/>
  <c r="AM252" i="42"/>
  <c r="AK252" i="42"/>
  <c r="AJ252" i="42"/>
  <c r="AI252" i="42"/>
  <c r="AH252" i="42"/>
  <c r="AN249" i="42"/>
  <c r="AM249" i="42"/>
  <c r="AK249" i="42"/>
  <c r="AJ249" i="42"/>
  <c r="AI249" i="42"/>
  <c r="AH249" i="42"/>
  <c r="AN248" i="42"/>
  <c r="AM248" i="42"/>
  <c r="AK248" i="42"/>
  <c r="AJ248" i="42"/>
  <c r="AI248" i="42"/>
  <c r="AH248" i="42"/>
  <c r="AN247" i="42"/>
  <c r="AK247" i="42"/>
  <c r="AJ247" i="42"/>
  <c r="AI247" i="42"/>
  <c r="AH247" i="42"/>
  <c r="AN244" i="42"/>
  <c r="AK244" i="42"/>
  <c r="AJ244" i="42"/>
  <c r="AI244" i="42"/>
  <c r="AH244" i="42"/>
  <c r="AN243" i="42"/>
  <c r="AM243" i="42"/>
  <c r="AK243" i="42"/>
  <c r="AJ243" i="42"/>
  <c r="AI243" i="42"/>
  <c r="AH243" i="42"/>
  <c r="AN242" i="42"/>
  <c r="AK242" i="42"/>
  <c r="AJ242" i="42"/>
  <c r="AI242" i="42"/>
  <c r="AH242" i="42"/>
  <c r="AN239" i="42"/>
  <c r="AM239" i="42"/>
  <c r="AK239" i="42"/>
  <c r="AJ239" i="42"/>
  <c r="AI239" i="42"/>
  <c r="AH239" i="42"/>
  <c r="AN238" i="42"/>
  <c r="AM238" i="42"/>
  <c r="AK238" i="42"/>
  <c r="AJ238" i="42"/>
  <c r="AI238" i="42"/>
  <c r="AH238" i="42"/>
  <c r="AN237" i="42"/>
  <c r="AM237" i="42"/>
  <c r="AK237" i="42"/>
  <c r="AJ237" i="42"/>
  <c r="AI237" i="42"/>
  <c r="AH237" i="42"/>
  <c r="AN234" i="42"/>
  <c r="AM234" i="42"/>
  <c r="AK234" i="42"/>
  <c r="AJ234" i="42"/>
  <c r="AI234" i="42"/>
  <c r="AH234" i="42"/>
  <c r="AN233" i="42"/>
  <c r="AM233" i="42"/>
  <c r="AK233" i="42"/>
  <c r="AJ233" i="42"/>
  <c r="AI233" i="42"/>
  <c r="AH233" i="42"/>
  <c r="AN232" i="42"/>
  <c r="AM232" i="42"/>
  <c r="AK232" i="42"/>
  <c r="AJ232" i="42"/>
  <c r="AI232" i="42"/>
  <c r="AH232" i="42"/>
  <c r="AN221" i="42"/>
  <c r="AM221" i="42"/>
  <c r="AK221" i="42"/>
  <c r="AJ221" i="42"/>
  <c r="AI221" i="42"/>
  <c r="AH221" i="42"/>
  <c r="AN220" i="42"/>
  <c r="AM220" i="42"/>
  <c r="AK220" i="42"/>
  <c r="AJ220" i="42"/>
  <c r="AI220" i="42"/>
  <c r="AH220" i="42"/>
  <c r="AN219" i="42"/>
  <c r="AM219" i="42"/>
  <c r="AK219" i="42"/>
  <c r="AJ219" i="42"/>
  <c r="AI219" i="42"/>
  <c r="AH219" i="42"/>
  <c r="AN215" i="42"/>
  <c r="AM215" i="42"/>
  <c r="AK215" i="42"/>
  <c r="AJ215" i="42"/>
  <c r="AI215" i="42"/>
  <c r="AH215" i="42"/>
  <c r="AN211" i="42"/>
  <c r="AM211" i="42"/>
  <c r="AK211" i="42"/>
  <c r="AJ211" i="42"/>
  <c r="AI211" i="42"/>
  <c r="AH211" i="42"/>
  <c r="AN210" i="42"/>
  <c r="AM210" i="42"/>
  <c r="AK210" i="42"/>
  <c r="AJ210" i="42"/>
  <c r="AI210" i="42"/>
  <c r="AH210" i="42"/>
  <c r="AN209" i="42"/>
  <c r="AM209" i="42"/>
  <c r="AK209" i="42"/>
  <c r="AJ209" i="42"/>
  <c r="AI209" i="42"/>
  <c r="AH209" i="42"/>
  <c r="AN206" i="42"/>
  <c r="AM206" i="42"/>
  <c r="AK206" i="42"/>
  <c r="AJ206" i="42"/>
  <c r="AI206" i="42"/>
  <c r="AH206" i="42"/>
  <c r="AN205" i="42"/>
  <c r="AQ205" i="42" s="1"/>
  <c r="AM205" i="42"/>
  <c r="AK205" i="42"/>
  <c r="AJ205" i="42"/>
  <c r="AI205" i="42"/>
  <c r="AH205" i="42"/>
  <c r="AN204" i="42"/>
  <c r="AM204" i="42"/>
  <c r="AK204" i="42"/>
  <c r="AJ204" i="42"/>
  <c r="AI204" i="42"/>
  <c r="AH204" i="42"/>
  <c r="AN201" i="42"/>
  <c r="AM201" i="42"/>
  <c r="AK201" i="42"/>
  <c r="AJ201" i="42"/>
  <c r="AI201" i="42"/>
  <c r="AH201" i="42"/>
  <c r="AN200" i="42"/>
  <c r="AM200" i="42"/>
  <c r="AK200" i="42"/>
  <c r="AJ200" i="42"/>
  <c r="AI200" i="42"/>
  <c r="AH200" i="42"/>
  <c r="AN199" i="42"/>
  <c r="AM199" i="42"/>
  <c r="AK199" i="42"/>
  <c r="AJ199" i="42"/>
  <c r="AI199" i="42"/>
  <c r="AH199" i="42"/>
  <c r="AN196" i="42"/>
  <c r="AM196" i="42"/>
  <c r="AK196" i="42"/>
  <c r="AJ196" i="42"/>
  <c r="AI196" i="42"/>
  <c r="AH196" i="42"/>
  <c r="AN195" i="42"/>
  <c r="AM195" i="42"/>
  <c r="AK195" i="42"/>
  <c r="AJ195" i="42"/>
  <c r="AI195" i="42"/>
  <c r="AH195" i="42"/>
  <c r="AN194" i="42"/>
  <c r="AM194" i="42"/>
  <c r="AK194" i="42"/>
  <c r="AJ194" i="42"/>
  <c r="AI194" i="42"/>
  <c r="AH194" i="42"/>
  <c r="AN183" i="42"/>
  <c r="AM183" i="42"/>
  <c r="AK183" i="42"/>
  <c r="AJ183" i="42"/>
  <c r="AI183" i="42"/>
  <c r="AH183" i="42"/>
  <c r="AN182" i="42"/>
  <c r="AM182" i="42"/>
  <c r="AK182" i="42"/>
  <c r="AJ182" i="42"/>
  <c r="AI182" i="42"/>
  <c r="AH182" i="42"/>
  <c r="AN181" i="42"/>
  <c r="AN184" i="42" s="1"/>
  <c r="AM181" i="42"/>
  <c r="AK181" i="42"/>
  <c r="AJ181" i="42"/>
  <c r="AI181" i="42"/>
  <c r="AH181" i="42"/>
  <c r="AN178" i="42"/>
  <c r="AM178" i="42"/>
  <c r="AK178" i="42"/>
  <c r="AJ178" i="42"/>
  <c r="AI178" i="42"/>
  <c r="AH178" i="42"/>
  <c r="AN177" i="42"/>
  <c r="AM177" i="42"/>
  <c r="AK177" i="42"/>
  <c r="AJ177" i="42"/>
  <c r="AI177" i="42"/>
  <c r="AH177" i="42"/>
  <c r="AN176" i="42"/>
  <c r="AM176" i="42"/>
  <c r="AK176" i="42"/>
  <c r="AJ176" i="42"/>
  <c r="AI176" i="42"/>
  <c r="AH176" i="42"/>
  <c r="AN173" i="42"/>
  <c r="AM173" i="42"/>
  <c r="AK173" i="42"/>
  <c r="AJ173" i="42"/>
  <c r="AI173" i="42"/>
  <c r="AH173" i="42"/>
  <c r="AN172" i="42"/>
  <c r="AM172" i="42"/>
  <c r="AK172" i="42"/>
  <c r="AJ172" i="42"/>
  <c r="AI172" i="42"/>
  <c r="AH172" i="42"/>
  <c r="AN171" i="42"/>
  <c r="AM171" i="42"/>
  <c r="AK171" i="42"/>
  <c r="AJ171" i="42"/>
  <c r="AI171" i="42"/>
  <c r="AI174" i="42" s="1"/>
  <c r="AH171" i="42"/>
  <c r="AN168" i="42"/>
  <c r="AM168" i="42"/>
  <c r="AK168" i="42"/>
  <c r="AJ168" i="42"/>
  <c r="AI168" i="42"/>
  <c r="AH168" i="42"/>
  <c r="AN167" i="42"/>
  <c r="AM167" i="42"/>
  <c r="AK167" i="42"/>
  <c r="AJ167" i="42"/>
  <c r="AI167" i="42"/>
  <c r="AH167" i="42"/>
  <c r="AN166" i="42"/>
  <c r="AK166" i="42"/>
  <c r="AJ166" i="42"/>
  <c r="AI166" i="42"/>
  <c r="AH166" i="42"/>
  <c r="AN163" i="42"/>
  <c r="AM163" i="42"/>
  <c r="AK163" i="42"/>
  <c r="AJ163" i="42"/>
  <c r="AI163" i="42"/>
  <c r="AH163" i="42"/>
  <c r="AN162" i="42"/>
  <c r="AM162" i="42"/>
  <c r="AK162" i="42"/>
  <c r="AJ162" i="42"/>
  <c r="AI162" i="42"/>
  <c r="AH162" i="42"/>
  <c r="AN161" i="42"/>
  <c r="AM161" i="42"/>
  <c r="AK161" i="42"/>
  <c r="AJ161" i="42"/>
  <c r="AI161" i="42"/>
  <c r="AH161" i="42"/>
  <c r="AA155" i="42"/>
  <c r="AA154" i="42"/>
  <c r="AA153" i="42"/>
  <c r="AN150" i="42"/>
  <c r="AM150" i="42"/>
  <c r="AK150" i="42"/>
  <c r="AJ150" i="42"/>
  <c r="AI150" i="42"/>
  <c r="AH150" i="42"/>
  <c r="AN149" i="42"/>
  <c r="AM149" i="42"/>
  <c r="AK149" i="42"/>
  <c r="AJ149" i="42"/>
  <c r="AI149" i="42"/>
  <c r="AH149" i="42"/>
  <c r="AN148" i="42"/>
  <c r="AM148" i="42"/>
  <c r="AK148" i="42"/>
  <c r="AJ148" i="42"/>
  <c r="AI148" i="42"/>
  <c r="AH148" i="42"/>
  <c r="AN145" i="42"/>
  <c r="AM145" i="42"/>
  <c r="AK145" i="42"/>
  <c r="AJ145" i="42"/>
  <c r="AI145" i="42"/>
  <c r="AH145" i="42"/>
  <c r="AN144" i="42"/>
  <c r="AM144" i="42"/>
  <c r="AK144" i="42"/>
  <c r="AJ144" i="42"/>
  <c r="AI144" i="42"/>
  <c r="AH144" i="42"/>
  <c r="AN143" i="42"/>
  <c r="AM143" i="42"/>
  <c r="AK143" i="42"/>
  <c r="AJ143" i="42"/>
  <c r="AI143" i="42"/>
  <c r="AH143" i="42"/>
  <c r="AN140" i="42"/>
  <c r="AM140" i="42"/>
  <c r="AK140" i="42"/>
  <c r="AJ140" i="42"/>
  <c r="AI140" i="42"/>
  <c r="AH140" i="42"/>
  <c r="AN139" i="42"/>
  <c r="AM139" i="42"/>
  <c r="AK139" i="42"/>
  <c r="AJ139" i="42"/>
  <c r="AI139" i="42"/>
  <c r="AH139" i="42"/>
  <c r="AN138" i="42"/>
  <c r="AM138" i="42"/>
  <c r="AK138" i="42"/>
  <c r="AJ138" i="42"/>
  <c r="AI138" i="42"/>
  <c r="AH138" i="42"/>
  <c r="AN135" i="42"/>
  <c r="AM135" i="42"/>
  <c r="AK135" i="42"/>
  <c r="AJ135" i="42"/>
  <c r="AI135" i="42"/>
  <c r="AH135" i="42"/>
  <c r="AN134" i="42"/>
  <c r="AM134" i="42"/>
  <c r="AK134" i="42"/>
  <c r="AJ134" i="42"/>
  <c r="AI134" i="42"/>
  <c r="AH134" i="42"/>
  <c r="AN133" i="42"/>
  <c r="AM133" i="42"/>
  <c r="AK133" i="42"/>
  <c r="AJ133" i="42"/>
  <c r="AI133" i="42"/>
  <c r="AH133" i="42"/>
  <c r="AN130" i="42"/>
  <c r="AM130" i="42"/>
  <c r="AK130" i="42"/>
  <c r="AJ130" i="42"/>
  <c r="AI130" i="42"/>
  <c r="AH130" i="42"/>
  <c r="AN129" i="42"/>
  <c r="AM129" i="42"/>
  <c r="AK129" i="42"/>
  <c r="AJ129" i="42"/>
  <c r="AI129" i="42"/>
  <c r="AH129" i="42"/>
  <c r="AN128" i="42"/>
  <c r="AM128" i="42"/>
  <c r="AK128" i="42"/>
  <c r="AJ128" i="42"/>
  <c r="AI128" i="42"/>
  <c r="AH128" i="42"/>
  <c r="AA120" i="42"/>
  <c r="AN117" i="42"/>
  <c r="AM117" i="42"/>
  <c r="AK117" i="42"/>
  <c r="AJ117" i="42"/>
  <c r="AI117" i="42"/>
  <c r="AH117" i="42"/>
  <c r="AN116" i="42"/>
  <c r="AM116" i="42"/>
  <c r="AK116" i="42"/>
  <c r="AJ116" i="42"/>
  <c r="AI116" i="42"/>
  <c r="AH116" i="42"/>
  <c r="AN115" i="42"/>
  <c r="AM115" i="42"/>
  <c r="AK115" i="42"/>
  <c r="AJ115" i="42"/>
  <c r="AI115" i="42"/>
  <c r="AH115" i="42"/>
  <c r="AN112" i="42"/>
  <c r="AM112" i="42"/>
  <c r="AK112" i="42"/>
  <c r="AJ112" i="42"/>
  <c r="AI112" i="42"/>
  <c r="AH112" i="42"/>
  <c r="AN111" i="42"/>
  <c r="AM111" i="42"/>
  <c r="AK111" i="42"/>
  <c r="AJ111" i="42"/>
  <c r="AI111" i="42"/>
  <c r="AH111" i="42"/>
  <c r="AN110" i="42"/>
  <c r="AM110" i="42"/>
  <c r="AK110" i="42"/>
  <c r="AJ110" i="42"/>
  <c r="AI110" i="42"/>
  <c r="AH110" i="42"/>
  <c r="AN107" i="42"/>
  <c r="AM107" i="42"/>
  <c r="AK107" i="42"/>
  <c r="AJ107" i="42"/>
  <c r="AI107" i="42"/>
  <c r="AH107" i="42"/>
  <c r="AN106" i="42"/>
  <c r="AM106" i="42"/>
  <c r="AK106" i="42"/>
  <c r="AJ106" i="42"/>
  <c r="AI106" i="42"/>
  <c r="AH106" i="42"/>
  <c r="AN105" i="42"/>
  <c r="AM105" i="42"/>
  <c r="AK105" i="42"/>
  <c r="AJ105" i="42"/>
  <c r="AI105" i="42"/>
  <c r="AH105" i="42"/>
  <c r="AN102" i="42"/>
  <c r="AM102" i="42"/>
  <c r="AK102" i="42"/>
  <c r="AJ102" i="42"/>
  <c r="AI102" i="42"/>
  <c r="AH102" i="42"/>
  <c r="AN101" i="42"/>
  <c r="AM101" i="42"/>
  <c r="AK101" i="42"/>
  <c r="AJ101" i="42"/>
  <c r="AI101" i="42"/>
  <c r="AH101" i="42"/>
  <c r="AN100" i="42"/>
  <c r="AM100" i="42"/>
  <c r="AK100" i="42"/>
  <c r="AJ100" i="42"/>
  <c r="AJ103" i="42" s="1"/>
  <c r="AI100" i="42"/>
  <c r="AH100" i="42"/>
  <c r="AN97" i="42"/>
  <c r="AM97" i="42"/>
  <c r="AK97" i="42"/>
  <c r="AJ97" i="42"/>
  <c r="AI97" i="42"/>
  <c r="AH97" i="42"/>
  <c r="AN96" i="42"/>
  <c r="AM96" i="42"/>
  <c r="AK96" i="42"/>
  <c r="AJ96" i="42"/>
  <c r="AI96" i="42"/>
  <c r="AH96" i="42"/>
  <c r="AN95" i="42"/>
  <c r="AM95" i="42"/>
  <c r="AK95" i="42"/>
  <c r="AJ95" i="42"/>
  <c r="AI95" i="42"/>
  <c r="AH95" i="42"/>
  <c r="AN92" i="42"/>
  <c r="AM92" i="42"/>
  <c r="AK92" i="42"/>
  <c r="AJ92" i="42"/>
  <c r="AI92" i="42"/>
  <c r="AH92" i="42"/>
  <c r="AN91" i="42"/>
  <c r="AM91" i="42"/>
  <c r="AK91" i="42"/>
  <c r="AJ91" i="42"/>
  <c r="AI91" i="42"/>
  <c r="AH91" i="42"/>
  <c r="AN90" i="42"/>
  <c r="AM90" i="42"/>
  <c r="AK90" i="42"/>
  <c r="AJ90" i="42"/>
  <c r="AI90" i="42"/>
  <c r="AH90" i="42"/>
  <c r="AN87" i="42"/>
  <c r="AM87" i="42"/>
  <c r="AK87" i="42"/>
  <c r="AJ87" i="42"/>
  <c r="AI87" i="42"/>
  <c r="AH87" i="42"/>
  <c r="AN86" i="42"/>
  <c r="AM86" i="42"/>
  <c r="AK86" i="42"/>
  <c r="AJ86" i="42"/>
  <c r="AI86" i="42"/>
  <c r="AH86" i="42"/>
  <c r="AN85" i="42"/>
  <c r="AM85" i="42"/>
  <c r="AK85" i="42"/>
  <c r="AJ85" i="42"/>
  <c r="AI85" i="42"/>
  <c r="AH85" i="42"/>
  <c r="AF85" i="42"/>
  <c r="AE85" i="42"/>
  <c r="AC85" i="42"/>
  <c r="AQ38" i="42"/>
  <c r="AN74" i="42"/>
  <c r="AN73" i="42"/>
  <c r="AN72" i="42"/>
  <c r="AN69" i="42"/>
  <c r="AN68" i="42"/>
  <c r="AN67" i="42"/>
  <c r="AN64" i="42"/>
  <c r="AN63" i="42"/>
  <c r="AN62" i="42"/>
  <c r="AN59" i="42"/>
  <c r="AN58" i="42"/>
  <c r="AN57" i="42"/>
  <c r="AN54" i="42"/>
  <c r="AN53" i="42"/>
  <c r="AN52" i="42"/>
  <c r="AN49" i="42"/>
  <c r="AN48" i="42"/>
  <c r="AQ48" i="42" s="1"/>
  <c r="AN47" i="42"/>
  <c r="AN44" i="42"/>
  <c r="AN43" i="42"/>
  <c r="AN42" i="42"/>
  <c r="AN39" i="42"/>
  <c r="AN38" i="42"/>
  <c r="AN37" i="42"/>
  <c r="AN34" i="42"/>
  <c r="AN33" i="42"/>
  <c r="AN32" i="42"/>
  <c r="AN29" i="42"/>
  <c r="AN28" i="42"/>
  <c r="AN27" i="42"/>
  <c r="AN24" i="42"/>
  <c r="AN23" i="42"/>
  <c r="AN22" i="42"/>
  <c r="AN19" i="42"/>
  <c r="AN18" i="42"/>
  <c r="AN17" i="42"/>
  <c r="AN14" i="42"/>
  <c r="AQ14" i="42" s="1"/>
  <c r="AN13" i="42"/>
  <c r="AN12" i="42"/>
  <c r="AN9" i="42"/>
  <c r="AN10" i="42" s="1"/>
  <c r="AN8" i="42"/>
  <c r="AN7" i="42"/>
  <c r="AM7" i="42"/>
  <c r="AA77" i="42"/>
  <c r="AK74" i="42"/>
  <c r="AJ74" i="42"/>
  <c r="AI74" i="42"/>
  <c r="AH74" i="42"/>
  <c r="AK73" i="42"/>
  <c r="AJ73" i="42"/>
  <c r="AI73" i="42"/>
  <c r="AH73" i="42"/>
  <c r="AK72" i="42"/>
  <c r="AJ72" i="42"/>
  <c r="AI72" i="42"/>
  <c r="AI75" i="42" s="1"/>
  <c r="AH72" i="42"/>
  <c r="AH75" i="42" s="1"/>
  <c r="AK69" i="42"/>
  <c r="AJ69" i="42"/>
  <c r="AI69" i="42"/>
  <c r="AH69" i="42"/>
  <c r="AK68" i="42"/>
  <c r="AJ68" i="42"/>
  <c r="AI68" i="42"/>
  <c r="AH68" i="42"/>
  <c r="AK67" i="42"/>
  <c r="AJ67" i="42"/>
  <c r="AI67" i="42"/>
  <c r="AH67" i="42"/>
  <c r="AK64" i="42"/>
  <c r="AJ64" i="42"/>
  <c r="AI64" i="42"/>
  <c r="AH64" i="42"/>
  <c r="AK63" i="42"/>
  <c r="AJ63" i="42"/>
  <c r="AI63" i="42"/>
  <c r="AH63" i="42"/>
  <c r="AK62" i="42"/>
  <c r="AK65" i="42" s="1"/>
  <c r="AJ62" i="42"/>
  <c r="AJ65" i="42" s="1"/>
  <c r="AI62" i="42"/>
  <c r="AI65" i="42" s="1"/>
  <c r="AH62" i="42"/>
  <c r="AH65" i="42" s="1"/>
  <c r="AK59" i="42"/>
  <c r="AJ59" i="42"/>
  <c r="AI59" i="42"/>
  <c r="AH59" i="42"/>
  <c r="AK58" i="42"/>
  <c r="AJ58" i="42"/>
  <c r="AI58" i="42"/>
  <c r="AH58" i="42"/>
  <c r="AK57" i="42"/>
  <c r="AJ57" i="42"/>
  <c r="AI57" i="42"/>
  <c r="AH57" i="42"/>
  <c r="AK54" i="42"/>
  <c r="AJ54" i="42"/>
  <c r="AI54" i="42"/>
  <c r="AH54" i="42"/>
  <c r="AK53" i="42"/>
  <c r="AJ53" i="42"/>
  <c r="AI53" i="42"/>
  <c r="AH53" i="42"/>
  <c r="AK52" i="42"/>
  <c r="AJ52" i="42"/>
  <c r="AI52" i="42"/>
  <c r="AH52" i="42"/>
  <c r="AK49" i="42"/>
  <c r="AJ49" i="42"/>
  <c r="AI49" i="42"/>
  <c r="AH49" i="42"/>
  <c r="AK48" i="42"/>
  <c r="AJ48" i="42"/>
  <c r="AI48" i="42"/>
  <c r="AH48" i="42"/>
  <c r="AK47" i="42"/>
  <c r="AJ47" i="42"/>
  <c r="AI47" i="42"/>
  <c r="AI50" i="42" s="1"/>
  <c r="AH47" i="42"/>
  <c r="AK44" i="42"/>
  <c r="AJ44" i="42"/>
  <c r="AI44" i="42"/>
  <c r="AH44" i="42"/>
  <c r="AK43" i="42"/>
  <c r="AJ43" i="42"/>
  <c r="AI43" i="42"/>
  <c r="AH43" i="42"/>
  <c r="AK42" i="42"/>
  <c r="AJ42" i="42"/>
  <c r="AI42" i="42"/>
  <c r="AH42" i="42"/>
  <c r="AK39" i="42"/>
  <c r="AJ39" i="42"/>
  <c r="AI39" i="42"/>
  <c r="AH39" i="42"/>
  <c r="AK38" i="42"/>
  <c r="AJ38" i="42"/>
  <c r="AI38" i="42"/>
  <c r="AH38" i="42"/>
  <c r="AK37" i="42"/>
  <c r="AK40" i="42" s="1"/>
  <c r="AJ37" i="42"/>
  <c r="AJ40" i="42" s="1"/>
  <c r="AI37" i="42"/>
  <c r="AI40" i="42" s="1"/>
  <c r="AH37" i="42"/>
  <c r="AK34" i="42"/>
  <c r="AJ34" i="42"/>
  <c r="AI34" i="42"/>
  <c r="AH34" i="42"/>
  <c r="AK33" i="42"/>
  <c r="AJ33" i="42"/>
  <c r="AI33" i="42"/>
  <c r="AH33" i="42"/>
  <c r="AK32" i="42"/>
  <c r="AJ32" i="42"/>
  <c r="AI32" i="42"/>
  <c r="AH32" i="42"/>
  <c r="AK29" i="42"/>
  <c r="AJ29" i="42"/>
  <c r="AI29" i="42"/>
  <c r="AH29" i="42"/>
  <c r="AK28" i="42"/>
  <c r="AJ28" i="42"/>
  <c r="AI28" i="42"/>
  <c r="AH28" i="42"/>
  <c r="AK27" i="42"/>
  <c r="AJ27" i="42"/>
  <c r="AI27" i="42"/>
  <c r="AH27" i="42"/>
  <c r="AK24" i="42"/>
  <c r="AJ24" i="42"/>
  <c r="AI24" i="42"/>
  <c r="AH24" i="42"/>
  <c r="AK23" i="42"/>
  <c r="AJ23" i="42"/>
  <c r="AI23" i="42"/>
  <c r="AH23" i="42"/>
  <c r="AK22" i="42"/>
  <c r="AJ22" i="42"/>
  <c r="AI22" i="42"/>
  <c r="AI25" i="42" s="1"/>
  <c r="AH22" i="42"/>
  <c r="AK19" i="42"/>
  <c r="AJ19" i="42"/>
  <c r="AI19" i="42"/>
  <c r="AH19" i="42"/>
  <c r="AK18" i="42"/>
  <c r="AJ18" i="42"/>
  <c r="AI18" i="42"/>
  <c r="AH18" i="42"/>
  <c r="AK17" i="42"/>
  <c r="AJ17" i="42"/>
  <c r="AI17" i="42"/>
  <c r="AH17" i="42"/>
  <c r="AK14" i="42"/>
  <c r="AJ14" i="42"/>
  <c r="AI14" i="42"/>
  <c r="AH14" i="42"/>
  <c r="AK13" i="42"/>
  <c r="AJ13" i="42"/>
  <c r="AI13" i="42"/>
  <c r="AH13" i="42"/>
  <c r="AK12" i="42"/>
  <c r="AK15" i="42" s="1"/>
  <c r="AJ12" i="42"/>
  <c r="AJ15" i="42" s="1"/>
  <c r="AI12" i="42"/>
  <c r="AI15" i="42" s="1"/>
  <c r="AH12" i="42"/>
  <c r="AK9" i="42"/>
  <c r="AJ9" i="42"/>
  <c r="AI9" i="42"/>
  <c r="AH9" i="42"/>
  <c r="AK8" i="42"/>
  <c r="AJ8" i="42"/>
  <c r="AI8" i="42"/>
  <c r="AH8" i="42"/>
  <c r="AK7" i="42"/>
  <c r="AJ7" i="42"/>
  <c r="AI7" i="42"/>
  <c r="AH7" i="42"/>
  <c r="AA279" i="42"/>
  <c r="Z279" i="42"/>
  <c r="Y279" i="42"/>
  <c r="X279" i="42"/>
  <c r="W279" i="42"/>
  <c r="V279" i="42"/>
  <c r="U279" i="42"/>
  <c r="T279" i="42"/>
  <c r="S279" i="42"/>
  <c r="R279" i="42"/>
  <c r="Q279" i="42"/>
  <c r="P279" i="42"/>
  <c r="AA278" i="42"/>
  <c r="Z278" i="42"/>
  <c r="Y278" i="42"/>
  <c r="X278" i="42"/>
  <c r="W278" i="42"/>
  <c r="V278" i="42"/>
  <c r="U278" i="42"/>
  <c r="T278" i="42"/>
  <c r="S278" i="42"/>
  <c r="R278" i="42"/>
  <c r="Q278" i="42"/>
  <c r="P278" i="42"/>
  <c r="AA277" i="42"/>
  <c r="Z277" i="42"/>
  <c r="Y277" i="42"/>
  <c r="X277" i="42"/>
  <c r="W277" i="42"/>
  <c r="V277" i="42"/>
  <c r="U277" i="42"/>
  <c r="T277" i="42"/>
  <c r="S277" i="42"/>
  <c r="R277" i="42"/>
  <c r="Q277" i="42"/>
  <c r="P277" i="42"/>
  <c r="AA275" i="42"/>
  <c r="AA82" i="38" s="1"/>
  <c r="Z275" i="42"/>
  <c r="Z82" i="38" s="1"/>
  <c r="Y275" i="42"/>
  <c r="Y82" i="38" s="1"/>
  <c r="X275" i="42"/>
  <c r="X82" i="38" s="1"/>
  <c r="AJ82" i="38" s="1"/>
  <c r="W275" i="42"/>
  <c r="W82" i="38" s="1"/>
  <c r="V275" i="42"/>
  <c r="V82" i="38" s="1"/>
  <c r="U275" i="42"/>
  <c r="U82" i="38" s="1"/>
  <c r="AI82" i="38" s="1"/>
  <c r="T275" i="42"/>
  <c r="T82" i="38" s="1"/>
  <c r="S275" i="42"/>
  <c r="S82" i="38" s="1"/>
  <c r="R275" i="42"/>
  <c r="R82" i="38" s="1"/>
  <c r="AH82" i="38" s="1"/>
  <c r="Q275" i="42"/>
  <c r="Q82" i="38" s="1"/>
  <c r="P275" i="42"/>
  <c r="P82" i="38" s="1"/>
  <c r="AA270" i="42"/>
  <c r="AA81" i="38" s="1"/>
  <c r="Z270" i="42"/>
  <c r="Z81" i="38" s="1"/>
  <c r="Y270" i="42"/>
  <c r="Y81" i="38" s="1"/>
  <c r="X270" i="42"/>
  <c r="X81" i="38" s="1"/>
  <c r="AJ81" i="38" s="1"/>
  <c r="W270" i="42"/>
  <c r="W81" i="38" s="1"/>
  <c r="V270" i="42"/>
  <c r="V81" i="38" s="1"/>
  <c r="U270" i="42"/>
  <c r="U81" i="38" s="1"/>
  <c r="AI81" i="38" s="1"/>
  <c r="T270" i="42"/>
  <c r="T81" i="38" s="1"/>
  <c r="S270" i="42"/>
  <c r="S81" i="38" s="1"/>
  <c r="R270" i="42"/>
  <c r="R81" i="38" s="1"/>
  <c r="AH81" i="38" s="1"/>
  <c r="Q270" i="42"/>
  <c r="Q81" i="38" s="1"/>
  <c r="P270" i="42"/>
  <c r="P81" i="38" s="1"/>
  <c r="AA265" i="42"/>
  <c r="AA80" i="38" s="1"/>
  <c r="Z265" i="42"/>
  <c r="Z80" i="38" s="1"/>
  <c r="Y265" i="42"/>
  <c r="Y80" i="38" s="1"/>
  <c r="X265" i="42"/>
  <c r="X80" i="38" s="1"/>
  <c r="AJ80" i="38" s="1"/>
  <c r="W265" i="42"/>
  <c r="W80" i="38" s="1"/>
  <c r="V265" i="42"/>
  <c r="V80" i="38" s="1"/>
  <c r="U265" i="42"/>
  <c r="U80" i="38" s="1"/>
  <c r="AI80" i="38" s="1"/>
  <c r="T265" i="42"/>
  <c r="T80" i="38" s="1"/>
  <c r="S265" i="42"/>
  <c r="S80" i="38" s="1"/>
  <c r="R265" i="42"/>
  <c r="R80" i="38" s="1"/>
  <c r="AH80" i="38" s="1"/>
  <c r="Q265" i="42"/>
  <c r="Q80" i="38" s="1"/>
  <c r="P265" i="42"/>
  <c r="P80" i="38" s="1"/>
  <c r="AA260" i="42"/>
  <c r="AA79" i="38" s="1"/>
  <c r="Z260" i="42"/>
  <c r="Z79" i="38" s="1"/>
  <c r="Y260" i="42"/>
  <c r="Y79" i="38" s="1"/>
  <c r="X260" i="42"/>
  <c r="X79" i="38" s="1"/>
  <c r="AJ79" i="38" s="1"/>
  <c r="W260" i="42"/>
  <c r="W79" i="38" s="1"/>
  <c r="V260" i="42"/>
  <c r="V79" i="38" s="1"/>
  <c r="U260" i="42"/>
  <c r="U79" i="38" s="1"/>
  <c r="AI79" i="38" s="1"/>
  <c r="T260" i="42"/>
  <c r="T79" i="38" s="1"/>
  <c r="S260" i="42"/>
  <c r="S79" i="38" s="1"/>
  <c r="R260" i="42"/>
  <c r="R79" i="38" s="1"/>
  <c r="AH79" i="38" s="1"/>
  <c r="Q260" i="42"/>
  <c r="Q79" i="38" s="1"/>
  <c r="P260" i="42"/>
  <c r="P79" i="38" s="1"/>
  <c r="AA255" i="42"/>
  <c r="AA78" i="38" s="1"/>
  <c r="Z255" i="42"/>
  <c r="Z78" i="38" s="1"/>
  <c r="Y255" i="42"/>
  <c r="Y78" i="38" s="1"/>
  <c r="X255" i="42"/>
  <c r="X78" i="38" s="1"/>
  <c r="AJ78" i="38" s="1"/>
  <c r="W255" i="42"/>
  <c r="W78" i="38" s="1"/>
  <c r="V255" i="42"/>
  <c r="V78" i="38" s="1"/>
  <c r="U255" i="42"/>
  <c r="U78" i="38" s="1"/>
  <c r="AI78" i="38" s="1"/>
  <c r="T255" i="42"/>
  <c r="T78" i="38" s="1"/>
  <c r="S255" i="42"/>
  <c r="S78" i="38" s="1"/>
  <c r="R255" i="42"/>
  <c r="R78" i="38" s="1"/>
  <c r="AH78" i="38" s="1"/>
  <c r="Q255" i="42"/>
  <c r="Q78" i="38" s="1"/>
  <c r="P255" i="42"/>
  <c r="P78" i="38" s="1"/>
  <c r="AA250" i="42"/>
  <c r="AA77" i="38" s="1"/>
  <c r="Z250" i="42"/>
  <c r="Z77" i="38" s="1"/>
  <c r="Y250" i="42"/>
  <c r="Y77" i="38" s="1"/>
  <c r="X250" i="42"/>
  <c r="X77" i="38" s="1"/>
  <c r="AJ77" i="38" s="1"/>
  <c r="W250" i="42"/>
  <c r="W77" i="38" s="1"/>
  <c r="V250" i="42"/>
  <c r="V77" i="38" s="1"/>
  <c r="U250" i="42"/>
  <c r="U77" i="38" s="1"/>
  <c r="AI77" i="38" s="1"/>
  <c r="T250" i="42"/>
  <c r="T77" i="38" s="1"/>
  <c r="S250" i="42"/>
  <c r="S77" i="38" s="1"/>
  <c r="R250" i="42"/>
  <c r="R77" i="38" s="1"/>
  <c r="AH77" i="38" s="1"/>
  <c r="Q250" i="42"/>
  <c r="Q77" i="38" s="1"/>
  <c r="P250" i="42"/>
  <c r="P77" i="38" s="1"/>
  <c r="AA245" i="42"/>
  <c r="AA76" i="38" s="1"/>
  <c r="Z245" i="42"/>
  <c r="Z76" i="38" s="1"/>
  <c r="Y245" i="42"/>
  <c r="Y76" i="38" s="1"/>
  <c r="X245" i="42"/>
  <c r="X76" i="38" s="1"/>
  <c r="AJ76" i="38" s="1"/>
  <c r="W245" i="42"/>
  <c r="W76" i="38" s="1"/>
  <c r="V245" i="42"/>
  <c r="V76" i="38" s="1"/>
  <c r="U245" i="42"/>
  <c r="U76" i="38" s="1"/>
  <c r="AI76" i="38" s="1"/>
  <c r="T245" i="42"/>
  <c r="T76" i="38" s="1"/>
  <c r="S245" i="42"/>
  <c r="S76" i="38" s="1"/>
  <c r="R245" i="42"/>
  <c r="R76" i="38" s="1"/>
  <c r="AH76" i="38" s="1"/>
  <c r="Q245" i="42"/>
  <c r="Q76" i="38" s="1"/>
  <c r="P245" i="42"/>
  <c r="P76" i="38" s="1"/>
  <c r="AA240" i="42"/>
  <c r="AA75" i="38" s="1"/>
  <c r="Z240" i="42"/>
  <c r="Z75" i="38" s="1"/>
  <c r="Y240" i="42"/>
  <c r="Y75" i="38" s="1"/>
  <c r="X240" i="42"/>
  <c r="X75" i="38" s="1"/>
  <c r="AJ75" i="38" s="1"/>
  <c r="W240" i="42"/>
  <c r="W75" i="38" s="1"/>
  <c r="V240" i="42"/>
  <c r="V75" i="38" s="1"/>
  <c r="U240" i="42"/>
  <c r="U75" i="38" s="1"/>
  <c r="AI75" i="38" s="1"/>
  <c r="T240" i="42"/>
  <c r="T75" i="38" s="1"/>
  <c r="S240" i="42"/>
  <c r="S75" i="38" s="1"/>
  <c r="R240" i="42"/>
  <c r="R75" i="38" s="1"/>
  <c r="AH75" i="38" s="1"/>
  <c r="Q240" i="42"/>
  <c r="Q75" i="38" s="1"/>
  <c r="P240" i="42"/>
  <c r="P75" i="38" s="1"/>
  <c r="AA235" i="42"/>
  <c r="AA74" i="38" s="1"/>
  <c r="Z235" i="42"/>
  <c r="Z74" i="38" s="1"/>
  <c r="Y235" i="42"/>
  <c r="Y74" i="38" s="1"/>
  <c r="X235" i="42"/>
  <c r="X74" i="38" s="1"/>
  <c r="W235" i="42"/>
  <c r="W74" i="38" s="1"/>
  <c r="V235" i="42"/>
  <c r="V74" i="38" s="1"/>
  <c r="U235" i="42"/>
  <c r="U74" i="38" s="1"/>
  <c r="T235" i="42"/>
  <c r="T74" i="38" s="1"/>
  <c r="S235" i="42"/>
  <c r="S74" i="38" s="1"/>
  <c r="R235" i="42"/>
  <c r="R74" i="38" s="1"/>
  <c r="Q235" i="42"/>
  <c r="Q74" i="38" s="1"/>
  <c r="P235" i="42"/>
  <c r="P74" i="38" s="1"/>
  <c r="AA225" i="42"/>
  <c r="Z225" i="42"/>
  <c r="Y225" i="42"/>
  <c r="X225" i="42"/>
  <c r="W225" i="42"/>
  <c r="V225" i="42"/>
  <c r="U225" i="42"/>
  <c r="T225" i="42"/>
  <c r="S225" i="42"/>
  <c r="R225" i="42"/>
  <c r="Q225" i="42"/>
  <c r="P225" i="42"/>
  <c r="AA222" i="42"/>
  <c r="AA67" i="38" s="1"/>
  <c r="Z222" i="42"/>
  <c r="Z67" i="38" s="1"/>
  <c r="Y222" i="42"/>
  <c r="Y67" i="38" s="1"/>
  <c r="X222" i="42"/>
  <c r="X67" i="38" s="1"/>
  <c r="AJ67" i="38" s="1"/>
  <c r="W222" i="42"/>
  <c r="W67" i="38" s="1"/>
  <c r="V222" i="42"/>
  <c r="V67" i="38" s="1"/>
  <c r="U222" i="42"/>
  <c r="U67" i="38" s="1"/>
  <c r="AI67" i="38" s="1"/>
  <c r="T222" i="42"/>
  <c r="T67" i="38" s="1"/>
  <c r="S222" i="42"/>
  <c r="S67" i="38" s="1"/>
  <c r="R222" i="42"/>
  <c r="R67" i="38" s="1"/>
  <c r="AH67" i="38" s="1"/>
  <c r="Q222" i="42"/>
  <c r="Q67" i="38" s="1"/>
  <c r="P222" i="42"/>
  <c r="P67" i="38" s="1"/>
  <c r="AA212" i="42"/>
  <c r="AA65" i="38" s="1"/>
  <c r="Z212" i="42"/>
  <c r="Z65" i="38" s="1"/>
  <c r="Y212" i="42"/>
  <c r="Y65" i="38" s="1"/>
  <c r="X212" i="42"/>
  <c r="X65" i="38" s="1"/>
  <c r="AJ65" i="38" s="1"/>
  <c r="W212" i="42"/>
  <c r="W65" i="38" s="1"/>
  <c r="V212" i="42"/>
  <c r="V65" i="38" s="1"/>
  <c r="U212" i="42"/>
  <c r="U65" i="38" s="1"/>
  <c r="AI65" i="38" s="1"/>
  <c r="T212" i="42"/>
  <c r="T65" i="38" s="1"/>
  <c r="S212" i="42"/>
  <c r="S65" i="38" s="1"/>
  <c r="R212" i="42"/>
  <c r="R65" i="38" s="1"/>
  <c r="AH65" i="38" s="1"/>
  <c r="Q212" i="42"/>
  <c r="Q65" i="38" s="1"/>
  <c r="P212" i="42"/>
  <c r="P65" i="38" s="1"/>
  <c r="AA207" i="42"/>
  <c r="AA64" i="38" s="1"/>
  <c r="AN64" i="38" s="1"/>
  <c r="Z207" i="42"/>
  <c r="Z64" i="38" s="1"/>
  <c r="Y207" i="42"/>
  <c r="Y64" i="38" s="1"/>
  <c r="X207" i="42"/>
  <c r="X64" i="38" s="1"/>
  <c r="AJ64" i="38" s="1"/>
  <c r="W207" i="42"/>
  <c r="W64" i="38" s="1"/>
  <c r="V207" i="42"/>
  <c r="V64" i="38" s="1"/>
  <c r="U207" i="42"/>
  <c r="U64" i="38" s="1"/>
  <c r="AI64" i="38" s="1"/>
  <c r="T207" i="42"/>
  <c r="T64" i="38" s="1"/>
  <c r="S207" i="42"/>
  <c r="S64" i="38" s="1"/>
  <c r="R207" i="42"/>
  <c r="R64" i="38" s="1"/>
  <c r="AH64" i="38" s="1"/>
  <c r="Q207" i="42"/>
  <c r="Q64" i="38" s="1"/>
  <c r="P207" i="42"/>
  <c r="P64" i="38" s="1"/>
  <c r="AA202" i="42"/>
  <c r="AA63" i="38" s="1"/>
  <c r="Z202" i="42"/>
  <c r="Z63" i="38" s="1"/>
  <c r="Y202" i="42"/>
  <c r="Y63" i="38" s="1"/>
  <c r="X202" i="42"/>
  <c r="X63" i="38" s="1"/>
  <c r="AJ63" i="38" s="1"/>
  <c r="W202" i="42"/>
  <c r="W63" i="38" s="1"/>
  <c r="V202" i="42"/>
  <c r="V63" i="38" s="1"/>
  <c r="U202" i="42"/>
  <c r="U63" i="38" s="1"/>
  <c r="AI63" i="38" s="1"/>
  <c r="T202" i="42"/>
  <c r="T63" i="38" s="1"/>
  <c r="S202" i="42"/>
  <c r="S63" i="38" s="1"/>
  <c r="R202" i="42"/>
  <c r="R63" i="38" s="1"/>
  <c r="AH63" i="38" s="1"/>
  <c r="Q202" i="42"/>
  <c r="Q63" i="38" s="1"/>
  <c r="P202" i="42"/>
  <c r="P63" i="38" s="1"/>
  <c r="AA197" i="42"/>
  <c r="AA62" i="38" s="1"/>
  <c r="Z197" i="42"/>
  <c r="Z62" i="38" s="1"/>
  <c r="Y197" i="42"/>
  <c r="Y62" i="38" s="1"/>
  <c r="X197" i="42"/>
  <c r="X62" i="38" s="1"/>
  <c r="AJ62" i="38" s="1"/>
  <c r="W197" i="42"/>
  <c r="W62" i="38" s="1"/>
  <c r="V197" i="42"/>
  <c r="V62" i="38" s="1"/>
  <c r="U197" i="42"/>
  <c r="U62" i="38" s="1"/>
  <c r="AI62" i="38" s="1"/>
  <c r="T197" i="42"/>
  <c r="T62" i="38" s="1"/>
  <c r="S197" i="42"/>
  <c r="S62" i="38" s="1"/>
  <c r="R197" i="42"/>
  <c r="R62" i="38" s="1"/>
  <c r="AH62" i="38" s="1"/>
  <c r="Q197" i="42"/>
  <c r="Q62" i="38" s="1"/>
  <c r="P197" i="42"/>
  <c r="P62" i="38" s="1"/>
  <c r="AA188" i="42"/>
  <c r="Z188" i="42"/>
  <c r="Y188" i="42"/>
  <c r="X188" i="42"/>
  <c r="W188" i="42"/>
  <c r="V188" i="42"/>
  <c r="U188" i="42"/>
  <c r="T188" i="42"/>
  <c r="S188" i="42"/>
  <c r="R188" i="42"/>
  <c r="Q188" i="42"/>
  <c r="P188" i="42"/>
  <c r="AA187" i="42"/>
  <c r="Z187" i="42"/>
  <c r="Y187" i="42"/>
  <c r="X187" i="42"/>
  <c r="W187" i="42"/>
  <c r="V187" i="42"/>
  <c r="U187" i="42"/>
  <c r="T187" i="42"/>
  <c r="S187" i="42"/>
  <c r="R187" i="42"/>
  <c r="Q187" i="42"/>
  <c r="P187" i="42"/>
  <c r="AA186" i="42"/>
  <c r="Z186" i="42"/>
  <c r="Y186" i="42"/>
  <c r="X186" i="42"/>
  <c r="W186" i="42"/>
  <c r="V186" i="42"/>
  <c r="U186" i="42"/>
  <c r="T186" i="42"/>
  <c r="S186" i="42"/>
  <c r="R186" i="42"/>
  <c r="Q186" i="42"/>
  <c r="P186" i="42"/>
  <c r="AA184" i="42"/>
  <c r="AA55" i="38" s="1"/>
  <c r="Z184" i="42"/>
  <c r="Z55" i="38" s="1"/>
  <c r="Y184" i="42"/>
  <c r="Y55" i="38" s="1"/>
  <c r="X184" i="42"/>
  <c r="X55" i="38" s="1"/>
  <c r="AJ55" i="38" s="1"/>
  <c r="W184" i="42"/>
  <c r="W55" i="38" s="1"/>
  <c r="V184" i="42"/>
  <c r="V55" i="38" s="1"/>
  <c r="U184" i="42"/>
  <c r="U55" i="38" s="1"/>
  <c r="AI55" i="38" s="1"/>
  <c r="T184" i="42"/>
  <c r="T55" i="38" s="1"/>
  <c r="S184" i="42"/>
  <c r="S55" i="38" s="1"/>
  <c r="R184" i="42"/>
  <c r="R55" i="38" s="1"/>
  <c r="AH55" i="38" s="1"/>
  <c r="Q184" i="42"/>
  <c r="Q55" i="38" s="1"/>
  <c r="P184" i="42"/>
  <c r="P55" i="38" s="1"/>
  <c r="AA179" i="42"/>
  <c r="AA54" i="38" s="1"/>
  <c r="Z179" i="42"/>
  <c r="Z54" i="38" s="1"/>
  <c r="Y179" i="42"/>
  <c r="Y54" i="38" s="1"/>
  <c r="X179" i="42"/>
  <c r="X54" i="38" s="1"/>
  <c r="AJ54" i="38" s="1"/>
  <c r="W179" i="42"/>
  <c r="W54" i="38" s="1"/>
  <c r="V179" i="42"/>
  <c r="V54" i="38" s="1"/>
  <c r="U179" i="42"/>
  <c r="U54" i="38" s="1"/>
  <c r="AI54" i="38" s="1"/>
  <c r="T179" i="42"/>
  <c r="T54" i="38" s="1"/>
  <c r="S179" i="42"/>
  <c r="S54" i="38" s="1"/>
  <c r="R179" i="42"/>
  <c r="R54" i="38" s="1"/>
  <c r="AH54" i="38" s="1"/>
  <c r="Q179" i="42"/>
  <c r="Q54" i="38" s="1"/>
  <c r="P179" i="42"/>
  <c r="P54" i="38" s="1"/>
  <c r="AA174" i="42"/>
  <c r="AA53" i="38" s="1"/>
  <c r="Z174" i="42"/>
  <c r="Z53" i="38" s="1"/>
  <c r="Y174" i="42"/>
  <c r="Y53" i="38" s="1"/>
  <c r="X174" i="42"/>
  <c r="X53" i="38" s="1"/>
  <c r="AJ53" i="38" s="1"/>
  <c r="W174" i="42"/>
  <c r="W53" i="38" s="1"/>
  <c r="V174" i="42"/>
  <c r="V53" i="38" s="1"/>
  <c r="U174" i="42"/>
  <c r="U53" i="38" s="1"/>
  <c r="AI53" i="38" s="1"/>
  <c r="T174" i="42"/>
  <c r="T53" i="38" s="1"/>
  <c r="S174" i="42"/>
  <c r="S53" i="38" s="1"/>
  <c r="R174" i="42"/>
  <c r="R53" i="38" s="1"/>
  <c r="AH53" i="38" s="1"/>
  <c r="Q174" i="42"/>
  <c r="Q53" i="38" s="1"/>
  <c r="P174" i="42"/>
  <c r="P53" i="38" s="1"/>
  <c r="AA169" i="42"/>
  <c r="AA52" i="38" s="1"/>
  <c r="Z169" i="42"/>
  <c r="Z52" i="38" s="1"/>
  <c r="Y169" i="42"/>
  <c r="Y52" i="38" s="1"/>
  <c r="X169" i="42"/>
  <c r="X52" i="38" s="1"/>
  <c r="AJ52" i="38" s="1"/>
  <c r="W169" i="42"/>
  <c r="W52" i="38" s="1"/>
  <c r="V169" i="42"/>
  <c r="V52" i="38" s="1"/>
  <c r="U169" i="42"/>
  <c r="U52" i="38" s="1"/>
  <c r="AI52" i="38" s="1"/>
  <c r="T169" i="42"/>
  <c r="T52" i="38" s="1"/>
  <c r="S169" i="42"/>
  <c r="S52" i="38" s="1"/>
  <c r="R169" i="42"/>
  <c r="R52" i="38" s="1"/>
  <c r="AH52" i="38" s="1"/>
  <c r="Q169" i="42"/>
  <c r="Q52" i="38" s="1"/>
  <c r="P169" i="42"/>
  <c r="P52" i="38" s="1"/>
  <c r="AA164" i="42"/>
  <c r="AA51" i="38" s="1"/>
  <c r="Z164" i="42"/>
  <c r="Z51" i="38" s="1"/>
  <c r="Y164" i="42"/>
  <c r="Y51" i="38" s="1"/>
  <c r="X164" i="42"/>
  <c r="X51" i="38" s="1"/>
  <c r="W164" i="42"/>
  <c r="W51" i="38" s="1"/>
  <c r="V164" i="42"/>
  <c r="V51" i="38" s="1"/>
  <c r="U164" i="42"/>
  <c r="U51" i="38" s="1"/>
  <c r="T164" i="42"/>
  <c r="T51" i="38" s="1"/>
  <c r="S164" i="42"/>
  <c r="S51" i="38" s="1"/>
  <c r="R164" i="42"/>
  <c r="R51" i="38" s="1"/>
  <c r="Q164" i="42"/>
  <c r="Q51" i="38" s="1"/>
  <c r="P164" i="42"/>
  <c r="P51" i="38" s="1"/>
  <c r="Z155" i="42"/>
  <c r="Y155" i="42"/>
  <c r="X155" i="42"/>
  <c r="W155" i="42"/>
  <c r="V155" i="42"/>
  <c r="U155" i="42"/>
  <c r="T155" i="42"/>
  <c r="S155" i="42"/>
  <c r="R155" i="42"/>
  <c r="Q155" i="42"/>
  <c r="P155" i="42"/>
  <c r="Z154" i="42"/>
  <c r="Y154" i="42"/>
  <c r="X154" i="42"/>
  <c r="W154" i="42"/>
  <c r="V154" i="42"/>
  <c r="U154" i="42"/>
  <c r="T154" i="42"/>
  <c r="S154" i="42"/>
  <c r="R154" i="42"/>
  <c r="Q154" i="42"/>
  <c r="P154" i="42"/>
  <c r="Z153" i="42"/>
  <c r="Y153" i="42"/>
  <c r="X153" i="42"/>
  <c r="W153" i="42"/>
  <c r="V153" i="42"/>
  <c r="U153" i="42"/>
  <c r="T153" i="42"/>
  <c r="S153" i="42"/>
  <c r="R153" i="42"/>
  <c r="Q153" i="42"/>
  <c r="P153" i="42"/>
  <c r="AA151" i="42"/>
  <c r="AA44" i="38" s="1"/>
  <c r="Z151" i="42"/>
  <c r="Z44" i="38" s="1"/>
  <c r="Y151" i="42"/>
  <c r="Y44" i="38" s="1"/>
  <c r="X151" i="42"/>
  <c r="X44" i="38" s="1"/>
  <c r="AJ44" i="38" s="1"/>
  <c r="W151" i="42"/>
  <c r="W44" i="38" s="1"/>
  <c r="V151" i="42"/>
  <c r="V44" i="38" s="1"/>
  <c r="U151" i="42"/>
  <c r="U44" i="38" s="1"/>
  <c r="AI44" i="38" s="1"/>
  <c r="T151" i="42"/>
  <c r="T44" i="38" s="1"/>
  <c r="S151" i="42"/>
  <c r="S44" i="38" s="1"/>
  <c r="R151" i="42"/>
  <c r="R44" i="38" s="1"/>
  <c r="AH44" i="38" s="1"/>
  <c r="Q151" i="42"/>
  <c r="Q44" i="38" s="1"/>
  <c r="P151" i="42"/>
  <c r="P44" i="38" s="1"/>
  <c r="AA146" i="42"/>
  <c r="AA43" i="38" s="1"/>
  <c r="Z146" i="42"/>
  <c r="Z43" i="38" s="1"/>
  <c r="Y146" i="42"/>
  <c r="Y43" i="38" s="1"/>
  <c r="X146" i="42"/>
  <c r="X43" i="38" s="1"/>
  <c r="AJ43" i="38" s="1"/>
  <c r="W146" i="42"/>
  <c r="W43" i="38" s="1"/>
  <c r="V146" i="42"/>
  <c r="V43" i="38" s="1"/>
  <c r="U146" i="42"/>
  <c r="U43" i="38" s="1"/>
  <c r="AI43" i="38" s="1"/>
  <c r="T146" i="42"/>
  <c r="T43" i="38" s="1"/>
  <c r="S146" i="42"/>
  <c r="S43" i="38" s="1"/>
  <c r="R146" i="42"/>
  <c r="R43" i="38" s="1"/>
  <c r="AH43" i="38" s="1"/>
  <c r="Q146" i="42"/>
  <c r="Q43" i="38" s="1"/>
  <c r="P146" i="42"/>
  <c r="P43" i="38" s="1"/>
  <c r="AA141" i="42"/>
  <c r="AA42" i="38" s="1"/>
  <c r="Z141" i="42"/>
  <c r="Z42" i="38" s="1"/>
  <c r="Y141" i="42"/>
  <c r="Y42" i="38" s="1"/>
  <c r="X141" i="42"/>
  <c r="X42" i="38" s="1"/>
  <c r="AJ42" i="38" s="1"/>
  <c r="W141" i="42"/>
  <c r="W42" i="38" s="1"/>
  <c r="V141" i="42"/>
  <c r="V42" i="38" s="1"/>
  <c r="U141" i="42"/>
  <c r="U42" i="38" s="1"/>
  <c r="AI42" i="38" s="1"/>
  <c r="T141" i="42"/>
  <c r="T42" i="38" s="1"/>
  <c r="S141" i="42"/>
  <c r="S42" i="38" s="1"/>
  <c r="R141" i="42"/>
  <c r="R42" i="38" s="1"/>
  <c r="AH42" i="38" s="1"/>
  <c r="Q141" i="42"/>
  <c r="Q42" i="38" s="1"/>
  <c r="P141" i="42"/>
  <c r="P42" i="38" s="1"/>
  <c r="AA136" i="42"/>
  <c r="AA41" i="38" s="1"/>
  <c r="Z136" i="42"/>
  <c r="Z41" i="38" s="1"/>
  <c r="Y136" i="42"/>
  <c r="Y41" i="38" s="1"/>
  <c r="X136" i="42"/>
  <c r="X41" i="38" s="1"/>
  <c r="AJ41" i="38" s="1"/>
  <c r="W136" i="42"/>
  <c r="W41" i="38" s="1"/>
  <c r="V136" i="42"/>
  <c r="V41" i="38" s="1"/>
  <c r="U136" i="42"/>
  <c r="U41" i="38" s="1"/>
  <c r="AI41" i="38" s="1"/>
  <c r="T136" i="42"/>
  <c r="T41" i="38" s="1"/>
  <c r="S136" i="42"/>
  <c r="S41" i="38" s="1"/>
  <c r="R136" i="42"/>
  <c r="R41" i="38" s="1"/>
  <c r="AH41" i="38" s="1"/>
  <c r="Q136" i="42"/>
  <c r="Q41" i="38" s="1"/>
  <c r="P136" i="42"/>
  <c r="P41" i="38" s="1"/>
  <c r="AA131" i="42"/>
  <c r="AA40" i="38" s="1"/>
  <c r="Z131" i="42"/>
  <c r="Z40" i="38" s="1"/>
  <c r="Y131" i="42"/>
  <c r="Y40" i="38" s="1"/>
  <c r="X131" i="42"/>
  <c r="X40" i="38" s="1"/>
  <c r="W131" i="42"/>
  <c r="W40" i="38" s="1"/>
  <c r="V131" i="42"/>
  <c r="V40" i="38" s="1"/>
  <c r="U131" i="42"/>
  <c r="U40" i="38" s="1"/>
  <c r="T131" i="42"/>
  <c r="T40" i="38" s="1"/>
  <c r="S131" i="42"/>
  <c r="S40" i="38" s="1"/>
  <c r="R131" i="42"/>
  <c r="R40" i="38" s="1"/>
  <c r="Q131" i="42"/>
  <c r="Q40" i="38" s="1"/>
  <c r="P131" i="42"/>
  <c r="P40" i="38" s="1"/>
  <c r="AA122" i="42"/>
  <c r="Z122" i="42"/>
  <c r="Y122" i="42"/>
  <c r="X122" i="42"/>
  <c r="W122" i="42"/>
  <c r="V122" i="42"/>
  <c r="U122" i="42"/>
  <c r="T122" i="42"/>
  <c r="S122" i="42"/>
  <c r="R122" i="42"/>
  <c r="Q122" i="42"/>
  <c r="P122" i="42"/>
  <c r="AA121" i="42"/>
  <c r="Z121" i="42"/>
  <c r="Y121" i="42"/>
  <c r="X121" i="42"/>
  <c r="W121" i="42"/>
  <c r="V121" i="42"/>
  <c r="U121" i="42"/>
  <c r="T121" i="42"/>
  <c r="S121" i="42"/>
  <c r="R121" i="42"/>
  <c r="Q121" i="42"/>
  <c r="P121" i="42"/>
  <c r="Z120" i="42"/>
  <c r="Y120" i="42"/>
  <c r="X120" i="42"/>
  <c r="W120" i="42"/>
  <c r="V120" i="42"/>
  <c r="U120" i="42"/>
  <c r="T120" i="42"/>
  <c r="S120" i="42"/>
  <c r="R120" i="42"/>
  <c r="Q120" i="42"/>
  <c r="P120" i="42"/>
  <c r="AA118" i="42"/>
  <c r="AA33" i="38" s="1"/>
  <c r="Z118" i="42"/>
  <c r="Z33" i="38" s="1"/>
  <c r="Y118" i="42"/>
  <c r="Y33" i="38" s="1"/>
  <c r="X118" i="42"/>
  <c r="X33" i="38" s="1"/>
  <c r="AJ33" i="38" s="1"/>
  <c r="W118" i="42"/>
  <c r="W33" i="38" s="1"/>
  <c r="V118" i="42"/>
  <c r="V33" i="38" s="1"/>
  <c r="U118" i="42"/>
  <c r="U33" i="38" s="1"/>
  <c r="AI33" i="38" s="1"/>
  <c r="T118" i="42"/>
  <c r="T33" i="38" s="1"/>
  <c r="S118" i="42"/>
  <c r="S33" i="38" s="1"/>
  <c r="R118" i="42"/>
  <c r="R33" i="38" s="1"/>
  <c r="AH33" i="38" s="1"/>
  <c r="Q118" i="42"/>
  <c r="Q33" i="38" s="1"/>
  <c r="P118" i="42"/>
  <c r="P33" i="38" s="1"/>
  <c r="AA113" i="42"/>
  <c r="AA32" i="38" s="1"/>
  <c r="Z113" i="42"/>
  <c r="Z32" i="38" s="1"/>
  <c r="Y113" i="42"/>
  <c r="Y32" i="38" s="1"/>
  <c r="X113" i="42"/>
  <c r="X32" i="38" s="1"/>
  <c r="AJ32" i="38" s="1"/>
  <c r="W113" i="42"/>
  <c r="W32" i="38" s="1"/>
  <c r="V113" i="42"/>
  <c r="V32" i="38" s="1"/>
  <c r="U113" i="42"/>
  <c r="U32" i="38" s="1"/>
  <c r="AI32" i="38" s="1"/>
  <c r="T113" i="42"/>
  <c r="T32" i="38" s="1"/>
  <c r="S113" i="42"/>
  <c r="S32" i="38" s="1"/>
  <c r="R113" i="42"/>
  <c r="R32" i="38" s="1"/>
  <c r="AH32" i="38" s="1"/>
  <c r="Q113" i="42"/>
  <c r="Q32" i="38" s="1"/>
  <c r="P113" i="42"/>
  <c r="P32" i="38" s="1"/>
  <c r="AA108" i="42"/>
  <c r="AA31" i="38" s="1"/>
  <c r="AN31" i="38" s="1"/>
  <c r="Z108" i="42"/>
  <c r="Z31" i="38" s="1"/>
  <c r="Y108" i="42"/>
  <c r="Y31" i="38" s="1"/>
  <c r="X108" i="42"/>
  <c r="X31" i="38" s="1"/>
  <c r="AJ31" i="38" s="1"/>
  <c r="W108" i="42"/>
  <c r="W31" i="38" s="1"/>
  <c r="V108" i="42"/>
  <c r="V31" i="38" s="1"/>
  <c r="U108" i="42"/>
  <c r="U31" i="38" s="1"/>
  <c r="AI31" i="38" s="1"/>
  <c r="T108" i="42"/>
  <c r="T31" i="38" s="1"/>
  <c r="S108" i="42"/>
  <c r="S31" i="38" s="1"/>
  <c r="R108" i="42"/>
  <c r="R31" i="38" s="1"/>
  <c r="AH31" i="38" s="1"/>
  <c r="Q108" i="42"/>
  <c r="Q31" i="38" s="1"/>
  <c r="P108" i="42"/>
  <c r="P31" i="38" s="1"/>
  <c r="AA103" i="42"/>
  <c r="AA30" i="38" s="1"/>
  <c r="Z103" i="42"/>
  <c r="Z30" i="38" s="1"/>
  <c r="Y103" i="42"/>
  <c r="Y30" i="38" s="1"/>
  <c r="X103" i="42"/>
  <c r="X30" i="38" s="1"/>
  <c r="AJ30" i="38" s="1"/>
  <c r="W103" i="42"/>
  <c r="W30" i="38" s="1"/>
  <c r="V103" i="42"/>
  <c r="V30" i="38" s="1"/>
  <c r="U103" i="42"/>
  <c r="U30" i="38" s="1"/>
  <c r="AI30" i="38" s="1"/>
  <c r="T103" i="42"/>
  <c r="T30" i="38" s="1"/>
  <c r="S103" i="42"/>
  <c r="S30" i="38" s="1"/>
  <c r="R103" i="42"/>
  <c r="R30" i="38" s="1"/>
  <c r="AH30" i="38" s="1"/>
  <c r="Q103" i="42"/>
  <c r="Q30" i="38" s="1"/>
  <c r="P103" i="42"/>
  <c r="P30" i="38" s="1"/>
  <c r="AA98" i="42"/>
  <c r="AA29" i="38" s="1"/>
  <c r="Z98" i="42"/>
  <c r="Z29" i="38" s="1"/>
  <c r="Y98" i="42"/>
  <c r="Y29" i="38" s="1"/>
  <c r="X98" i="42"/>
  <c r="X29" i="38" s="1"/>
  <c r="AJ29" i="38" s="1"/>
  <c r="W98" i="42"/>
  <c r="W29" i="38" s="1"/>
  <c r="V98" i="42"/>
  <c r="V29" i="38" s="1"/>
  <c r="U98" i="42"/>
  <c r="U29" i="38" s="1"/>
  <c r="AI29" i="38" s="1"/>
  <c r="T98" i="42"/>
  <c r="T29" i="38" s="1"/>
  <c r="S98" i="42"/>
  <c r="S29" i="38" s="1"/>
  <c r="R98" i="42"/>
  <c r="R29" i="38" s="1"/>
  <c r="AH29" i="38" s="1"/>
  <c r="Q98" i="42"/>
  <c r="Q29" i="38" s="1"/>
  <c r="P98" i="42"/>
  <c r="P29" i="38" s="1"/>
  <c r="AA93" i="42"/>
  <c r="AA28" i="38" s="1"/>
  <c r="Z93" i="42"/>
  <c r="Z28" i="38" s="1"/>
  <c r="Y93" i="42"/>
  <c r="Y28" i="38" s="1"/>
  <c r="X93" i="42"/>
  <c r="X28" i="38" s="1"/>
  <c r="AJ28" i="38" s="1"/>
  <c r="W93" i="42"/>
  <c r="W28" i="38" s="1"/>
  <c r="V93" i="42"/>
  <c r="V28" i="38" s="1"/>
  <c r="U93" i="42"/>
  <c r="U28" i="38" s="1"/>
  <c r="AI28" i="38" s="1"/>
  <c r="T93" i="42"/>
  <c r="T28" i="38" s="1"/>
  <c r="S93" i="42"/>
  <c r="S28" i="38" s="1"/>
  <c r="R93" i="42"/>
  <c r="R28" i="38" s="1"/>
  <c r="AH28" i="38" s="1"/>
  <c r="Q93" i="42"/>
  <c r="Q28" i="38" s="1"/>
  <c r="P93" i="42"/>
  <c r="P28" i="38" s="1"/>
  <c r="AA88" i="42"/>
  <c r="AA27" i="38" s="1"/>
  <c r="Z88" i="42"/>
  <c r="Z27" i="38" s="1"/>
  <c r="Y88" i="42"/>
  <c r="Y27" i="38" s="1"/>
  <c r="X88" i="42"/>
  <c r="X27" i="38" s="1"/>
  <c r="W88" i="42"/>
  <c r="W27" i="38" s="1"/>
  <c r="V88" i="42"/>
  <c r="V27" i="38" s="1"/>
  <c r="U88" i="42"/>
  <c r="U27" i="38" s="1"/>
  <c r="T88" i="42"/>
  <c r="T27" i="38" s="1"/>
  <c r="S88" i="42"/>
  <c r="S27" i="38" s="1"/>
  <c r="R88" i="42"/>
  <c r="R27" i="38" s="1"/>
  <c r="Q88" i="42"/>
  <c r="Q27" i="38" s="1"/>
  <c r="P88" i="42"/>
  <c r="P27" i="38" s="1"/>
  <c r="P79" i="42"/>
  <c r="P78" i="42"/>
  <c r="P77" i="42"/>
  <c r="AA75" i="42"/>
  <c r="AA20" i="38" s="1"/>
  <c r="Z75" i="42"/>
  <c r="Z20" i="38" s="1"/>
  <c r="Y75" i="42"/>
  <c r="Y20" i="38" s="1"/>
  <c r="X75" i="42"/>
  <c r="X20" i="38" s="1"/>
  <c r="AJ20" i="38" s="1"/>
  <c r="W75" i="42"/>
  <c r="W20" i="38" s="1"/>
  <c r="V75" i="42"/>
  <c r="V20" i="38" s="1"/>
  <c r="U75" i="42"/>
  <c r="U20" i="38" s="1"/>
  <c r="AI20" i="38" s="1"/>
  <c r="T75" i="42"/>
  <c r="T20" i="38" s="1"/>
  <c r="S75" i="42"/>
  <c r="S20" i="38" s="1"/>
  <c r="R75" i="42"/>
  <c r="R20" i="38" s="1"/>
  <c r="AH20" i="38" s="1"/>
  <c r="Q75" i="42"/>
  <c r="Q20" i="38" s="1"/>
  <c r="P75" i="42"/>
  <c r="P20" i="38" s="1"/>
  <c r="AA70" i="42"/>
  <c r="AA19" i="38" s="1"/>
  <c r="Z70" i="42"/>
  <c r="Z19" i="38" s="1"/>
  <c r="Y70" i="42"/>
  <c r="Y19" i="38" s="1"/>
  <c r="X70" i="42"/>
  <c r="X19" i="38" s="1"/>
  <c r="AJ19" i="38" s="1"/>
  <c r="W70" i="42"/>
  <c r="W19" i="38" s="1"/>
  <c r="V70" i="42"/>
  <c r="V19" i="38" s="1"/>
  <c r="U70" i="42"/>
  <c r="U19" i="38" s="1"/>
  <c r="AI19" i="38" s="1"/>
  <c r="T70" i="42"/>
  <c r="T19" i="38" s="1"/>
  <c r="S70" i="42"/>
  <c r="S19" i="38" s="1"/>
  <c r="R70" i="42"/>
  <c r="R19" i="38" s="1"/>
  <c r="AH19" i="38" s="1"/>
  <c r="Q70" i="42"/>
  <c r="Q19" i="38" s="1"/>
  <c r="P70" i="42"/>
  <c r="P19" i="38" s="1"/>
  <c r="AA65" i="42"/>
  <c r="AA18" i="38" s="1"/>
  <c r="AN18" i="38" s="1"/>
  <c r="Z65" i="42"/>
  <c r="Z18" i="38" s="1"/>
  <c r="Y65" i="42"/>
  <c r="Y18" i="38" s="1"/>
  <c r="X65" i="42"/>
  <c r="X18" i="38" s="1"/>
  <c r="AJ18" i="38" s="1"/>
  <c r="W65" i="42"/>
  <c r="W18" i="38" s="1"/>
  <c r="V65" i="42"/>
  <c r="V18" i="38" s="1"/>
  <c r="U65" i="42"/>
  <c r="U18" i="38" s="1"/>
  <c r="AI18" i="38" s="1"/>
  <c r="T65" i="42"/>
  <c r="T18" i="38" s="1"/>
  <c r="S65" i="42"/>
  <c r="S18" i="38" s="1"/>
  <c r="R65" i="42"/>
  <c r="R18" i="38" s="1"/>
  <c r="AH18" i="38" s="1"/>
  <c r="Q65" i="42"/>
  <c r="Q18" i="38" s="1"/>
  <c r="P65" i="42"/>
  <c r="P18" i="38" s="1"/>
  <c r="AA60" i="42"/>
  <c r="AA17" i="38" s="1"/>
  <c r="Z60" i="42"/>
  <c r="Z17" i="38" s="1"/>
  <c r="Y60" i="42"/>
  <c r="Y17" i="38" s="1"/>
  <c r="X60" i="42"/>
  <c r="X17" i="38" s="1"/>
  <c r="AJ17" i="38" s="1"/>
  <c r="W60" i="42"/>
  <c r="W17" i="38" s="1"/>
  <c r="V60" i="42"/>
  <c r="V17" i="38" s="1"/>
  <c r="U60" i="42"/>
  <c r="U17" i="38" s="1"/>
  <c r="AI17" i="38" s="1"/>
  <c r="T60" i="42"/>
  <c r="T17" i="38" s="1"/>
  <c r="S60" i="42"/>
  <c r="S17" i="38" s="1"/>
  <c r="R60" i="42"/>
  <c r="R17" i="38" s="1"/>
  <c r="AH17" i="38" s="1"/>
  <c r="Q60" i="42"/>
  <c r="Q17" i="38" s="1"/>
  <c r="P60" i="42"/>
  <c r="P17" i="38" s="1"/>
  <c r="AA50" i="42"/>
  <c r="AA15" i="38" s="1"/>
  <c r="Z50" i="42"/>
  <c r="Z15" i="38" s="1"/>
  <c r="Y50" i="42"/>
  <c r="Y15" i="38" s="1"/>
  <c r="X50" i="42"/>
  <c r="X15" i="38" s="1"/>
  <c r="AJ15" i="38" s="1"/>
  <c r="W50" i="42"/>
  <c r="W15" i="38" s="1"/>
  <c r="V50" i="42"/>
  <c r="V15" i="38" s="1"/>
  <c r="U50" i="42"/>
  <c r="U15" i="38" s="1"/>
  <c r="AI15" i="38" s="1"/>
  <c r="T50" i="42"/>
  <c r="T15" i="38" s="1"/>
  <c r="S50" i="42"/>
  <c r="S15" i="38" s="1"/>
  <c r="R50" i="42"/>
  <c r="R15" i="38" s="1"/>
  <c r="AH15" i="38" s="1"/>
  <c r="Q50" i="42"/>
  <c r="Q15" i="38" s="1"/>
  <c r="P50" i="42"/>
  <c r="P15" i="38" s="1"/>
  <c r="AA45" i="42"/>
  <c r="AA14" i="38" s="1"/>
  <c r="Z45" i="42"/>
  <c r="Z14" i="38" s="1"/>
  <c r="Y45" i="42"/>
  <c r="Y14" i="38" s="1"/>
  <c r="X45" i="42"/>
  <c r="X14" i="38" s="1"/>
  <c r="AJ14" i="38" s="1"/>
  <c r="W45" i="42"/>
  <c r="W14" i="38" s="1"/>
  <c r="V45" i="42"/>
  <c r="V14" i="38" s="1"/>
  <c r="U45" i="42"/>
  <c r="U14" i="38" s="1"/>
  <c r="AI14" i="38" s="1"/>
  <c r="T45" i="42"/>
  <c r="T14" i="38" s="1"/>
  <c r="S45" i="42"/>
  <c r="S14" i="38" s="1"/>
  <c r="R45" i="42"/>
  <c r="R14" i="38" s="1"/>
  <c r="AH14" i="38" s="1"/>
  <c r="Q45" i="42"/>
  <c r="Q14" i="38" s="1"/>
  <c r="P45" i="42"/>
  <c r="P14" i="38" s="1"/>
  <c r="AA40" i="42"/>
  <c r="AA13" i="38" s="1"/>
  <c r="Z40" i="42"/>
  <c r="Z13" i="38" s="1"/>
  <c r="Y40" i="42"/>
  <c r="Y13" i="38" s="1"/>
  <c r="X40" i="42"/>
  <c r="X13" i="38" s="1"/>
  <c r="AJ13" i="38" s="1"/>
  <c r="W40" i="42"/>
  <c r="W13" i="38" s="1"/>
  <c r="V40" i="42"/>
  <c r="V13" i="38" s="1"/>
  <c r="U40" i="42"/>
  <c r="U13" i="38" s="1"/>
  <c r="AI13" i="38" s="1"/>
  <c r="T40" i="42"/>
  <c r="T13" i="38" s="1"/>
  <c r="S40" i="42"/>
  <c r="S13" i="38" s="1"/>
  <c r="R40" i="42"/>
  <c r="R13" i="38" s="1"/>
  <c r="AH13" i="38" s="1"/>
  <c r="Q40" i="42"/>
  <c r="Q13" i="38" s="1"/>
  <c r="P40" i="42"/>
  <c r="P13" i="38" s="1"/>
  <c r="AA35" i="42"/>
  <c r="AA12" i="38" s="1"/>
  <c r="AK12" i="38" s="1"/>
  <c r="Z35" i="42"/>
  <c r="Z12" i="38" s="1"/>
  <c r="Y35" i="42"/>
  <c r="Y12" i="38" s="1"/>
  <c r="X35" i="42"/>
  <c r="X12" i="38" s="1"/>
  <c r="AJ12" i="38" s="1"/>
  <c r="W35" i="42"/>
  <c r="W12" i="38" s="1"/>
  <c r="V35" i="42"/>
  <c r="V12" i="38" s="1"/>
  <c r="U35" i="42"/>
  <c r="U12" i="38" s="1"/>
  <c r="AI12" i="38" s="1"/>
  <c r="T35" i="42"/>
  <c r="T12" i="38" s="1"/>
  <c r="S35" i="42"/>
  <c r="S12" i="38" s="1"/>
  <c r="R35" i="42"/>
  <c r="R12" i="38" s="1"/>
  <c r="AH12" i="38" s="1"/>
  <c r="Q35" i="42"/>
  <c r="Q12" i="38" s="1"/>
  <c r="P35" i="42"/>
  <c r="P12" i="38" s="1"/>
  <c r="AA30" i="42"/>
  <c r="AA11" i="38" s="1"/>
  <c r="Z30" i="42"/>
  <c r="Z11" i="38" s="1"/>
  <c r="Y30" i="42"/>
  <c r="Y11" i="38" s="1"/>
  <c r="X30" i="42"/>
  <c r="X11" i="38" s="1"/>
  <c r="AJ11" i="38" s="1"/>
  <c r="W30" i="42"/>
  <c r="W11" i="38" s="1"/>
  <c r="V30" i="42"/>
  <c r="V11" i="38" s="1"/>
  <c r="U30" i="42"/>
  <c r="U11" i="38" s="1"/>
  <c r="AI11" i="38" s="1"/>
  <c r="T30" i="42"/>
  <c r="T11" i="38" s="1"/>
  <c r="S30" i="42"/>
  <c r="S11" i="38" s="1"/>
  <c r="R30" i="42"/>
  <c r="R11" i="38" s="1"/>
  <c r="AH11" i="38" s="1"/>
  <c r="Q30" i="42"/>
  <c r="Q11" i="38" s="1"/>
  <c r="P30" i="42"/>
  <c r="P11" i="38" s="1"/>
  <c r="AA25" i="42"/>
  <c r="AA10" i="38" s="1"/>
  <c r="AN10" i="38" s="1"/>
  <c r="Z25" i="42"/>
  <c r="Z10" i="38" s="1"/>
  <c r="Y25" i="42"/>
  <c r="Y10" i="38" s="1"/>
  <c r="X25" i="42"/>
  <c r="X10" i="38" s="1"/>
  <c r="AJ10" i="38" s="1"/>
  <c r="W25" i="42"/>
  <c r="W10" i="38" s="1"/>
  <c r="V25" i="42"/>
  <c r="V10" i="38" s="1"/>
  <c r="U25" i="42"/>
  <c r="U10" i="38" s="1"/>
  <c r="AI10" i="38" s="1"/>
  <c r="T25" i="42"/>
  <c r="T10" i="38" s="1"/>
  <c r="S25" i="42"/>
  <c r="S10" i="38" s="1"/>
  <c r="R25" i="42"/>
  <c r="R10" i="38" s="1"/>
  <c r="AH10" i="38" s="1"/>
  <c r="Q25" i="42"/>
  <c r="Q10" i="38" s="1"/>
  <c r="P25" i="42"/>
  <c r="P10" i="38" s="1"/>
  <c r="AA20" i="42"/>
  <c r="AA9" i="38" s="1"/>
  <c r="Z20" i="42"/>
  <c r="Z9" i="38" s="1"/>
  <c r="Y20" i="42"/>
  <c r="Y9" i="38" s="1"/>
  <c r="X20" i="42"/>
  <c r="X9" i="38" s="1"/>
  <c r="AJ9" i="38" s="1"/>
  <c r="W20" i="42"/>
  <c r="W9" i="38" s="1"/>
  <c r="V20" i="42"/>
  <c r="V9" i="38" s="1"/>
  <c r="U20" i="42"/>
  <c r="U9" i="38" s="1"/>
  <c r="AI9" i="38" s="1"/>
  <c r="T20" i="42"/>
  <c r="T9" i="38" s="1"/>
  <c r="S20" i="42"/>
  <c r="S9" i="38" s="1"/>
  <c r="R20" i="42"/>
  <c r="R9" i="38" s="1"/>
  <c r="AH9" i="38" s="1"/>
  <c r="Q20" i="42"/>
  <c r="Q9" i="38" s="1"/>
  <c r="P20" i="42"/>
  <c r="P9" i="38" s="1"/>
  <c r="AA15" i="42"/>
  <c r="AA8" i="38" s="1"/>
  <c r="Z15" i="42"/>
  <c r="Z8" i="38" s="1"/>
  <c r="Y15" i="42"/>
  <c r="Y8" i="38" s="1"/>
  <c r="X15" i="42"/>
  <c r="X8" i="38" s="1"/>
  <c r="AJ8" i="38" s="1"/>
  <c r="W15" i="42"/>
  <c r="W8" i="38" s="1"/>
  <c r="V15" i="42"/>
  <c r="V8" i="38" s="1"/>
  <c r="U15" i="42"/>
  <c r="U8" i="38" s="1"/>
  <c r="AI8" i="38" s="1"/>
  <c r="T15" i="42"/>
  <c r="T8" i="38" s="1"/>
  <c r="S15" i="42"/>
  <c r="S8" i="38" s="1"/>
  <c r="R15" i="42"/>
  <c r="R8" i="38" s="1"/>
  <c r="AH8" i="38" s="1"/>
  <c r="Q15" i="42"/>
  <c r="Q8" i="38" s="1"/>
  <c r="P15" i="42"/>
  <c r="P8" i="38" s="1"/>
  <c r="AA10" i="42"/>
  <c r="AA7" i="38" s="1"/>
  <c r="Z10" i="42"/>
  <c r="Z7" i="38" s="1"/>
  <c r="Y10" i="42"/>
  <c r="Y7" i="38" s="1"/>
  <c r="X10" i="42"/>
  <c r="X7" i="38" s="1"/>
  <c r="W10" i="42"/>
  <c r="W7" i="38" s="1"/>
  <c r="V10" i="42"/>
  <c r="V7" i="38" s="1"/>
  <c r="U10" i="42"/>
  <c r="U7" i="38" s="1"/>
  <c r="AI7" i="38" s="1"/>
  <c r="T10" i="42"/>
  <c r="T7" i="38" s="1"/>
  <c r="S10" i="42"/>
  <c r="S7" i="38" s="1"/>
  <c r="R10" i="42"/>
  <c r="R7" i="38" s="1"/>
  <c r="AH7" i="38" s="1"/>
  <c r="Q10" i="42"/>
  <c r="Q7" i="38" s="1"/>
  <c r="P10" i="42"/>
  <c r="P7" i="38" s="1"/>
  <c r="AN34" i="43"/>
  <c r="AM34" i="43"/>
  <c r="AN127" i="43"/>
  <c r="AM127" i="43"/>
  <c r="AK127" i="43"/>
  <c r="AJ127" i="43"/>
  <c r="AI127" i="43"/>
  <c r="AH127" i="43"/>
  <c r="AN126" i="43"/>
  <c r="AM126" i="43"/>
  <c r="AK126" i="43"/>
  <c r="AJ126" i="43"/>
  <c r="AI126" i="43"/>
  <c r="AH126" i="43"/>
  <c r="AN125" i="43"/>
  <c r="AM125" i="43"/>
  <c r="AK125" i="43"/>
  <c r="AJ125" i="43"/>
  <c r="AI125" i="43"/>
  <c r="AH125" i="43"/>
  <c r="AN124" i="43"/>
  <c r="AM124" i="43"/>
  <c r="AK124" i="43"/>
  <c r="AJ124" i="43"/>
  <c r="AI124" i="43"/>
  <c r="AH124" i="43"/>
  <c r="AN123" i="43"/>
  <c r="AM123" i="43"/>
  <c r="AK123" i="43"/>
  <c r="AJ123" i="43"/>
  <c r="AI123" i="43"/>
  <c r="AH123" i="43"/>
  <c r="AN122" i="43"/>
  <c r="AM122" i="43"/>
  <c r="AK122" i="43"/>
  <c r="AJ122" i="43"/>
  <c r="AI122" i="43"/>
  <c r="AH122" i="43"/>
  <c r="AN121" i="43"/>
  <c r="AM121" i="43"/>
  <c r="AK121" i="43"/>
  <c r="AJ121" i="43"/>
  <c r="AI121" i="43"/>
  <c r="AH121" i="43"/>
  <c r="AN120" i="43"/>
  <c r="AM120" i="43"/>
  <c r="AK120" i="43"/>
  <c r="AJ120" i="43"/>
  <c r="AI120" i="43"/>
  <c r="AH120" i="43"/>
  <c r="AN119" i="43"/>
  <c r="AM119" i="43"/>
  <c r="AK119" i="43"/>
  <c r="AJ119" i="43"/>
  <c r="AI119" i="43"/>
  <c r="AH119" i="43"/>
  <c r="AN118" i="43"/>
  <c r="AM118" i="43"/>
  <c r="AK118" i="43"/>
  <c r="AJ118" i="43"/>
  <c r="AI118" i="43"/>
  <c r="AH118" i="43"/>
  <c r="AN117" i="43"/>
  <c r="AM117" i="43"/>
  <c r="AK117" i="43"/>
  <c r="AJ117" i="43"/>
  <c r="AI117" i="43"/>
  <c r="AH117" i="43"/>
  <c r="AN116" i="43"/>
  <c r="AM116" i="43"/>
  <c r="AK116" i="43"/>
  <c r="AJ116" i="43"/>
  <c r="AI116" i="43"/>
  <c r="AH116" i="43"/>
  <c r="AN109" i="43"/>
  <c r="AM109" i="43"/>
  <c r="AK109" i="43"/>
  <c r="AJ109" i="43"/>
  <c r="AI109" i="43"/>
  <c r="AH109" i="43"/>
  <c r="AN108" i="43"/>
  <c r="AM108" i="43"/>
  <c r="AK108" i="43"/>
  <c r="AJ108" i="43"/>
  <c r="AI108" i="43"/>
  <c r="AH108" i="43"/>
  <c r="AN107" i="43"/>
  <c r="AM107" i="43"/>
  <c r="AK107" i="43"/>
  <c r="AJ107" i="43"/>
  <c r="AI107" i="43"/>
  <c r="AH107" i="43"/>
  <c r="AN106" i="43"/>
  <c r="AM106" i="43"/>
  <c r="AK106" i="43"/>
  <c r="AJ106" i="43"/>
  <c r="AI106" i="43"/>
  <c r="AH106" i="43"/>
  <c r="AN105" i="43"/>
  <c r="AM105" i="43"/>
  <c r="AK105" i="43"/>
  <c r="AJ105" i="43"/>
  <c r="AI105" i="43"/>
  <c r="AH105" i="43"/>
  <c r="AN104" i="43"/>
  <c r="AM104" i="43"/>
  <c r="AK104" i="43"/>
  <c r="AJ104" i="43"/>
  <c r="AI104" i="43"/>
  <c r="AH104" i="43"/>
  <c r="AN103" i="43"/>
  <c r="AM103" i="43"/>
  <c r="AK103" i="43"/>
  <c r="AJ103" i="43"/>
  <c r="AI103" i="43"/>
  <c r="AH103" i="43"/>
  <c r="AN102" i="43"/>
  <c r="AM102" i="43"/>
  <c r="AK102" i="43"/>
  <c r="AJ102" i="43"/>
  <c r="AI102" i="43"/>
  <c r="AH102" i="43"/>
  <c r="AN100" i="43"/>
  <c r="AM100" i="43"/>
  <c r="AK100" i="43"/>
  <c r="AJ100" i="43"/>
  <c r="AI100" i="43"/>
  <c r="AH100" i="43"/>
  <c r="AN99" i="43"/>
  <c r="AM99" i="43"/>
  <c r="AK99" i="43"/>
  <c r="AJ99" i="43"/>
  <c r="AI99" i="43"/>
  <c r="AH99" i="43"/>
  <c r="AN98" i="43"/>
  <c r="AM98" i="43"/>
  <c r="AK98" i="43"/>
  <c r="AJ98" i="43"/>
  <c r="AI98" i="43"/>
  <c r="AH98" i="43"/>
  <c r="AN97" i="43"/>
  <c r="AM97" i="43"/>
  <c r="AK97" i="43"/>
  <c r="AJ97" i="43"/>
  <c r="AI97" i="43"/>
  <c r="AH97" i="43"/>
  <c r="AN96" i="43"/>
  <c r="AM96" i="43"/>
  <c r="AK96" i="43"/>
  <c r="AJ96" i="43"/>
  <c r="AI96" i="43"/>
  <c r="AH96" i="43"/>
  <c r="AN95" i="43"/>
  <c r="AM95" i="43"/>
  <c r="AK95" i="43"/>
  <c r="AJ95" i="43"/>
  <c r="AI95" i="43"/>
  <c r="AH95" i="43"/>
  <c r="AN94" i="43"/>
  <c r="AM94" i="43"/>
  <c r="AK94" i="43"/>
  <c r="AJ94" i="43"/>
  <c r="AI94" i="43"/>
  <c r="AH94" i="43"/>
  <c r="AN87" i="43"/>
  <c r="AM87" i="43"/>
  <c r="AK87" i="43"/>
  <c r="AJ87" i="43"/>
  <c r="AI87" i="43"/>
  <c r="AH87" i="43"/>
  <c r="AN86" i="43"/>
  <c r="AM86" i="43"/>
  <c r="AK86" i="43"/>
  <c r="AJ86" i="43"/>
  <c r="AI86" i="43"/>
  <c r="AH86" i="43"/>
  <c r="AN85" i="43"/>
  <c r="AM85" i="43"/>
  <c r="AK85" i="43"/>
  <c r="AJ85" i="43"/>
  <c r="AI85" i="43"/>
  <c r="AH85" i="43"/>
  <c r="AN84" i="43"/>
  <c r="AM84" i="43"/>
  <c r="AK84" i="43"/>
  <c r="AJ84" i="43"/>
  <c r="AI84" i="43"/>
  <c r="AH84" i="43"/>
  <c r="AN83" i="43"/>
  <c r="AM83" i="43"/>
  <c r="AK83" i="43"/>
  <c r="AJ83" i="43"/>
  <c r="AI83" i="43"/>
  <c r="AH83" i="43"/>
  <c r="AN82" i="43"/>
  <c r="AM82" i="43"/>
  <c r="AK82" i="43"/>
  <c r="AJ82" i="43"/>
  <c r="AI82" i="43"/>
  <c r="AH82" i="43"/>
  <c r="AN81" i="43"/>
  <c r="AM81" i="43"/>
  <c r="AK81" i="43"/>
  <c r="AJ81" i="43"/>
  <c r="AI81" i="43"/>
  <c r="AH81" i="43"/>
  <c r="AN80" i="43"/>
  <c r="AK80" i="43"/>
  <c r="AJ80" i="43"/>
  <c r="AI80" i="43"/>
  <c r="AH80" i="43"/>
  <c r="AN79" i="43"/>
  <c r="AM79" i="43"/>
  <c r="AK79" i="43"/>
  <c r="AJ79" i="43"/>
  <c r="AI79" i="43"/>
  <c r="AH79" i="43"/>
  <c r="AN78" i="43"/>
  <c r="AM78" i="43"/>
  <c r="AK78" i="43"/>
  <c r="AJ78" i="43"/>
  <c r="AI78" i="43"/>
  <c r="AH78" i="43"/>
  <c r="AN77" i="43"/>
  <c r="AM77" i="43"/>
  <c r="AK77" i="43"/>
  <c r="AJ77" i="43"/>
  <c r="AI77" i="43"/>
  <c r="AH77" i="43"/>
  <c r="AN76" i="43"/>
  <c r="AM76" i="43"/>
  <c r="AK76" i="43"/>
  <c r="AJ76" i="43"/>
  <c r="AI76" i="43"/>
  <c r="AH76" i="43"/>
  <c r="AN75" i="43"/>
  <c r="AM75" i="43"/>
  <c r="AK75" i="43"/>
  <c r="AJ75" i="43"/>
  <c r="AI75" i="43"/>
  <c r="AH75" i="43"/>
  <c r="AN74" i="43"/>
  <c r="AM74" i="43"/>
  <c r="AK74" i="43"/>
  <c r="AJ74" i="43"/>
  <c r="AI74" i="43"/>
  <c r="AH74" i="43"/>
  <c r="AN73" i="43"/>
  <c r="AM73" i="43"/>
  <c r="AK73" i="43"/>
  <c r="AJ73" i="43"/>
  <c r="AI73" i="43"/>
  <c r="AH73" i="43"/>
  <c r="AN72" i="43"/>
  <c r="AM72" i="43"/>
  <c r="AK72" i="43"/>
  <c r="AJ72" i="43"/>
  <c r="AI72" i="43"/>
  <c r="AH72" i="43"/>
  <c r="AN71" i="43"/>
  <c r="AM71" i="43"/>
  <c r="AK71" i="43"/>
  <c r="AJ71" i="43"/>
  <c r="AI71" i="43"/>
  <c r="AH71" i="43"/>
  <c r="AN70" i="43"/>
  <c r="AM70" i="43"/>
  <c r="AK70" i="43"/>
  <c r="AJ70" i="43"/>
  <c r="AI70" i="43"/>
  <c r="AH70" i="43"/>
  <c r="AN69" i="43"/>
  <c r="AM69" i="43"/>
  <c r="AK69" i="43"/>
  <c r="AJ69" i="43"/>
  <c r="AI69" i="43"/>
  <c r="AH69" i="43"/>
  <c r="AN68" i="43"/>
  <c r="AM68" i="43"/>
  <c r="AK68" i="43"/>
  <c r="AJ68" i="43"/>
  <c r="AI68" i="43"/>
  <c r="AH68" i="43"/>
  <c r="AN61" i="43"/>
  <c r="AN60" i="43"/>
  <c r="AN59" i="43"/>
  <c r="AN58" i="43"/>
  <c r="AN57" i="43"/>
  <c r="AN56" i="43"/>
  <c r="AN55" i="43"/>
  <c r="AN54" i="43"/>
  <c r="AN53" i="43"/>
  <c r="AN52" i="43"/>
  <c r="AN51" i="43"/>
  <c r="AK61" i="43"/>
  <c r="AJ61" i="43"/>
  <c r="AI61" i="43"/>
  <c r="AH61" i="43"/>
  <c r="AK60" i="43"/>
  <c r="AJ60" i="43"/>
  <c r="AI60" i="43"/>
  <c r="AH60" i="43"/>
  <c r="AK59" i="43"/>
  <c r="AJ59" i="43"/>
  <c r="AI59" i="43"/>
  <c r="AH59" i="43"/>
  <c r="AK58" i="43"/>
  <c r="AJ58" i="43"/>
  <c r="AI58" i="43"/>
  <c r="AH58" i="43"/>
  <c r="AK57" i="43"/>
  <c r="AJ57" i="43"/>
  <c r="AI57" i="43"/>
  <c r="AH57" i="43"/>
  <c r="AK56" i="43"/>
  <c r="AJ56" i="43"/>
  <c r="AI56" i="43"/>
  <c r="AH56" i="43"/>
  <c r="AK55" i="43"/>
  <c r="AJ55" i="43"/>
  <c r="AI55" i="43"/>
  <c r="AH55" i="43"/>
  <c r="AK54" i="43"/>
  <c r="AJ54" i="43"/>
  <c r="AI54" i="43"/>
  <c r="AH54" i="43"/>
  <c r="AK53" i="43"/>
  <c r="AJ53" i="43"/>
  <c r="AI53" i="43"/>
  <c r="AH53" i="43"/>
  <c r="AK52" i="43"/>
  <c r="AJ52" i="43"/>
  <c r="AI52" i="43"/>
  <c r="AH52" i="43"/>
  <c r="AK51" i="43"/>
  <c r="AJ51" i="43"/>
  <c r="AI51" i="43"/>
  <c r="AH51" i="43"/>
  <c r="AN44" i="43"/>
  <c r="AM44" i="43"/>
  <c r="AK44" i="43"/>
  <c r="AJ44" i="43"/>
  <c r="AI44" i="43"/>
  <c r="AH44" i="43"/>
  <c r="AN43" i="43"/>
  <c r="AM43" i="43"/>
  <c r="AK43" i="43"/>
  <c r="AJ43" i="43"/>
  <c r="AI43" i="43"/>
  <c r="AH43" i="43"/>
  <c r="AN42" i="43"/>
  <c r="AM42" i="43"/>
  <c r="AK42" i="43"/>
  <c r="AJ42" i="43"/>
  <c r="AI42" i="43"/>
  <c r="AH42" i="43"/>
  <c r="AN41" i="43"/>
  <c r="AM41" i="43"/>
  <c r="AK41" i="43"/>
  <c r="AJ41" i="43"/>
  <c r="AI41" i="43"/>
  <c r="AH41" i="43"/>
  <c r="AN40" i="43"/>
  <c r="AM40" i="43"/>
  <c r="AK40" i="43"/>
  <c r="AJ40" i="43"/>
  <c r="AI40" i="43"/>
  <c r="AH40" i="43"/>
  <c r="AN39" i="43"/>
  <c r="AM39" i="43"/>
  <c r="AK39" i="43"/>
  <c r="AJ39" i="43"/>
  <c r="AI39" i="43"/>
  <c r="AH39" i="43"/>
  <c r="AN38" i="43"/>
  <c r="AM38" i="43"/>
  <c r="AK38" i="43"/>
  <c r="AJ38" i="43"/>
  <c r="AI38" i="43"/>
  <c r="AH38" i="43"/>
  <c r="AN37" i="43"/>
  <c r="AM37" i="43"/>
  <c r="AK37" i="43"/>
  <c r="AJ37" i="43"/>
  <c r="AI37" i="43"/>
  <c r="AH37" i="43"/>
  <c r="AN36" i="43"/>
  <c r="AM36" i="43"/>
  <c r="AK36" i="43"/>
  <c r="AJ36" i="43"/>
  <c r="AI36" i="43"/>
  <c r="AH36" i="43"/>
  <c r="AN35" i="43"/>
  <c r="AM35" i="43"/>
  <c r="AK35" i="43"/>
  <c r="AJ35" i="43"/>
  <c r="AI35" i="43"/>
  <c r="AH35" i="43"/>
  <c r="AK34" i="43"/>
  <c r="AJ34" i="43"/>
  <c r="AI34" i="43"/>
  <c r="AH34" i="43"/>
  <c r="AN27" i="43"/>
  <c r="AN26" i="43"/>
  <c r="AN25" i="43"/>
  <c r="AN24" i="43"/>
  <c r="AN23" i="43"/>
  <c r="AN22" i="43"/>
  <c r="AN21" i="43"/>
  <c r="AN20" i="43"/>
  <c r="AN19" i="43"/>
  <c r="AN18" i="43"/>
  <c r="AN17" i="43"/>
  <c r="AN16" i="43"/>
  <c r="AN15" i="43"/>
  <c r="AN14" i="43"/>
  <c r="AN13" i="43"/>
  <c r="AN12" i="43"/>
  <c r="AN11" i="43"/>
  <c r="AN10" i="43"/>
  <c r="AN9" i="43"/>
  <c r="AN8" i="43"/>
  <c r="AN7" i="43"/>
  <c r="AK27" i="43"/>
  <c r="AJ27" i="43"/>
  <c r="AI27" i="43"/>
  <c r="AH27" i="43"/>
  <c r="AK26" i="43"/>
  <c r="AJ26" i="43"/>
  <c r="AI26" i="43"/>
  <c r="AH26" i="43"/>
  <c r="AK25" i="43"/>
  <c r="AJ25" i="43"/>
  <c r="AI25" i="43"/>
  <c r="AH25" i="43"/>
  <c r="AK24" i="43"/>
  <c r="AJ24" i="43"/>
  <c r="AI24" i="43"/>
  <c r="AH24" i="43"/>
  <c r="AK23" i="43"/>
  <c r="AJ23" i="43"/>
  <c r="AI23" i="43"/>
  <c r="AH23" i="43"/>
  <c r="AK22" i="43"/>
  <c r="AJ22" i="43"/>
  <c r="AI22" i="43"/>
  <c r="AH22" i="43"/>
  <c r="AK21" i="43"/>
  <c r="AJ21" i="43"/>
  <c r="AI21" i="43"/>
  <c r="AH21" i="43"/>
  <c r="AK20" i="43"/>
  <c r="AJ20" i="43"/>
  <c r="AI20" i="43"/>
  <c r="AH20" i="43"/>
  <c r="AK19" i="43"/>
  <c r="AJ19" i="43"/>
  <c r="AI19" i="43"/>
  <c r="AH19" i="43"/>
  <c r="AK18" i="43"/>
  <c r="AJ18" i="43"/>
  <c r="AI18" i="43"/>
  <c r="AH18" i="43"/>
  <c r="AK17" i="43"/>
  <c r="AJ17" i="43"/>
  <c r="AI17" i="43"/>
  <c r="AH17" i="43"/>
  <c r="AK16" i="43"/>
  <c r="AJ16" i="43"/>
  <c r="AI16" i="43"/>
  <c r="AH16" i="43"/>
  <c r="AK15" i="43"/>
  <c r="AJ15" i="43"/>
  <c r="AI15" i="43"/>
  <c r="AH15" i="43"/>
  <c r="AK14" i="43"/>
  <c r="AJ14" i="43"/>
  <c r="AI14" i="43"/>
  <c r="AH14" i="43"/>
  <c r="AK13" i="43"/>
  <c r="AJ13" i="43"/>
  <c r="AI13" i="43"/>
  <c r="AH13" i="43"/>
  <c r="AK12" i="43"/>
  <c r="AJ12" i="43"/>
  <c r="AI12" i="43"/>
  <c r="AH12" i="43"/>
  <c r="AK11" i="43"/>
  <c r="AJ11" i="43"/>
  <c r="AI11" i="43"/>
  <c r="AH11" i="43"/>
  <c r="AK10" i="43"/>
  <c r="AJ10" i="43"/>
  <c r="AI10" i="43"/>
  <c r="AH10" i="43"/>
  <c r="AK9" i="43"/>
  <c r="AJ9" i="43"/>
  <c r="AI9" i="43"/>
  <c r="AH9" i="43"/>
  <c r="AK8" i="43"/>
  <c r="AJ8" i="43"/>
  <c r="AI8" i="43"/>
  <c r="AH8" i="43"/>
  <c r="AK7" i="43"/>
  <c r="AJ7" i="43"/>
  <c r="AI7" i="43"/>
  <c r="AH7" i="43"/>
  <c r="AA129" i="43"/>
  <c r="Z129" i="43"/>
  <c r="Y129" i="43"/>
  <c r="X129" i="43"/>
  <c r="W129" i="43"/>
  <c r="V129" i="43"/>
  <c r="U129" i="43"/>
  <c r="T129" i="43"/>
  <c r="S129" i="43"/>
  <c r="R129" i="43"/>
  <c r="Q129" i="43"/>
  <c r="P129" i="43"/>
  <c r="AA111" i="43"/>
  <c r="N28" i="68" s="1"/>
  <c r="Z111" i="43"/>
  <c r="M28" i="68" s="1"/>
  <c r="Y111" i="43"/>
  <c r="L28" i="68" s="1"/>
  <c r="X111" i="43"/>
  <c r="K28" i="68" s="1"/>
  <c r="W111" i="43"/>
  <c r="J28" i="68" s="1"/>
  <c r="V111" i="43"/>
  <c r="I28" i="68" s="1"/>
  <c r="U111" i="43"/>
  <c r="H28" i="68" s="1"/>
  <c r="T111" i="43"/>
  <c r="G28" i="68" s="1"/>
  <c r="S111" i="43"/>
  <c r="F28" i="68" s="1"/>
  <c r="R111" i="43"/>
  <c r="E28" i="68" s="1"/>
  <c r="Q111" i="43"/>
  <c r="D28" i="68" s="1"/>
  <c r="P111" i="43"/>
  <c r="C28" i="68" s="1"/>
  <c r="AA89" i="43"/>
  <c r="N26" i="68" s="1"/>
  <c r="Z89" i="43"/>
  <c r="M26" i="68" s="1"/>
  <c r="Y89" i="43"/>
  <c r="L26" i="68" s="1"/>
  <c r="X89" i="43"/>
  <c r="K26" i="68" s="1"/>
  <c r="W89" i="43"/>
  <c r="J26" i="68" s="1"/>
  <c r="V89" i="43"/>
  <c r="I26" i="68" s="1"/>
  <c r="U89" i="43"/>
  <c r="H26" i="68" s="1"/>
  <c r="T89" i="43"/>
  <c r="G26" i="68" s="1"/>
  <c r="S89" i="43"/>
  <c r="F26" i="68" s="1"/>
  <c r="R89" i="43"/>
  <c r="E26" i="68" s="1"/>
  <c r="Q89" i="43"/>
  <c r="D26" i="68" s="1"/>
  <c r="P89" i="43"/>
  <c r="C26" i="68" s="1"/>
  <c r="AA63" i="43"/>
  <c r="Z63" i="43"/>
  <c r="Y63" i="43"/>
  <c r="X63" i="43"/>
  <c r="K24" i="68" s="1"/>
  <c r="W63" i="43"/>
  <c r="V63" i="43"/>
  <c r="I24" i="68" s="1"/>
  <c r="U63" i="43"/>
  <c r="T63" i="43"/>
  <c r="S63" i="43"/>
  <c r="F24" i="68" s="1"/>
  <c r="R63" i="43"/>
  <c r="Q63" i="43"/>
  <c r="D24" i="68" s="1"/>
  <c r="P63" i="43"/>
  <c r="AA46" i="43"/>
  <c r="N20" i="68" s="1"/>
  <c r="Z46" i="43"/>
  <c r="M20" i="68" s="1"/>
  <c r="Y46" i="43"/>
  <c r="L20" i="68" s="1"/>
  <c r="X46" i="43"/>
  <c r="K20" i="68" s="1"/>
  <c r="W46" i="43"/>
  <c r="J20" i="68" s="1"/>
  <c r="V46" i="43"/>
  <c r="I20" i="68" s="1"/>
  <c r="U46" i="43"/>
  <c r="H20" i="68" s="1"/>
  <c r="T46" i="43"/>
  <c r="G20" i="68" s="1"/>
  <c r="S46" i="43"/>
  <c r="F20" i="68" s="1"/>
  <c r="R46" i="43"/>
  <c r="E20" i="68" s="1"/>
  <c r="Q46" i="43"/>
  <c r="D20" i="68" s="1"/>
  <c r="P46" i="43"/>
  <c r="C20" i="68" s="1"/>
  <c r="AA29" i="43"/>
  <c r="Z29" i="43"/>
  <c r="Y29" i="43"/>
  <c r="X29" i="43"/>
  <c r="W29" i="43"/>
  <c r="V29" i="43"/>
  <c r="U29" i="43"/>
  <c r="T29" i="43"/>
  <c r="S29" i="43"/>
  <c r="R29" i="43"/>
  <c r="Q29" i="43"/>
  <c r="P29" i="43"/>
  <c r="AQ31" i="45"/>
  <c r="AQ29" i="45"/>
  <c r="AQ22" i="45"/>
  <c r="AQ21" i="45"/>
  <c r="AQ20" i="45"/>
  <c r="AQ19" i="45"/>
  <c r="AQ18" i="45"/>
  <c r="AN29" i="45"/>
  <c r="AN23" i="45"/>
  <c r="AN22" i="45"/>
  <c r="AN21" i="45"/>
  <c r="AN20" i="45"/>
  <c r="AN19" i="45"/>
  <c r="AN18" i="45"/>
  <c r="AN12" i="45"/>
  <c r="AQ12" i="45" s="1"/>
  <c r="AN11" i="45"/>
  <c r="AN10" i="45"/>
  <c r="AN9" i="45"/>
  <c r="AN8" i="45"/>
  <c r="AN7" i="45"/>
  <c r="AN6" i="45"/>
  <c r="AK29" i="45"/>
  <c r="AJ29" i="45"/>
  <c r="AI29" i="45"/>
  <c r="AH29" i="45"/>
  <c r="AK23" i="45"/>
  <c r="AJ23" i="45"/>
  <c r="AI23" i="45"/>
  <c r="AH23" i="45"/>
  <c r="AK22" i="45"/>
  <c r="AJ22" i="45"/>
  <c r="AI22" i="45"/>
  <c r="AH22" i="45"/>
  <c r="AK21" i="45"/>
  <c r="AJ21" i="45"/>
  <c r="AI21" i="45"/>
  <c r="AH21" i="45"/>
  <c r="AK20" i="45"/>
  <c r="AJ20" i="45"/>
  <c r="AI20" i="45"/>
  <c r="AH20" i="45"/>
  <c r="AK19" i="45"/>
  <c r="AJ19" i="45"/>
  <c r="AI19" i="45"/>
  <c r="AH19" i="45"/>
  <c r="AK18" i="45"/>
  <c r="AJ18" i="45"/>
  <c r="AI18" i="45"/>
  <c r="AH18" i="45"/>
  <c r="AH13" i="45"/>
  <c r="AK12" i="45"/>
  <c r="AJ12" i="45"/>
  <c r="AI12" i="45"/>
  <c r="AH12" i="45"/>
  <c r="AK11" i="45"/>
  <c r="AJ11" i="45"/>
  <c r="AI11" i="45"/>
  <c r="AH11" i="45"/>
  <c r="AK10" i="45"/>
  <c r="AJ10" i="45"/>
  <c r="AI10" i="45"/>
  <c r="AH10" i="45"/>
  <c r="AK9" i="45"/>
  <c r="AJ9" i="45"/>
  <c r="AI9" i="45"/>
  <c r="AH9" i="45"/>
  <c r="AK8" i="45"/>
  <c r="AJ8" i="45"/>
  <c r="AI8" i="45"/>
  <c r="AH8" i="45"/>
  <c r="AK7" i="45"/>
  <c r="AJ7" i="45"/>
  <c r="AI7" i="45"/>
  <c r="AH7" i="45"/>
  <c r="AK6" i="45"/>
  <c r="AJ6" i="45"/>
  <c r="AI6" i="45"/>
  <c r="AH6" i="45"/>
  <c r="AN5" i="45"/>
  <c r="AM5" i="45"/>
  <c r="AK5" i="45"/>
  <c r="AJ5" i="45"/>
  <c r="AI5" i="45"/>
  <c r="AH5" i="45"/>
  <c r="AN31" i="45"/>
  <c r="AK31" i="45"/>
  <c r="AJ31" i="45"/>
  <c r="AI31" i="45"/>
  <c r="AH31" i="45"/>
  <c r="AA31" i="45"/>
  <c r="Z31" i="45"/>
  <c r="Y31" i="45"/>
  <c r="X31" i="45"/>
  <c r="W31" i="45"/>
  <c r="V31" i="45"/>
  <c r="U31" i="45"/>
  <c r="T31" i="45"/>
  <c r="S31" i="45"/>
  <c r="R31" i="45"/>
  <c r="Q31" i="45"/>
  <c r="P31" i="45"/>
  <c r="R15" i="45"/>
  <c r="Q15" i="45"/>
  <c r="P15" i="45"/>
  <c r="J118" i="38"/>
  <c r="I118" i="38"/>
  <c r="AC194" i="42"/>
  <c r="AD194" i="42"/>
  <c r="AE194" i="42"/>
  <c r="AF194" i="42"/>
  <c r="J197" i="42"/>
  <c r="J202" i="42"/>
  <c r="J207" i="42"/>
  <c r="J212" i="42"/>
  <c r="J217" i="42"/>
  <c r="J222" i="42"/>
  <c r="N80" i="43"/>
  <c r="AM80" i="43" s="1"/>
  <c r="AC116" i="43"/>
  <c r="AD116" i="43"/>
  <c r="AE116" i="43"/>
  <c r="AF116" i="43"/>
  <c r="AC7" i="43"/>
  <c r="AD7" i="43"/>
  <c r="AE7" i="43"/>
  <c r="AF7" i="43"/>
  <c r="AM7" i="43"/>
  <c r="J71" i="35"/>
  <c r="J70" i="35"/>
  <c r="J69" i="35"/>
  <c r="N89" i="74" l="1"/>
  <c r="J66" i="74"/>
  <c r="J80" i="74"/>
  <c r="Q11" i="68"/>
  <c r="I11" i="70" s="1"/>
  <c r="AJ15" i="57"/>
  <c r="AA42" i="57"/>
  <c r="E8" i="67"/>
  <c r="AA43" i="57"/>
  <c r="G8" i="68"/>
  <c r="G5" i="69" s="1"/>
  <c r="D8" i="68"/>
  <c r="AR25" i="57"/>
  <c r="AM108" i="42"/>
  <c r="AQ85" i="43"/>
  <c r="AQ56" i="43"/>
  <c r="AQ83" i="43"/>
  <c r="AQ36" i="43"/>
  <c r="AQ107" i="43"/>
  <c r="AQ43" i="43"/>
  <c r="AQ87" i="43"/>
  <c r="AQ104" i="43"/>
  <c r="AQ61" i="43"/>
  <c r="AQ40" i="43"/>
  <c r="AQ84" i="43"/>
  <c r="AQ37" i="43"/>
  <c r="AQ57" i="43"/>
  <c r="AQ53" i="43"/>
  <c r="AQ106" i="43"/>
  <c r="AQ39" i="43"/>
  <c r="AP7" i="43"/>
  <c r="AQ58" i="43"/>
  <c r="AQ80" i="43"/>
  <c r="AQ59" i="43"/>
  <c r="AQ108" i="43"/>
  <c r="AQ124" i="43"/>
  <c r="AQ60" i="43"/>
  <c r="AQ71" i="43"/>
  <c r="AQ81" i="43"/>
  <c r="AQ34" i="43"/>
  <c r="AJ46" i="43"/>
  <c r="AQ14" i="43"/>
  <c r="AQ19" i="43"/>
  <c r="AQ24" i="43"/>
  <c r="AK46" i="43"/>
  <c r="AQ44" i="43"/>
  <c r="AQ105" i="43"/>
  <c r="AH46" i="43"/>
  <c r="AQ68" i="43"/>
  <c r="AI46" i="43"/>
  <c r="AQ41" i="43"/>
  <c r="AQ102" i="43"/>
  <c r="AQ38" i="43"/>
  <c r="AQ82" i="43"/>
  <c r="AQ109" i="43"/>
  <c r="AH63" i="43"/>
  <c r="AQ51" i="43"/>
  <c r="AQ35" i="43"/>
  <c r="AQ79" i="43"/>
  <c r="AQ42" i="43"/>
  <c r="AQ86" i="43"/>
  <c r="AQ103" i="43"/>
  <c r="AQ55" i="43"/>
  <c r="S28" i="68"/>
  <c r="K28" i="70" s="1"/>
  <c r="AP116" i="43"/>
  <c r="AO27" i="57"/>
  <c r="R7" i="68"/>
  <c r="J7" i="70" s="1"/>
  <c r="AQ118" i="43"/>
  <c r="AQ9" i="43"/>
  <c r="AQ37" i="42"/>
  <c r="AN60" i="42"/>
  <c r="AJ10" i="42"/>
  <c r="AQ34" i="42"/>
  <c r="AN50" i="42"/>
  <c r="AQ183" i="42"/>
  <c r="AK88" i="42"/>
  <c r="AQ91" i="42"/>
  <c r="AQ107" i="42"/>
  <c r="AK187" i="42"/>
  <c r="AM235" i="42"/>
  <c r="AI270" i="42"/>
  <c r="AK275" i="42"/>
  <c r="AQ149" i="42"/>
  <c r="AM187" i="42"/>
  <c r="AK20" i="42"/>
  <c r="AK45" i="42"/>
  <c r="AK70" i="42"/>
  <c r="AN88" i="42"/>
  <c r="AI113" i="42"/>
  <c r="AK118" i="42"/>
  <c r="AN187" i="42"/>
  <c r="AH184" i="42"/>
  <c r="AH55" i="42"/>
  <c r="AH108" i="42"/>
  <c r="AJ113" i="42"/>
  <c r="AM118" i="42"/>
  <c r="AI184" i="42"/>
  <c r="AI30" i="42"/>
  <c r="AI55" i="42"/>
  <c r="AH179" i="42"/>
  <c r="AJ184" i="42"/>
  <c r="AM197" i="42"/>
  <c r="AQ7" i="42"/>
  <c r="AQ39" i="42"/>
  <c r="AI179" i="42"/>
  <c r="AK184" i="42"/>
  <c r="AN197" i="42"/>
  <c r="AK30" i="42"/>
  <c r="AK55" i="42"/>
  <c r="AQ8" i="42"/>
  <c r="AH174" i="42"/>
  <c r="AJ179" i="42"/>
  <c r="AK53" i="38"/>
  <c r="AN53" i="38"/>
  <c r="AH113" i="42"/>
  <c r="AJ118" i="42"/>
  <c r="AN136" i="42"/>
  <c r="AN235" i="42"/>
  <c r="AH265" i="42"/>
  <c r="AJ270" i="42"/>
  <c r="AM275" i="42"/>
  <c r="AM153" i="42"/>
  <c r="AJ188" i="42"/>
  <c r="T57" i="38"/>
  <c r="T94" i="38" s="1"/>
  <c r="T109" i="38" s="1"/>
  <c r="AJ30" i="42"/>
  <c r="AJ55" i="42"/>
  <c r="AH122" i="42"/>
  <c r="AH188" i="42"/>
  <c r="AK188" i="42"/>
  <c r="AQ42" i="42"/>
  <c r="AI122" i="42"/>
  <c r="AH154" i="42"/>
  <c r="AI188" i="42"/>
  <c r="AJ278" i="42"/>
  <c r="AQ9" i="42"/>
  <c r="AJ122" i="42"/>
  <c r="AQ238" i="42"/>
  <c r="P46" i="38"/>
  <c r="P93" i="38" s="1"/>
  <c r="P108" i="38" s="1"/>
  <c r="W57" i="38"/>
  <c r="W94" i="38" s="1"/>
  <c r="W109" i="38" s="1"/>
  <c r="AQ12" i="42"/>
  <c r="AQ44" i="42"/>
  <c r="AK122" i="42"/>
  <c r="AQ92" i="42"/>
  <c r="AJ154" i="42"/>
  <c r="AN122" i="42"/>
  <c r="AN108" i="42"/>
  <c r="AJ174" i="42"/>
  <c r="V57" i="38"/>
  <c r="V94" i="38" s="1"/>
  <c r="V109" i="38" s="1"/>
  <c r="AQ17" i="42"/>
  <c r="AQ49" i="42"/>
  <c r="AJ98" i="42"/>
  <c r="AQ129" i="42"/>
  <c r="AQ145" i="42"/>
  <c r="AH169" i="42"/>
  <c r="AK174" i="42"/>
  <c r="AN179" i="42"/>
  <c r="AI93" i="42"/>
  <c r="AK98" i="42"/>
  <c r="AN103" i="42"/>
  <c r="AQ116" i="42"/>
  <c r="AH155" i="42"/>
  <c r="AI169" i="42"/>
  <c r="AQ19" i="42"/>
  <c r="AQ53" i="42"/>
  <c r="AH120" i="42"/>
  <c r="AJ93" i="42"/>
  <c r="AI155" i="42"/>
  <c r="AI151" i="42"/>
  <c r="AQ239" i="42"/>
  <c r="AQ22" i="42"/>
  <c r="AI88" i="42"/>
  <c r="AK93" i="42"/>
  <c r="AJ155" i="42"/>
  <c r="AH146" i="42"/>
  <c r="AJ151" i="42"/>
  <c r="AI10" i="42"/>
  <c r="AJ120" i="42"/>
  <c r="AK155" i="42"/>
  <c r="AI146" i="42"/>
  <c r="AK151" i="42"/>
  <c r="AN169" i="42"/>
  <c r="AI35" i="42"/>
  <c r="AI60" i="42"/>
  <c r="AQ24" i="42"/>
  <c r="AK164" i="42"/>
  <c r="AQ258" i="42"/>
  <c r="AQ274" i="42"/>
  <c r="AQ27" i="42"/>
  <c r="AQ130" i="42"/>
  <c r="AM164" i="42"/>
  <c r="AK245" i="42"/>
  <c r="AQ28" i="42"/>
  <c r="AQ62" i="42"/>
  <c r="AN164" i="42"/>
  <c r="AH277" i="42"/>
  <c r="AQ253" i="42"/>
  <c r="AQ269" i="42"/>
  <c r="AQ29" i="42"/>
  <c r="AI136" i="42"/>
  <c r="AN146" i="42"/>
  <c r="AH187" i="42"/>
  <c r="AQ172" i="42"/>
  <c r="AK240" i="42"/>
  <c r="AH275" i="42"/>
  <c r="AI20" i="42"/>
  <c r="AI45" i="42"/>
  <c r="AI70" i="42"/>
  <c r="AQ32" i="42"/>
  <c r="AQ96" i="42"/>
  <c r="AQ112" i="42"/>
  <c r="AH131" i="42"/>
  <c r="AJ136" i="42"/>
  <c r="AI187" i="42"/>
  <c r="AM240" i="42"/>
  <c r="AI275" i="42"/>
  <c r="AJ20" i="42"/>
  <c r="AJ45" i="42"/>
  <c r="AJ70" i="42"/>
  <c r="AI131" i="42"/>
  <c r="AK136" i="42"/>
  <c r="AN141" i="42"/>
  <c r="AJ187" i="42"/>
  <c r="AI202" i="42"/>
  <c r="AK207" i="42"/>
  <c r="AN212" i="42"/>
  <c r="AI222" i="42"/>
  <c r="AK235" i="42"/>
  <c r="AN240" i="42"/>
  <c r="AH270" i="42"/>
  <c r="AJ275" i="42"/>
  <c r="AN81" i="38"/>
  <c r="AK81" i="38"/>
  <c r="AN54" i="38"/>
  <c r="AK54" i="38"/>
  <c r="AN62" i="38"/>
  <c r="AK62" i="38"/>
  <c r="AK78" i="38"/>
  <c r="AN78" i="38"/>
  <c r="Q46" i="38"/>
  <c r="Q93" i="38" s="1"/>
  <c r="Q108" i="38" s="1"/>
  <c r="X57" i="38"/>
  <c r="X94" i="38" s="1"/>
  <c r="X109" i="38" s="1"/>
  <c r="AJ51" i="38"/>
  <c r="AJ57" i="38" s="1"/>
  <c r="AJ94" i="38" s="1"/>
  <c r="P84" i="38"/>
  <c r="P98" i="38" s="1"/>
  <c r="AI154" i="42"/>
  <c r="AI235" i="42"/>
  <c r="AI277" i="42"/>
  <c r="AK10" i="38"/>
  <c r="R46" i="38"/>
  <c r="R93" i="38" s="1"/>
  <c r="R108" i="38" s="1"/>
  <c r="AH40" i="38"/>
  <c r="AH46" i="38" s="1"/>
  <c r="AH93" i="38" s="1"/>
  <c r="Y57" i="38"/>
  <c r="Y94" i="38" s="1"/>
  <c r="Y109" i="38" s="1"/>
  <c r="AJ235" i="42"/>
  <c r="AJ277" i="42"/>
  <c r="AN17" i="38"/>
  <c r="AK17" i="38"/>
  <c r="R35" i="38"/>
  <c r="R90" i="38" s="1"/>
  <c r="R105" i="38" s="1"/>
  <c r="AH27" i="38"/>
  <c r="AH35" i="38" s="1"/>
  <c r="AH90" i="38" s="1"/>
  <c r="S46" i="38"/>
  <c r="S93" i="38" s="1"/>
  <c r="S108" i="38" s="1"/>
  <c r="AN41" i="38"/>
  <c r="AK41" i="38"/>
  <c r="Z57" i="38"/>
  <c r="Z94" i="38" s="1"/>
  <c r="Z109" i="38" s="1"/>
  <c r="R84" i="38"/>
  <c r="R98" i="38" s="1"/>
  <c r="AK154" i="42"/>
  <c r="AQ173" i="42"/>
  <c r="AN188" i="42"/>
  <c r="AN12" i="38"/>
  <c r="S35" i="38"/>
  <c r="S90" i="38" s="1"/>
  <c r="S105" i="38" s="1"/>
  <c r="AN28" i="38"/>
  <c r="AK28" i="38"/>
  <c r="AN33" i="38"/>
  <c r="AK33" i="38"/>
  <c r="T46" i="38"/>
  <c r="T93" i="38" s="1"/>
  <c r="T108" i="38" s="1"/>
  <c r="AA57" i="38"/>
  <c r="AA94" i="38" s="1"/>
  <c r="AA109" i="38" s="1"/>
  <c r="AN51" i="38"/>
  <c r="S84" i="38"/>
  <c r="S98" i="38" s="1"/>
  <c r="AN75" i="38"/>
  <c r="AK75" i="38"/>
  <c r="AN80" i="38"/>
  <c r="AK80" i="38"/>
  <c r="AN279" i="42"/>
  <c r="AN14" i="38"/>
  <c r="AK14" i="38"/>
  <c r="AN8" i="38"/>
  <c r="AK8" i="38"/>
  <c r="AN13" i="38"/>
  <c r="AK13" i="38"/>
  <c r="AN19" i="38"/>
  <c r="AK19" i="38"/>
  <c r="T35" i="38"/>
  <c r="T90" i="38" s="1"/>
  <c r="T105" i="38" s="1"/>
  <c r="U46" i="38"/>
  <c r="U93" i="38" s="1"/>
  <c r="U108" i="38" s="1"/>
  <c r="AI40" i="38"/>
  <c r="AI46" i="38" s="1"/>
  <c r="AI93" i="38" s="1"/>
  <c r="T84" i="38"/>
  <c r="T98" i="38" s="1"/>
  <c r="AK51" i="38"/>
  <c r="U35" i="38"/>
  <c r="U90" i="38" s="1"/>
  <c r="U105" i="38" s="1"/>
  <c r="AI27" i="38"/>
  <c r="AI35" i="38" s="1"/>
  <c r="AI90" i="38" s="1"/>
  <c r="V46" i="38"/>
  <c r="V93" i="38" s="1"/>
  <c r="V108" i="38" s="1"/>
  <c r="U84" i="38"/>
  <c r="U98" i="38" s="1"/>
  <c r="AI74" i="38"/>
  <c r="AI84" i="38" s="1"/>
  <c r="AI98" i="38" s="1"/>
  <c r="AI99" i="38" s="1"/>
  <c r="V35" i="38"/>
  <c r="V90" i="38" s="1"/>
  <c r="V105" i="38" s="1"/>
  <c r="W46" i="38"/>
  <c r="W93" i="38" s="1"/>
  <c r="W108" i="38" s="1"/>
  <c r="V84" i="38"/>
  <c r="V98" i="38" s="1"/>
  <c r="AI278" i="42"/>
  <c r="AN43" i="38"/>
  <c r="AK43" i="38"/>
  <c r="W35" i="38"/>
  <c r="W90" i="38" s="1"/>
  <c r="W105" i="38" s="1"/>
  <c r="AK30" i="38"/>
  <c r="AN30" i="38"/>
  <c r="X46" i="38"/>
  <c r="X93" i="38" s="1"/>
  <c r="X108" i="38" s="1"/>
  <c r="AJ40" i="38"/>
  <c r="AJ46" i="38" s="1"/>
  <c r="AJ93" i="38" s="1"/>
  <c r="AN67" i="38"/>
  <c r="AK67" i="38"/>
  <c r="W84" i="38"/>
  <c r="W98" i="38" s="1"/>
  <c r="AN77" i="38"/>
  <c r="AK77" i="38"/>
  <c r="AN82" i="38"/>
  <c r="AK82" i="38"/>
  <c r="AK120" i="42"/>
  <c r="W22" i="38"/>
  <c r="W89" i="38" s="1"/>
  <c r="W104" i="38" s="1"/>
  <c r="AN15" i="38"/>
  <c r="AK15" i="38"/>
  <c r="X35" i="38"/>
  <c r="X90" i="38" s="1"/>
  <c r="X105" i="38" s="1"/>
  <c r="AJ27" i="38"/>
  <c r="AJ35" i="38" s="1"/>
  <c r="AJ90" i="38" s="1"/>
  <c r="Y46" i="38"/>
  <c r="Y93" i="38" s="1"/>
  <c r="Y108" i="38" s="1"/>
  <c r="X84" i="38"/>
  <c r="X98" i="38" s="1"/>
  <c r="AJ74" i="38"/>
  <c r="AJ84" i="38" s="1"/>
  <c r="AJ98" i="38" s="1"/>
  <c r="AJ99" i="38" s="1"/>
  <c r="AK278" i="42"/>
  <c r="AN9" i="38"/>
  <c r="AK9" i="38"/>
  <c r="X22" i="38"/>
  <c r="X89" i="38" s="1"/>
  <c r="X104" i="38" s="1"/>
  <c r="AJ7" i="38"/>
  <c r="AJ22" i="38" s="1"/>
  <c r="AJ89" i="38" s="1"/>
  <c r="Y35" i="38"/>
  <c r="Y90" i="38" s="1"/>
  <c r="Y105" i="38" s="1"/>
  <c r="Y84" i="38"/>
  <c r="Y98" i="38" s="1"/>
  <c r="Y99" i="38" s="1"/>
  <c r="AN120" i="42"/>
  <c r="AN11" i="38"/>
  <c r="AK11" i="38"/>
  <c r="AH74" i="38"/>
  <c r="AH84" i="38" s="1"/>
  <c r="AH98" i="38" s="1"/>
  <c r="AH99" i="38" s="1"/>
  <c r="P35" i="38"/>
  <c r="P90" i="38" s="1"/>
  <c r="P105" i="38" s="1"/>
  <c r="Y22" i="38"/>
  <c r="Y89" i="38" s="1"/>
  <c r="Y104" i="38" s="1"/>
  <c r="Z35" i="38"/>
  <c r="Z90" i="38" s="1"/>
  <c r="Z105" i="38" s="1"/>
  <c r="AA46" i="38"/>
  <c r="AA93" i="38" s="1"/>
  <c r="AA108" i="38" s="1"/>
  <c r="AN40" i="38"/>
  <c r="AK40" i="38"/>
  <c r="Z84" i="38"/>
  <c r="Z98" i="38" s="1"/>
  <c r="Z99" i="38" s="1"/>
  <c r="Z46" i="38"/>
  <c r="Z93" i="38" s="1"/>
  <c r="Z108" i="38" s="1"/>
  <c r="Z22" i="38"/>
  <c r="Z89" i="38" s="1"/>
  <c r="Z104" i="38" s="1"/>
  <c r="Z106" i="38" s="1"/>
  <c r="AA35" i="38"/>
  <c r="AA90" i="38" s="1"/>
  <c r="AA105" i="38" s="1"/>
  <c r="AN27" i="38"/>
  <c r="AK27" i="38"/>
  <c r="AK32" i="38"/>
  <c r="AN32" i="38"/>
  <c r="AN55" i="38"/>
  <c r="AK55" i="38"/>
  <c r="AN63" i="38"/>
  <c r="AK63" i="38"/>
  <c r="AA84" i="38"/>
  <c r="AA98" i="38" s="1"/>
  <c r="AA99" i="38" s="1"/>
  <c r="AN74" i="38"/>
  <c r="AK74" i="38"/>
  <c r="AN79" i="38"/>
  <c r="AK79" i="38"/>
  <c r="AI121" i="42"/>
  <c r="AH279" i="42"/>
  <c r="AK131" i="42"/>
  <c r="AK153" i="42"/>
  <c r="U57" i="38"/>
  <c r="U94" i="38" s="1"/>
  <c r="U109" i="38" s="1"/>
  <c r="AI51" i="38"/>
  <c r="AI57" i="38" s="1"/>
  <c r="AI94" i="38" s="1"/>
  <c r="AA22" i="38"/>
  <c r="AA89" i="38" s="1"/>
  <c r="AN7" i="38"/>
  <c r="AK7" i="38"/>
  <c r="P57" i="38"/>
  <c r="P94" i="38" s="1"/>
  <c r="P109" i="38" s="1"/>
  <c r="AK10" i="42"/>
  <c r="AK78" i="42"/>
  <c r="AQ33" i="42"/>
  <c r="AN70" i="42"/>
  <c r="AQ67" i="42"/>
  <c r="AJ121" i="42"/>
  <c r="AI120" i="42"/>
  <c r="AI279" i="42"/>
  <c r="AK44" i="38"/>
  <c r="AN44" i="38"/>
  <c r="Q57" i="38"/>
  <c r="Q94" i="38" s="1"/>
  <c r="Q109" i="38" s="1"/>
  <c r="AJ279" i="42"/>
  <c r="AN20" i="38"/>
  <c r="AK20" i="38"/>
  <c r="AN42" i="38"/>
  <c r="AK42" i="38"/>
  <c r="R57" i="38"/>
  <c r="R94" i="38" s="1"/>
  <c r="R109" i="38" s="1"/>
  <c r="AH51" i="38"/>
  <c r="AH57" i="38" s="1"/>
  <c r="AH94" i="38" s="1"/>
  <c r="AK279" i="42"/>
  <c r="AN29" i="38"/>
  <c r="AK29" i="38"/>
  <c r="S57" i="38"/>
  <c r="S94" i="38" s="1"/>
  <c r="S109" i="38" s="1"/>
  <c r="AN52" i="38"/>
  <c r="AK52" i="38"/>
  <c r="AK65" i="38"/>
  <c r="AN65" i="38"/>
  <c r="AN76" i="38"/>
  <c r="AK76" i="38"/>
  <c r="AJ131" i="42"/>
  <c r="AJ153" i="42"/>
  <c r="AN40" i="42"/>
  <c r="AN131" i="42"/>
  <c r="AQ144" i="42"/>
  <c r="AN153" i="42"/>
  <c r="AQ168" i="42"/>
  <c r="AQ200" i="42"/>
  <c r="AQ220" i="42"/>
  <c r="AN75" i="42"/>
  <c r="AN93" i="42"/>
  <c r="AQ106" i="42"/>
  <c r="AN154" i="42"/>
  <c r="AQ259" i="42"/>
  <c r="AK18" i="38"/>
  <c r="AQ139" i="42"/>
  <c r="AN155" i="42"/>
  <c r="AQ163" i="42"/>
  <c r="AK179" i="42"/>
  <c r="AQ195" i="42"/>
  <c r="AQ211" i="42"/>
  <c r="AQ243" i="42"/>
  <c r="AQ111" i="42"/>
  <c r="AH15" i="42"/>
  <c r="AH40" i="42"/>
  <c r="AQ85" i="42"/>
  <c r="AQ101" i="42"/>
  <c r="AQ117" i="42"/>
  <c r="AK121" i="42"/>
  <c r="AH153" i="42"/>
  <c r="AM179" i="42"/>
  <c r="AN186" i="42"/>
  <c r="AQ254" i="42"/>
  <c r="AI265" i="42"/>
  <c r="AK270" i="42"/>
  <c r="AN275" i="42"/>
  <c r="AI78" i="42"/>
  <c r="AQ43" i="42"/>
  <c r="AQ47" i="42"/>
  <c r="AH88" i="42"/>
  <c r="AQ134" i="42"/>
  <c r="AQ150" i="42"/>
  <c r="AI153" i="42"/>
  <c r="AQ206" i="42"/>
  <c r="AI225" i="42"/>
  <c r="AH260" i="42"/>
  <c r="AJ265" i="42"/>
  <c r="P22" i="38"/>
  <c r="P89" i="38" s="1"/>
  <c r="P91" i="38" s="1"/>
  <c r="AJ78" i="42"/>
  <c r="AM154" i="42"/>
  <c r="AH164" i="42"/>
  <c r="AJ169" i="42"/>
  <c r="AH212" i="42"/>
  <c r="AJ225" i="42"/>
  <c r="AQ249" i="42"/>
  <c r="AI260" i="42"/>
  <c r="AK265" i="42"/>
  <c r="AN270" i="42"/>
  <c r="AN16" i="38"/>
  <c r="AJ88" i="42"/>
  <c r="AH118" i="42"/>
  <c r="AI164" i="42"/>
  <c r="AK169" i="42"/>
  <c r="AN174" i="42"/>
  <c r="AQ201" i="42"/>
  <c r="AI212" i="42"/>
  <c r="AK225" i="42"/>
  <c r="AQ221" i="42"/>
  <c r="AH255" i="42"/>
  <c r="AJ260" i="42"/>
  <c r="AH79" i="42"/>
  <c r="AI118" i="42"/>
  <c r="AH151" i="42"/>
  <c r="AJ164" i="42"/>
  <c r="AH186" i="42"/>
  <c r="AJ212" i="42"/>
  <c r="AQ233" i="42"/>
  <c r="AQ244" i="42"/>
  <c r="AI255" i="42"/>
  <c r="AK260" i="42"/>
  <c r="AN265" i="42"/>
  <c r="AK31" i="38"/>
  <c r="AI79" i="42"/>
  <c r="AQ57" i="42"/>
  <c r="AM88" i="42"/>
  <c r="AQ140" i="42"/>
  <c r="AQ182" i="42"/>
  <c r="AI186" i="42"/>
  <c r="AQ196" i="42"/>
  <c r="AI207" i="42"/>
  <c r="AK212" i="42"/>
  <c r="AQ215" i="42"/>
  <c r="AH250" i="42"/>
  <c r="AJ255" i="42"/>
  <c r="AK277" i="42"/>
  <c r="AJ25" i="42"/>
  <c r="AJ50" i="42"/>
  <c r="AJ79" i="42"/>
  <c r="AJ75" i="42"/>
  <c r="AQ18" i="42"/>
  <c r="AQ102" i="42"/>
  <c r="AJ186" i="42"/>
  <c r="AH202" i="42"/>
  <c r="AJ207" i="42"/>
  <c r="AM212" i="42"/>
  <c r="AH222" i="42"/>
  <c r="AI250" i="42"/>
  <c r="AK255" i="42"/>
  <c r="AN260" i="42"/>
  <c r="AQ273" i="42"/>
  <c r="AK64" i="38"/>
  <c r="AN277" i="42"/>
  <c r="AH10" i="42"/>
  <c r="AK25" i="42"/>
  <c r="AK50" i="42"/>
  <c r="AK79" i="42"/>
  <c r="AK75" i="42"/>
  <c r="AQ135" i="42"/>
  <c r="AA156" i="42"/>
  <c r="AA157" i="42" s="1"/>
  <c r="AQ177" i="42"/>
  <c r="AK186" i="42"/>
  <c r="AJ250" i="42"/>
  <c r="AH35" i="42"/>
  <c r="AH60" i="42"/>
  <c r="AQ54" i="42"/>
  <c r="AQ72" i="42"/>
  <c r="AQ97" i="42"/>
  <c r="AI108" i="42"/>
  <c r="AK113" i="42"/>
  <c r="AN118" i="42"/>
  <c r="AH141" i="42"/>
  <c r="AJ146" i="42"/>
  <c r="AM151" i="42"/>
  <c r="AH197" i="42"/>
  <c r="AJ202" i="42"/>
  <c r="AJ222" i="42"/>
  <c r="AK250" i="42"/>
  <c r="AN255" i="42"/>
  <c r="AQ268" i="42"/>
  <c r="AQ248" i="42"/>
  <c r="AJ77" i="42"/>
  <c r="AQ23" i="42"/>
  <c r="AH103" i="42"/>
  <c r="AJ108" i="42"/>
  <c r="AM113" i="42"/>
  <c r="AI141" i="42"/>
  <c r="AK146" i="42"/>
  <c r="AN151" i="42"/>
  <c r="AI197" i="42"/>
  <c r="AK202" i="42"/>
  <c r="AN207" i="42"/>
  <c r="AK222" i="42"/>
  <c r="AH245" i="42"/>
  <c r="AJ35" i="42"/>
  <c r="AJ60" i="42"/>
  <c r="AI103" i="42"/>
  <c r="AK108" i="42"/>
  <c r="AN113" i="42"/>
  <c r="AH136" i="42"/>
  <c r="AJ141" i="42"/>
  <c r="AJ197" i="42"/>
  <c r="AM202" i="42"/>
  <c r="AM222" i="42"/>
  <c r="AQ234" i="42"/>
  <c r="AI245" i="42"/>
  <c r="AQ263" i="42"/>
  <c r="AQ264" i="42"/>
  <c r="AK35" i="42"/>
  <c r="AK60" i="42"/>
  <c r="AN30" i="42"/>
  <c r="AK141" i="42"/>
  <c r="AQ167" i="42"/>
  <c r="AK197" i="42"/>
  <c r="AN202" i="42"/>
  <c r="AN222" i="42"/>
  <c r="AH240" i="42"/>
  <c r="AJ245" i="42"/>
  <c r="AH278" i="42"/>
  <c r="AH20" i="42"/>
  <c r="AH70" i="42"/>
  <c r="AN65" i="42"/>
  <c r="AQ87" i="42"/>
  <c r="AI98" i="42"/>
  <c r="AK103" i="42"/>
  <c r="AI240" i="42"/>
  <c r="AQ90" i="42"/>
  <c r="AQ162" i="42"/>
  <c r="AQ178" i="42"/>
  <c r="AQ210" i="42"/>
  <c r="AH235" i="42"/>
  <c r="AJ240" i="42"/>
  <c r="AN245" i="42"/>
  <c r="AM27" i="57"/>
  <c r="I59" i="70"/>
  <c r="I30" i="71"/>
  <c r="R26" i="68"/>
  <c r="J26" i="70" s="1"/>
  <c r="U24" i="69"/>
  <c r="S26" i="68"/>
  <c r="K26" i="70" s="1"/>
  <c r="K59" i="70"/>
  <c r="K30" i="71"/>
  <c r="H59" i="70"/>
  <c r="N59" i="70" s="1"/>
  <c r="T59" i="70" s="1"/>
  <c r="H30" i="71"/>
  <c r="R25" i="69"/>
  <c r="J59" i="70"/>
  <c r="J30" i="71"/>
  <c r="R38" i="68"/>
  <c r="J38" i="70" s="1"/>
  <c r="N38" i="70" s="1"/>
  <c r="T38" i="70" s="1"/>
  <c r="AS8" i="57"/>
  <c r="Q7" i="68"/>
  <c r="I7" i="70" s="1"/>
  <c r="R43" i="57"/>
  <c r="S5" i="67"/>
  <c r="U10" i="67"/>
  <c r="U13" i="67" s="1"/>
  <c r="AS13" i="57"/>
  <c r="S43" i="57"/>
  <c r="S42" i="57"/>
  <c r="AM15" i="57"/>
  <c r="C8" i="68"/>
  <c r="C5" i="69" s="1"/>
  <c r="R42" i="57"/>
  <c r="S12" i="67"/>
  <c r="W49" i="57"/>
  <c r="W47" i="57"/>
  <c r="W48" i="57"/>
  <c r="V47" i="57"/>
  <c r="V49" i="57"/>
  <c r="V48" i="57"/>
  <c r="U49" i="57"/>
  <c r="U47" i="57"/>
  <c r="U48" i="57"/>
  <c r="AS25" i="57"/>
  <c r="AC49" i="57"/>
  <c r="AC48" i="57"/>
  <c r="AC47" i="57"/>
  <c r="AB48" i="57"/>
  <c r="AB49" i="57"/>
  <c r="AM37" i="57"/>
  <c r="AM47" i="57" s="1"/>
  <c r="AA39" i="57"/>
  <c r="AA52" i="57" s="1"/>
  <c r="AA49" i="57"/>
  <c r="AA48" i="57"/>
  <c r="AA47" i="57"/>
  <c r="Z48" i="57"/>
  <c r="Z49" i="57"/>
  <c r="Z47" i="57"/>
  <c r="Y49" i="57"/>
  <c r="Y48" i="57"/>
  <c r="Y47" i="57"/>
  <c r="X49" i="57"/>
  <c r="X48" i="57"/>
  <c r="AL27" i="57"/>
  <c r="T48" i="57"/>
  <c r="T47" i="57"/>
  <c r="T49" i="57"/>
  <c r="S39" i="57"/>
  <c r="S51" i="57" s="1"/>
  <c r="S47" i="57"/>
  <c r="S48" i="57"/>
  <c r="AP27" i="57"/>
  <c r="S49" i="57"/>
  <c r="R48" i="57"/>
  <c r="R47" i="57"/>
  <c r="R49" i="57"/>
  <c r="S7" i="68"/>
  <c r="K7" i="70" s="1"/>
  <c r="AK27" i="57"/>
  <c r="M8" i="68"/>
  <c r="M5" i="69" s="1"/>
  <c r="AJ27" i="57"/>
  <c r="Z43" i="57"/>
  <c r="Z42" i="57"/>
  <c r="Z44" i="57"/>
  <c r="W43" i="57"/>
  <c r="W42" i="57"/>
  <c r="V43" i="57"/>
  <c r="V42" i="57"/>
  <c r="AB43" i="57"/>
  <c r="AB42" i="57"/>
  <c r="Y43" i="57"/>
  <c r="Y42" i="57"/>
  <c r="U43" i="57"/>
  <c r="U42" i="57"/>
  <c r="AC43" i="57"/>
  <c r="AC42" i="57"/>
  <c r="W44" i="57"/>
  <c r="Z39" i="57"/>
  <c r="Z52" i="57" s="1"/>
  <c r="J8" i="68"/>
  <c r="J5" i="69" s="1"/>
  <c r="AC44" i="57"/>
  <c r="V44" i="57"/>
  <c r="X43" i="57"/>
  <c r="X42" i="57"/>
  <c r="AB44" i="57"/>
  <c r="U44" i="57"/>
  <c r="T39" i="57"/>
  <c r="T52" i="57" s="1"/>
  <c r="T43" i="57"/>
  <c r="T42" i="57"/>
  <c r="N13" i="67"/>
  <c r="P8" i="67"/>
  <c r="P15" i="67" s="1"/>
  <c r="AM270" i="42"/>
  <c r="AM265" i="42"/>
  <c r="AM278" i="42"/>
  <c r="AM260" i="42"/>
  <c r="AM255" i="42"/>
  <c r="AM207" i="42"/>
  <c r="AM225" i="42"/>
  <c r="AM188" i="42"/>
  <c r="AM184" i="42"/>
  <c r="AM174" i="42"/>
  <c r="AM155" i="42"/>
  <c r="AM146" i="42"/>
  <c r="AM141" i="42"/>
  <c r="AM136" i="42"/>
  <c r="AM131" i="42"/>
  <c r="AM120" i="42"/>
  <c r="AM103" i="42"/>
  <c r="AM121" i="42"/>
  <c r="AM122" i="42"/>
  <c r="AM98" i="42"/>
  <c r="AM93" i="42"/>
  <c r="Q26" i="68"/>
  <c r="I26" i="70" s="1"/>
  <c r="U28" i="68"/>
  <c r="Q20" i="68"/>
  <c r="I20" i="70" s="1"/>
  <c r="U20" i="68"/>
  <c r="R28" i="68"/>
  <c r="J28" i="70" s="1"/>
  <c r="P26" i="68"/>
  <c r="H26" i="70" s="1"/>
  <c r="R20" i="68"/>
  <c r="J20" i="70" s="1"/>
  <c r="S20" i="68"/>
  <c r="K20" i="70" s="1"/>
  <c r="Q28" i="68"/>
  <c r="I28" i="70" s="1"/>
  <c r="H23" i="67"/>
  <c r="F18" i="68"/>
  <c r="I23" i="67"/>
  <c r="G18" i="68"/>
  <c r="E24" i="67"/>
  <c r="C24" i="68"/>
  <c r="I25" i="67"/>
  <c r="G32" i="68"/>
  <c r="AI89" i="43"/>
  <c r="F25" i="67"/>
  <c r="D32" i="68"/>
  <c r="H25" i="67"/>
  <c r="F32" i="68"/>
  <c r="AQ78" i="43"/>
  <c r="AQ94" i="43"/>
  <c r="AQ121" i="43"/>
  <c r="J23" i="67"/>
  <c r="H18" i="68"/>
  <c r="J25" i="67"/>
  <c r="H32" i="68"/>
  <c r="AQ10" i="43"/>
  <c r="AQ15" i="43"/>
  <c r="AQ20" i="43"/>
  <c r="AQ25" i="43"/>
  <c r="AQ75" i="43"/>
  <c r="P20" i="68"/>
  <c r="G24" i="67"/>
  <c r="E24" i="68"/>
  <c r="L23" i="67"/>
  <c r="J18" i="68"/>
  <c r="L25" i="67"/>
  <c r="J32" i="68"/>
  <c r="AN46" i="43"/>
  <c r="AQ125" i="43"/>
  <c r="G23" i="67"/>
  <c r="E18" i="68"/>
  <c r="M25" i="67"/>
  <c r="K32" i="68"/>
  <c r="K23" i="67"/>
  <c r="I18" i="68"/>
  <c r="M23" i="67"/>
  <c r="K18" i="68"/>
  <c r="I24" i="67"/>
  <c r="G24" i="68"/>
  <c r="N23" i="67"/>
  <c r="L18" i="68"/>
  <c r="J24" i="67"/>
  <c r="H24" i="68"/>
  <c r="N25" i="67"/>
  <c r="L32" i="68"/>
  <c r="AQ11" i="43"/>
  <c r="AQ16" i="43"/>
  <c r="AQ21" i="43"/>
  <c r="AQ26" i="43"/>
  <c r="AQ69" i="43"/>
  <c r="AQ122" i="43"/>
  <c r="AM46" i="43"/>
  <c r="AQ72" i="43"/>
  <c r="O23" i="67"/>
  <c r="M18" i="68"/>
  <c r="O25" i="67"/>
  <c r="M32" i="68"/>
  <c r="P23" i="67"/>
  <c r="N18" i="68"/>
  <c r="L24" i="67"/>
  <c r="J24" i="68"/>
  <c r="R24" i="68" s="1"/>
  <c r="J24" i="70" s="1"/>
  <c r="P25" i="67"/>
  <c r="N32" i="68"/>
  <c r="AQ76" i="43"/>
  <c r="AQ119" i="43"/>
  <c r="N24" i="67"/>
  <c r="L24" i="68"/>
  <c r="AQ7" i="43"/>
  <c r="AQ12" i="43"/>
  <c r="AQ17" i="43"/>
  <c r="AQ22" i="43"/>
  <c r="AQ27" i="43"/>
  <c r="AI63" i="43"/>
  <c r="AQ73" i="43"/>
  <c r="AQ126" i="43"/>
  <c r="AJ129" i="43"/>
  <c r="K25" i="67"/>
  <c r="I32" i="68"/>
  <c r="O24" i="67"/>
  <c r="M24" i="68"/>
  <c r="P24" i="67"/>
  <c r="N24" i="68"/>
  <c r="AK63" i="43"/>
  <c r="AQ70" i="43"/>
  <c r="AQ123" i="43"/>
  <c r="P28" i="68"/>
  <c r="H28" i="70" s="1"/>
  <c r="G25" i="67"/>
  <c r="E32" i="68"/>
  <c r="F23" i="67"/>
  <c r="D18" i="68"/>
  <c r="AQ8" i="43"/>
  <c r="AQ13" i="43"/>
  <c r="AQ18" i="43"/>
  <c r="AQ23" i="43"/>
  <c r="AQ77" i="43"/>
  <c r="AQ120" i="43"/>
  <c r="AQ74" i="43"/>
  <c r="AQ117" i="43"/>
  <c r="AQ127" i="43"/>
  <c r="U26" i="68"/>
  <c r="E23" i="67"/>
  <c r="C18" i="68"/>
  <c r="E25" i="67"/>
  <c r="C32" i="68"/>
  <c r="AK29" i="43"/>
  <c r="AQ54" i="43"/>
  <c r="AI129" i="43"/>
  <c r="AK129" i="43"/>
  <c r="AR20" i="57"/>
  <c r="AS35" i="57"/>
  <c r="P12" i="68"/>
  <c r="H12" i="70" s="1"/>
  <c r="AS36" i="57"/>
  <c r="L13" i="68"/>
  <c r="L6" i="69" s="1"/>
  <c r="R10" i="68"/>
  <c r="J10" i="70" s="1"/>
  <c r="U39" i="57"/>
  <c r="U52" i="57" s="1"/>
  <c r="T12" i="67"/>
  <c r="H13" i="68"/>
  <c r="H6" i="69" s="1"/>
  <c r="H8" i="69" s="1"/>
  <c r="AB39" i="57"/>
  <c r="AB52" i="57" s="1"/>
  <c r="F8" i="68"/>
  <c r="F5" i="69" s="1"/>
  <c r="Q5" i="69" s="1"/>
  <c r="Y39" i="57"/>
  <c r="Y52" i="57" s="1"/>
  <c r="AC39" i="57"/>
  <c r="AC52" i="57" s="1"/>
  <c r="U7" i="67"/>
  <c r="R5" i="67"/>
  <c r="N8" i="68"/>
  <c r="N5" i="69" s="1"/>
  <c r="I8" i="67"/>
  <c r="S5" i="68"/>
  <c r="K5" i="70" s="1"/>
  <c r="T6" i="67"/>
  <c r="O8" i="67"/>
  <c r="O15" i="67" s="1"/>
  <c r="AR13" i="57"/>
  <c r="U28" i="69"/>
  <c r="U26" i="69"/>
  <c r="U39" i="69"/>
  <c r="W39" i="69" s="1"/>
  <c r="U35" i="69"/>
  <c r="W35" i="69" s="1"/>
  <c r="D30" i="69"/>
  <c r="N50" i="70"/>
  <c r="T50" i="70" s="1"/>
  <c r="N53" i="70"/>
  <c r="T53" i="70" s="1"/>
  <c r="U23" i="69"/>
  <c r="W23" i="69" s="1"/>
  <c r="N42" i="70"/>
  <c r="T42" i="70" s="1"/>
  <c r="N48" i="70"/>
  <c r="T48" i="70" s="1"/>
  <c r="W52" i="68"/>
  <c r="N41" i="70"/>
  <c r="T41" i="70" s="1"/>
  <c r="U38" i="69"/>
  <c r="W38" i="69" s="1"/>
  <c r="W48" i="68"/>
  <c r="N36" i="70"/>
  <c r="T36" i="70" s="1"/>
  <c r="W59" i="68"/>
  <c r="W36" i="69"/>
  <c r="U37" i="69"/>
  <c r="W37" i="69" s="1"/>
  <c r="N49" i="70"/>
  <c r="T49" i="70" s="1"/>
  <c r="W40" i="68"/>
  <c r="W49" i="68"/>
  <c r="W46" i="69"/>
  <c r="U22" i="69"/>
  <c r="W22" i="69" s="1"/>
  <c r="W51" i="68"/>
  <c r="H51" i="70"/>
  <c r="N51" i="70" s="1"/>
  <c r="T51" i="70" s="1"/>
  <c r="W24" i="69"/>
  <c r="N52" i="70"/>
  <c r="T52" i="70" s="1"/>
  <c r="N35" i="70"/>
  <c r="T35" i="70" s="1"/>
  <c r="W53" i="68"/>
  <c r="W50" i="68"/>
  <c r="U29" i="69"/>
  <c r="W29" i="69" s="1"/>
  <c r="X39" i="57"/>
  <c r="X52" i="57" s="1"/>
  <c r="J13" i="68"/>
  <c r="J6" i="69" s="1"/>
  <c r="S11" i="67"/>
  <c r="D13" i="68"/>
  <c r="D6" i="69" s="1"/>
  <c r="L13" i="67"/>
  <c r="Q12" i="68"/>
  <c r="I12" i="70" s="1"/>
  <c r="G8" i="69"/>
  <c r="C13" i="68"/>
  <c r="C6" i="69" s="1"/>
  <c r="V39" i="57"/>
  <c r="V52" i="57" s="1"/>
  <c r="AL37" i="57"/>
  <c r="P7" i="68"/>
  <c r="H7" i="70" s="1"/>
  <c r="AS31" i="57"/>
  <c r="T7" i="67"/>
  <c r="M8" i="67"/>
  <c r="M15" i="67" s="1"/>
  <c r="S6" i="67"/>
  <c r="AM32" i="57"/>
  <c r="AM44" i="57" s="1"/>
  <c r="N8" i="67"/>
  <c r="G8" i="67"/>
  <c r="G15" i="67" s="1"/>
  <c r="J8" i="67"/>
  <c r="J15" i="67" s="1"/>
  <c r="R6" i="68"/>
  <c r="J6" i="70" s="1"/>
  <c r="F8" i="67"/>
  <c r="F15" i="67" s="1"/>
  <c r="AO15" i="57"/>
  <c r="AR27" i="57"/>
  <c r="I13" i="67"/>
  <c r="AJ37" i="57"/>
  <c r="U10" i="68"/>
  <c r="T11" i="67"/>
  <c r="W10" i="67"/>
  <c r="AP37" i="57"/>
  <c r="E13" i="67"/>
  <c r="E15" i="67" s="1"/>
  <c r="W39" i="57"/>
  <c r="W52" i="57" s="1"/>
  <c r="M13" i="68"/>
  <c r="M6" i="69" s="1"/>
  <c r="E13" i="68"/>
  <c r="E6" i="69" s="1"/>
  <c r="W11" i="67"/>
  <c r="AS34" i="57"/>
  <c r="S10" i="68"/>
  <c r="K10" i="70" s="1"/>
  <c r="T5" i="67"/>
  <c r="AS29" i="57"/>
  <c r="R5" i="68"/>
  <c r="J5" i="70" s="1"/>
  <c r="U6" i="68"/>
  <c r="P6" i="68"/>
  <c r="H6" i="70" s="1"/>
  <c r="P5" i="68"/>
  <c r="H5" i="70" s="1"/>
  <c r="W7" i="67"/>
  <c r="AS20" i="57"/>
  <c r="S7" i="67"/>
  <c r="U7" i="68"/>
  <c r="Q6" i="68"/>
  <c r="I6" i="70" s="1"/>
  <c r="K8" i="68"/>
  <c r="K5" i="69" s="1"/>
  <c r="U5" i="68"/>
  <c r="J11" i="70"/>
  <c r="N13" i="68"/>
  <c r="U11" i="68"/>
  <c r="S11" i="68"/>
  <c r="K11" i="70" s="1"/>
  <c r="P10" i="68"/>
  <c r="H10" i="70" s="1"/>
  <c r="AK37" i="57"/>
  <c r="T10" i="67"/>
  <c r="K13" i="67"/>
  <c r="U12" i="68"/>
  <c r="Q10" i="68"/>
  <c r="F13" i="68"/>
  <c r="F6" i="69" s="1"/>
  <c r="S12" i="68"/>
  <c r="K12" i="70" s="1"/>
  <c r="H13" i="67"/>
  <c r="P11" i="68"/>
  <c r="H11" i="70" s="1"/>
  <c r="K13" i="68"/>
  <c r="K6" i="69" s="1"/>
  <c r="W12" i="67"/>
  <c r="AP15" i="57"/>
  <c r="AS15" i="57" s="1"/>
  <c r="D5" i="69"/>
  <c r="I5" i="70"/>
  <c r="U5" i="67"/>
  <c r="H8" i="67"/>
  <c r="G15" i="68"/>
  <c r="G63" i="68" s="1"/>
  <c r="AJ32" i="57"/>
  <c r="W5" i="67"/>
  <c r="L8" i="68"/>
  <c r="S6" i="68"/>
  <c r="K6" i="70" s="1"/>
  <c r="W6" i="67"/>
  <c r="L8" i="67"/>
  <c r="AS30" i="57"/>
  <c r="AP32" i="57"/>
  <c r="I8" i="68"/>
  <c r="R6" i="67"/>
  <c r="AL32" i="57"/>
  <c r="AK32" i="57"/>
  <c r="K8" i="67"/>
  <c r="R39" i="57"/>
  <c r="R51" i="57" s="1"/>
  <c r="R13" i="67"/>
  <c r="E43" i="68"/>
  <c r="G37" i="67"/>
  <c r="R37" i="67" s="1"/>
  <c r="F43" i="68"/>
  <c r="H37" i="67"/>
  <c r="T13" i="45"/>
  <c r="D31" i="69"/>
  <c r="W28" i="69"/>
  <c r="AQ11" i="45"/>
  <c r="W41" i="68"/>
  <c r="N40" i="70"/>
  <c r="W27" i="69"/>
  <c r="AQ9" i="45"/>
  <c r="W39" i="68"/>
  <c r="H39" i="70"/>
  <c r="N39" i="70" s="1"/>
  <c r="S25" i="69"/>
  <c r="AQ8" i="45"/>
  <c r="C31" i="69"/>
  <c r="U25" i="69"/>
  <c r="AQ7" i="45"/>
  <c r="W37" i="68"/>
  <c r="H37" i="70"/>
  <c r="AN250" i="42"/>
  <c r="AN278" i="42"/>
  <c r="Q84" i="38"/>
  <c r="Q98" i="38" s="1"/>
  <c r="AH225" i="42"/>
  <c r="AH207" i="42"/>
  <c r="Q35" i="38"/>
  <c r="Q90" i="38" s="1"/>
  <c r="Q105" i="38" s="1"/>
  <c r="AH98" i="42"/>
  <c r="AN98" i="42"/>
  <c r="AN121" i="42"/>
  <c r="AH121" i="42"/>
  <c r="AH50" i="42"/>
  <c r="AH45" i="42"/>
  <c r="AN45" i="42"/>
  <c r="AN35" i="42"/>
  <c r="AH30" i="42"/>
  <c r="AH25" i="42"/>
  <c r="AN25" i="42"/>
  <c r="AH78" i="42"/>
  <c r="AN78" i="42"/>
  <c r="AN20" i="42"/>
  <c r="AN15" i="42"/>
  <c r="AQ13" i="42"/>
  <c r="AN225" i="42"/>
  <c r="AK77" i="42"/>
  <c r="AN55" i="42"/>
  <c r="AH22" i="38"/>
  <c r="AH89" i="38" s="1"/>
  <c r="AH91" i="38" s="1"/>
  <c r="AI22" i="38"/>
  <c r="AI89" i="38" s="1"/>
  <c r="AI91" i="38" s="1"/>
  <c r="AI77" i="42"/>
  <c r="Q22" i="38"/>
  <c r="Q89" i="38" s="1"/>
  <c r="AQ52" i="42"/>
  <c r="R22" i="38"/>
  <c r="R89" i="38" s="1"/>
  <c r="R91" i="38" s="1"/>
  <c r="S22" i="38"/>
  <c r="S89" i="38" s="1"/>
  <c r="T22" i="38"/>
  <c r="T89" i="38" s="1"/>
  <c r="U22" i="38"/>
  <c r="U89" i="38" s="1"/>
  <c r="U91" i="38" s="1"/>
  <c r="V22" i="38"/>
  <c r="V89" i="38" s="1"/>
  <c r="V91" i="38" s="1"/>
  <c r="W40" i="69"/>
  <c r="W26" i="69"/>
  <c r="W36" i="68"/>
  <c r="W42" i="68"/>
  <c r="W35" i="68"/>
  <c r="AQ23" i="45"/>
  <c r="AQ6" i="45"/>
  <c r="AQ10" i="45"/>
  <c r="AQ5" i="45"/>
  <c r="AN129" i="43"/>
  <c r="AH129" i="43"/>
  <c r="AQ116" i="43"/>
  <c r="AI111" i="43"/>
  <c r="F24" i="67"/>
  <c r="AJ111" i="43"/>
  <c r="AK111" i="43"/>
  <c r="AQ98" i="43"/>
  <c r="K24" i="67"/>
  <c r="M24" i="67"/>
  <c r="AQ99" i="43"/>
  <c r="AQ95" i="43"/>
  <c r="AQ96" i="43"/>
  <c r="AQ100" i="43"/>
  <c r="AQ97" i="43"/>
  <c r="AH111" i="43"/>
  <c r="AN111" i="43"/>
  <c r="AJ89" i="43"/>
  <c r="AK89" i="43"/>
  <c r="H24" i="67"/>
  <c r="AN89" i="43"/>
  <c r="AH89" i="43"/>
  <c r="S131" i="43"/>
  <c r="T131" i="43"/>
  <c r="AJ63" i="43"/>
  <c r="AN63" i="43"/>
  <c r="AQ52" i="43"/>
  <c r="U131" i="43"/>
  <c r="V131" i="43"/>
  <c r="AH29" i="43"/>
  <c r="W131" i="43"/>
  <c r="AI29" i="43"/>
  <c r="AN29" i="43"/>
  <c r="X131" i="43"/>
  <c r="AJ29" i="43"/>
  <c r="Y131" i="43"/>
  <c r="Z131" i="43"/>
  <c r="AA131" i="43"/>
  <c r="P131" i="43"/>
  <c r="Q131" i="43"/>
  <c r="R131" i="43"/>
  <c r="F38" i="67"/>
  <c r="R28" i="67"/>
  <c r="R20" i="67"/>
  <c r="R53" i="67"/>
  <c r="R43" i="67"/>
  <c r="R31" i="67"/>
  <c r="R32" i="67"/>
  <c r="R45" i="67"/>
  <c r="R34" i="67"/>
  <c r="H2" i="67"/>
  <c r="R35" i="67"/>
  <c r="R42" i="67"/>
  <c r="R30" i="67"/>
  <c r="AA113" i="38"/>
  <c r="AQ272" i="42"/>
  <c r="AQ267" i="42"/>
  <c r="AQ262" i="42"/>
  <c r="AQ257" i="42"/>
  <c r="AQ252" i="42"/>
  <c r="AQ247" i="42"/>
  <c r="AQ242" i="42"/>
  <c r="AQ237" i="42"/>
  <c r="AQ232" i="42"/>
  <c r="AQ219" i="42"/>
  <c r="AQ209" i="42"/>
  <c r="AQ204" i="42"/>
  <c r="AQ199" i="42"/>
  <c r="AP194" i="42"/>
  <c r="AQ194" i="42"/>
  <c r="AQ181" i="42"/>
  <c r="AQ176" i="42"/>
  <c r="AQ171" i="42"/>
  <c r="AQ166" i="42"/>
  <c r="AQ161" i="42"/>
  <c r="AQ148" i="42"/>
  <c r="AQ143" i="42"/>
  <c r="AQ138" i="42"/>
  <c r="AQ133" i="42"/>
  <c r="AQ128" i="42"/>
  <c r="AQ115" i="42"/>
  <c r="AQ110" i="42"/>
  <c r="AQ105" i="42"/>
  <c r="AQ100" i="42"/>
  <c r="AQ95" i="42"/>
  <c r="AH93" i="42"/>
  <c r="AQ86" i="42"/>
  <c r="AH77" i="42"/>
  <c r="AN77" i="42"/>
  <c r="AN79" i="42"/>
  <c r="Z123" i="42"/>
  <c r="Z124" i="42" s="1"/>
  <c r="T280" i="42"/>
  <c r="T281" i="42" s="1"/>
  <c r="AA123" i="42"/>
  <c r="AA124" i="42" s="1"/>
  <c r="W189" i="42"/>
  <c r="W190" i="42" s="1"/>
  <c r="P287" i="42"/>
  <c r="P217" i="42"/>
  <c r="P66" i="38" s="1"/>
  <c r="P69" i="38" s="1"/>
  <c r="P95" i="38" s="1"/>
  <c r="T123" i="42"/>
  <c r="T124" i="42" s="1"/>
  <c r="T156" i="42"/>
  <c r="T157" i="42" s="1"/>
  <c r="Q280" i="42"/>
  <c r="R280" i="42"/>
  <c r="R281" i="42" s="1"/>
  <c r="S280" i="42"/>
  <c r="S281" i="42" s="1"/>
  <c r="P224" i="42"/>
  <c r="P286" i="42" s="1"/>
  <c r="P189" i="42"/>
  <c r="P190" i="42" s="1"/>
  <c r="X189" i="42"/>
  <c r="X190" i="42" s="1"/>
  <c r="T189" i="42"/>
  <c r="T190" i="42" s="1"/>
  <c r="X280" i="42"/>
  <c r="X281" i="42" s="1"/>
  <c r="Q189" i="42"/>
  <c r="Q190" i="42" s="1"/>
  <c r="Y189" i="42"/>
  <c r="Y190" i="42" s="1"/>
  <c r="U189" i="42"/>
  <c r="U190" i="42" s="1"/>
  <c r="Y280" i="42"/>
  <c r="Y281" i="42" s="1"/>
  <c r="U280" i="42"/>
  <c r="U281" i="42" s="1"/>
  <c r="R189" i="42"/>
  <c r="R190" i="42" s="1"/>
  <c r="Z189" i="42"/>
  <c r="Z190" i="42" s="1"/>
  <c r="V189" i="42"/>
  <c r="V190" i="42" s="1"/>
  <c r="Z280" i="42"/>
  <c r="Z281" i="42" s="1"/>
  <c r="V280" i="42"/>
  <c r="V281" i="42" s="1"/>
  <c r="P123" i="42"/>
  <c r="P124" i="42" s="1"/>
  <c r="P156" i="42"/>
  <c r="P157" i="42" s="1"/>
  <c r="X156" i="42"/>
  <c r="X157" i="42" s="1"/>
  <c r="S189" i="42"/>
  <c r="S190" i="42" s="1"/>
  <c r="AA189" i="42"/>
  <c r="AA190" i="42" s="1"/>
  <c r="AA280" i="42"/>
  <c r="AA281" i="42" s="1"/>
  <c r="W280" i="42"/>
  <c r="W281" i="42" s="1"/>
  <c r="Q123" i="42"/>
  <c r="Q156" i="42"/>
  <c r="Q157" i="42" s="1"/>
  <c r="Y156" i="42"/>
  <c r="Y157" i="42" s="1"/>
  <c r="U156" i="42"/>
  <c r="U157" i="42" s="1"/>
  <c r="R123" i="42"/>
  <c r="R124" i="42" s="1"/>
  <c r="R156" i="42"/>
  <c r="R157" i="42" s="1"/>
  <c r="Z156" i="42"/>
  <c r="Z157" i="42" s="1"/>
  <c r="V156" i="42"/>
  <c r="V157" i="42" s="1"/>
  <c r="S123" i="42"/>
  <c r="S124" i="42" s="1"/>
  <c r="S156" i="42"/>
  <c r="S157" i="42" s="1"/>
  <c r="W156" i="42"/>
  <c r="W157" i="42" s="1"/>
  <c r="U123" i="42"/>
  <c r="U124" i="42" s="1"/>
  <c r="V123" i="42"/>
  <c r="V124" i="42" s="1"/>
  <c r="W123" i="42"/>
  <c r="W124" i="42" s="1"/>
  <c r="X123" i="42"/>
  <c r="X124" i="42" s="1"/>
  <c r="Y123" i="42"/>
  <c r="Y124" i="42" s="1"/>
  <c r="P280" i="42"/>
  <c r="P281" i="42" s="1"/>
  <c r="Q226" i="42"/>
  <c r="P226" i="42"/>
  <c r="P80" i="42"/>
  <c r="Q77" i="42"/>
  <c r="Q80" i="42"/>
  <c r="Q78" i="42"/>
  <c r="Q287" i="42" s="1"/>
  <c r="Q79" i="42"/>
  <c r="AH15" i="45"/>
  <c r="O1720" i="58"/>
  <c r="M1718" i="58"/>
  <c r="M1716" i="58"/>
  <c r="M1713" i="58"/>
  <c r="M1697" i="58"/>
  <c r="M1695" i="58"/>
  <c r="M1700" i="58"/>
  <c r="M1689" i="58"/>
  <c r="M1688" i="58"/>
  <c r="M1690" i="58"/>
  <c r="M1692" i="58"/>
  <c r="M1691" i="58"/>
  <c r="M1701" i="58"/>
  <c r="M1699" i="58"/>
  <c r="M1702" i="58"/>
  <c r="M1698" i="58"/>
  <c r="M1696" i="58"/>
  <c r="M1672" i="58"/>
  <c r="M1671" i="58"/>
  <c r="M1681" i="58"/>
  <c r="M1678" i="58"/>
  <c r="M1683" i="58"/>
  <c r="M1676" i="58"/>
  <c r="M1675" i="58"/>
  <c r="M1685" i="58"/>
  <c r="M1686" i="58"/>
  <c r="M1680" i="58"/>
  <c r="M1684" i="58"/>
  <c r="M1679" i="58"/>
  <c r="M1674" i="58"/>
  <c r="M1682" i="58"/>
  <c r="M1673" i="58"/>
  <c r="M1668" i="58"/>
  <c r="M1666" i="58"/>
  <c r="M1665" i="58"/>
  <c r="M1664" i="58"/>
  <c r="M1661" i="58"/>
  <c r="M1657" i="58"/>
  <c r="M1659" i="58"/>
  <c r="M1653" i="58"/>
  <c r="M1655" i="58"/>
  <c r="M1654" i="58"/>
  <c r="M1650" i="58"/>
  <c r="M1648" i="58"/>
  <c r="M1643" i="58"/>
  <c r="M1644" i="58"/>
  <c r="M1642" i="58"/>
  <c r="M1641" i="58"/>
  <c r="M1640" i="58"/>
  <c r="M1639" i="58"/>
  <c r="M1631" i="58"/>
  <c r="M1637" i="58"/>
  <c r="M1632" i="58"/>
  <c r="M1636" i="58"/>
  <c r="M1633" i="58"/>
  <c r="M1635" i="58"/>
  <c r="M1620" i="58"/>
  <c r="M1611" i="58"/>
  <c r="M1626" i="58"/>
  <c r="M1615" i="58"/>
  <c r="M1625" i="58"/>
  <c r="M1624" i="58"/>
  <c r="M1627" i="58"/>
  <c r="M1623" i="58"/>
  <c r="M1630" i="58"/>
  <c r="M1610" i="58"/>
  <c r="M1612" i="58"/>
  <c r="M1622" i="58"/>
  <c r="M1621" i="58"/>
  <c r="M1613" i="58"/>
  <c r="M1619" i="58"/>
  <c r="M1603" i="58"/>
  <c r="M1607" i="58"/>
  <c r="M1604" i="58"/>
  <c r="M1608" i="58"/>
  <c r="M1600" i="58"/>
  <c r="M1601" i="58"/>
  <c r="M1602" i="58"/>
  <c r="M1609" i="58"/>
  <c r="M1606" i="58"/>
  <c r="M1589" i="58"/>
  <c r="M1590" i="58"/>
  <c r="M1597" i="58"/>
  <c r="M1596" i="58"/>
  <c r="M1592" i="58"/>
  <c r="M1594" i="58"/>
  <c r="M1593" i="58"/>
  <c r="M1595" i="58"/>
  <c r="M1522" i="58"/>
  <c r="M1586" i="58"/>
  <c r="M1570" i="58"/>
  <c r="M1521" i="58"/>
  <c r="M1566" i="58"/>
  <c r="M1518" i="58"/>
  <c r="M1519" i="58"/>
  <c r="M1520" i="58"/>
  <c r="M1515" i="58"/>
  <c r="M1517" i="58"/>
  <c r="M1516" i="58"/>
  <c r="M1513" i="58"/>
  <c r="M1505" i="58"/>
  <c r="M1511" i="58"/>
  <c r="M1504" i="58"/>
  <c r="M1509" i="58"/>
  <c r="M1486" i="58"/>
  <c r="M1480" i="58"/>
  <c r="M1491" i="58"/>
  <c r="M1500" i="58"/>
  <c r="M1499" i="58"/>
  <c r="M1498" i="58"/>
  <c r="M1497" i="58"/>
  <c r="M1488" i="58"/>
  <c r="M1496" i="58"/>
  <c r="M1495" i="58"/>
  <c r="M1494" i="58"/>
  <c r="M1493" i="58"/>
  <c r="M1492" i="58"/>
  <c r="M1481" i="58"/>
  <c r="M1489" i="58"/>
  <c r="M1485" i="58"/>
  <c r="M1484" i="58"/>
  <c r="M1483" i="58"/>
  <c r="M1487" i="58"/>
  <c r="M1469" i="58"/>
  <c r="M1465" i="58"/>
  <c r="M1470" i="58"/>
  <c r="M1463" i="58"/>
  <c r="M1479" i="58"/>
  <c r="M1476" i="58"/>
  <c r="M1478" i="58"/>
  <c r="M1474" i="58"/>
  <c r="M1468" i="58"/>
  <c r="M1464" i="58"/>
  <c r="M1475" i="58"/>
  <c r="M1477" i="58"/>
  <c r="M1473" i="58"/>
  <c r="M1472" i="58"/>
  <c r="M1471" i="58"/>
  <c r="M1467" i="58"/>
  <c r="M1466" i="58"/>
  <c r="M1451" i="58"/>
  <c r="M1450" i="58"/>
  <c r="M1461" i="58"/>
  <c r="M1446" i="58"/>
  <c r="M1460" i="58"/>
  <c r="M1449" i="58"/>
  <c r="M1459" i="58"/>
  <c r="M1447" i="58"/>
  <c r="M1455" i="58"/>
  <c r="M1458" i="58"/>
  <c r="M1457" i="58"/>
  <c r="M1454" i="58"/>
  <c r="M1453" i="58"/>
  <c r="M1456" i="58"/>
  <c r="M1448" i="58"/>
  <c r="M1436" i="58"/>
  <c r="M1432" i="58"/>
  <c r="M1435" i="58"/>
  <c r="M1439" i="58"/>
  <c r="M1434" i="58"/>
  <c r="M1430" i="58"/>
  <c r="M1428" i="58"/>
  <c r="M1429" i="58"/>
  <c r="M1421" i="58"/>
  <c r="M1414" i="58"/>
  <c r="M1425" i="58"/>
  <c r="M1415" i="58"/>
  <c r="M1420" i="58"/>
  <c r="M1417" i="58"/>
  <c r="C1718" i="58"/>
  <c r="B1718" i="58"/>
  <c r="C1716" i="58"/>
  <c r="B1716" i="58"/>
  <c r="C1713" i="58"/>
  <c r="B1713" i="58"/>
  <c r="C1697" i="58"/>
  <c r="B1697" i="58"/>
  <c r="C1695" i="58"/>
  <c r="B1695" i="58"/>
  <c r="C1700" i="58"/>
  <c r="B1700" i="58"/>
  <c r="C1689" i="58"/>
  <c r="B1689" i="58"/>
  <c r="C1688" i="58"/>
  <c r="B1688" i="58"/>
  <c r="C1690" i="58"/>
  <c r="B1690" i="58"/>
  <c r="C1692" i="58"/>
  <c r="B1692" i="58"/>
  <c r="C1691" i="58"/>
  <c r="B1691" i="58"/>
  <c r="C1701" i="58"/>
  <c r="B1701" i="58"/>
  <c r="C1699" i="58"/>
  <c r="B1699" i="58"/>
  <c r="C1702" i="58"/>
  <c r="B1702" i="58"/>
  <c r="C1698" i="58"/>
  <c r="B1698" i="58"/>
  <c r="C1696" i="58"/>
  <c r="B1696" i="58"/>
  <c r="C1672" i="58"/>
  <c r="B1672" i="58"/>
  <c r="C1671" i="58"/>
  <c r="B1671" i="58"/>
  <c r="C1681" i="58"/>
  <c r="B1681" i="58"/>
  <c r="C1678" i="58"/>
  <c r="B1678" i="58"/>
  <c r="C1683" i="58"/>
  <c r="B1683" i="58"/>
  <c r="C1676" i="58"/>
  <c r="B1676" i="58"/>
  <c r="C1675" i="58"/>
  <c r="B1675" i="58"/>
  <c r="C1685" i="58"/>
  <c r="B1685" i="58"/>
  <c r="C1686" i="58"/>
  <c r="B1686" i="58"/>
  <c r="C1680" i="58"/>
  <c r="B1680" i="58"/>
  <c r="C1684" i="58"/>
  <c r="B1684" i="58"/>
  <c r="C1679" i="58"/>
  <c r="B1679" i="58"/>
  <c r="C1674" i="58"/>
  <c r="B1674" i="58"/>
  <c r="C1682" i="58"/>
  <c r="B1682" i="58"/>
  <c r="C1673" i="58"/>
  <c r="B1673" i="58"/>
  <c r="C1668" i="58"/>
  <c r="B1668" i="58"/>
  <c r="C1666" i="58"/>
  <c r="B1666" i="58"/>
  <c r="C1665" i="58"/>
  <c r="B1665" i="58"/>
  <c r="C1664" i="58"/>
  <c r="B1664" i="58"/>
  <c r="C1661" i="58"/>
  <c r="B1661" i="58"/>
  <c r="C1657" i="58"/>
  <c r="B1657" i="58"/>
  <c r="C1659" i="58"/>
  <c r="B1659" i="58"/>
  <c r="C1653" i="58"/>
  <c r="B1653" i="58"/>
  <c r="C1655" i="58"/>
  <c r="B1655" i="58"/>
  <c r="C1654" i="58"/>
  <c r="B1654" i="58"/>
  <c r="C1650" i="58"/>
  <c r="B1650" i="58"/>
  <c r="C1648" i="58"/>
  <c r="B1648" i="58"/>
  <c r="C1643" i="58"/>
  <c r="B1643" i="58"/>
  <c r="C1644" i="58"/>
  <c r="B1644" i="58"/>
  <c r="C1642" i="58"/>
  <c r="B1642" i="58"/>
  <c r="C1641" i="58"/>
  <c r="B1641" i="58"/>
  <c r="C1640" i="58"/>
  <c r="B1640" i="58"/>
  <c r="C1639" i="58"/>
  <c r="B1639" i="58"/>
  <c r="C1631" i="58"/>
  <c r="B1631" i="58"/>
  <c r="C1637" i="58"/>
  <c r="B1637" i="58"/>
  <c r="C1632" i="58"/>
  <c r="B1632" i="58"/>
  <c r="C1636" i="58"/>
  <c r="B1636" i="58"/>
  <c r="C1633" i="58"/>
  <c r="B1633" i="58"/>
  <c r="C1635" i="58"/>
  <c r="B1635" i="58"/>
  <c r="C1620" i="58"/>
  <c r="B1620" i="58"/>
  <c r="C1611" i="58"/>
  <c r="B1611" i="58"/>
  <c r="C1626" i="58"/>
  <c r="B1626" i="58"/>
  <c r="C1615" i="58"/>
  <c r="B1615" i="58"/>
  <c r="C1625" i="58"/>
  <c r="B1625" i="58"/>
  <c r="C1624" i="58"/>
  <c r="B1624" i="58"/>
  <c r="C1627" i="58"/>
  <c r="B1627" i="58"/>
  <c r="C1623" i="58"/>
  <c r="B1623" i="58"/>
  <c r="C1630" i="58"/>
  <c r="B1630" i="58"/>
  <c r="C1610" i="58"/>
  <c r="B1610" i="58"/>
  <c r="C1612" i="58"/>
  <c r="B1612" i="58"/>
  <c r="C1622" i="58"/>
  <c r="B1622" i="58"/>
  <c r="C1621" i="58"/>
  <c r="B1621" i="58"/>
  <c r="C1613" i="58"/>
  <c r="B1613" i="58"/>
  <c r="C1619" i="58"/>
  <c r="B1619" i="58"/>
  <c r="C1603" i="58"/>
  <c r="B1603" i="58"/>
  <c r="C1607" i="58"/>
  <c r="B1607" i="58"/>
  <c r="C1604" i="58"/>
  <c r="B1604" i="58"/>
  <c r="C1608" i="58"/>
  <c r="B1608" i="58"/>
  <c r="C1600" i="58"/>
  <c r="B1600" i="58"/>
  <c r="C1601" i="58"/>
  <c r="B1601" i="58"/>
  <c r="C1602" i="58"/>
  <c r="B1602" i="58"/>
  <c r="C1609" i="58"/>
  <c r="B1609" i="58"/>
  <c r="C1606" i="58"/>
  <c r="B1606" i="58"/>
  <c r="C1589" i="58"/>
  <c r="B1589" i="58"/>
  <c r="C1590" i="58"/>
  <c r="B1590" i="58"/>
  <c r="C1597" i="58"/>
  <c r="B1597" i="58"/>
  <c r="C1596" i="58"/>
  <c r="B1596" i="58"/>
  <c r="C1592" i="58"/>
  <c r="B1592" i="58"/>
  <c r="C1594" i="58"/>
  <c r="B1594" i="58"/>
  <c r="C1593" i="58"/>
  <c r="B1593" i="58"/>
  <c r="C1595" i="58"/>
  <c r="B1595" i="58"/>
  <c r="C1522" i="58"/>
  <c r="B1522" i="58"/>
  <c r="C1586" i="58"/>
  <c r="B1586" i="58"/>
  <c r="C1570" i="58"/>
  <c r="B1570" i="58"/>
  <c r="C1521" i="58"/>
  <c r="B1521" i="58"/>
  <c r="C1566" i="58"/>
  <c r="B1566" i="58"/>
  <c r="C1518" i="58"/>
  <c r="B1518" i="58"/>
  <c r="C1519" i="58"/>
  <c r="B1519" i="58"/>
  <c r="C1520" i="58"/>
  <c r="B1520" i="58"/>
  <c r="C1515" i="58"/>
  <c r="B1515" i="58"/>
  <c r="C1517" i="58"/>
  <c r="B1517" i="58"/>
  <c r="C1516" i="58"/>
  <c r="B1516" i="58"/>
  <c r="C1513" i="58"/>
  <c r="B1513" i="58"/>
  <c r="C1505" i="58"/>
  <c r="B1505" i="58"/>
  <c r="C1511" i="58"/>
  <c r="B1511" i="58"/>
  <c r="C1504" i="58"/>
  <c r="B1504" i="58"/>
  <c r="C1509" i="58"/>
  <c r="B1509" i="58"/>
  <c r="C1486" i="58"/>
  <c r="B1486" i="58"/>
  <c r="C1480" i="58"/>
  <c r="B1480" i="58"/>
  <c r="C1491" i="58"/>
  <c r="B1491" i="58"/>
  <c r="C1500" i="58"/>
  <c r="B1500" i="58"/>
  <c r="C1499" i="58"/>
  <c r="B1499" i="58"/>
  <c r="C1498" i="58"/>
  <c r="B1498" i="58"/>
  <c r="C1497" i="58"/>
  <c r="B1497" i="58"/>
  <c r="C1488" i="58"/>
  <c r="B1488" i="58"/>
  <c r="C1496" i="58"/>
  <c r="B1496" i="58"/>
  <c r="C1495" i="58"/>
  <c r="B1495" i="58"/>
  <c r="C1494" i="58"/>
  <c r="B1494" i="58"/>
  <c r="C1493" i="58"/>
  <c r="B1493" i="58"/>
  <c r="C1492" i="58"/>
  <c r="B1492" i="58"/>
  <c r="C1481" i="58"/>
  <c r="B1481" i="58"/>
  <c r="C1489" i="58"/>
  <c r="B1489" i="58"/>
  <c r="C1485" i="58"/>
  <c r="B1485" i="58"/>
  <c r="C1484" i="58"/>
  <c r="B1484" i="58"/>
  <c r="C1483" i="58"/>
  <c r="B1483" i="58"/>
  <c r="C1487" i="58"/>
  <c r="B1487" i="58"/>
  <c r="C1469" i="58"/>
  <c r="B1469" i="58"/>
  <c r="C1465" i="58"/>
  <c r="B1465" i="58"/>
  <c r="C1470" i="58"/>
  <c r="B1470" i="58"/>
  <c r="C1463" i="58"/>
  <c r="B1463" i="58"/>
  <c r="C1479" i="58"/>
  <c r="B1479" i="58"/>
  <c r="C1476" i="58"/>
  <c r="B1476" i="58"/>
  <c r="C1478" i="58"/>
  <c r="B1478" i="58"/>
  <c r="C1474" i="58"/>
  <c r="B1474" i="58"/>
  <c r="C1468" i="58"/>
  <c r="B1468" i="58"/>
  <c r="C1464" i="58"/>
  <c r="B1464" i="58"/>
  <c r="C1475" i="58"/>
  <c r="B1475" i="58"/>
  <c r="C1477" i="58"/>
  <c r="B1477" i="58"/>
  <c r="C1473" i="58"/>
  <c r="B1473" i="58"/>
  <c r="C1472" i="58"/>
  <c r="B1472" i="58"/>
  <c r="C1471" i="58"/>
  <c r="B1471" i="58"/>
  <c r="C1467" i="58"/>
  <c r="B1467" i="58"/>
  <c r="C1466" i="58"/>
  <c r="B1466" i="58"/>
  <c r="C1451" i="58"/>
  <c r="B1451" i="58"/>
  <c r="C1450" i="58"/>
  <c r="B1450" i="58"/>
  <c r="C1461" i="58"/>
  <c r="B1461" i="58"/>
  <c r="C1446" i="58"/>
  <c r="B1446" i="58"/>
  <c r="C1460" i="58"/>
  <c r="B1460" i="58"/>
  <c r="C1449" i="58"/>
  <c r="B1449" i="58"/>
  <c r="C1459" i="58"/>
  <c r="B1459" i="58"/>
  <c r="C1447" i="58"/>
  <c r="B1447" i="58"/>
  <c r="C1455" i="58"/>
  <c r="B1455" i="58"/>
  <c r="C1458" i="58"/>
  <c r="B1458" i="58"/>
  <c r="C1457" i="58"/>
  <c r="B1457" i="58"/>
  <c r="C1454" i="58"/>
  <c r="B1454" i="58"/>
  <c r="C1453" i="58"/>
  <c r="B1453" i="58"/>
  <c r="C1456" i="58"/>
  <c r="B1456" i="58"/>
  <c r="C1448" i="58"/>
  <c r="B1448" i="58"/>
  <c r="C1436" i="58"/>
  <c r="B1436" i="58"/>
  <c r="C1432" i="58"/>
  <c r="B1432" i="58"/>
  <c r="C1435" i="58"/>
  <c r="B1435" i="58"/>
  <c r="C1439" i="58"/>
  <c r="B1439" i="58"/>
  <c r="C1434" i="58"/>
  <c r="B1434" i="58"/>
  <c r="C1430" i="58"/>
  <c r="B1430" i="58"/>
  <c r="C1428" i="58"/>
  <c r="B1428" i="58"/>
  <c r="C1429" i="58"/>
  <c r="B1429" i="58"/>
  <c r="C1421" i="58"/>
  <c r="B1421" i="58"/>
  <c r="C1414" i="58"/>
  <c r="B1414" i="58"/>
  <c r="C1425" i="58"/>
  <c r="B1425" i="58"/>
  <c r="C1415" i="58"/>
  <c r="B1415" i="58"/>
  <c r="C1420" i="58"/>
  <c r="B1420" i="58"/>
  <c r="C1417" i="58"/>
  <c r="B1417" i="58"/>
  <c r="M1714" i="58"/>
  <c r="M1715" i="58"/>
  <c r="M1717" i="58"/>
  <c r="M1706" i="58"/>
  <c r="M1705" i="58"/>
  <c r="M1710" i="58"/>
  <c r="M1709" i="58"/>
  <c r="M1711" i="58"/>
  <c r="M1712" i="58"/>
  <c r="M1708" i="58"/>
  <c r="M1707" i="58"/>
  <c r="M1704" i="58"/>
  <c r="M1694" i="58"/>
  <c r="M1693" i="58"/>
  <c r="M1703" i="58"/>
  <c r="M1677" i="58"/>
  <c r="M1687" i="58"/>
  <c r="M1667" i="58"/>
  <c r="M1670" i="58"/>
  <c r="M1669" i="58"/>
  <c r="M1662" i="58"/>
  <c r="M1663" i="58"/>
  <c r="M1658" i="58"/>
  <c r="M1660" i="58"/>
  <c r="M1652" i="58"/>
  <c r="M1656" i="58"/>
  <c r="M1649" i="58"/>
  <c r="M1651" i="58"/>
  <c r="M1645" i="58"/>
  <c r="M1647" i="58"/>
  <c r="M1646" i="58"/>
  <c r="M1638" i="58"/>
  <c r="M1634" i="58"/>
  <c r="M1618" i="58"/>
  <c r="M1617" i="58"/>
  <c r="M1616" i="58"/>
  <c r="M1629" i="58"/>
  <c r="M1628" i="58"/>
  <c r="M1614" i="58"/>
  <c r="M1605" i="58"/>
  <c r="M1588" i="58"/>
  <c r="M1598" i="58"/>
  <c r="M1591" i="58"/>
  <c r="M1599" i="58"/>
  <c r="M1559" i="58"/>
  <c r="M1558" i="58"/>
  <c r="M1557" i="58"/>
  <c r="M1556" i="58"/>
  <c r="M1555" i="58"/>
  <c r="M1554" i="58"/>
  <c r="M1553" i="58"/>
  <c r="M1552" i="58"/>
  <c r="M1551" i="58"/>
  <c r="M1550" i="58"/>
  <c r="M1549" i="58"/>
  <c r="M1548" i="58"/>
  <c r="M1547" i="58"/>
  <c r="M1546" i="58"/>
  <c r="M1545" i="58"/>
  <c r="M1544" i="58"/>
  <c r="M1543" i="58"/>
  <c r="M1542" i="58"/>
  <c r="M1541" i="58"/>
  <c r="M1540" i="58"/>
  <c r="M1539" i="58"/>
  <c r="M1538" i="58"/>
  <c r="M1537" i="58"/>
  <c r="M1536" i="58"/>
  <c r="M1571" i="58"/>
  <c r="M1565" i="58"/>
  <c r="M1526" i="58"/>
  <c r="M1525" i="58"/>
  <c r="M1572" i="58"/>
  <c r="M1563" i="58"/>
  <c r="M1535" i="58"/>
  <c r="M1585" i="58"/>
  <c r="M1524" i="58"/>
  <c r="M1534" i="58"/>
  <c r="M1523" i="58"/>
  <c r="M1533" i="58"/>
  <c r="M1562" i="58"/>
  <c r="M1561" i="58"/>
  <c r="M1560" i="58"/>
  <c r="M1564" i="58"/>
  <c r="M1569" i="58"/>
  <c r="M1567" i="58"/>
  <c r="M1527" i="58"/>
  <c r="M1528" i="58"/>
  <c r="M1584" i="58"/>
  <c r="M1583" i="58"/>
  <c r="M1582" i="58"/>
  <c r="M1581" i="58"/>
  <c r="M1580" i="58"/>
  <c r="M1579" i="58"/>
  <c r="M1578" i="58"/>
  <c r="M1577" i="58"/>
  <c r="M1576" i="58"/>
  <c r="M1574" i="58"/>
  <c r="M1573" i="58"/>
  <c r="M1575" i="58"/>
  <c r="M1568" i="58"/>
  <c r="M1532" i="58"/>
  <c r="M1531" i="58"/>
  <c r="M1529" i="58"/>
  <c r="M1530" i="58"/>
  <c r="M1587" i="58"/>
  <c r="M1512" i="58"/>
  <c r="M1507" i="58"/>
  <c r="M1506" i="58"/>
  <c r="M1514" i="58"/>
  <c r="M1510" i="58"/>
  <c r="M1503" i="58"/>
  <c r="M1508" i="58"/>
  <c r="M1482" i="58"/>
  <c r="M1501" i="58"/>
  <c r="M1490" i="58"/>
  <c r="M1502" i="58"/>
  <c r="M1462" i="58"/>
  <c r="M1452" i="58"/>
  <c r="M1445" i="58"/>
  <c r="M1431" i="58"/>
  <c r="M1443" i="58"/>
  <c r="M1437" i="58"/>
  <c r="M1440" i="58"/>
  <c r="M1442" i="58"/>
  <c r="M1433" i="58"/>
  <c r="M1444" i="58"/>
  <c r="M1441" i="58"/>
  <c r="M1438" i="58"/>
  <c r="M1419" i="58"/>
  <c r="M1416" i="58"/>
  <c r="M1418" i="58"/>
  <c r="M1422" i="58"/>
  <c r="M1427" i="58"/>
  <c r="M1426" i="58"/>
  <c r="M1424" i="58"/>
  <c r="M1423" i="58"/>
  <c r="C1714" i="58"/>
  <c r="B1714" i="58"/>
  <c r="C1715" i="58"/>
  <c r="B1715" i="58"/>
  <c r="C1717" i="58"/>
  <c r="B1717" i="58"/>
  <c r="C1706" i="58"/>
  <c r="B1706" i="58"/>
  <c r="C1705" i="58"/>
  <c r="B1705" i="58"/>
  <c r="C1710" i="58"/>
  <c r="B1710" i="58"/>
  <c r="C1709" i="58"/>
  <c r="B1709" i="58"/>
  <c r="C1711" i="58"/>
  <c r="B1711" i="58"/>
  <c r="C1712" i="58"/>
  <c r="B1712" i="58"/>
  <c r="C1708" i="58"/>
  <c r="B1708" i="58"/>
  <c r="C1707" i="58"/>
  <c r="B1707" i="58"/>
  <c r="C1704" i="58"/>
  <c r="B1704" i="58"/>
  <c r="C1694" i="58"/>
  <c r="B1694" i="58"/>
  <c r="C1693" i="58"/>
  <c r="B1693" i="58"/>
  <c r="C1703" i="58"/>
  <c r="B1703" i="58"/>
  <c r="C1677" i="58"/>
  <c r="B1677" i="58"/>
  <c r="C1687" i="58"/>
  <c r="B1687" i="58"/>
  <c r="C1667" i="58"/>
  <c r="B1667" i="58"/>
  <c r="C1670" i="58"/>
  <c r="B1670" i="58"/>
  <c r="C1669" i="58"/>
  <c r="B1669" i="58"/>
  <c r="C1662" i="58"/>
  <c r="B1662" i="58"/>
  <c r="C1663" i="58"/>
  <c r="B1663" i="58"/>
  <c r="C1658" i="58"/>
  <c r="B1658" i="58"/>
  <c r="C1660" i="58"/>
  <c r="B1660" i="58"/>
  <c r="C1652" i="58"/>
  <c r="B1652" i="58"/>
  <c r="C1656" i="58"/>
  <c r="B1656" i="58"/>
  <c r="C1649" i="58"/>
  <c r="B1649" i="58"/>
  <c r="C1651" i="58"/>
  <c r="B1651" i="58"/>
  <c r="C1645" i="58"/>
  <c r="B1645" i="58"/>
  <c r="C1647" i="58"/>
  <c r="B1647" i="58"/>
  <c r="C1646" i="58"/>
  <c r="B1646" i="58"/>
  <c r="C1638" i="58"/>
  <c r="B1638" i="58"/>
  <c r="C1634" i="58"/>
  <c r="B1634" i="58"/>
  <c r="C1618" i="58"/>
  <c r="B1618" i="58"/>
  <c r="C1617" i="58"/>
  <c r="B1617" i="58"/>
  <c r="C1616" i="58"/>
  <c r="B1616" i="58"/>
  <c r="C1629" i="58"/>
  <c r="B1629" i="58"/>
  <c r="C1628" i="58"/>
  <c r="B1628" i="58"/>
  <c r="C1614" i="58"/>
  <c r="B1614" i="58"/>
  <c r="C1605" i="58"/>
  <c r="B1605" i="58"/>
  <c r="C1588" i="58"/>
  <c r="B1588" i="58"/>
  <c r="C1598" i="58"/>
  <c r="B1598" i="58"/>
  <c r="C1591" i="58"/>
  <c r="B1591" i="58"/>
  <c r="C1599" i="58"/>
  <c r="B1599" i="58"/>
  <c r="C1559" i="58"/>
  <c r="B1559" i="58"/>
  <c r="C1558" i="58"/>
  <c r="B1558" i="58"/>
  <c r="C1557" i="58"/>
  <c r="B1557" i="58"/>
  <c r="C1556" i="58"/>
  <c r="B1556" i="58"/>
  <c r="C1555" i="58"/>
  <c r="B1555" i="58"/>
  <c r="C1554" i="58"/>
  <c r="B1554" i="58"/>
  <c r="C1553" i="58"/>
  <c r="B1553" i="58"/>
  <c r="C1552" i="58"/>
  <c r="B1552" i="58"/>
  <c r="C1551" i="58"/>
  <c r="B1551" i="58"/>
  <c r="C1550" i="58"/>
  <c r="B1550" i="58"/>
  <c r="C1549" i="58"/>
  <c r="B1549" i="58"/>
  <c r="C1548" i="58"/>
  <c r="B1548" i="58"/>
  <c r="C1547" i="58"/>
  <c r="B1547" i="58"/>
  <c r="C1546" i="58"/>
  <c r="B1546" i="58"/>
  <c r="C1545" i="58"/>
  <c r="B1545" i="58"/>
  <c r="C1544" i="58"/>
  <c r="B1544" i="58"/>
  <c r="C1543" i="58"/>
  <c r="B1543" i="58"/>
  <c r="C1542" i="58"/>
  <c r="B1542" i="58"/>
  <c r="C1541" i="58"/>
  <c r="B1541" i="58"/>
  <c r="C1540" i="58"/>
  <c r="B1540" i="58"/>
  <c r="C1539" i="58"/>
  <c r="B1539" i="58"/>
  <c r="C1538" i="58"/>
  <c r="B1538" i="58"/>
  <c r="C1537" i="58"/>
  <c r="B1537" i="58"/>
  <c r="C1536" i="58"/>
  <c r="B1536" i="58"/>
  <c r="C1571" i="58"/>
  <c r="B1571" i="58"/>
  <c r="C1565" i="58"/>
  <c r="B1565" i="58"/>
  <c r="C1526" i="58"/>
  <c r="B1526" i="58"/>
  <c r="C1525" i="58"/>
  <c r="B1525" i="58"/>
  <c r="C1572" i="58"/>
  <c r="B1572" i="58"/>
  <c r="C1563" i="58"/>
  <c r="B1563" i="58"/>
  <c r="C1535" i="58"/>
  <c r="B1535" i="58"/>
  <c r="C1585" i="58"/>
  <c r="B1585" i="58"/>
  <c r="C1524" i="58"/>
  <c r="B1524" i="58"/>
  <c r="C1534" i="58"/>
  <c r="B1534" i="58"/>
  <c r="C1523" i="58"/>
  <c r="B1523" i="58"/>
  <c r="C1533" i="58"/>
  <c r="B1533" i="58"/>
  <c r="C1562" i="58"/>
  <c r="B1562" i="58"/>
  <c r="C1561" i="58"/>
  <c r="B1561" i="58"/>
  <c r="C1560" i="58"/>
  <c r="B1560" i="58"/>
  <c r="C1564" i="58"/>
  <c r="B1564" i="58"/>
  <c r="C1569" i="58"/>
  <c r="B1569" i="58"/>
  <c r="C1567" i="58"/>
  <c r="B1567" i="58"/>
  <c r="C1527" i="58"/>
  <c r="B1527" i="58"/>
  <c r="C1528" i="58"/>
  <c r="B1528" i="58"/>
  <c r="C1584" i="58"/>
  <c r="B1584" i="58"/>
  <c r="C1583" i="58"/>
  <c r="B1583" i="58"/>
  <c r="C1582" i="58"/>
  <c r="B1582" i="58"/>
  <c r="C1581" i="58"/>
  <c r="B1581" i="58"/>
  <c r="C1580" i="58"/>
  <c r="B1580" i="58"/>
  <c r="C1579" i="58"/>
  <c r="B1579" i="58"/>
  <c r="C1578" i="58"/>
  <c r="B1578" i="58"/>
  <c r="C1577" i="58"/>
  <c r="B1577" i="58"/>
  <c r="C1576" i="58"/>
  <c r="B1576" i="58"/>
  <c r="C1574" i="58"/>
  <c r="B1574" i="58"/>
  <c r="C1573" i="58"/>
  <c r="B1573" i="58"/>
  <c r="C1575" i="58"/>
  <c r="B1575" i="58"/>
  <c r="C1568" i="58"/>
  <c r="B1568" i="58"/>
  <c r="C1532" i="58"/>
  <c r="B1532" i="58"/>
  <c r="C1531" i="58"/>
  <c r="B1531" i="58"/>
  <c r="C1529" i="58"/>
  <c r="B1529" i="58"/>
  <c r="C1530" i="58"/>
  <c r="B1530" i="58"/>
  <c r="C1587" i="58"/>
  <c r="B1587" i="58"/>
  <c r="C1512" i="58"/>
  <c r="B1512" i="58"/>
  <c r="C1507" i="58"/>
  <c r="B1507" i="58"/>
  <c r="C1506" i="58"/>
  <c r="B1506" i="58"/>
  <c r="C1514" i="58"/>
  <c r="B1514" i="58"/>
  <c r="C1510" i="58"/>
  <c r="B1510" i="58"/>
  <c r="C1503" i="58"/>
  <c r="B1503" i="58"/>
  <c r="C1508" i="58"/>
  <c r="B1508" i="58"/>
  <c r="C1482" i="58"/>
  <c r="B1482" i="58"/>
  <c r="C1501" i="58"/>
  <c r="B1501" i="58"/>
  <c r="C1490" i="58"/>
  <c r="B1490" i="58"/>
  <c r="C1502" i="58"/>
  <c r="B1502" i="58"/>
  <c r="C1462" i="58"/>
  <c r="B1462" i="58"/>
  <c r="C1452" i="58"/>
  <c r="B1452" i="58"/>
  <c r="C1445" i="58"/>
  <c r="B1445" i="58"/>
  <c r="C1431" i="58"/>
  <c r="B1431" i="58"/>
  <c r="C1443" i="58"/>
  <c r="B1443" i="58"/>
  <c r="C1437" i="58"/>
  <c r="B1437" i="58"/>
  <c r="C1440" i="58"/>
  <c r="B1440" i="58"/>
  <c r="C1442" i="58"/>
  <c r="B1442" i="58"/>
  <c r="C1433" i="58"/>
  <c r="B1433" i="58"/>
  <c r="C1444" i="58"/>
  <c r="B1444" i="58"/>
  <c r="C1441" i="58"/>
  <c r="B1441" i="58"/>
  <c r="C1438" i="58"/>
  <c r="B1438" i="58"/>
  <c r="C1419" i="58"/>
  <c r="B1419" i="58"/>
  <c r="C1416" i="58"/>
  <c r="B1416" i="58"/>
  <c r="C1418" i="58"/>
  <c r="B1418" i="58"/>
  <c r="C1422" i="58"/>
  <c r="B1422" i="58"/>
  <c r="C1427" i="58"/>
  <c r="B1427" i="58"/>
  <c r="C1426" i="58"/>
  <c r="B1426" i="58"/>
  <c r="C1424" i="58"/>
  <c r="B1424" i="58"/>
  <c r="C1423" i="58"/>
  <c r="B1423" i="58"/>
  <c r="J84" i="74" l="1"/>
  <c r="K63" i="74"/>
  <c r="J69" i="74"/>
  <c r="J90" i="74" s="1"/>
  <c r="AH105" i="38"/>
  <c r="M8" i="69"/>
  <c r="C8" i="69"/>
  <c r="C50" i="69" s="1"/>
  <c r="W38" i="68"/>
  <c r="AQ46" i="43"/>
  <c r="AK131" i="43"/>
  <c r="N28" i="70"/>
  <c r="T28" i="70" s="1"/>
  <c r="AA91" i="38"/>
  <c r="AJ91" i="38"/>
  <c r="X106" i="38"/>
  <c r="AQ202" i="42"/>
  <c r="AQ174" i="42"/>
  <c r="AQ169" i="42"/>
  <c r="AH109" i="38"/>
  <c r="AQ146" i="42"/>
  <c r="AQ154" i="42"/>
  <c r="T40" i="70"/>
  <c r="AJ131" i="43"/>
  <c r="AI131" i="43"/>
  <c r="N7" i="70"/>
  <c r="T7" i="70" s="1"/>
  <c r="AQ10" i="42"/>
  <c r="P104" i="38"/>
  <c r="C17" i="68" s="1"/>
  <c r="AJ108" i="38"/>
  <c r="AQ212" i="42"/>
  <c r="AI80" i="42"/>
  <c r="AQ235" i="42"/>
  <c r="AI287" i="42"/>
  <c r="AQ20" i="42"/>
  <c r="AQ197" i="42"/>
  <c r="T91" i="38"/>
  <c r="K25" i="68"/>
  <c r="K15" i="69" s="1"/>
  <c r="Y91" i="38"/>
  <c r="Y106" i="38"/>
  <c r="AK189" i="42"/>
  <c r="AQ15" i="42"/>
  <c r="AQ187" i="42"/>
  <c r="AQ151" i="42"/>
  <c r="AQ136" i="42"/>
  <c r="AQ184" i="42"/>
  <c r="AQ275" i="42"/>
  <c r="AQ131" i="42"/>
  <c r="AQ122" i="42"/>
  <c r="AI108" i="38"/>
  <c r="AK287" i="42"/>
  <c r="AQ277" i="42"/>
  <c r="AQ118" i="42"/>
  <c r="AQ141" i="42"/>
  <c r="AH189" i="42"/>
  <c r="AN22" i="38"/>
  <c r="AN89" i="38" s="1"/>
  <c r="AQ265" i="42"/>
  <c r="AA104" i="38"/>
  <c r="AA106" i="38" s="1"/>
  <c r="AI189" i="42"/>
  <c r="AQ179" i="42"/>
  <c r="AN123" i="42"/>
  <c r="X91" i="38"/>
  <c r="AQ98" i="42"/>
  <c r="AQ93" i="42"/>
  <c r="E23" i="68"/>
  <c r="E14" i="69" s="1"/>
  <c r="AQ207" i="42"/>
  <c r="AI156" i="42"/>
  <c r="J19" i="68"/>
  <c r="J11" i="69" s="1"/>
  <c r="AQ188" i="42"/>
  <c r="H25" i="68"/>
  <c r="H15" i="69" s="1"/>
  <c r="M23" i="68"/>
  <c r="M14" i="69" s="1"/>
  <c r="AK22" i="38"/>
  <c r="AK89" i="38" s="1"/>
  <c r="AN189" i="42"/>
  <c r="L23" i="68"/>
  <c r="L14" i="69" s="1"/>
  <c r="AI123" i="42"/>
  <c r="AQ103" i="42"/>
  <c r="AH80" i="42"/>
  <c r="AH156" i="42"/>
  <c r="C23" i="68"/>
  <c r="C14" i="69" s="1"/>
  <c r="AJ156" i="42"/>
  <c r="N23" i="68"/>
  <c r="N14" i="69" s="1"/>
  <c r="AQ260" i="42"/>
  <c r="AJ123" i="42"/>
  <c r="AQ88" i="42"/>
  <c r="AQ113" i="42"/>
  <c r="AQ255" i="42"/>
  <c r="AQ270" i="42"/>
  <c r="AQ30" i="42"/>
  <c r="AQ245" i="42"/>
  <c r="AQ108" i="42"/>
  <c r="AK280" i="42"/>
  <c r="AQ155" i="42"/>
  <c r="AQ240" i="42"/>
  <c r="AJ80" i="42"/>
  <c r="Y113" i="38"/>
  <c r="Y114" i="38" s="1"/>
  <c r="AQ45" i="42"/>
  <c r="AQ222" i="42"/>
  <c r="H19" i="68"/>
  <c r="H11" i="69" s="1"/>
  <c r="W26" i="68"/>
  <c r="AQ55" i="42"/>
  <c r="AJ189" i="42"/>
  <c r="AJ287" i="42"/>
  <c r="AQ120" i="42"/>
  <c r="AQ78" i="42"/>
  <c r="AQ278" i="42"/>
  <c r="AK108" i="38"/>
  <c r="AK123" i="42"/>
  <c r="AK156" i="42"/>
  <c r="AK46" i="38"/>
  <c r="AK93" i="38" s="1"/>
  <c r="AN280" i="42"/>
  <c r="D25" i="68"/>
  <c r="D15" i="69" s="1"/>
  <c r="AN46" i="38"/>
  <c r="AN93" i="38" s="1"/>
  <c r="K19" i="68"/>
  <c r="K11" i="69" s="1"/>
  <c r="V113" i="38"/>
  <c r="V99" i="38"/>
  <c r="AI280" i="42"/>
  <c r="X99" i="38"/>
  <c r="X113" i="38"/>
  <c r="AQ25" i="42"/>
  <c r="J23" i="68"/>
  <c r="J14" i="69" s="1"/>
  <c r="R113" i="38"/>
  <c r="R99" i="38"/>
  <c r="AN108" i="38"/>
  <c r="AH108" i="38"/>
  <c r="AH280" i="42"/>
  <c r="M19" i="68"/>
  <c r="M11" i="69" s="1"/>
  <c r="I19" i="68"/>
  <c r="AQ279" i="42"/>
  <c r="P113" i="38"/>
  <c r="P99" i="38"/>
  <c r="Z91" i="38"/>
  <c r="C25" i="68"/>
  <c r="C15" i="69" s="1"/>
  <c r="W91" i="38"/>
  <c r="AN80" i="42"/>
  <c r="AQ35" i="42"/>
  <c r="AQ186" i="42"/>
  <c r="F25" i="68"/>
  <c r="F15" i="69" s="1"/>
  <c r="AK84" i="38"/>
  <c r="AK98" i="38" s="1"/>
  <c r="AK99" i="38" s="1"/>
  <c r="C19" i="68"/>
  <c r="C11" i="69" s="1"/>
  <c r="AN84" i="38"/>
  <c r="AN98" i="38" s="1"/>
  <c r="AN99" i="38" s="1"/>
  <c r="U113" i="38"/>
  <c r="U114" i="38" s="1"/>
  <c r="U99" i="38"/>
  <c r="F23" i="68"/>
  <c r="D23" i="68"/>
  <c r="D14" i="69" s="1"/>
  <c r="V104" i="38"/>
  <c r="V106" i="38" s="1"/>
  <c r="I23" i="68"/>
  <c r="W106" i="38"/>
  <c r="AQ164" i="42"/>
  <c r="U104" i="38"/>
  <c r="U106" i="38" s="1"/>
  <c r="AQ50" i="42"/>
  <c r="E19" i="68"/>
  <c r="E11" i="69" s="1"/>
  <c r="S113" i="38"/>
  <c r="S99" i="38"/>
  <c r="N25" i="68"/>
  <c r="N15" i="69" s="1"/>
  <c r="AH287" i="42"/>
  <c r="W113" i="38"/>
  <c r="W114" i="38" s="1"/>
  <c r="W99" i="38"/>
  <c r="AK57" i="38"/>
  <c r="AK94" i="38" s="1"/>
  <c r="AN57" i="38"/>
  <c r="AN94" i="38" s="1"/>
  <c r="M25" i="68"/>
  <c r="M15" i="69" s="1"/>
  <c r="AJ105" i="38"/>
  <c r="N26" i="70"/>
  <c r="T26" i="70" s="1"/>
  <c r="E25" i="68"/>
  <c r="E15" i="69" s="1"/>
  <c r="L19" i="68"/>
  <c r="AK105" i="38"/>
  <c r="T113" i="38"/>
  <c r="T114" i="38" s="1"/>
  <c r="T99" i="38"/>
  <c r="AK80" i="42"/>
  <c r="G23" i="68"/>
  <c r="AJ280" i="42"/>
  <c r="AH123" i="42"/>
  <c r="H23" i="68"/>
  <c r="H14" i="69" s="1"/>
  <c r="F19" i="68"/>
  <c r="AI105" i="38"/>
  <c r="AN156" i="42"/>
  <c r="AK35" i="38"/>
  <c r="AK90" i="38" s="1"/>
  <c r="K23" i="68"/>
  <c r="K14" i="69" s="1"/>
  <c r="G19" i="68"/>
  <c r="G11" i="69" s="1"/>
  <c r="G25" i="68"/>
  <c r="G15" i="69" s="1"/>
  <c r="AQ250" i="42"/>
  <c r="J25" i="68"/>
  <c r="J15" i="69" s="1"/>
  <c r="Q91" i="38"/>
  <c r="AQ40" i="42"/>
  <c r="AN35" i="38"/>
  <c r="AN90" i="38" s="1"/>
  <c r="AN91" i="38" s="1"/>
  <c r="S91" i="38"/>
  <c r="AQ225" i="42"/>
  <c r="AQ153" i="42"/>
  <c r="Z113" i="38"/>
  <c r="Z114" i="38" s="1"/>
  <c r="AN105" i="38"/>
  <c r="N19" i="68"/>
  <c r="N11" i="69" s="1"/>
  <c r="W20" i="68"/>
  <c r="N30" i="71"/>
  <c r="S13" i="67"/>
  <c r="U51" i="57"/>
  <c r="Y51" i="57"/>
  <c r="S52" i="57"/>
  <c r="Y12" i="67"/>
  <c r="N15" i="67"/>
  <c r="AA51" i="57"/>
  <c r="I15" i="67"/>
  <c r="AS27" i="57"/>
  <c r="AK49" i="57"/>
  <c r="AK47" i="57"/>
  <c r="AK48" i="57"/>
  <c r="AM49" i="57"/>
  <c r="AM48" i="57"/>
  <c r="AL49" i="57"/>
  <c r="AL48" i="57"/>
  <c r="AL47" i="57"/>
  <c r="AP48" i="57"/>
  <c r="AP47" i="57"/>
  <c r="AJ47" i="57"/>
  <c r="AJ48" i="57"/>
  <c r="C15" i="68"/>
  <c r="C63" i="68" s="1"/>
  <c r="AJ49" i="57"/>
  <c r="AP49" i="57"/>
  <c r="R52" i="57"/>
  <c r="J8" i="70"/>
  <c r="X51" i="57"/>
  <c r="T51" i="57"/>
  <c r="AB51" i="57"/>
  <c r="AK43" i="57"/>
  <c r="AK42" i="57"/>
  <c r="AL42" i="57"/>
  <c r="AL43" i="57"/>
  <c r="V51" i="57"/>
  <c r="W51" i="57"/>
  <c r="Z51" i="57"/>
  <c r="J8" i="69"/>
  <c r="AC51" i="57"/>
  <c r="AK44" i="57"/>
  <c r="AM39" i="57"/>
  <c r="AM52" i="57" s="1"/>
  <c r="AM42" i="57"/>
  <c r="AM43" i="57"/>
  <c r="AL44" i="57"/>
  <c r="AP43" i="57"/>
  <c r="AP42" i="57"/>
  <c r="AJ42" i="57"/>
  <c r="AJ43" i="57"/>
  <c r="AP44" i="57"/>
  <c r="AJ44" i="57"/>
  <c r="Q6" i="69"/>
  <c r="Q8" i="69" s="1"/>
  <c r="Q50" i="69" s="1"/>
  <c r="T8" i="67"/>
  <c r="T15" i="67" s="1"/>
  <c r="U8" i="67"/>
  <c r="U15" i="67" s="1"/>
  <c r="R13" i="68"/>
  <c r="J13" i="70"/>
  <c r="AM156" i="42"/>
  <c r="AM123" i="42"/>
  <c r="S24" i="68"/>
  <c r="K24" i="70" s="1"/>
  <c r="N26" i="67"/>
  <c r="W28" i="68"/>
  <c r="U25" i="67"/>
  <c r="P26" i="67"/>
  <c r="S18" i="68"/>
  <c r="K18" i="70" s="1"/>
  <c r="U23" i="67"/>
  <c r="Q24" i="68"/>
  <c r="I24" i="70" s="1"/>
  <c r="H20" i="70"/>
  <c r="N20" i="70" s="1"/>
  <c r="T20" i="70" s="1"/>
  <c r="U24" i="67"/>
  <c r="O26" i="67"/>
  <c r="E26" i="67"/>
  <c r="P32" i="68"/>
  <c r="U32" i="68"/>
  <c r="U18" i="68"/>
  <c r="P18" i="68"/>
  <c r="U24" i="68"/>
  <c r="P24" i="68"/>
  <c r="R18" i="68"/>
  <c r="J18" i="70" s="1"/>
  <c r="Q18" i="68"/>
  <c r="I18" i="70" s="1"/>
  <c r="M26" i="67"/>
  <c r="AQ63" i="43"/>
  <c r="R32" i="68"/>
  <c r="J32" i="70" s="1"/>
  <c r="F26" i="67"/>
  <c r="S32" i="68"/>
  <c r="K32" i="70" s="1"/>
  <c r="AQ89" i="43"/>
  <c r="Q32" i="68"/>
  <c r="I32" i="70" s="1"/>
  <c r="AQ129" i="43"/>
  <c r="D15" i="68"/>
  <c r="D63" i="68" s="1"/>
  <c r="D8" i="69"/>
  <c r="D50" i="69" s="1"/>
  <c r="J15" i="68"/>
  <c r="J63" i="68" s="1"/>
  <c r="W13" i="67"/>
  <c r="L15" i="67"/>
  <c r="Y11" i="67"/>
  <c r="U13" i="68"/>
  <c r="H15" i="68"/>
  <c r="H63" i="68" s="1"/>
  <c r="R6" i="69"/>
  <c r="AJ39" i="57"/>
  <c r="AJ52" i="57" s="1"/>
  <c r="P8" i="68"/>
  <c r="H5" i="71" s="1"/>
  <c r="H8" i="70"/>
  <c r="U8" i="68"/>
  <c r="Y6" i="67"/>
  <c r="W7" i="68"/>
  <c r="S8" i="67"/>
  <c r="W25" i="69"/>
  <c r="Y10" i="67"/>
  <c r="T13" i="67"/>
  <c r="W12" i="68"/>
  <c r="K15" i="67"/>
  <c r="AL39" i="57"/>
  <c r="AL52" i="57" s="1"/>
  <c r="G50" i="69"/>
  <c r="P6" i="69"/>
  <c r="R8" i="68"/>
  <c r="P5" i="69"/>
  <c r="AP39" i="57"/>
  <c r="AP52" i="57" s="1"/>
  <c r="R8" i="67"/>
  <c r="R15" i="67" s="1"/>
  <c r="E15" i="68"/>
  <c r="E63" i="68" s="1"/>
  <c r="F15" i="68"/>
  <c r="F63" i="68" s="1"/>
  <c r="AS37" i="57"/>
  <c r="F8" i="69"/>
  <c r="H50" i="69"/>
  <c r="E8" i="69"/>
  <c r="M15" i="68"/>
  <c r="M63" i="68" s="1"/>
  <c r="I8" i="70"/>
  <c r="Q8" i="68"/>
  <c r="I5" i="71" s="1"/>
  <c r="Y5" i="67"/>
  <c r="Y7" i="67"/>
  <c r="W5" i="68"/>
  <c r="K15" i="68"/>
  <c r="K63" i="68" s="1"/>
  <c r="K8" i="69"/>
  <c r="N6" i="70"/>
  <c r="T6" i="70" s="1"/>
  <c r="W8" i="67"/>
  <c r="N11" i="70"/>
  <c r="W11" i="68"/>
  <c r="N6" i="69"/>
  <c r="N15" i="68"/>
  <c r="N63" i="68" s="1"/>
  <c r="W10" i="68"/>
  <c r="I10" i="70"/>
  <c r="I13" i="70" s="1"/>
  <c r="Q13" i="68"/>
  <c r="AK39" i="57"/>
  <c r="AK52" i="57" s="1"/>
  <c r="H15" i="67"/>
  <c r="M50" i="69"/>
  <c r="P13" i="68"/>
  <c r="S13" i="68"/>
  <c r="K13" i="70"/>
  <c r="L5" i="69"/>
  <c r="L15" i="68"/>
  <c r="L63" i="68" s="1"/>
  <c r="K8" i="70"/>
  <c r="AS32" i="57"/>
  <c r="S8" i="68"/>
  <c r="K5" i="71" s="1"/>
  <c r="I5" i="69"/>
  <c r="I15" i="68"/>
  <c r="I63" i="68" s="1"/>
  <c r="W6" i="68"/>
  <c r="N5" i="70"/>
  <c r="N12" i="70"/>
  <c r="H13" i="70"/>
  <c r="E30" i="69"/>
  <c r="P43" i="68"/>
  <c r="E44" i="68"/>
  <c r="I37" i="67"/>
  <c r="U13" i="45"/>
  <c r="G43" i="68"/>
  <c r="T15" i="45"/>
  <c r="AI13" i="45"/>
  <c r="F30" i="69"/>
  <c r="F44" i="68"/>
  <c r="T39" i="70"/>
  <c r="N37" i="70"/>
  <c r="AA114" i="38"/>
  <c r="N31" i="68"/>
  <c r="N33" i="68" s="1"/>
  <c r="N19" i="69" s="1"/>
  <c r="N20" i="69" s="1"/>
  <c r="I25" i="68"/>
  <c r="AJ109" i="38"/>
  <c r="AN109" i="38"/>
  <c r="AI109" i="38"/>
  <c r="L25" i="68"/>
  <c r="AK109" i="38"/>
  <c r="Q281" i="42"/>
  <c r="Q113" i="38"/>
  <c r="Q99" i="38"/>
  <c r="AQ121" i="42"/>
  <c r="Q124" i="42"/>
  <c r="D19" i="68"/>
  <c r="E17" i="67"/>
  <c r="P227" i="42"/>
  <c r="P228" i="42" s="1"/>
  <c r="P110" i="38"/>
  <c r="P96" i="38"/>
  <c r="AN287" i="42"/>
  <c r="AH216" i="42"/>
  <c r="AH226" i="42" s="1"/>
  <c r="AH288" i="42" s="1"/>
  <c r="AH214" i="42"/>
  <c r="Q81" i="42"/>
  <c r="AQ79" i="42"/>
  <c r="AK104" i="38"/>
  <c r="T104" i="38"/>
  <c r="T106" i="38" s="1"/>
  <c r="S104" i="38"/>
  <c r="P81" i="42"/>
  <c r="R104" i="38"/>
  <c r="R106" i="38" s="1"/>
  <c r="Q104" i="38"/>
  <c r="Q106" i="38" s="1"/>
  <c r="AN131" i="43"/>
  <c r="AQ111" i="43"/>
  <c r="AH131" i="43"/>
  <c r="AQ29" i="43"/>
  <c r="R46" i="67"/>
  <c r="R24" i="67"/>
  <c r="G38" i="67"/>
  <c r="R44" i="67"/>
  <c r="I2" i="67"/>
  <c r="G26" i="67"/>
  <c r="R47" i="67"/>
  <c r="R23" i="67"/>
  <c r="R33" i="67"/>
  <c r="R25" i="67"/>
  <c r="R36" i="67"/>
  <c r="R29" i="67"/>
  <c r="AQ77" i="42"/>
  <c r="Q288" i="42"/>
  <c r="F18" i="67" s="1"/>
  <c r="P288" i="42"/>
  <c r="E18" i="67" s="1"/>
  <c r="Q217" i="42"/>
  <c r="Q224" i="42"/>
  <c r="Q286" i="42" s="1"/>
  <c r="F17" i="67" s="1"/>
  <c r="R226" i="42"/>
  <c r="R79" i="42"/>
  <c r="R78" i="42"/>
  <c r="R287" i="42" s="1"/>
  <c r="R80" i="42"/>
  <c r="R77" i="42"/>
  <c r="I136" i="43"/>
  <c r="I138" i="43" s="1"/>
  <c r="AT215" i="42"/>
  <c r="AT217" i="42" s="1"/>
  <c r="N235" i="42"/>
  <c r="M235" i="42"/>
  <c r="L235" i="42"/>
  <c r="K235" i="42"/>
  <c r="J235" i="42"/>
  <c r="I235" i="42"/>
  <c r="H235" i="42"/>
  <c r="G235" i="42"/>
  <c r="F235" i="42"/>
  <c r="E235" i="42"/>
  <c r="D235" i="42"/>
  <c r="C235" i="42"/>
  <c r="AF234" i="42"/>
  <c r="AE234" i="42"/>
  <c r="AD234" i="42"/>
  <c r="AC234" i="42"/>
  <c r="AF233" i="42"/>
  <c r="AE233" i="42"/>
  <c r="AD233" i="42"/>
  <c r="AC233" i="42"/>
  <c r="AF232" i="42"/>
  <c r="AE232" i="42"/>
  <c r="AD232" i="42"/>
  <c r="AC232" i="42"/>
  <c r="N103" i="42"/>
  <c r="M103" i="42"/>
  <c r="L103" i="42"/>
  <c r="K103" i="42"/>
  <c r="J103" i="42"/>
  <c r="I103" i="42"/>
  <c r="H103" i="42"/>
  <c r="G103" i="42"/>
  <c r="F103" i="42"/>
  <c r="E103" i="42"/>
  <c r="D103" i="42"/>
  <c r="C103" i="42"/>
  <c r="AF102" i="42"/>
  <c r="AE102" i="42"/>
  <c r="AD102" i="42"/>
  <c r="AC102" i="42"/>
  <c r="AF101" i="42"/>
  <c r="AE101" i="42"/>
  <c r="AD101" i="42"/>
  <c r="AC101" i="42"/>
  <c r="AF100" i="42"/>
  <c r="AE100" i="42"/>
  <c r="AD100" i="42"/>
  <c r="AC100" i="42"/>
  <c r="N93" i="42"/>
  <c r="M93" i="42"/>
  <c r="L93" i="42"/>
  <c r="K93" i="42"/>
  <c r="J93" i="42"/>
  <c r="I93" i="42"/>
  <c r="H93" i="42"/>
  <c r="G93" i="42"/>
  <c r="F93" i="42"/>
  <c r="E93" i="42"/>
  <c r="D93" i="42"/>
  <c r="C93" i="42"/>
  <c r="AF92" i="42"/>
  <c r="AE92" i="42"/>
  <c r="AD92" i="42"/>
  <c r="AC92" i="42"/>
  <c r="AF91" i="42"/>
  <c r="AE91" i="42"/>
  <c r="AD91" i="42"/>
  <c r="AC91" i="42"/>
  <c r="AF90" i="42"/>
  <c r="AE90" i="42"/>
  <c r="AD90" i="42"/>
  <c r="AC90" i="42"/>
  <c r="N98" i="42"/>
  <c r="M98" i="42"/>
  <c r="L98" i="42"/>
  <c r="K98" i="42"/>
  <c r="J98" i="42"/>
  <c r="I98" i="42"/>
  <c r="H98" i="42"/>
  <c r="G98" i="42"/>
  <c r="F98" i="42"/>
  <c r="E98" i="42"/>
  <c r="D98" i="42"/>
  <c r="C98" i="42"/>
  <c r="AF97" i="42"/>
  <c r="AE97" i="42"/>
  <c r="AD97" i="42"/>
  <c r="AC97" i="42"/>
  <c r="AF96" i="42"/>
  <c r="AE96" i="42"/>
  <c r="AD96" i="42"/>
  <c r="AC96" i="42"/>
  <c r="AF95" i="42"/>
  <c r="AE95" i="42"/>
  <c r="AD95" i="42"/>
  <c r="AC95" i="42"/>
  <c r="I10" i="42"/>
  <c r="I15" i="42"/>
  <c r="I20" i="42"/>
  <c r="I25" i="42"/>
  <c r="I30" i="42"/>
  <c r="I35" i="42"/>
  <c r="I40" i="42"/>
  <c r="I45" i="42"/>
  <c r="I50" i="42"/>
  <c r="I60" i="42"/>
  <c r="I65" i="42"/>
  <c r="I70" i="42"/>
  <c r="I75" i="42"/>
  <c r="K66" i="74" l="1"/>
  <c r="K80" i="74"/>
  <c r="P106" i="38"/>
  <c r="S15" i="67"/>
  <c r="AQ131" i="43"/>
  <c r="AQ108" i="38"/>
  <c r="P101" i="38"/>
  <c r="S14" i="69"/>
  <c r="G31" i="68"/>
  <c r="G33" i="68" s="1"/>
  <c r="G19" i="69" s="1"/>
  <c r="G20" i="69" s="1"/>
  <c r="AK106" i="38"/>
  <c r="P23" i="68"/>
  <c r="H23" i="70" s="1"/>
  <c r="AJ104" i="38"/>
  <c r="AJ106" i="38" s="1"/>
  <c r="S23" i="68"/>
  <c r="K23" i="70" s="1"/>
  <c r="AQ189" i="42"/>
  <c r="Q15" i="69"/>
  <c r="Q25" i="68"/>
  <c r="I25" i="70" s="1"/>
  <c r="AQ105" i="38"/>
  <c r="H31" i="68"/>
  <c r="H33" i="68" s="1"/>
  <c r="H19" i="69" s="1"/>
  <c r="H20" i="69" s="1"/>
  <c r="C27" i="68"/>
  <c r="C16" i="69" s="1"/>
  <c r="AK113" i="38"/>
  <c r="AK114" i="38" s="1"/>
  <c r="L31" i="68"/>
  <c r="L33" i="68" s="1"/>
  <c r="L19" i="69" s="1"/>
  <c r="AQ123" i="42"/>
  <c r="AP102" i="42"/>
  <c r="AQ287" i="42"/>
  <c r="U23" i="68"/>
  <c r="AQ80" i="42"/>
  <c r="AP96" i="42"/>
  <c r="P25" i="68"/>
  <c r="H25" i="70" s="1"/>
  <c r="AK91" i="38"/>
  <c r="X114" i="38"/>
  <c r="K31" i="68"/>
  <c r="K33" i="68" s="1"/>
  <c r="K19" i="69" s="1"/>
  <c r="K20" i="69" s="1"/>
  <c r="R288" i="42"/>
  <c r="G18" i="67" s="1"/>
  <c r="R18" i="67" s="1"/>
  <c r="Q19" i="68"/>
  <c r="F11" i="69"/>
  <c r="Q11" i="69" s="1"/>
  <c r="AP95" i="42"/>
  <c r="AQ109" i="38"/>
  <c r="AJ113" i="38"/>
  <c r="AJ114" i="38" s="1"/>
  <c r="V114" i="38"/>
  <c r="I31" i="68"/>
  <c r="AI113" i="38"/>
  <c r="AI114" i="38" s="1"/>
  <c r="F31" i="68"/>
  <c r="S114" i="38"/>
  <c r="AQ280" i="42"/>
  <c r="P114" i="38"/>
  <c r="C31" i="68"/>
  <c r="C33" i="68" s="1"/>
  <c r="C19" i="69" s="1"/>
  <c r="C20" i="69" s="1"/>
  <c r="AP97" i="42"/>
  <c r="AP91" i="42"/>
  <c r="AP100" i="42"/>
  <c r="M31" i="68"/>
  <c r="M33" i="68" s="1"/>
  <c r="M19" i="69" s="1"/>
  <c r="M20" i="69" s="1"/>
  <c r="R23" i="68"/>
  <c r="J23" i="70" s="1"/>
  <c r="I14" i="69"/>
  <c r="R14" i="69" s="1"/>
  <c r="I11" i="69"/>
  <c r="R11" i="69" s="1"/>
  <c r="R19" i="68"/>
  <c r="S19" i="68"/>
  <c r="L11" i="69"/>
  <c r="S11" i="69" s="1"/>
  <c r="J31" i="68"/>
  <c r="J33" i="68" s="1"/>
  <c r="J19" i="69" s="1"/>
  <c r="J20" i="69" s="1"/>
  <c r="G14" i="69"/>
  <c r="AP101" i="42"/>
  <c r="Q23" i="68"/>
  <c r="I23" i="70" s="1"/>
  <c r="F14" i="69"/>
  <c r="AP92" i="42"/>
  <c r="AQ156" i="42"/>
  <c r="E31" i="68"/>
  <c r="E33" i="68" s="1"/>
  <c r="E19" i="69" s="1"/>
  <c r="E20" i="69" s="1"/>
  <c r="R114" i="38"/>
  <c r="J6" i="71"/>
  <c r="K6" i="71"/>
  <c r="K7" i="71" s="1"/>
  <c r="K9" i="71" s="1"/>
  <c r="I6" i="71"/>
  <c r="I7" i="71" s="1"/>
  <c r="I9" i="71" s="1"/>
  <c r="J15" i="70"/>
  <c r="J63" i="70" s="1"/>
  <c r="W15" i="67"/>
  <c r="Y15" i="67" s="1"/>
  <c r="AM51" i="57"/>
  <c r="J50" i="69"/>
  <c r="AL51" i="57"/>
  <c r="AK51" i="57"/>
  <c r="AJ51" i="57"/>
  <c r="AP51" i="57"/>
  <c r="U15" i="68"/>
  <c r="R15" i="68"/>
  <c r="R63" i="68" s="1"/>
  <c r="J5" i="71"/>
  <c r="P15" i="68"/>
  <c r="P63" i="68" s="1"/>
  <c r="H6" i="71"/>
  <c r="H15" i="70"/>
  <c r="H63" i="70" s="1"/>
  <c r="P8" i="69"/>
  <c r="P50" i="69" s="1"/>
  <c r="AP233" i="42"/>
  <c r="AP234" i="42"/>
  <c r="AP232" i="42"/>
  <c r="AP90" i="42"/>
  <c r="U26" i="67"/>
  <c r="H24" i="70"/>
  <c r="N24" i="70" s="1"/>
  <c r="T24" i="70" s="1"/>
  <c r="W24" i="68"/>
  <c r="H18" i="70"/>
  <c r="N18" i="70" s="1"/>
  <c r="T18" i="70" s="1"/>
  <c r="W18" i="68"/>
  <c r="U25" i="68"/>
  <c r="H32" i="70"/>
  <c r="N32" i="70" s="1"/>
  <c r="T32" i="70" s="1"/>
  <c r="W32" i="68"/>
  <c r="I15" i="70"/>
  <c r="I63" i="70" s="1"/>
  <c r="Y13" i="67"/>
  <c r="Y8" i="67"/>
  <c r="AS39" i="57"/>
  <c r="F50" i="69"/>
  <c r="K15" i="70"/>
  <c r="K63" i="70" s="1"/>
  <c r="K50" i="69"/>
  <c r="E50" i="69"/>
  <c r="Q15" i="68"/>
  <c r="Q63" i="68" s="1"/>
  <c r="W13" i="68"/>
  <c r="S6" i="69"/>
  <c r="N8" i="69"/>
  <c r="U6" i="69"/>
  <c r="T11" i="70"/>
  <c r="N10" i="70"/>
  <c r="S15" i="68"/>
  <c r="S63" i="68" s="1"/>
  <c r="I8" i="69"/>
  <c r="R5" i="69"/>
  <c r="U5" i="69"/>
  <c r="N8" i="70"/>
  <c r="T8" i="70" s="1"/>
  <c r="T5" i="70"/>
  <c r="S5" i="69"/>
  <c r="L8" i="69"/>
  <c r="W8" i="68"/>
  <c r="T12" i="70"/>
  <c r="P44" i="68"/>
  <c r="H43" i="70"/>
  <c r="H44" i="70" s="1"/>
  <c r="E31" i="69"/>
  <c r="P30" i="69"/>
  <c r="P31" i="69" s="1"/>
  <c r="G30" i="69"/>
  <c r="G31" i="69" s="1"/>
  <c r="G44" i="68"/>
  <c r="V13" i="45"/>
  <c r="J37" i="67"/>
  <c r="H43" i="68"/>
  <c r="U15" i="45"/>
  <c r="F31" i="69"/>
  <c r="T37" i="70"/>
  <c r="S25" i="68"/>
  <c r="L15" i="69"/>
  <c r="S15" i="69" s="1"/>
  <c r="D17" i="68"/>
  <c r="D10" i="69" s="1"/>
  <c r="I15" i="69"/>
  <c r="R15" i="69" s="1"/>
  <c r="R25" i="68"/>
  <c r="P15" i="69"/>
  <c r="P14" i="69"/>
  <c r="Q114" i="38"/>
  <c r="AH113" i="38"/>
  <c r="AH114" i="38" s="1"/>
  <c r="AN113" i="38"/>
  <c r="D31" i="68"/>
  <c r="D11" i="69"/>
  <c r="U19" i="68"/>
  <c r="P19" i="68"/>
  <c r="AH217" i="42"/>
  <c r="AH227" i="42" s="1"/>
  <c r="AH224" i="42"/>
  <c r="AH286" i="42" s="1"/>
  <c r="P111" i="38"/>
  <c r="Q227" i="42"/>
  <c r="Q228" i="42" s="1"/>
  <c r="Q66" i="38"/>
  <c r="Q69" i="38" s="1"/>
  <c r="Q95" i="38" s="1"/>
  <c r="S106" i="38"/>
  <c r="AI104" i="38"/>
  <c r="AI106" i="38" s="1"/>
  <c r="E17" i="68"/>
  <c r="C64" i="68"/>
  <c r="C65" i="68" s="1"/>
  <c r="C66" i="68" s="1"/>
  <c r="C10" i="69"/>
  <c r="C21" i="68"/>
  <c r="AN104" i="38"/>
  <c r="AH104" i="38"/>
  <c r="AH106" i="38" s="1"/>
  <c r="R38" i="67"/>
  <c r="R26" i="67"/>
  <c r="H38" i="67"/>
  <c r="H26" i="67"/>
  <c r="J2" i="67"/>
  <c r="Q289" i="42"/>
  <c r="Q292" i="42" s="1"/>
  <c r="AF103" i="42"/>
  <c r="P289" i="42"/>
  <c r="P291" i="42" s="1"/>
  <c r="R217" i="42"/>
  <c r="R224" i="42"/>
  <c r="R286" i="42" s="1"/>
  <c r="G17" i="67" s="1"/>
  <c r="S226" i="42"/>
  <c r="S80" i="42"/>
  <c r="F17" i="68" s="1"/>
  <c r="S77" i="42"/>
  <c r="S78" i="42"/>
  <c r="S287" i="42" s="1"/>
  <c r="R81" i="42"/>
  <c r="S79" i="42"/>
  <c r="AD235" i="42"/>
  <c r="AD98" i="42"/>
  <c r="AF235" i="42"/>
  <c r="AC98" i="42"/>
  <c r="AE98" i="42"/>
  <c r="AC235" i="42"/>
  <c r="AF98" i="42"/>
  <c r="AD93" i="42"/>
  <c r="AF93" i="42"/>
  <c r="AC93" i="42"/>
  <c r="AC103" i="42"/>
  <c r="AD103" i="42"/>
  <c r="AE93" i="42"/>
  <c r="AE103" i="42"/>
  <c r="AP103" i="42" s="1"/>
  <c r="AE235" i="42"/>
  <c r="AT216" i="42"/>
  <c r="H146" i="43"/>
  <c r="P47" i="61"/>
  <c r="P46" i="61"/>
  <c r="P45" i="61"/>
  <c r="P44" i="61"/>
  <c r="P43" i="61"/>
  <c r="P42" i="61"/>
  <c r="I53" i="35"/>
  <c r="I52" i="35"/>
  <c r="I51" i="35"/>
  <c r="I50" i="35"/>
  <c r="I49" i="35"/>
  <c r="I48" i="35"/>
  <c r="I43" i="35"/>
  <c r="I42" i="35"/>
  <c r="I41" i="35"/>
  <c r="I40" i="35"/>
  <c r="I39" i="35"/>
  <c r="I38" i="35"/>
  <c r="I37" i="35"/>
  <c r="I36" i="35"/>
  <c r="I35" i="35"/>
  <c r="I71" i="35"/>
  <c r="I70" i="35"/>
  <c r="I69" i="35"/>
  <c r="H71" i="35"/>
  <c r="G71" i="35"/>
  <c r="F71" i="35"/>
  <c r="E71" i="35"/>
  <c r="D71" i="35"/>
  <c r="C71" i="35"/>
  <c r="M1163" i="58"/>
  <c r="C1163" i="58"/>
  <c r="B1163" i="58"/>
  <c r="M969" i="58"/>
  <c r="C969" i="58"/>
  <c r="B969" i="58"/>
  <c r="M1105" i="58"/>
  <c r="C1105" i="58"/>
  <c r="B1105" i="58"/>
  <c r="M1312" i="58"/>
  <c r="C1312" i="58"/>
  <c r="B1312" i="58"/>
  <c r="M1162" i="58"/>
  <c r="C1162" i="58"/>
  <c r="B1162" i="58"/>
  <c r="M1067" i="58"/>
  <c r="C1067" i="58"/>
  <c r="B1067" i="58"/>
  <c r="M1101" i="58"/>
  <c r="C1101" i="58"/>
  <c r="B1101" i="58"/>
  <c r="M1086" i="58"/>
  <c r="C1086" i="58"/>
  <c r="B1086" i="58"/>
  <c r="M1186" i="58"/>
  <c r="C1186" i="58"/>
  <c r="B1186" i="58"/>
  <c r="M1309" i="58"/>
  <c r="C1309" i="58"/>
  <c r="B1309" i="58"/>
  <c r="M1099" i="58"/>
  <c r="C1099" i="58"/>
  <c r="B1099" i="58"/>
  <c r="M1385" i="58"/>
  <c r="C1385" i="58"/>
  <c r="B1385" i="58"/>
  <c r="M1344" i="58"/>
  <c r="C1344" i="58"/>
  <c r="B1344" i="58"/>
  <c r="M1323" i="58"/>
  <c r="C1323" i="58"/>
  <c r="B1323" i="58"/>
  <c r="M1157" i="58"/>
  <c r="C1157" i="58"/>
  <c r="B1157" i="58"/>
  <c r="M1134" i="58"/>
  <c r="C1134" i="58"/>
  <c r="B1134" i="58"/>
  <c r="M1133" i="58"/>
  <c r="C1133" i="58"/>
  <c r="B1133" i="58"/>
  <c r="M1097" i="58"/>
  <c r="C1097" i="58"/>
  <c r="B1097" i="58"/>
  <c r="M1058" i="58"/>
  <c r="C1058" i="58"/>
  <c r="B1058" i="58"/>
  <c r="M1078" i="58"/>
  <c r="C1078" i="58"/>
  <c r="B1078" i="58"/>
  <c r="M1181" i="58"/>
  <c r="C1181" i="58"/>
  <c r="B1181" i="58"/>
  <c r="M1106" i="58"/>
  <c r="C1106" i="58"/>
  <c r="B1106" i="58"/>
  <c r="M1014" i="58"/>
  <c r="C1014" i="58"/>
  <c r="B1014" i="58"/>
  <c r="M1013" i="58"/>
  <c r="C1013" i="58"/>
  <c r="B1013" i="58"/>
  <c r="M1012" i="58"/>
  <c r="C1012" i="58"/>
  <c r="B1012" i="58"/>
  <c r="M1011" i="58"/>
  <c r="C1011" i="58"/>
  <c r="B1011" i="58"/>
  <c r="M1010" i="58"/>
  <c r="C1010" i="58"/>
  <c r="B1010" i="58"/>
  <c r="M1080" i="58"/>
  <c r="C1080" i="58"/>
  <c r="B1080" i="58"/>
  <c r="M1079" i="58"/>
  <c r="C1079" i="58"/>
  <c r="B1079" i="58"/>
  <c r="M1096" i="58"/>
  <c r="C1096" i="58"/>
  <c r="B1096" i="58"/>
  <c r="M1388" i="58"/>
  <c r="C1388" i="58"/>
  <c r="B1388" i="58"/>
  <c r="M977" i="58"/>
  <c r="C977" i="58"/>
  <c r="B977" i="58"/>
  <c r="M976" i="58"/>
  <c r="C976" i="58"/>
  <c r="B976" i="58"/>
  <c r="M1185" i="58"/>
  <c r="C1185" i="58"/>
  <c r="B1185" i="58"/>
  <c r="M993" i="58"/>
  <c r="C993" i="58"/>
  <c r="B993" i="58"/>
  <c r="M985" i="58"/>
  <c r="C985" i="58"/>
  <c r="B985" i="58"/>
  <c r="M1357" i="58"/>
  <c r="C1357" i="58"/>
  <c r="B1357" i="58"/>
  <c r="M1049" i="58"/>
  <c r="C1049" i="58"/>
  <c r="B1049" i="58"/>
  <c r="M1298" i="58"/>
  <c r="C1298" i="58"/>
  <c r="B1298" i="58"/>
  <c r="M970" i="58"/>
  <c r="C970" i="58"/>
  <c r="B970" i="58"/>
  <c r="M1351" i="58"/>
  <c r="C1351" i="58"/>
  <c r="B1351" i="58"/>
  <c r="M1296" i="58"/>
  <c r="C1296" i="58"/>
  <c r="B1296" i="58"/>
  <c r="M1179" i="58"/>
  <c r="C1179" i="58"/>
  <c r="B1179" i="58"/>
  <c r="M1188" i="58"/>
  <c r="C1188" i="58"/>
  <c r="B1188" i="58"/>
  <c r="M1288" i="58"/>
  <c r="C1288" i="58"/>
  <c r="B1288" i="58"/>
  <c r="M1277" i="58"/>
  <c r="C1277" i="58"/>
  <c r="B1277" i="58"/>
  <c r="M1352" i="58"/>
  <c r="C1352" i="58"/>
  <c r="B1352" i="58"/>
  <c r="M1040" i="58"/>
  <c r="C1040" i="58"/>
  <c r="B1040" i="58"/>
  <c r="M1039" i="58"/>
  <c r="C1039" i="58"/>
  <c r="B1039" i="58"/>
  <c r="M1354" i="58"/>
  <c r="C1354" i="58"/>
  <c r="B1354" i="58"/>
  <c r="M1048" i="58"/>
  <c r="C1048" i="58"/>
  <c r="B1048" i="58"/>
  <c r="M796" i="58"/>
  <c r="C796" i="58"/>
  <c r="B796" i="58"/>
  <c r="M1386" i="58"/>
  <c r="C1386" i="58"/>
  <c r="B1386" i="58"/>
  <c r="M1245" i="58"/>
  <c r="C1245" i="58"/>
  <c r="B1245" i="58"/>
  <c r="M848" i="58"/>
  <c r="C848" i="58"/>
  <c r="B848" i="58"/>
  <c r="M868" i="58"/>
  <c r="C868" i="58"/>
  <c r="B868" i="58"/>
  <c r="M854" i="58"/>
  <c r="C854" i="58"/>
  <c r="B854" i="58"/>
  <c r="M853" i="58"/>
  <c r="C853" i="58"/>
  <c r="B853" i="58"/>
  <c r="M804" i="58"/>
  <c r="C804" i="58"/>
  <c r="B804" i="58"/>
  <c r="M1137" i="58"/>
  <c r="C1137" i="58"/>
  <c r="B1137" i="58"/>
  <c r="M847" i="58"/>
  <c r="C847" i="58"/>
  <c r="B847" i="58"/>
  <c r="M1136" i="58"/>
  <c r="C1136" i="58"/>
  <c r="B1136" i="58"/>
  <c r="M1350" i="58"/>
  <c r="C1350" i="58"/>
  <c r="B1350" i="58"/>
  <c r="M1023" i="58"/>
  <c r="C1023" i="58"/>
  <c r="B1023" i="58"/>
  <c r="M1135" i="58"/>
  <c r="C1135" i="58"/>
  <c r="B1135" i="58"/>
  <c r="M1287" i="58"/>
  <c r="C1287" i="58"/>
  <c r="B1287" i="58"/>
  <c r="M965" i="58"/>
  <c r="C965" i="58"/>
  <c r="B965" i="58"/>
  <c r="M1286" i="58"/>
  <c r="C1286" i="58"/>
  <c r="B1286" i="58"/>
  <c r="M1095" i="58"/>
  <c r="C1095" i="58"/>
  <c r="B1095" i="58"/>
  <c r="M962" i="58"/>
  <c r="C962" i="58"/>
  <c r="B962" i="58"/>
  <c r="M1280" i="58"/>
  <c r="C1280" i="58"/>
  <c r="B1280" i="58"/>
  <c r="M1184" i="58"/>
  <c r="C1184" i="58"/>
  <c r="B1184" i="58"/>
  <c r="M865" i="58"/>
  <c r="C865" i="58"/>
  <c r="B865" i="58"/>
  <c r="M1189" i="58"/>
  <c r="C1189" i="58"/>
  <c r="B1189" i="58"/>
  <c r="M1164" i="58"/>
  <c r="C1164" i="58"/>
  <c r="B1164" i="58"/>
  <c r="M1026" i="58"/>
  <c r="C1026" i="58"/>
  <c r="B1026" i="58"/>
  <c r="M1008" i="58"/>
  <c r="C1008" i="58"/>
  <c r="B1008" i="58"/>
  <c r="M1024" i="58"/>
  <c r="C1024" i="58"/>
  <c r="B1024" i="58"/>
  <c r="M1021" i="58"/>
  <c r="C1021" i="58"/>
  <c r="B1021" i="58"/>
  <c r="M1150" i="58"/>
  <c r="C1150" i="58"/>
  <c r="B1150" i="58"/>
  <c r="M1030" i="58"/>
  <c r="C1030" i="58"/>
  <c r="B1030" i="58"/>
  <c r="M952" i="58"/>
  <c r="C952" i="58"/>
  <c r="B952" i="58"/>
  <c r="M1018" i="58"/>
  <c r="C1018" i="58"/>
  <c r="B1018" i="58"/>
  <c r="M1166" i="58"/>
  <c r="C1166" i="58"/>
  <c r="B1166" i="58"/>
  <c r="M1029" i="58"/>
  <c r="C1029" i="58"/>
  <c r="B1029" i="58"/>
  <c r="M1027" i="58"/>
  <c r="C1027" i="58"/>
  <c r="B1027" i="58"/>
  <c r="M1159" i="58"/>
  <c r="C1159" i="58"/>
  <c r="B1159" i="58"/>
  <c r="M1144" i="58"/>
  <c r="C1144" i="58"/>
  <c r="B1144" i="58"/>
  <c r="M1169" i="58"/>
  <c r="C1169" i="58"/>
  <c r="B1169" i="58"/>
  <c r="M1034" i="58"/>
  <c r="C1034" i="58"/>
  <c r="B1034" i="58"/>
  <c r="M1132" i="58"/>
  <c r="C1132" i="58"/>
  <c r="B1132" i="58"/>
  <c r="M1131" i="58"/>
  <c r="C1131" i="58"/>
  <c r="B1131" i="58"/>
  <c r="M1153" i="58"/>
  <c r="C1153" i="58"/>
  <c r="B1153" i="58"/>
  <c r="M1121" i="58"/>
  <c r="C1121" i="58"/>
  <c r="B1121" i="58"/>
  <c r="M1183" i="58"/>
  <c r="C1183" i="58"/>
  <c r="B1183" i="58"/>
  <c r="M960" i="58"/>
  <c r="C960" i="58"/>
  <c r="B960" i="58"/>
  <c r="M805" i="58"/>
  <c r="C805" i="58"/>
  <c r="B805" i="58"/>
  <c r="M1371" i="58"/>
  <c r="C1371" i="58"/>
  <c r="B1371" i="58"/>
  <c r="M1143" i="58"/>
  <c r="C1143" i="58"/>
  <c r="B1143" i="58"/>
  <c r="M1291" i="58"/>
  <c r="C1291" i="58"/>
  <c r="B1291" i="58"/>
  <c r="M1075" i="58"/>
  <c r="C1075" i="58"/>
  <c r="B1075" i="58"/>
  <c r="M984" i="58"/>
  <c r="C984" i="58"/>
  <c r="B984" i="58"/>
  <c r="M1119" i="58"/>
  <c r="C1119" i="58"/>
  <c r="B1119" i="58"/>
  <c r="M1088" i="58"/>
  <c r="C1088" i="58"/>
  <c r="B1088" i="58"/>
  <c r="M1016" i="58"/>
  <c r="C1016" i="58"/>
  <c r="B1016" i="58"/>
  <c r="M1015" i="58"/>
  <c r="C1015" i="58"/>
  <c r="B1015" i="58"/>
  <c r="M999" i="58"/>
  <c r="C999" i="58"/>
  <c r="B999" i="58"/>
  <c r="M989" i="58"/>
  <c r="C989" i="58"/>
  <c r="B989" i="58"/>
  <c r="M1087" i="58"/>
  <c r="C1087" i="58"/>
  <c r="B1087" i="58"/>
  <c r="M1373" i="58"/>
  <c r="C1373" i="58"/>
  <c r="B1373" i="58"/>
  <c r="M1338" i="58"/>
  <c r="C1338" i="58"/>
  <c r="B1338" i="58"/>
  <c r="M1310" i="58"/>
  <c r="C1310" i="58"/>
  <c r="B1310" i="58"/>
  <c r="M1025" i="58"/>
  <c r="C1025" i="58"/>
  <c r="B1025" i="58"/>
  <c r="M1085" i="58"/>
  <c r="C1085" i="58"/>
  <c r="B1085" i="58"/>
  <c r="M1084" i="58"/>
  <c r="C1084" i="58"/>
  <c r="B1084" i="58"/>
  <c r="M1325" i="58"/>
  <c r="C1325" i="58"/>
  <c r="B1325" i="58"/>
  <c r="M1083" i="58"/>
  <c r="C1083" i="58"/>
  <c r="B1083" i="58"/>
  <c r="M1082" i="58"/>
  <c r="C1082" i="58"/>
  <c r="B1082" i="58"/>
  <c r="M1064" i="58"/>
  <c r="C1064" i="58"/>
  <c r="B1064" i="58"/>
  <c r="M1363" i="58"/>
  <c r="C1363" i="58"/>
  <c r="B1363" i="58"/>
  <c r="M1324" i="58"/>
  <c r="C1324" i="58"/>
  <c r="B1324" i="58"/>
  <c r="M1307" i="58"/>
  <c r="C1307" i="58"/>
  <c r="B1307" i="58"/>
  <c r="M987" i="58"/>
  <c r="C987" i="58"/>
  <c r="B987" i="58"/>
  <c r="M1369" i="58"/>
  <c r="C1369" i="58"/>
  <c r="B1369" i="58"/>
  <c r="M1035" i="58"/>
  <c r="C1035" i="58"/>
  <c r="B1035" i="58"/>
  <c r="M1098" i="58"/>
  <c r="C1098" i="58"/>
  <c r="B1098" i="58"/>
  <c r="M1368" i="58"/>
  <c r="C1368" i="58"/>
  <c r="B1368" i="58"/>
  <c r="M1081" i="58"/>
  <c r="C1081" i="58"/>
  <c r="B1081" i="58"/>
  <c r="M1022" i="58"/>
  <c r="C1022" i="58"/>
  <c r="B1022" i="58"/>
  <c r="M1367" i="58"/>
  <c r="C1367" i="58"/>
  <c r="B1367" i="58"/>
  <c r="M1366" i="58"/>
  <c r="C1366" i="58"/>
  <c r="B1366" i="58"/>
  <c r="M1302" i="58"/>
  <c r="C1302" i="58"/>
  <c r="B1302" i="58"/>
  <c r="M1094" i="58"/>
  <c r="C1094" i="58"/>
  <c r="B1094" i="58"/>
  <c r="M1077" i="58"/>
  <c r="C1077" i="58"/>
  <c r="B1077" i="58"/>
  <c r="M981" i="58"/>
  <c r="C981" i="58"/>
  <c r="B981" i="58"/>
  <c r="M1407" i="58"/>
  <c r="C1407" i="58"/>
  <c r="B1407" i="58"/>
  <c r="M1342" i="58"/>
  <c r="C1342" i="58"/>
  <c r="B1342" i="58"/>
  <c r="M1334" i="58"/>
  <c r="C1334" i="58"/>
  <c r="B1334" i="58"/>
  <c r="M1333" i="58"/>
  <c r="C1333" i="58"/>
  <c r="B1333" i="58"/>
  <c r="M1332" i="58"/>
  <c r="C1332" i="58"/>
  <c r="B1332" i="58"/>
  <c r="M1331" i="58"/>
  <c r="C1331" i="58"/>
  <c r="B1331" i="58"/>
  <c r="M1317" i="58"/>
  <c r="C1317" i="58"/>
  <c r="B1317" i="58"/>
  <c r="M1316" i="58"/>
  <c r="C1316" i="58"/>
  <c r="B1316" i="58"/>
  <c r="M1297" i="58"/>
  <c r="C1297" i="58"/>
  <c r="B1297" i="58"/>
  <c r="M1118" i="58"/>
  <c r="C1118" i="58"/>
  <c r="B1118" i="58"/>
  <c r="M1116" i="58"/>
  <c r="C1116" i="58"/>
  <c r="B1116" i="58"/>
  <c r="M1115" i="58"/>
  <c r="C1115" i="58"/>
  <c r="B1115" i="58"/>
  <c r="M1114" i="58"/>
  <c r="C1114" i="58"/>
  <c r="B1114" i="58"/>
  <c r="M1113" i="58"/>
  <c r="C1113" i="58"/>
  <c r="B1113" i="58"/>
  <c r="M1112" i="58"/>
  <c r="C1112" i="58"/>
  <c r="B1112" i="58"/>
  <c r="M1111" i="58"/>
  <c r="C1111" i="58"/>
  <c r="B1111" i="58"/>
  <c r="M1110" i="58"/>
  <c r="C1110" i="58"/>
  <c r="B1110" i="58"/>
  <c r="M1109" i="58"/>
  <c r="C1109" i="58"/>
  <c r="B1109" i="58"/>
  <c r="M1108" i="58"/>
  <c r="C1108" i="58"/>
  <c r="B1108" i="58"/>
  <c r="M1093" i="58"/>
  <c r="C1093" i="58"/>
  <c r="B1093" i="58"/>
  <c r="M1092" i="58"/>
  <c r="C1092" i="58"/>
  <c r="B1092" i="58"/>
  <c r="M1091" i="58"/>
  <c r="C1091" i="58"/>
  <c r="B1091" i="58"/>
  <c r="M1090" i="58"/>
  <c r="C1090" i="58"/>
  <c r="B1090" i="58"/>
  <c r="M1089" i="58"/>
  <c r="C1089" i="58"/>
  <c r="B1089" i="58"/>
  <c r="M1072" i="58"/>
  <c r="C1072" i="58"/>
  <c r="B1072" i="58"/>
  <c r="M1071" i="58"/>
  <c r="C1071" i="58"/>
  <c r="B1071" i="58"/>
  <c r="M1070" i="58"/>
  <c r="C1070" i="58"/>
  <c r="B1070" i="58"/>
  <c r="M1069" i="58"/>
  <c r="C1069" i="58"/>
  <c r="B1069" i="58"/>
  <c r="M1059" i="58"/>
  <c r="C1059" i="58"/>
  <c r="B1059" i="58"/>
  <c r="M1028" i="58"/>
  <c r="C1028" i="58"/>
  <c r="B1028" i="58"/>
  <c r="M1017" i="58"/>
  <c r="C1017" i="58"/>
  <c r="B1017" i="58"/>
  <c r="M991" i="58"/>
  <c r="C991" i="58"/>
  <c r="B991" i="58"/>
  <c r="M983" i="58"/>
  <c r="C983" i="58"/>
  <c r="B983" i="58"/>
  <c r="M980" i="58"/>
  <c r="C980" i="58"/>
  <c r="B980" i="58"/>
  <c r="M979" i="58"/>
  <c r="C979" i="58"/>
  <c r="B979" i="58"/>
  <c r="M1376" i="58"/>
  <c r="C1376" i="58"/>
  <c r="B1376" i="58"/>
  <c r="M1068" i="58"/>
  <c r="C1068" i="58"/>
  <c r="B1068" i="58"/>
  <c r="M1365" i="58"/>
  <c r="C1365" i="58"/>
  <c r="B1365" i="58"/>
  <c r="M1375" i="58"/>
  <c r="C1375" i="58"/>
  <c r="B1375" i="58"/>
  <c r="M1364" i="58"/>
  <c r="C1364" i="58"/>
  <c r="B1364" i="58"/>
  <c r="M1100" i="58"/>
  <c r="C1100" i="58"/>
  <c r="B1100" i="58"/>
  <c r="M1401" i="58"/>
  <c r="C1401" i="58"/>
  <c r="B1401" i="58"/>
  <c r="M1389" i="58"/>
  <c r="C1389" i="58"/>
  <c r="B1389" i="58"/>
  <c r="M1337" i="58"/>
  <c r="C1337" i="58"/>
  <c r="B1337" i="58"/>
  <c r="M1292" i="58"/>
  <c r="C1292" i="58"/>
  <c r="B1292" i="58"/>
  <c r="M1156" i="58"/>
  <c r="C1156" i="58"/>
  <c r="B1156" i="58"/>
  <c r="M1124" i="58"/>
  <c r="C1124" i="58"/>
  <c r="B1124" i="58"/>
  <c r="M1305" i="58"/>
  <c r="C1305" i="58"/>
  <c r="B1305" i="58"/>
  <c r="M1304" i="58"/>
  <c r="C1304" i="58"/>
  <c r="B1304" i="58"/>
  <c r="M982" i="58"/>
  <c r="C982" i="58"/>
  <c r="B982" i="58"/>
  <c r="M1400" i="58"/>
  <c r="C1400" i="58"/>
  <c r="B1400" i="58"/>
  <c r="M1399" i="58"/>
  <c r="C1399" i="58"/>
  <c r="B1399" i="58"/>
  <c r="M1398" i="58"/>
  <c r="C1398" i="58"/>
  <c r="B1398" i="58"/>
  <c r="M1152" i="58"/>
  <c r="C1152" i="58"/>
  <c r="B1152" i="58"/>
  <c r="M1032" i="58"/>
  <c r="C1032" i="58"/>
  <c r="B1032" i="58"/>
  <c r="M994" i="58"/>
  <c r="C994" i="58"/>
  <c r="B994" i="58"/>
  <c r="M1372" i="58"/>
  <c r="C1372" i="58"/>
  <c r="B1372" i="58"/>
  <c r="M1272" i="58"/>
  <c r="C1272" i="58"/>
  <c r="B1272" i="58"/>
  <c r="M1327" i="58"/>
  <c r="C1327" i="58"/>
  <c r="B1327" i="58"/>
  <c r="M1187" i="58"/>
  <c r="C1187" i="58"/>
  <c r="B1187" i="58"/>
  <c r="M1142" i="58"/>
  <c r="C1142" i="58"/>
  <c r="B1142" i="58"/>
  <c r="M988" i="58"/>
  <c r="C988" i="58"/>
  <c r="B988" i="58"/>
  <c r="M825" i="58"/>
  <c r="C825" i="58"/>
  <c r="B825" i="58"/>
  <c r="M845" i="58"/>
  <c r="C845" i="58"/>
  <c r="B845" i="58"/>
  <c r="M1313" i="58"/>
  <c r="C1313" i="58"/>
  <c r="B1313" i="58"/>
  <c r="M1322" i="58"/>
  <c r="C1322" i="58"/>
  <c r="B1322" i="58"/>
  <c r="M1341" i="58"/>
  <c r="C1341" i="58"/>
  <c r="B1341" i="58"/>
  <c r="M1340" i="58"/>
  <c r="C1340" i="58"/>
  <c r="B1340" i="58"/>
  <c r="M1315" i="58"/>
  <c r="C1315" i="58"/>
  <c r="B1315" i="58"/>
  <c r="M1314" i="58"/>
  <c r="C1314" i="58"/>
  <c r="B1314" i="58"/>
  <c r="M1290" i="58"/>
  <c r="C1290" i="58"/>
  <c r="B1290" i="58"/>
  <c r="M1289" i="58"/>
  <c r="C1289" i="58"/>
  <c r="B1289" i="58"/>
  <c r="M1303" i="58"/>
  <c r="C1303" i="58"/>
  <c r="B1303" i="58"/>
  <c r="M953" i="58"/>
  <c r="C953" i="58"/>
  <c r="B953" i="58"/>
  <c r="M1271" i="58"/>
  <c r="C1271" i="58"/>
  <c r="B1271" i="58"/>
  <c r="M1158" i="58"/>
  <c r="C1158" i="58"/>
  <c r="B1158" i="58"/>
  <c r="M1321" i="58"/>
  <c r="C1321" i="58"/>
  <c r="B1321" i="58"/>
  <c r="M1330" i="58"/>
  <c r="C1330" i="58"/>
  <c r="B1330" i="58"/>
  <c r="M1329" i="58"/>
  <c r="C1329" i="58"/>
  <c r="B1329" i="58"/>
  <c r="M1165" i="58"/>
  <c r="C1165" i="58"/>
  <c r="B1165" i="58"/>
  <c r="M1326" i="58"/>
  <c r="C1326" i="58"/>
  <c r="B1326" i="58"/>
  <c r="M1002" i="58"/>
  <c r="C1002" i="58"/>
  <c r="B1002" i="58"/>
  <c r="M1394" i="58"/>
  <c r="C1394" i="58"/>
  <c r="B1394" i="58"/>
  <c r="M1120" i="58"/>
  <c r="C1120" i="58"/>
  <c r="B1120" i="58"/>
  <c r="M836" i="58"/>
  <c r="C836" i="58"/>
  <c r="B836" i="58"/>
  <c r="M949" i="58"/>
  <c r="C949" i="58"/>
  <c r="B949" i="58"/>
  <c r="M817" i="58"/>
  <c r="C817" i="58"/>
  <c r="B817" i="58"/>
  <c r="M802" i="58"/>
  <c r="C802" i="58"/>
  <c r="B802" i="58"/>
  <c r="M1361" i="58"/>
  <c r="C1361" i="58"/>
  <c r="B1361" i="58"/>
  <c r="M1283" i="58"/>
  <c r="C1283" i="58"/>
  <c r="B1283" i="58"/>
  <c r="M1192" i="58"/>
  <c r="C1192" i="58"/>
  <c r="B1192" i="58"/>
  <c r="M1050" i="58"/>
  <c r="C1050" i="58"/>
  <c r="B1050" i="58"/>
  <c r="M958" i="58"/>
  <c r="C958" i="58"/>
  <c r="B958" i="58"/>
  <c r="M1387" i="58"/>
  <c r="C1387" i="58"/>
  <c r="B1387" i="58"/>
  <c r="M828" i="58"/>
  <c r="C828" i="58"/>
  <c r="B828" i="58"/>
  <c r="M1339" i="58"/>
  <c r="C1339" i="58"/>
  <c r="B1339" i="58"/>
  <c r="M1301" i="58"/>
  <c r="C1301" i="58"/>
  <c r="B1301" i="58"/>
  <c r="M998" i="58"/>
  <c r="C998" i="58"/>
  <c r="B998" i="58"/>
  <c r="K84" i="74" l="1"/>
  <c r="L63" i="74"/>
  <c r="K69" i="74"/>
  <c r="K90" i="74" s="1"/>
  <c r="AP93" i="42"/>
  <c r="P17" i="68"/>
  <c r="H17" i="70" s="1"/>
  <c r="U14" i="69"/>
  <c r="C29" i="68"/>
  <c r="C46" i="68" s="1"/>
  <c r="N23" i="70"/>
  <c r="S31" i="68"/>
  <c r="S33" i="68" s="1"/>
  <c r="I18" i="71"/>
  <c r="I24" i="71" s="1"/>
  <c r="P116" i="38"/>
  <c r="P120" i="38" s="1"/>
  <c r="H12" i="71"/>
  <c r="Q14" i="69"/>
  <c r="W14" i="69" s="1"/>
  <c r="R31" i="68"/>
  <c r="I33" i="68"/>
  <c r="I19" i="69" s="1"/>
  <c r="K19" i="70"/>
  <c r="F33" i="68"/>
  <c r="F19" i="69" s="1"/>
  <c r="Q31" i="68"/>
  <c r="J19" i="70"/>
  <c r="H18" i="71"/>
  <c r="I19" i="70"/>
  <c r="AP98" i="42"/>
  <c r="W23" i="68"/>
  <c r="K10" i="71"/>
  <c r="J25" i="70"/>
  <c r="J18" i="71"/>
  <c r="K25" i="70"/>
  <c r="K18" i="71"/>
  <c r="K24" i="71" s="1"/>
  <c r="I10" i="71"/>
  <c r="N6" i="71"/>
  <c r="J7" i="71"/>
  <c r="J9" i="71" s="1"/>
  <c r="U63" i="68"/>
  <c r="N5" i="71"/>
  <c r="H7" i="71"/>
  <c r="H10" i="71" s="1"/>
  <c r="AP235" i="42"/>
  <c r="AM216" i="42"/>
  <c r="U15" i="69"/>
  <c r="W15" i="69" s="1"/>
  <c r="S8" i="69"/>
  <c r="S50" i="69" s="1"/>
  <c r="U8" i="69"/>
  <c r="U50" i="69" s="1"/>
  <c r="T10" i="70"/>
  <c r="N13" i="70"/>
  <c r="T13" i="70" s="1"/>
  <c r="N50" i="69"/>
  <c r="W6" i="69"/>
  <c r="W15" i="68"/>
  <c r="L50" i="69"/>
  <c r="R8" i="69"/>
  <c r="W5" i="69"/>
  <c r="I50" i="69"/>
  <c r="H30" i="69"/>
  <c r="H44" i="68"/>
  <c r="Q43" i="68"/>
  <c r="W13" i="45"/>
  <c r="K37" i="67"/>
  <c r="I43" i="68"/>
  <c r="V15" i="45"/>
  <c r="K31" i="70"/>
  <c r="K33" i="70" s="1"/>
  <c r="S19" i="69"/>
  <c r="S20" i="69" s="1"/>
  <c r="L20" i="69"/>
  <c r="D21" i="68"/>
  <c r="D64" i="68"/>
  <c r="D65" i="68" s="1"/>
  <c r="D66" i="68" s="1"/>
  <c r="W25" i="68"/>
  <c r="D33" i="68"/>
  <c r="D19" i="69" s="1"/>
  <c r="U31" i="68"/>
  <c r="P31" i="68"/>
  <c r="AN114" i="38"/>
  <c r="AQ114" i="38" s="1"/>
  <c r="AQ113" i="38"/>
  <c r="W19" i="68"/>
  <c r="H19" i="70"/>
  <c r="U11" i="69"/>
  <c r="P11" i="69"/>
  <c r="C17" i="69"/>
  <c r="AH289" i="42"/>
  <c r="Q110" i="38"/>
  <c r="Q96" i="38"/>
  <c r="Q101" i="38" s="1"/>
  <c r="R227" i="42"/>
  <c r="R228" i="42" s="1"/>
  <c r="R66" i="38"/>
  <c r="AN106" i="38"/>
  <c r="AQ104" i="38"/>
  <c r="C12" i="69"/>
  <c r="C51" i="69"/>
  <c r="C52" i="69" s="1"/>
  <c r="C53" i="69" s="1"/>
  <c r="E10" i="69"/>
  <c r="E64" i="68"/>
  <c r="E65" i="68" s="1"/>
  <c r="E66" i="68" s="1"/>
  <c r="E21" i="68"/>
  <c r="D12" i="69"/>
  <c r="D51" i="69"/>
  <c r="D52" i="69" s="1"/>
  <c r="D53" i="69" s="1"/>
  <c r="F10" i="69"/>
  <c r="F21" i="68"/>
  <c r="F64" i="68"/>
  <c r="F65" i="68" s="1"/>
  <c r="F66" i="68" s="1"/>
  <c r="R17" i="67"/>
  <c r="I26" i="67"/>
  <c r="S37" i="67"/>
  <c r="S28" i="67"/>
  <c r="S53" i="67"/>
  <c r="S42" i="67"/>
  <c r="S30" i="67"/>
  <c r="S20" i="67"/>
  <c r="S43" i="67"/>
  <c r="S44" i="67"/>
  <c r="S32" i="67"/>
  <c r="S45" i="67"/>
  <c r="S33" i="67"/>
  <c r="S46" i="67"/>
  <c r="S34" i="67"/>
  <c r="S23" i="67"/>
  <c r="K2" i="67"/>
  <c r="S47" i="67"/>
  <c r="S35" i="67"/>
  <c r="S24" i="67"/>
  <c r="S36" i="67"/>
  <c r="S25" i="67"/>
  <c r="I38" i="67"/>
  <c r="R289" i="42"/>
  <c r="R292" i="42" s="1"/>
  <c r="S288" i="42"/>
  <c r="H18" i="67" s="1"/>
  <c r="P292" i="42"/>
  <c r="Q291" i="42"/>
  <c r="AI216" i="42"/>
  <c r="AI226" i="42" s="1"/>
  <c r="AI288" i="42" s="1"/>
  <c r="T226" i="42"/>
  <c r="S217" i="42"/>
  <c r="S224" i="42"/>
  <c r="S286" i="42" s="1"/>
  <c r="H17" i="67" s="1"/>
  <c r="T79" i="42"/>
  <c r="T78" i="42"/>
  <c r="T287" i="42" s="1"/>
  <c r="T77" i="42"/>
  <c r="T80" i="42"/>
  <c r="S81" i="42"/>
  <c r="K8" i="57"/>
  <c r="K13" i="57"/>
  <c r="K20" i="57"/>
  <c r="K25" i="57"/>
  <c r="K29" i="57"/>
  <c r="K30" i="57"/>
  <c r="K31" i="57"/>
  <c r="K34" i="57"/>
  <c r="K35" i="57"/>
  <c r="K36" i="57"/>
  <c r="L66" i="74" l="1"/>
  <c r="L80" i="74"/>
  <c r="E19" i="67"/>
  <c r="E21" i="67" s="1"/>
  <c r="E40" i="67" s="1"/>
  <c r="T23" i="70"/>
  <c r="P21" i="68"/>
  <c r="P64" i="68"/>
  <c r="P65" i="68" s="1"/>
  <c r="P66" i="68" s="1"/>
  <c r="N18" i="71"/>
  <c r="T288" i="42"/>
  <c r="I18" i="67" s="1"/>
  <c r="N19" i="70"/>
  <c r="N25" i="70"/>
  <c r="Q33" i="68"/>
  <c r="I31" i="70"/>
  <c r="I33" i="70" s="1"/>
  <c r="F20" i="69"/>
  <c r="Q19" i="69"/>
  <c r="Q20" i="69" s="1"/>
  <c r="I20" i="69"/>
  <c r="R19" i="69"/>
  <c r="R20" i="69" s="1"/>
  <c r="R33" i="68"/>
  <c r="J31" i="70"/>
  <c r="J33" i="70" s="1"/>
  <c r="K19" i="71"/>
  <c r="I12" i="35"/>
  <c r="I10" i="35"/>
  <c r="I11" i="35"/>
  <c r="I7" i="35"/>
  <c r="I6" i="35"/>
  <c r="I5" i="35"/>
  <c r="N7" i="71"/>
  <c r="N9" i="71" s="1"/>
  <c r="J24" i="71"/>
  <c r="J10" i="71"/>
  <c r="H24" i="71"/>
  <c r="H14" i="71"/>
  <c r="H15" i="71" s="1"/>
  <c r="H9" i="71"/>
  <c r="N15" i="70"/>
  <c r="N63" i="70" s="1"/>
  <c r="AM226" i="42"/>
  <c r="AM214" i="42"/>
  <c r="R50" i="69"/>
  <c r="W8" i="69"/>
  <c r="I30" i="69"/>
  <c r="I44" i="68"/>
  <c r="I43" i="70"/>
  <c r="Q44" i="68"/>
  <c r="H31" i="69"/>
  <c r="Q30" i="69"/>
  <c r="X13" i="45"/>
  <c r="L37" i="67"/>
  <c r="J43" i="68"/>
  <c r="W15" i="45"/>
  <c r="W11" i="69"/>
  <c r="C33" i="69"/>
  <c r="P33" i="68"/>
  <c r="H31" i="70"/>
  <c r="W31" i="68"/>
  <c r="U33" i="68"/>
  <c r="D20" i="69"/>
  <c r="P19" i="69"/>
  <c r="U19" i="69"/>
  <c r="U20" i="69" s="1"/>
  <c r="Q111" i="38"/>
  <c r="Q116" i="38" s="1"/>
  <c r="AH66" i="38"/>
  <c r="AH69" i="38" s="1"/>
  <c r="AH95" i="38" s="1"/>
  <c r="AH96" i="38" s="1"/>
  <c r="AH101" i="38" s="1"/>
  <c r="R69" i="38"/>
  <c r="R95" i="38" s="1"/>
  <c r="AH292" i="42"/>
  <c r="S227" i="42"/>
  <c r="S228" i="42" s="1"/>
  <c r="S66" i="38"/>
  <c r="S69" i="38" s="1"/>
  <c r="S95" i="38" s="1"/>
  <c r="D27" i="68"/>
  <c r="AH291" i="42"/>
  <c r="E12" i="69"/>
  <c r="E51" i="69"/>
  <c r="E52" i="69" s="1"/>
  <c r="E53" i="69" s="1"/>
  <c r="H64" i="70"/>
  <c r="H65" i="70" s="1"/>
  <c r="H66" i="70" s="1"/>
  <c r="H21" i="70"/>
  <c r="F51" i="69"/>
  <c r="F52" i="69" s="1"/>
  <c r="F53" i="69" s="1"/>
  <c r="F12" i="69"/>
  <c r="P10" i="69"/>
  <c r="T81" i="42"/>
  <c r="G17" i="68"/>
  <c r="AQ106" i="38"/>
  <c r="S31" i="67"/>
  <c r="S26" i="67"/>
  <c r="S29" i="67"/>
  <c r="S38" i="67" s="1"/>
  <c r="J38" i="67"/>
  <c r="L2" i="67"/>
  <c r="J26" i="67"/>
  <c r="K27" i="57"/>
  <c r="S289" i="42"/>
  <c r="S291" i="42" s="1"/>
  <c r="R291" i="42"/>
  <c r="T217" i="42"/>
  <c r="T224" i="42"/>
  <c r="T286" i="42" s="1"/>
  <c r="U226" i="42"/>
  <c r="U78" i="42"/>
  <c r="U287" i="42" s="1"/>
  <c r="U77" i="42"/>
  <c r="U80" i="42"/>
  <c r="H17" i="68" s="1"/>
  <c r="U79" i="42"/>
  <c r="K37" i="57"/>
  <c r="K49" i="57" s="1"/>
  <c r="K12" i="61"/>
  <c r="K11" i="61"/>
  <c r="K15" i="57"/>
  <c r="K10" i="61"/>
  <c r="K32" i="57"/>
  <c r="K7" i="61"/>
  <c r="K6" i="61"/>
  <c r="K5" i="61"/>
  <c r="M661" i="58"/>
  <c r="M762" i="58"/>
  <c r="M789" i="58"/>
  <c r="M788" i="58"/>
  <c r="M787" i="58"/>
  <c r="M795" i="58"/>
  <c r="M794" i="58"/>
  <c r="M793" i="58"/>
  <c r="M792" i="58"/>
  <c r="M801" i="58"/>
  <c r="C661" i="58"/>
  <c r="B661" i="58"/>
  <c r="C762" i="58"/>
  <c r="B762" i="58"/>
  <c r="C789" i="58"/>
  <c r="B789" i="58"/>
  <c r="C788" i="58"/>
  <c r="B788" i="58"/>
  <c r="C787" i="58"/>
  <c r="B787" i="58"/>
  <c r="C795" i="58"/>
  <c r="B795" i="58"/>
  <c r="C794" i="58"/>
  <c r="B794" i="58"/>
  <c r="C793" i="58"/>
  <c r="B793" i="58"/>
  <c r="C792" i="58"/>
  <c r="B792" i="58"/>
  <c r="C801" i="58"/>
  <c r="B801" i="58"/>
  <c r="M1413" i="58"/>
  <c r="M1412" i="58"/>
  <c r="M1411" i="58"/>
  <c r="M1410" i="58"/>
  <c r="M1409" i="58"/>
  <c r="M1408" i="58"/>
  <c r="M1406" i="58"/>
  <c r="M1405" i="58"/>
  <c r="M1404" i="58"/>
  <c r="M1403" i="58"/>
  <c r="M1402" i="58"/>
  <c r="M1397" i="58"/>
  <c r="M1396" i="58"/>
  <c r="M1395" i="58"/>
  <c r="M1393" i="58"/>
  <c r="M1392" i="58"/>
  <c r="M1391" i="58"/>
  <c r="M1390" i="58"/>
  <c r="M1384" i="58"/>
  <c r="M1383" i="58"/>
  <c r="M1382" i="58"/>
  <c r="M1381" i="58"/>
  <c r="M1380" i="58"/>
  <c r="M1379" i="58"/>
  <c r="M1378" i="58"/>
  <c r="M1377" i="58"/>
  <c r="M1374" i="58"/>
  <c r="M1370" i="58"/>
  <c r="M1362" i="58"/>
  <c r="M1360" i="58"/>
  <c r="M1359" i="58"/>
  <c r="M1358" i="58"/>
  <c r="M1356" i="58"/>
  <c r="M1355" i="58"/>
  <c r="M1353" i="58"/>
  <c r="M1349" i="58"/>
  <c r="M1348" i="58"/>
  <c r="M1347" i="58"/>
  <c r="M1346" i="58"/>
  <c r="M1345" i="58"/>
  <c r="M1343" i="58"/>
  <c r="M1336" i="58"/>
  <c r="M1335" i="58"/>
  <c r="M1328" i="58"/>
  <c r="M1320" i="58"/>
  <c r="M1319" i="58"/>
  <c r="M1318" i="58"/>
  <c r="M1311" i="58"/>
  <c r="M1308" i="58"/>
  <c r="M1306" i="58"/>
  <c r="M1299" i="58"/>
  <c r="M1300" i="58"/>
  <c r="M1295" i="58"/>
  <c r="M1294" i="58"/>
  <c r="M1293" i="58"/>
  <c r="M1285" i="58"/>
  <c r="M1284" i="58"/>
  <c r="M1282" i="58"/>
  <c r="M1281" i="58"/>
  <c r="M1279" i="58"/>
  <c r="M1278" i="58"/>
  <c r="M1276" i="58"/>
  <c r="M1275" i="58"/>
  <c r="M1274" i="58"/>
  <c r="M1273" i="58"/>
  <c r="M1270" i="58"/>
  <c r="M1269" i="58"/>
  <c r="M1268" i="58"/>
  <c r="M1267" i="58"/>
  <c r="M1266" i="58"/>
  <c r="M1265" i="58"/>
  <c r="M1264" i="58"/>
  <c r="M1263" i="58"/>
  <c r="M1262" i="58"/>
  <c r="M1261" i="58"/>
  <c r="M1260" i="58"/>
  <c r="M1259" i="58"/>
  <c r="M1258" i="58"/>
  <c r="M1257" i="58"/>
  <c r="M1256" i="58"/>
  <c r="M1255" i="58"/>
  <c r="M1254" i="58"/>
  <c r="M1253" i="58"/>
  <c r="M1252" i="58"/>
  <c r="M1251" i="58"/>
  <c r="M1250" i="58"/>
  <c r="M1249" i="58"/>
  <c r="M1248" i="58"/>
  <c r="M1247" i="58"/>
  <c r="M1246" i="58"/>
  <c r="M1244" i="58"/>
  <c r="M1243" i="58"/>
  <c r="M1242" i="58"/>
  <c r="M1241" i="58"/>
  <c r="M1240" i="58"/>
  <c r="M1239" i="58"/>
  <c r="M1238" i="58"/>
  <c r="M1237" i="58"/>
  <c r="M1236" i="58"/>
  <c r="M1235" i="58"/>
  <c r="M1234" i="58"/>
  <c r="M1233" i="58"/>
  <c r="M1232" i="58"/>
  <c r="M1231" i="58"/>
  <c r="M1230" i="58"/>
  <c r="M1229" i="58"/>
  <c r="M1228" i="58"/>
  <c r="M1227" i="58"/>
  <c r="M1226" i="58"/>
  <c r="M1225" i="58"/>
  <c r="M1224" i="58"/>
  <c r="M1223" i="58"/>
  <c r="M1222" i="58"/>
  <c r="M1221" i="58"/>
  <c r="M1220" i="58"/>
  <c r="M1219" i="58"/>
  <c r="M1218" i="58"/>
  <c r="M1217" i="58"/>
  <c r="M1216" i="58"/>
  <c r="M1215" i="58"/>
  <c r="M1214" i="58"/>
  <c r="M1213" i="58"/>
  <c r="M1212" i="58"/>
  <c r="M1211" i="58"/>
  <c r="M1210" i="58"/>
  <c r="M1209" i="58"/>
  <c r="M1208" i="58"/>
  <c r="M1207" i="58"/>
  <c r="M1206" i="58"/>
  <c r="M1205" i="58"/>
  <c r="M1204" i="58"/>
  <c r="M1203" i="58"/>
  <c r="M1202" i="58"/>
  <c r="M1201" i="58"/>
  <c r="M1200" i="58"/>
  <c r="M1199" i="58"/>
  <c r="M1198" i="58"/>
  <c r="M1197" i="58"/>
  <c r="M1196" i="58"/>
  <c r="M1195" i="58"/>
  <c r="M1194" i="58"/>
  <c r="M1193" i="58"/>
  <c r="M1191" i="58"/>
  <c r="M1190" i="58"/>
  <c r="M1182" i="58"/>
  <c r="M1180" i="58"/>
  <c r="M1178" i="58"/>
  <c r="M1177" i="58"/>
  <c r="M1176" i="58"/>
  <c r="M1175" i="58"/>
  <c r="M1174" i="58"/>
  <c r="M1173" i="58"/>
  <c r="M1172" i="58"/>
  <c r="M1171" i="58"/>
  <c r="M1170" i="58"/>
  <c r="M1168" i="58"/>
  <c r="M1167" i="58"/>
  <c r="M1161" i="58"/>
  <c r="M1160" i="58"/>
  <c r="M1155" i="58"/>
  <c r="M1154" i="58"/>
  <c r="M1151" i="58"/>
  <c r="M1149" i="58"/>
  <c r="M1148" i="58"/>
  <c r="M1147" i="58"/>
  <c r="M1146" i="58"/>
  <c r="M1145" i="58"/>
  <c r="M1141" i="58"/>
  <c r="M1140" i="58"/>
  <c r="M1139" i="58"/>
  <c r="M1138" i="58"/>
  <c r="M1130" i="58"/>
  <c r="M1129" i="58"/>
  <c r="C1413" i="58"/>
  <c r="B1413" i="58"/>
  <c r="C1412" i="58"/>
  <c r="B1412" i="58"/>
  <c r="C1411" i="58"/>
  <c r="B1411" i="58"/>
  <c r="C1410" i="58"/>
  <c r="B1410" i="58"/>
  <c r="C1409" i="58"/>
  <c r="B1409" i="58"/>
  <c r="C1408" i="58"/>
  <c r="B1408" i="58"/>
  <c r="C1406" i="58"/>
  <c r="B1406" i="58"/>
  <c r="C1405" i="58"/>
  <c r="B1405" i="58"/>
  <c r="C1404" i="58"/>
  <c r="B1404" i="58"/>
  <c r="C1403" i="58"/>
  <c r="B1403" i="58"/>
  <c r="C1402" i="58"/>
  <c r="B1402" i="58"/>
  <c r="C1397" i="58"/>
  <c r="B1397" i="58"/>
  <c r="C1396" i="58"/>
  <c r="B1396" i="58"/>
  <c r="C1395" i="58"/>
  <c r="B1395" i="58"/>
  <c r="C1393" i="58"/>
  <c r="B1393" i="58"/>
  <c r="C1392" i="58"/>
  <c r="B1392" i="58"/>
  <c r="C1391" i="58"/>
  <c r="B1391" i="58"/>
  <c r="C1390" i="58"/>
  <c r="B1390" i="58"/>
  <c r="C1384" i="58"/>
  <c r="B1384" i="58"/>
  <c r="C1383" i="58"/>
  <c r="B1383" i="58"/>
  <c r="C1382" i="58"/>
  <c r="B1382" i="58"/>
  <c r="C1381" i="58"/>
  <c r="B1381" i="58"/>
  <c r="C1380" i="58"/>
  <c r="B1380" i="58"/>
  <c r="C1379" i="58"/>
  <c r="B1379" i="58"/>
  <c r="C1378" i="58"/>
  <c r="B1378" i="58"/>
  <c r="C1377" i="58"/>
  <c r="B1377" i="58"/>
  <c r="C1374" i="58"/>
  <c r="B1374" i="58"/>
  <c r="C1370" i="58"/>
  <c r="B1370" i="58"/>
  <c r="C1362" i="58"/>
  <c r="B1362" i="58"/>
  <c r="C1360" i="58"/>
  <c r="B1360" i="58"/>
  <c r="C1359" i="58"/>
  <c r="B1359" i="58"/>
  <c r="C1358" i="58"/>
  <c r="B1358" i="58"/>
  <c r="C1356" i="58"/>
  <c r="B1356" i="58"/>
  <c r="C1355" i="58"/>
  <c r="B1355" i="58"/>
  <c r="C1353" i="58"/>
  <c r="B1353" i="58"/>
  <c r="C1349" i="58"/>
  <c r="B1349" i="58"/>
  <c r="C1348" i="58"/>
  <c r="B1348" i="58"/>
  <c r="C1347" i="58"/>
  <c r="B1347" i="58"/>
  <c r="C1346" i="58"/>
  <c r="B1346" i="58"/>
  <c r="C1345" i="58"/>
  <c r="B1345" i="58"/>
  <c r="C1343" i="58"/>
  <c r="B1343" i="58"/>
  <c r="C1336" i="58"/>
  <c r="B1336" i="58"/>
  <c r="C1335" i="58"/>
  <c r="B1335" i="58"/>
  <c r="C1328" i="58"/>
  <c r="B1328" i="58"/>
  <c r="C1320" i="58"/>
  <c r="B1320" i="58"/>
  <c r="C1319" i="58"/>
  <c r="B1319" i="58"/>
  <c r="C1318" i="58"/>
  <c r="B1318" i="58"/>
  <c r="C1311" i="58"/>
  <c r="B1311" i="58"/>
  <c r="C1308" i="58"/>
  <c r="B1308" i="58"/>
  <c r="C1306" i="58"/>
  <c r="B1306" i="58"/>
  <c r="C1299" i="58"/>
  <c r="B1299" i="58"/>
  <c r="C1300" i="58"/>
  <c r="B1300" i="58"/>
  <c r="C1295" i="58"/>
  <c r="B1295" i="58"/>
  <c r="C1294" i="58"/>
  <c r="B1294" i="58"/>
  <c r="C1293" i="58"/>
  <c r="B1293" i="58"/>
  <c r="C1285" i="58"/>
  <c r="B1285" i="58"/>
  <c r="C1284" i="58"/>
  <c r="B1284" i="58"/>
  <c r="C1282" i="58"/>
  <c r="B1282" i="58"/>
  <c r="C1281" i="58"/>
  <c r="B1281" i="58"/>
  <c r="C1279" i="58"/>
  <c r="B1279" i="58"/>
  <c r="C1278" i="58"/>
  <c r="B1278" i="58"/>
  <c r="C1276" i="58"/>
  <c r="B1276" i="58"/>
  <c r="C1275" i="58"/>
  <c r="B1275" i="58"/>
  <c r="C1274" i="58"/>
  <c r="B1274" i="58"/>
  <c r="C1273" i="58"/>
  <c r="B1273" i="58"/>
  <c r="C1270" i="58"/>
  <c r="B1270" i="58"/>
  <c r="C1269" i="58"/>
  <c r="B1269" i="58"/>
  <c r="C1268" i="58"/>
  <c r="B1268" i="58"/>
  <c r="C1267" i="58"/>
  <c r="B1267" i="58"/>
  <c r="C1266" i="58"/>
  <c r="B1266" i="58"/>
  <c r="C1265" i="58"/>
  <c r="B1265" i="58"/>
  <c r="C1264" i="58"/>
  <c r="B1264" i="58"/>
  <c r="C1263" i="58"/>
  <c r="B1263" i="58"/>
  <c r="C1262" i="58"/>
  <c r="B1262" i="58"/>
  <c r="C1261" i="58"/>
  <c r="B1261" i="58"/>
  <c r="C1260" i="58"/>
  <c r="B1260" i="58"/>
  <c r="C1259" i="58"/>
  <c r="B1259" i="58"/>
  <c r="C1258" i="58"/>
  <c r="B1258" i="58"/>
  <c r="C1257" i="58"/>
  <c r="B1257" i="58"/>
  <c r="C1256" i="58"/>
  <c r="B1256" i="58"/>
  <c r="C1255" i="58"/>
  <c r="B1255" i="58"/>
  <c r="C1254" i="58"/>
  <c r="B1254" i="58"/>
  <c r="C1253" i="58"/>
  <c r="B1253" i="58"/>
  <c r="C1252" i="58"/>
  <c r="B1252" i="58"/>
  <c r="C1251" i="58"/>
  <c r="B1251" i="58"/>
  <c r="C1250" i="58"/>
  <c r="B1250" i="58"/>
  <c r="C1249" i="58"/>
  <c r="B1249" i="58"/>
  <c r="C1248" i="58"/>
  <c r="B1248" i="58"/>
  <c r="C1247" i="58"/>
  <c r="B1247" i="58"/>
  <c r="C1246" i="58"/>
  <c r="B1246" i="58"/>
  <c r="C1244" i="58"/>
  <c r="B1244" i="58"/>
  <c r="C1243" i="58"/>
  <c r="B1243" i="58"/>
  <c r="C1242" i="58"/>
  <c r="B1242" i="58"/>
  <c r="C1241" i="58"/>
  <c r="B1241" i="58"/>
  <c r="C1240" i="58"/>
  <c r="B1240" i="58"/>
  <c r="C1239" i="58"/>
  <c r="B1239" i="58"/>
  <c r="C1238" i="58"/>
  <c r="B1238" i="58"/>
  <c r="C1237" i="58"/>
  <c r="B1237" i="58"/>
  <c r="C1236" i="58"/>
  <c r="B1236" i="58"/>
  <c r="C1235" i="58"/>
  <c r="B1235" i="58"/>
  <c r="C1234" i="58"/>
  <c r="B1234" i="58"/>
  <c r="C1233" i="58"/>
  <c r="B1233" i="58"/>
  <c r="C1232" i="58"/>
  <c r="B1232" i="58"/>
  <c r="C1231" i="58"/>
  <c r="B1231" i="58"/>
  <c r="C1230" i="58"/>
  <c r="B1230" i="58"/>
  <c r="C1229" i="58"/>
  <c r="B1229" i="58"/>
  <c r="C1228" i="58"/>
  <c r="B1228" i="58"/>
  <c r="C1227" i="58"/>
  <c r="B1227" i="58"/>
  <c r="C1226" i="58"/>
  <c r="B1226" i="58"/>
  <c r="C1225" i="58"/>
  <c r="B1225" i="58"/>
  <c r="C1224" i="58"/>
  <c r="B1224" i="58"/>
  <c r="C1223" i="58"/>
  <c r="B1223" i="58"/>
  <c r="C1222" i="58"/>
  <c r="B1222" i="58"/>
  <c r="C1221" i="58"/>
  <c r="B1221" i="58"/>
  <c r="C1220" i="58"/>
  <c r="B1220" i="58"/>
  <c r="C1219" i="58"/>
  <c r="B1219" i="58"/>
  <c r="C1218" i="58"/>
  <c r="B1218" i="58"/>
  <c r="C1217" i="58"/>
  <c r="B1217" i="58"/>
  <c r="C1216" i="58"/>
  <c r="B1216" i="58"/>
  <c r="C1215" i="58"/>
  <c r="B1215" i="58"/>
  <c r="C1214" i="58"/>
  <c r="B1214" i="58"/>
  <c r="C1213" i="58"/>
  <c r="B1213" i="58"/>
  <c r="C1212" i="58"/>
  <c r="B1212" i="58"/>
  <c r="C1211" i="58"/>
  <c r="B1211" i="58"/>
  <c r="C1210" i="58"/>
  <c r="B1210" i="58"/>
  <c r="C1209" i="58"/>
  <c r="B1209" i="58"/>
  <c r="C1208" i="58"/>
  <c r="B1208" i="58"/>
  <c r="C1207" i="58"/>
  <c r="B1207" i="58"/>
  <c r="C1206" i="58"/>
  <c r="B1206" i="58"/>
  <c r="C1205" i="58"/>
  <c r="B1205" i="58"/>
  <c r="C1204" i="58"/>
  <c r="B1204" i="58"/>
  <c r="C1203" i="58"/>
  <c r="B1203" i="58"/>
  <c r="C1202" i="58"/>
  <c r="B1202" i="58"/>
  <c r="C1201" i="58"/>
  <c r="B1201" i="58"/>
  <c r="C1200" i="58"/>
  <c r="B1200" i="58"/>
  <c r="C1199" i="58"/>
  <c r="B1199" i="58"/>
  <c r="C1198" i="58"/>
  <c r="B1198" i="58"/>
  <c r="C1197" i="58"/>
  <c r="B1197" i="58"/>
  <c r="C1196" i="58"/>
  <c r="B1196" i="58"/>
  <c r="C1195" i="58"/>
  <c r="B1195" i="58"/>
  <c r="C1194" i="58"/>
  <c r="B1194" i="58"/>
  <c r="C1193" i="58"/>
  <c r="B1193" i="58"/>
  <c r="C1191" i="58"/>
  <c r="B1191" i="58"/>
  <c r="C1190" i="58"/>
  <c r="B1190" i="58"/>
  <c r="C1182" i="58"/>
  <c r="B1182" i="58"/>
  <c r="C1180" i="58"/>
  <c r="B1180" i="58"/>
  <c r="C1178" i="58"/>
  <c r="B1178" i="58"/>
  <c r="C1177" i="58"/>
  <c r="B1177" i="58"/>
  <c r="C1176" i="58"/>
  <c r="B1176" i="58"/>
  <c r="C1175" i="58"/>
  <c r="B1175" i="58"/>
  <c r="C1174" i="58"/>
  <c r="B1174" i="58"/>
  <c r="C1173" i="58"/>
  <c r="B1173" i="58"/>
  <c r="C1172" i="58"/>
  <c r="B1172" i="58"/>
  <c r="C1171" i="58"/>
  <c r="B1171" i="58"/>
  <c r="C1170" i="58"/>
  <c r="B1170" i="58"/>
  <c r="C1168" i="58"/>
  <c r="B1168" i="58"/>
  <c r="C1167" i="58"/>
  <c r="B1167" i="58"/>
  <c r="C1161" i="58"/>
  <c r="B1161" i="58"/>
  <c r="C1160" i="58"/>
  <c r="B1160" i="58"/>
  <c r="C1155" i="58"/>
  <c r="B1155" i="58"/>
  <c r="C1154" i="58"/>
  <c r="B1154" i="58"/>
  <c r="C1151" i="58"/>
  <c r="B1151" i="58"/>
  <c r="C1149" i="58"/>
  <c r="B1149" i="58"/>
  <c r="C1148" i="58"/>
  <c r="B1148" i="58"/>
  <c r="C1147" i="58"/>
  <c r="B1147" i="58"/>
  <c r="C1146" i="58"/>
  <c r="B1146" i="58"/>
  <c r="C1145" i="58"/>
  <c r="B1145" i="58"/>
  <c r="C1141" i="58"/>
  <c r="B1141" i="58"/>
  <c r="C1140" i="58"/>
  <c r="B1140" i="58"/>
  <c r="C1139" i="58"/>
  <c r="B1139" i="58"/>
  <c r="C1138" i="58"/>
  <c r="B1138" i="58"/>
  <c r="C1130" i="58"/>
  <c r="B1130" i="58"/>
  <c r="C1129" i="58"/>
  <c r="B1129" i="58"/>
  <c r="B14" i="66"/>
  <c r="E14" i="66" s="1"/>
  <c r="C17" i="66"/>
  <c r="B17" i="66"/>
  <c r="N53" i="35"/>
  <c r="M53" i="35"/>
  <c r="L53" i="35"/>
  <c r="J53" i="35"/>
  <c r="N52" i="35"/>
  <c r="M52" i="35"/>
  <c r="L52" i="35"/>
  <c r="J52" i="35"/>
  <c r="N51" i="35"/>
  <c r="M51" i="35"/>
  <c r="L51" i="35"/>
  <c r="J51" i="35"/>
  <c r="N50" i="35"/>
  <c r="M50" i="35"/>
  <c r="L50" i="35"/>
  <c r="J50" i="35"/>
  <c r="N49" i="35"/>
  <c r="M49" i="35"/>
  <c r="L49" i="35"/>
  <c r="J49" i="35"/>
  <c r="N48" i="35"/>
  <c r="M48" i="35"/>
  <c r="L48" i="35"/>
  <c r="J48" i="35"/>
  <c r="I129" i="43"/>
  <c r="I32" i="35" s="1"/>
  <c r="D26" i="45"/>
  <c r="P36" i="57"/>
  <c r="O36" i="57"/>
  <c r="O12" i="61" s="1"/>
  <c r="N36" i="57"/>
  <c r="M36" i="57"/>
  <c r="L36" i="57"/>
  <c r="J36" i="57"/>
  <c r="I36" i="57"/>
  <c r="H36" i="57"/>
  <c r="G36" i="57"/>
  <c r="F36" i="57"/>
  <c r="E36" i="57"/>
  <c r="P35" i="57"/>
  <c r="O35" i="57"/>
  <c r="O11" i="61" s="1"/>
  <c r="N35" i="57"/>
  <c r="M35" i="57"/>
  <c r="L35" i="57"/>
  <c r="J35" i="57"/>
  <c r="I35" i="57"/>
  <c r="H35" i="57"/>
  <c r="G35" i="57"/>
  <c r="F35" i="57"/>
  <c r="E35" i="57"/>
  <c r="P34" i="57"/>
  <c r="O34" i="57"/>
  <c r="O10" i="61" s="1"/>
  <c r="N34" i="57"/>
  <c r="M34" i="57"/>
  <c r="L34" i="57"/>
  <c r="J34" i="57"/>
  <c r="I34" i="57"/>
  <c r="H34" i="57"/>
  <c r="G34" i="57"/>
  <c r="F34" i="57"/>
  <c r="E34" i="57"/>
  <c r="P31" i="57"/>
  <c r="O31" i="57"/>
  <c r="O7" i="61" s="1"/>
  <c r="N31" i="57"/>
  <c r="M31" i="57"/>
  <c r="L31" i="57"/>
  <c r="J31" i="57"/>
  <c r="I31" i="57"/>
  <c r="H31" i="57"/>
  <c r="G31" i="57"/>
  <c r="F31" i="57"/>
  <c r="E31" i="57"/>
  <c r="P30" i="57"/>
  <c r="O30" i="57"/>
  <c r="O6" i="61" s="1"/>
  <c r="N30" i="57"/>
  <c r="M30" i="57"/>
  <c r="L30" i="57"/>
  <c r="J30" i="57"/>
  <c r="I30" i="57"/>
  <c r="H30" i="57"/>
  <c r="G30" i="57"/>
  <c r="F30" i="57"/>
  <c r="E30" i="57"/>
  <c r="P29" i="57"/>
  <c r="O29" i="57"/>
  <c r="O5" i="61" s="1"/>
  <c r="N29" i="57"/>
  <c r="M29" i="57"/>
  <c r="L29" i="57"/>
  <c r="J29" i="57"/>
  <c r="I29" i="57"/>
  <c r="H29" i="57"/>
  <c r="G29" i="57"/>
  <c r="F29" i="57"/>
  <c r="E29" i="57"/>
  <c r="P25" i="57"/>
  <c r="O25" i="57"/>
  <c r="N25" i="57"/>
  <c r="M25" i="57"/>
  <c r="L25" i="57"/>
  <c r="J25" i="57"/>
  <c r="I25" i="57"/>
  <c r="H25" i="57"/>
  <c r="G25" i="57"/>
  <c r="F25" i="57"/>
  <c r="E25" i="57"/>
  <c r="P20" i="57"/>
  <c r="O20" i="57"/>
  <c r="N20" i="57"/>
  <c r="M20" i="57"/>
  <c r="L20" i="57"/>
  <c r="J20" i="57"/>
  <c r="I20" i="57"/>
  <c r="H20" i="57"/>
  <c r="G20" i="57"/>
  <c r="F20" i="57"/>
  <c r="E20" i="57"/>
  <c r="P13" i="57"/>
  <c r="O13" i="57"/>
  <c r="N13" i="57"/>
  <c r="M13" i="57"/>
  <c r="L13" i="57"/>
  <c r="J13" i="57"/>
  <c r="I13" i="57"/>
  <c r="H13" i="57"/>
  <c r="G13" i="57"/>
  <c r="F13" i="57"/>
  <c r="E13" i="57"/>
  <c r="P8" i="57"/>
  <c r="O8" i="57"/>
  <c r="N8" i="57"/>
  <c r="M8" i="57"/>
  <c r="L8" i="57"/>
  <c r="J8" i="57"/>
  <c r="I8" i="57"/>
  <c r="H8" i="57"/>
  <c r="G8" i="57"/>
  <c r="F8" i="57"/>
  <c r="E8" i="57"/>
  <c r="L84" i="74" l="1"/>
  <c r="M63" i="74"/>
  <c r="L69" i="74"/>
  <c r="L90" i="74" s="1"/>
  <c r="T25" i="70"/>
  <c r="T19" i="70"/>
  <c r="H19" i="71"/>
  <c r="J19" i="71"/>
  <c r="W33" i="68"/>
  <c r="I19" i="71"/>
  <c r="U288" i="42"/>
  <c r="J18" i="67" s="1"/>
  <c r="S18" i="67" s="1"/>
  <c r="N10" i="71"/>
  <c r="C11" i="35"/>
  <c r="G11" i="35"/>
  <c r="E11" i="35"/>
  <c r="J11" i="61"/>
  <c r="P12" i="61"/>
  <c r="P10" i="61"/>
  <c r="J12" i="61"/>
  <c r="F10" i="61"/>
  <c r="N11" i="35"/>
  <c r="K48" i="57"/>
  <c r="F11" i="61"/>
  <c r="F12" i="61"/>
  <c r="K47" i="57"/>
  <c r="I10" i="61"/>
  <c r="E12" i="35"/>
  <c r="J10" i="61"/>
  <c r="G10" i="61"/>
  <c r="L10" i="61"/>
  <c r="I12" i="61"/>
  <c r="L6" i="61"/>
  <c r="F5" i="61"/>
  <c r="F7" i="61"/>
  <c r="I5" i="61"/>
  <c r="E5" i="35"/>
  <c r="E7" i="35"/>
  <c r="K39" i="57"/>
  <c r="K52" i="57" s="1"/>
  <c r="I7" i="61"/>
  <c r="J5" i="61"/>
  <c r="P6" i="61"/>
  <c r="K42" i="57"/>
  <c r="F6" i="61"/>
  <c r="G6" i="61"/>
  <c r="K43" i="57"/>
  <c r="N5" i="35"/>
  <c r="P7" i="61"/>
  <c r="I6" i="61"/>
  <c r="K44" i="57"/>
  <c r="H7" i="35"/>
  <c r="J6" i="61"/>
  <c r="T15" i="70"/>
  <c r="N24" i="71"/>
  <c r="AM217" i="42"/>
  <c r="AM224" i="42"/>
  <c r="K10" i="35"/>
  <c r="M10" i="61"/>
  <c r="K12" i="35"/>
  <c r="M12" i="61"/>
  <c r="K11" i="35"/>
  <c r="M11" i="61"/>
  <c r="M12" i="35"/>
  <c r="K6" i="35"/>
  <c r="M6" i="61"/>
  <c r="K5" i="35"/>
  <c r="M5" i="61"/>
  <c r="K7" i="35"/>
  <c r="M7" i="61"/>
  <c r="H11" i="61"/>
  <c r="AF35" i="57"/>
  <c r="H12" i="61"/>
  <c r="AF36" i="57"/>
  <c r="E12" i="61"/>
  <c r="AE36" i="57"/>
  <c r="C10" i="35"/>
  <c r="AE34" i="57"/>
  <c r="H10" i="61"/>
  <c r="AF34" i="57"/>
  <c r="E11" i="61"/>
  <c r="AE35" i="57"/>
  <c r="C6" i="35"/>
  <c r="AE30" i="57"/>
  <c r="F7" i="35"/>
  <c r="AF31" i="57"/>
  <c r="E7" i="61"/>
  <c r="AE31" i="57"/>
  <c r="E5" i="61"/>
  <c r="AE29" i="57"/>
  <c r="H5" i="61"/>
  <c r="AF29" i="57"/>
  <c r="F6" i="35"/>
  <c r="AF30" i="57"/>
  <c r="AO35" i="57"/>
  <c r="AG35" i="57"/>
  <c r="L11" i="35"/>
  <c r="AH35" i="57"/>
  <c r="AG34" i="57"/>
  <c r="AO34" i="57"/>
  <c r="L10" i="35"/>
  <c r="AH34" i="57"/>
  <c r="AO36" i="57"/>
  <c r="AG36" i="57"/>
  <c r="L12" i="35"/>
  <c r="AH36" i="57"/>
  <c r="L7" i="35"/>
  <c r="AH31" i="57"/>
  <c r="AO30" i="57"/>
  <c r="AG30" i="57"/>
  <c r="N6" i="61"/>
  <c r="AH30" i="57"/>
  <c r="AO29" i="57"/>
  <c r="AG29" i="57"/>
  <c r="N5" i="61"/>
  <c r="AH29" i="57"/>
  <c r="AG31" i="57"/>
  <c r="AO31" i="57"/>
  <c r="J30" i="69"/>
  <c r="J44" i="68"/>
  <c r="Y13" i="45"/>
  <c r="M37" i="67"/>
  <c r="M38" i="67" s="1"/>
  <c r="K43" i="68"/>
  <c r="R43" i="68" s="1"/>
  <c r="X15" i="45"/>
  <c r="AJ13" i="45"/>
  <c r="Q31" i="69"/>
  <c r="I44" i="70"/>
  <c r="I31" i="69"/>
  <c r="P20" i="69"/>
  <c r="W20" i="69" s="1"/>
  <c r="W19" i="69"/>
  <c r="N31" i="70"/>
  <c r="H33" i="70"/>
  <c r="S110" i="38"/>
  <c r="F27" i="68" s="1"/>
  <c r="S96" i="38"/>
  <c r="S101" i="38" s="1"/>
  <c r="D16" i="69"/>
  <c r="D29" i="68"/>
  <c r="D46" i="68" s="1"/>
  <c r="R110" i="38"/>
  <c r="R96" i="38"/>
  <c r="R101" i="38" s="1"/>
  <c r="T227" i="42"/>
  <c r="T228" i="42" s="1"/>
  <c r="T66" i="38"/>
  <c r="T69" i="38" s="1"/>
  <c r="T95" i="38" s="1"/>
  <c r="Q120" i="38"/>
  <c r="F19" i="67"/>
  <c r="AI214" i="42"/>
  <c r="P12" i="69"/>
  <c r="P51" i="69"/>
  <c r="P52" i="69" s="1"/>
  <c r="P53" i="69" s="1"/>
  <c r="G10" i="69"/>
  <c r="G21" i="68"/>
  <c r="G64" i="68"/>
  <c r="G65" i="68" s="1"/>
  <c r="G66" i="68" s="1"/>
  <c r="Q17" i="68"/>
  <c r="H21" i="68"/>
  <c r="H10" i="69"/>
  <c r="H64" i="68"/>
  <c r="H65" i="68" s="1"/>
  <c r="H66" i="68" s="1"/>
  <c r="I17" i="67"/>
  <c r="W29" i="67"/>
  <c r="W53" i="67"/>
  <c r="W42" i="67"/>
  <c r="W30" i="67"/>
  <c r="W20" i="67"/>
  <c r="W43" i="67"/>
  <c r="W31" i="67"/>
  <c r="W44" i="67"/>
  <c r="W32" i="67"/>
  <c r="W45" i="67"/>
  <c r="W33" i="67"/>
  <c r="W46" i="67"/>
  <c r="W34" i="67"/>
  <c r="M2" i="67"/>
  <c r="N2" i="67" s="1"/>
  <c r="O2" i="67" s="1"/>
  <c r="P2" i="67" s="1"/>
  <c r="W47" i="67"/>
  <c r="W35" i="67"/>
  <c r="W24" i="67"/>
  <c r="W36" i="67"/>
  <c r="W25" i="67"/>
  <c r="T23" i="67"/>
  <c r="K26" i="67"/>
  <c r="K38" i="67"/>
  <c r="K8" i="61"/>
  <c r="K13" i="61"/>
  <c r="M10" i="35"/>
  <c r="N10" i="61"/>
  <c r="H6" i="61"/>
  <c r="L27" i="57"/>
  <c r="M27" i="57"/>
  <c r="D11" i="35"/>
  <c r="H12" i="35"/>
  <c r="P27" i="57"/>
  <c r="S292" i="42"/>
  <c r="T289" i="42"/>
  <c r="T292" i="42" s="1"/>
  <c r="V226" i="42"/>
  <c r="U224" i="42"/>
  <c r="U286" i="42" s="1"/>
  <c r="U217" i="42"/>
  <c r="V79" i="42"/>
  <c r="V288" i="42" s="1"/>
  <c r="K18" i="67" s="1"/>
  <c r="U81" i="42"/>
  <c r="V77" i="42"/>
  <c r="V80" i="42"/>
  <c r="I17" i="68" s="1"/>
  <c r="V78" i="42"/>
  <c r="V287" i="42" s="1"/>
  <c r="N12" i="35"/>
  <c r="L5" i="35"/>
  <c r="M5" i="35"/>
  <c r="D6" i="35"/>
  <c r="M7" i="35"/>
  <c r="F11" i="35"/>
  <c r="J11" i="35"/>
  <c r="L11" i="61"/>
  <c r="G11" i="61"/>
  <c r="J12" i="35"/>
  <c r="L12" i="61"/>
  <c r="O15" i="57"/>
  <c r="N7" i="61"/>
  <c r="J7" i="35"/>
  <c r="L7" i="61"/>
  <c r="J5" i="35"/>
  <c r="L5" i="61"/>
  <c r="G7" i="35"/>
  <c r="E6" i="61"/>
  <c r="N7" i="35"/>
  <c r="J7" i="61"/>
  <c r="I11" i="61"/>
  <c r="E15" i="57"/>
  <c r="F15" i="57"/>
  <c r="L15" i="57"/>
  <c r="M15" i="57"/>
  <c r="E6" i="35"/>
  <c r="J6" i="35"/>
  <c r="E17" i="66"/>
  <c r="G10" i="35"/>
  <c r="E10" i="61"/>
  <c r="N10" i="35"/>
  <c r="G15" i="57"/>
  <c r="N12" i="61"/>
  <c r="G12" i="35"/>
  <c r="P5" i="61"/>
  <c r="H7" i="61"/>
  <c r="AG8" i="57"/>
  <c r="H15" i="57"/>
  <c r="I15" i="57"/>
  <c r="J15" i="57"/>
  <c r="N15" i="57"/>
  <c r="G7" i="61"/>
  <c r="AF8" i="57"/>
  <c r="AH8" i="57"/>
  <c r="C5" i="35"/>
  <c r="M11" i="35"/>
  <c r="O27" i="57"/>
  <c r="N11" i="61"/>
  <c r="N27" i="57"/>
  <c r="N6" i="35"/>
  <c r="L6" i="35"/>
  <c r="F10" i="35"/>
  <c r="D12" i="35"/>
  <c r="C12" i="35"/>
  <c r="H10" i="35"/>
  <c r="J10" i="35"/>
  <c r="F12" i="35"/>
  <c r="D10" i="35"/>
  <c r="E10" i="35"/>
  <c r="H11" i="35"/>
  <c r="P11" i="61"/>
  <c r="G12" i="61"/>
  <c r="H6" i="35"/>
  <c r="G6" i="35"/>
  <c r="D5" i="35"/>
  <c r="M6" i="35"/>
  <c r="H5" i="35"/>
  <c r="G5" i="35"/>
  <c r="D7" i="35"/>
  <c r="F5" i="35"/>
  <c r="C7" i="35"/>
  <c r="G5" i="61"/>
  <c r="P15" i="57"/>
  <c r="G27" i="57"/>
  <c r="H27" i="57"/>
  <c r="I27" i="57"/>
  <c r="J27" i="57"/>
  <c r="F27" i="57"/>
  <c r="E27" i="57"/>
  <c r="B6" i="66" s="1"/>
  <c r="N40" i="37"/>
  <c r="M40" i="37"/>
  <c r="L40" i="37"/>
  <c r="J40" i="37"/>
  <c r="I40" i="37"/>
  <c r="N39" i="37"/>
  <c r="M39" i="37"/>
  <c r="L39" i="37"/>
  <c r="J39" i="37"/>
  <c r="I39" i="37"/>
  <c r="N38" i="37"/>
  <c r="M38" i="37"/>
  <c r="L38" i="37"/>
  <c r="J38" i="37"/>
  <c r="I38" i="37"/>
  <c r="N37" i="37"/>
  <c r="M37" i="37"/>
  <c r="L37" i="37"/>
  <c r="J37" i="37"/>
  <c r="I37" i="37"/>
  <c r="N36" i="37"/>
  <c r="M36" i="37"/>
  <c r="L36" i="37"/>
  <c r="J36" i="37"/>
  <c r="I36" i="37"/>
  <c r="N35" i="37"/>
  <c r="M35" i="37"/>
  <c r="L35" i="37"/>
  <c r="J35" i="37"/>
  <c r="I35" i="37"/>
  <c r="H59" i="35"/>
  <c r="H46" i="37" s="1"/>
  <c r="H118" i="38"/>
  <c r="H70" i="35"/>
  <c r="H69" i="35"/>
  <c r="H54" i="35"/>
  <c r="H41" i="37" s="1"/>
  <c r="G54" i="35"/>
  <c r="G41" i="37" s="1"/>
  <c r="F54" i="35"/>
  <c r="F41" i="37" s="1"/>
  <c r="E54" i="35"/>
  <c r="E41" i="37" s="1"/>
  <c r="D54" i="35"/>
  <c r="D41" i="37" s="1"/>
  <c r="C54" i="35"/>
  <c r="H53" i="35"/>
  <c r="H40" i="37" s="1"/>
  <c r="G53" i="35"/>
  <c r="G40" i="37" s="1"/>
  <c r="F53" i="35"/>
  <c r="F40" i="37" s="1"/>
  <c r="E53" i="35"/>
  <c r="E40" i="37" s="1"/>
  <c r="D53" i="35"/>
  <c r="D40" i="37" s="1"/>
  <c r="C53" i="35"/>
  <c r="S52" i="35"/>
  <c r="F52" i="70" s="1"/>
  <c r="R52" i="35"/>
  <c r="E52" i="70" s="1"/>
  <c r="H52" i="35"/>
  <c r="H39" i="37" s="1"/>
  <c r="G52" i="35"/>
  <c r="G39" i="37" s="1"/>
  <c r="F52" i="35"/>
  <c r="E52" i="35"/>
  <c r="E39" i="37" s="1"/>
  <c r="D52" i="35"/>
  <c r="D39" i="37" s="1"/>
  <c r="C52" i="35"/>
  <c r="H51" i="35"/>
  <c r="H38" i="37" s="1"/>
  <c r="G51" i="35"/>
  <c r="G38" i="37" s="1"/>
  <c r="F51" i="35"/>
  <c r="F38" i="37" s="1"/>
  <c r="E51" i="35"/>
  <c r="E38" i="37" s="1"/>
  <c r="D51" i="35"/>
  <c r="D38" i="37" s="1"/>
  <c r="C51" i="35"/>
  <c r="H50" i="35"/>
  <c r="H37" i="37" s="1"/>
  <c r="G50" i="35"/>
  <c r="G37" i="37" s="1"/>
  <c r="F50" i="35"/>
  <c r="F37" i="37" s="1"/>
  <c r="E50" i="35"/>
  <c r="E37" i="37" s="1"/>
  <c r="D50" i="35"/>
  <c r="D37" i="37" s="1"/>
  <c r="C50" i="35"/>
  <c r="H49" i="35"/>
  <c r="H36" i="37" s="1"/>
  <c r="G49" i="35"/>
  <c r="G36" i="37" s="1"/>
  <c r="F49" i="35"/>
  <c r="F36" i="37" s="1"/>
  <c r="E49" i="35"/>
  <c r="E36" i="37" s="1"/>
  <c r="D49" i="35"/>
  <c r="D36" i="37" s="1"/>
  <c r="C49" i="35"/>
  <c r="H48" i="35"/>
  <c r="H35" i="37" s="1"/>
  <c r="G48" i="35"/>
  <c r="G35" i="37" s="1"/>
  <c r="F48" i="35"/>
  <c r="F35" i="37" s="1"/>
  <c r="E48" i="35"/>
  <c r="E35" i="37" s="1"/>
  <c r="D48" i="35"/>
  <c r="D35" i="37" s="1"/>
  <c r="H43" i="35"/>
  <c r="H30" i="37" s="1"/>
  <c r="H42" i="35"/>
  <c r="H29" i="37" s="1"/>
  <c r="H41" i="35"/>
  <c r="H28" i="37" s="1"/>
  <c r="H40" i="35"/>
  <c r="H27" i="37" s="1"/>
  <c r="H39" i="35"/>
  <c r="H26" i="37" s="1"/>
  <c r="H38" i="35"/>
  <c r="H25" i="37" s="1"/>
  <c r="H37" i="35"/>
  <c r="H24" i="37" s="1"/>
  <c r="H36" i="35"/>
  <c r="H23" i="37" s="1"/>
  <c r="H35" i="35"/>
  <c r="H22" i="37" s="1"/>
  <c r="H166" i="42"/>
  <c r="H151" i="42"/>
  <c r="H146" i="42"/>
  <c r="H141" i="42"/>
  <c r="H136" i="42"/>
  <c r="H131" i="42"/>
  <c r="M66" i="74" l="1"/>
  <c r="M80" i="74"/>
  <c r="I12" i="71"/>
  <c r="I14" i="71" s="1"/>
  <c r="I15" i="71" s="1"/>
  <c r="N19" i="71"/>
  <c r="K51" i="57"/>
  <c r="AO42" i="57"/>
  <c r="AM227" i="42"/>
  <c r="AE37" i="57"/>
  <c r="AE47" i="57" s="1"/>
  <c r="AF32" i="57"/>
  <c r="K15" i="61"/>
  <c r="AF37" i="57"/>
  <c r="AR8" i="57"/>
  <c r="AR31" i="57"/>
  <c r="AE32" i="57"/>
  <c r="AE43" i="57" s="1"/>
  <c r="AR36" i="57"/>
  <c r="AH37" i="57"/>
  <c r="AH49" i="57" s="1"/>
  <c r="AG37" i="57"/>
  <c r="AG49" i="57" s="1"/>
  <c r="AO37" i="57"/>
  <c r="AO47" i="57" s="1"/>
  <c r="AR34" i="57"/>
  <c r="AR35" i="57"/>
  <c r="AG32" i="57"/>
  <c r="AG42" i="57" s="1"/>
  <c r="AR30" i="57"/>
  <c r="AH32" i="57"/>
  <c r="AO32" i="57"/>
  <c r="AR29" i="57"/>
  <c r="J43" i="70"/>
  <c r="R44" i="68"/>
  <c r="K30" i="69"/>
  <c r="K44" i="68"/>
  <c r="Z13" i="45"/>
  <c r="L43" i="68"/>
  <c r="N37" i="67"/>
  <c r="Y15" i="45"/>
  <c r="AJ15" i="45"/>
  <c r="J31" i="69"/>
  <c r="T31" i="70"/>
  <c r="N33" i="70"/>
  <c r="T33" i="70" s="1"/>
  <c r="T110" i="38"/>
  <c r="T111" i="38" s="1"/>
  <c r="T116" i="38" s="1"/>
  <c r="T96" i="38"/>
  <c r="T101" i="38" s="1"/>
  <c r="D17" i="69"/>
  <c r="D33" i="69" s="1"/>
  <c r="R111" i="38"/>
  <c r="R116" i="38" s="1"/>
  <c r="AH110" i="38"/>
  <c r="AH111" i="38" s="1"/>
  <c r="AH116" i="38" s="1"/>
  <c r="E27" i="68"/>
  <c r="U227" i="42"/>
  <c r="U66" i="38"/>
  <c r="F16" i="69"/>
  <c r="F29" i="68"/>
  <c r="F46" i="68" s="1"/>
  <c r="F21" i="67"/>
  <c r="F40" i="67" s="1"/>
  <c r="S111" i="38"/>
  <c r="S116" i="38" s="1"/>
  <c r="AI217" i="42"/>
  <c r="AI227" i="42" s="1"/>
  <c r="AI224" i="42"/>
  <c r="AI286" i="42" s="1"/>
  <c r="J17" i="67"/>
  <c r="S17" i="67" s="1"/>
  <c r="H12" i="69"/>
  <c r="H51" i="69"/>
  <c r="H52" i="69" s="1"/>
  <c r="H53" i="69" s="1"/>
  <c r="G12" i="69"/>
  <c r="G51" i="69"/>
  <c r="G52" i="69" s="1"/>
  <c r="G53" i="69" s="1"/>
  <c r="Q10" i="69"/>
  <c r="I21" i="68"/>
  <c r="I10" i="69"/>
  <c r="I64" i="68"/>
  <c r="I65" i="68" s="1"/>
  <c r="I66" i="68" s="1"/>
  <c r="I17" i="70"/>
  <c r="Q64" i="68"/>
  <c r="Q65" i="68" s="1"/>
  <c r="Q66" i="68" s="1"/>
  <c r="Q21" i="68"/>
  <c r="T31" i="67"/>
  <c r="Y31" i="67" s="1"/>
  <c r="L38" i="67"/>
  <c r="T53" i="67"/>
  <c r="Y53" i="67" s="1"/>
  <c r="T47" i="67"/>
  <c r="Y47" i="67"/>
  <c r="T46" i="67"/>
  <c r="Y46" i="67" s="1"/>
  <c r="T44" i="67"/>
  <c r="Y44" i="67" s="1"/>
  <c r="T32" i="67"/>
  <c r="Y32" i="67" s="1"/>
  <c r="T30" i="67"/>
  <c r="Y30" i="67" s="1"/>
  <c r="T42" i="67"/>
  <c r="Y42" i="67" s="1"/>
  <c r="T29" i="67"/>
  <c r="Y29" i="67" s="1"/>
  <c r="L26" i="67"/>
  <c r="W23" i="67"/>
  <c r="T35" i="67"/>
  <c r="Y35" i="67" s="1"/>
  <c r="T25" i="67"/>
  <c r="Y25" i="67" s="1"/>
  <c r="T43" i="67"/>
  <c r="Y43" i="67" s="1"/>
  <c r="T24" i="67"/>
  <c r="T45" i="67"/>
  <c r="Y45" i="67" s="1"/>
  <c r="T36" i="67"/>
  <c r="Y36" i="67" s="1"/>
  <c r="T33" i="67"/>
  <c r="Y33" i="67" s="1"/>
  <c r="W28" i="67"/>
  <c r="T20" i="67"/>
  <c r="Y20" i="67" s="1"/>
  <c r="T28" i="67"/>
  <c r="T37" i="67"/>
  <c r="T34" i="67"/>
  <c r="Y34" i="67" s="1"/>
  <c r="C6" i="66"/>
  <c r="E6" i="66" s="1"/>
  <c r="U289" i="42"/>
  <c r="U292" i="42" s="1"/>
  <c r="T291" i="42"/>
  <c r="V224" i="42"/>
  <c r="V286" i="42" s="1"/>
  <c r="V217" i="42"/>
  <c r="AJ216" i="42"/>
  <c r="AJ226" i="42" s="1"/>
  <c r="AJ288" i="42" s="1"/>
  <c r="W226" i="42"/>
  <c r="W78" i="42"/>
  <c r="W287" i="42" s="1"/>
  <c r="W77" i="42"/>
  <c r="W80" i="42"/>
  <c r="J17" i="68" s="1"/>
  <c r="V81" i="42"/>
  <c r="W79" i="42"/>
  <c r="AH15" i="57"/>
  <c r="AG15" i="57"/>
  <c r="AF15" i="57"/>
  <c r="B5" i="66"/>
  <c r="B7" i="66" s="1"/>
  <c r="AE15" i="57"/>
  <c r="S39" i="37"/>
  <c r="R39" i="37"/>
  <c r="Q52" i="35"/>
  <c r="D52" i="70" s="1"/>
  <c r="F39" i="37"/>
  <c r="Q39" i="37" s="1"/>
  <c r="U52" i="35"/>
  <c r="C39" i="37"/>
  <c r="C5" i="66"/>
  <c r="U5" i="35"/>
  <c r="P52" i="35"/>
  <c r="C52" i="70" s="1"/>
  <c r="H26" i="45"/>
  <c r="H15" i="45"/>
  <c r="H31" i="45"/>
  <c r="AM22" i="45"/>
  <c r="AF22" i="45"/>
  <c r="AE22" i="45"/>
  <c r="AD22" i="45"/>
  <c r="AC22" i="45"/>
  <c r="EC216" i="54"/>
  <c r="EA214" i="54"/>
  <c r="EY67" i="54"/>
  <c r="EX67" i="54"/>
  <c r="EW67" i="54"/>
  <c r="EV67" i="54"/>
  <c r="EU67" i="54"/>
  <c r="ET67" i="54"/>
  <c r="ES67" i="54"/>
  <c r="B69" i="54"/>
  <c r="B70" i="54" s="1"/>
  <c r="B71" i="54" s="1"/>
  <c r="B72" i="54" s="1"/>
  <c r="B73" i="54" s="1"/>
  <c r="B74" i="54" s="1"/>
  <c r="B75" i="54" s="1"/>
  <c r="B68" i="54"/>
  <c r="FK68" i="54"/>
  <c r="FJ68" i="54"/>
  <c r="FI68" i="54"/>
  <c r="FS68" i="54" s="1"/>
  <c r="FH68" i="54"/>
  <c r="FG68" i="54"/>
  <c r="FF68" i="54"/>
  <c r="FR68" i="54" s="1"/>
  <c r="FC68" i="54"/>
  <c r="FB68" i="54"/>
  <c r="FD68" i="54" s="1"/>
  <c r="FA68" i="54"/>
  <c r="EZ68" i="54"/>
  <c r="EI68" i="54"/>
  <c r="EH68" i="54"/>
  <c r="CU68" i="54"/>
  <c r="CT68" i="54"/>
  <c r="CS68" i="54"/>
  <c r="BZ68" i="54"/>
  <c r="BY68" i="54"/>
  <c r="BX68" i="54"/>
  <c r="BM68" i="54"/>
  <c r="BL68" i="54"/>
  <c r="BK68" i="54"/>
  <c r="BQ68" i="54" s="1"/>
  <c r="BJ68" i="54"/>
  <c r="BI68" i="54"/>
  <c r="BH68" i="54"/>
  <c r="BP68" i="54" s="1"/>
  <c r="BG68" i="54"/>
  <c r="BF68" i="54"/>
  <c r="BE68" i="54"/>
  <c r="BO68" i="54" s="1"/>
  <c r="BD68" i="54"/>
  <c r="BC68" i="54"/>
  <c r="AU68" i="54"/>
  <c r="AT68" i="54"/>
  <c r="AS68" i="54"/>
  <c r="AY68" i="54" s="1"/>
  <c r="AR68" i="54"/>
  <c r="AQ68" i="54"/>
  <c r="AP68" i="54"/>
  <c r="AX68" i="54" s="1"/>
  <c r="AO68" i="54"/>
  <c r="AN68" i="54"/>
  <c r="AM68" i="54"/>
  <c r="AW68" i="54" s="1"/>
  <c r="AL68" i="54"/>
  <c r="AK68" i="54"/>
  <c r="AJ68" i="54"/>
  <c r="AV68" i="54" s="1"/>
  <c r="AG68" i="54"/>
  <c r="AC68" i="54"/>
  <c r="AB68" i="54"/>
  <c r="AA68" i="54"/>
  <c r="Z68" i="54"/>
  <c r="Y68" i="54"/>
  <c r="X68" i="54"/>
  <c r="AF68" i="54" s="1"/>
  <c r="W68" i="54"/>
  <c r="V68" i="54"/>
  <c r="U68" i="54"/>
  <c r="AE68" i="54" s="1"/>
  <c r="T68" i="54"/>
  <c r="S68" i="54"/>
  <c r="R68" i="54"/>
  <c r="BB68" i="54" s="1"/>
  <c r="BN68" i="54" s="1"/>
  <c r="BR68" i="54" s="1"/>
  <c r="P68" i="54"/>
  <c r="O68" i="54"/>
  <c r="CR68" i="54" s="1"/>
  <c r="CZ68" i="54" s="1"/>
  <c r="G68" i="54"/>
  <c r="EA213" i="54"/>
  <c r="EA212" i="54"/>
  <c r="EA209" i="54"/>
  <c r="EA208" i="54"/>
  <c r="EA210" i="54"/>
  <c r="EA211" i="54"/>
  <c r="EA207" i="54"/>
  <c r="EB216" i="54" s="1"/>
  <c r="EA216" i="54"/>
  <c r="EA215" i="54"/>
  <c r="M1128" i="58"/>
  <c r="M1127" i="58"/>
  <c r="M1126" i="58"/>
  <c r="M1125" i="58"/>
  <c r="M1123" i="58"/>
  <c r="M1122" i="58"/>
  <c r="M1117" i="58"/>
  <c r="M1107" i="58"/>
  <c r="M1104" i="58"/>
  <c r="M1103" i="58"/>
  <c r="M1102" i="58"/>
  <c r="M1076" i="58"/>
  <c r="M1074" i="58"/>
  <c r="M1073" i="58"/>
  <c r="M1066" i="58"/>
  <c r="M1065" i="58"/>
  <c r="M1063" i="58"/>
  <c r="M1062" i="58"/>
  <c r="M1061" i="58"/>
  <c r="M1060" i="58"/>
  <c r="M1057" i="58"/>
  <c r="M1056" i="58"/>
  <c r="M1055" i="58"/>
  <c r="M1054" i="58"/>
  <c r="M1053" i="58"/>
  <c r="M1052" i="58"/>
  <c r="M1051" i="58"/>
  <c r="M1047" i="58"/>
  <c r="M1046" i="58"/>
  <c r="M1045" i="58"/>
  <c r="M1044" i="58"/>
  <c r="M1043" i="58"/>
  <c r="M1042" i="58"/>
  <c r="M1041" i="58"/>
  <c r="M1038" i="58"/>
  <c r="M1037" i="58"/>
  <c r="M1036" i="58"/>
  <c r="M1033" i="58"/>
  <c r="M1031" i="58"/>
  <c r="M1020" i="58"/>
  <c r="M1019" i="58"/>
  <c r="M1009" i="58"/>
  <c r="M1007" i="58"/>
  <c r="M1006" i="58"/>
  <c r="M1005" i="58"/>
  <c r="M1004" i="58"/>
  <c r="M1003" i="58"/>
  <c r="M1001" i="58"/>
  <c r="M1000" i="58"/>
  <c r="M997" i="58"/>
  <c r="M996" i="58"/>
  <c r="M995" i="58"/>
  <c r="M992" i="58"/>
  <c r="M990" i="58"/>
  <c r="M986" i="58"/>
  <c r="M978" i="58"/>
  <c r="M975" i="58"/>
  <c r="M974" i="58"/>
  <c r="M973" i="58"/>
  <c r="M972" i="58"/>
  <c r="M971" i="58"/>
  <c r="M968" i="58"/>
  <c r="M967" i="58"/>
  <c r="M966" i="58"/>
  <c r="M964" i="58"/>
  <c r="M963" i="58"/>
  <c r="M961" i="58"/>
  <c r="M959" i="58"/>
  <c r="M957" i="58"/>
  <c r="M956" i="58"/>
  <c r="M955" i="58"/>
  <c r="M954" i="58"/>
  <c r="M951" i="58"/>
  <c r="M950" i="58"/>
  <c r="M948" i="58"/>
  <c r="M947" i="58"/>
  <c r="M946" i="58"/>
  <c r="M945" i="58"/>
  <c r="M944" i="58"/>
  <c r="M943" i="58"/>
  <c r="M942" i="58"/>
  <c r="M941" i="58"/>
  <c r="M940" i="58"/>
  <c r="M939" i="58"/>
  <c r="M938" i="58"/>
  <c r="M937" i="58"/>
  <c r="M936" i="58"/>
  <c r="M935" i="58"/>
  <c r="M934" i="58"/>
  <c r="M933" i="58"/>
  <c r="M932" i="58"/>
  <c r="M931" i="58"/>
  <c r="M930" i="58"/>
  <c r="M929" i="58"/>
  <c r="M928" i="58"/>
  <c r="M927" i="58"/>
  <c r="M926" i="58"/>
  <c r="M925" i="58"/>
  <c r="M924" i="58"/>
  <c r="M923" i="58"/>
  <c r="M922" i="58"/>
  <c r="M921" i="58"/>
  <c r="M920" i="58"/>
  <c r="M919" i="58"/>
  <c r="M918" i="58"/>
  <c r="M917" i="58"/>
  <c r="M916" i="58"/>
  <c r="M915" i="58"/>
  <c r="M914" i="58"/>
  <c r="M913" i="58"/>
  <c r="M912" i="58"/>
  <c r="M911" i="58"/>
  <c r="M910" i="58"/>
  <c r="M909" i="58"/>
  <c r="M908" i="58"/>
  <c r="M907" i="58"/>
  <c r="M906" i="58"/>
  <c r="M905" i="58"/>
  <c r="M904" i="58"/>
  <c r="M903" i="58"/>
  <c r="M902" i="58"/>
  <c r="M901" i="58"/>
  <c r="M900" i="58"/>
  <c r="M899" i="58"/>
  <c r="M898" i="58"/>
  <c r="M897" i="58"/>
  <c r="M896" i="58"/>
  <c r="M895" i="58"/>
  <c r="M894" i="58"/>
  <c r="M893" i="58"/>
  <c r="M892" i="58"/>
  <c r="M891" i="58"/>
  <c r="M890" i="58"/>
  <c r="M889" i="58"/>
  <c r="M888" i="58"/>
  <c r="M887" i="58"/>
  <c r="M886" i="58"/>
  <c r="M885" i="58"/>
  <c r="M884" i="58"/>
  <c r="M883" i="58"/>
  <c r="M882" i="58"/>
  <c r="M881" i="58"/>
  <c r="M880" i="58"/>
  <c r="M879" i="58"/>
  <c r="M878" i="58"/>
  <c r="M877" i="58"/>
  <c r="M876" i="58"/>
  <c r="M875" i="58"/>
  <c r="M874" i="58"/>
  <c r="M873" i="58"/>
  <c r="M872" i="58"/>
  <c r="M871" i="58"/>
  <c r="M870" i="58"/>
  <c r="M869" i="58"/>
  <c r="M867" i="58"/>
  <c r="M866" i="58"/>
  <c r="M864" i="58"/>
  <c r="M863" i="58"/>
  <c r="M862" i="58"/>
  <c r="M861" i="58"/>
  <c r="M860" i="58"/>
  <c r="M859" i="58"/>
  <c r="M858" i="58"/>
  <c r="M857" i="58"/>
  <c r="M856" i="58"/>
  <c r="M855" i="58"/>
  <c r="M852" i="58"/>
  <c r="M851" i="58"/>
  <c r="M850" i="58"/>
  <c r="M849" i="58"/>
  <c r="M846" i="58"/>
  <c r="C1128" i="58"/>
  <c r="B1128" i="58"/>
  <c r="C1127" i="58"/>
  <c r="B1127" i="58"/>
  <c r="C1126" i="58"/>
  <c r="B1126" i="58"/>
  <c r="C1125" i="58"/>
  <c r="B1125" i="58"/>
  <c r="C1123" i="58"/>
  <c r="B1123" i="58"/>
  <c r="C1122" i="58"/>
  <c r="B1122" i="58"/>
  <c r="C1117" i="58"/>
  <c r="B1117" i="58"/>
  <c r="C1107" i="58"/>
  <c r="B1107" i="58"/>
  <c r="C1104" i="58"/>
  <c r="B1104" i="58"/>
  <c r="C1103" i="58"/>
  <c r="B1103" i="58"/>
  <c r="C1102" i="58"/>
  <c r="B1102" i="58"/>
  <c r="C1076" i="58"/>
  <c r="B1076" i="58"/>
  <c r="C1074" i="58"/>
  <c r="B1074" i="58"/>
  <c r="C1073" i="58"/>
  <c r="B1073" i="58"/>
  <c r="C1066" i="58"/>
  <c r="B1066" i="58"/>
  <c r="C1065" i="58"/>
  <c r="B1065" i="58"/>
  <c r="C1063" i="58"/>
  <c r="B1063" i="58"/>
  <c r="C1062" i="58"/>
  <c r="B1062" i="58"/>
  <c r="C1061" i="58"/>
  <c r="B1061" i="58"/>
  <c r="C1060" i="58"/>
  <c r="B1060" i="58"/>
  <c r="C1057" i="58"/>
  <c r="B1057" i="58"/>
  <c r="C1056" i="58"/>
  <c r="B1056" i="58"/>
  <c r="C1055" i="58"/>
  <c r="B1055" i="58"/>
  <c r="C1054" i="58"/>
  <c r="B1054" i="58"/>
  <c r="C1053" i="58"/>
  <c r="B1053" i="58"/>
  <c r="C1052" i="58"/>
  <c r="B1052" i="58"/>
  <c r="C1051" i="58"/>
  <c r="B1051" i="58"/>
  <c r="C1047" i="58"/>
  <c r="B1047" i="58"/>
  <c r="C1046" i="58"/>
  <c r="B1046" i="58"/>
  <c r="C1045" i="58"/>
  <c r="B1045" i="58"/>
  <c r="C1044" i="58"/>
  <c r="B1044" i="58"/>
  <c r="C1043" i="58"/>
  <c r="B1043" i="58"/>
  <c r="C1042" i="58"/>
  <c r="B1042" i="58"/>
  <c r="C1041" i="58"/>
  <c r="B1041" i="58"/>
  <c r="C1038" i="58"/>
  <c r="B1038" i="58"/>
  <c r="C1037" i="58"/>
  <c r="B1037" i="58"/>
  <c r="C1036" i="58"/>
  <c r="B1036" i="58"/>
  <c r="C1033" i="58"/>
  <c r="B1033" i="58"/>
  <c r="C1031" i="58"/>
  <c r="B1031" i="58"/>
  <c r="C1020" i="58"/>
  <c r="B1020" i="58"/>
  <c r="C1019" i="58"/>
  <c r="B1019" i="58"/>
  <c r="C1009" i="58"/>
  <c r="B1009" i="58"/>
  <c r="C1007" i="58"/>
  <c r="B1007" i="58"/>
  <c r="C1006" i="58"/>
  <c r="B1006" i="58"/>
  <c r="C1005" i="58"/>
  <c r="B1005" i="58"/>
  <c r="C1004" i="58"/>
  <c r="B1004" i="58"/>
  <c r="C1003" i="58"/>
  <c r="B1003" i="58"/>
  <c r="C1001" i="58"/>
  <c r="B1001" i="58"/>
  <c r="C1000" i="58"/>
  <c r="B1000" i="58"/>
  <c r="C997" i="58"/>
  <c r="B997" i="58"/>
  <c r="C996" i="58"/>
  <c r="B996" i="58"/>
  <c r="C995" i="58"/>
  <c r="B995" i="58"/>
  <c r="C992" i="58"/>
  <c r="B992" i="58"/>
  <c r="C990" i="58"/>
  <c r="B990" i="58"/>
  <c r="C986" i="58"/>
  <c r="B986" i="58"/>
  <c r="C978" i="58"/>
  <c r="B978" i="58"/>
  <c r="C975" i="58"/>
  <c r="B975" i="58"/>
  <c r="C974" i="58"/>
  <c r="B974" i="58"/>
  <c r="C973" i="58"/>
  <c r="B973" i="58"/>
  <c r="C972" i="58"/>
  <c r="B972" i="58"/>
  <c r="C971" i="58"/>
  <c r="B971" i="58"/>
  <c r="C968" i="58"/>
  <c r="B968" i="58"/>
  <c r="C967" i="58"/>
  <c r="B967" i="58"/>
  <c r="C966" i="58"/>
  <c r="B966" i="58"/>
  <c r="C964" i="58"/>
  <c r="B964" i="58"/>
  <c r="C963" i="58"/>
  <c r="B963" i="58"/>
  <c r="C961" i="58"/>
  <c r="B961" i="58"/>
  <c r="C959" i="58"/>
  <c r="B959" i="58"/>
  <c r="C957" i="58"/>
  <c r="B957" i="58"/>
  <c r="C956" i="58"/>
  <c r="B956" i="58"/>
  <c r="C955" i="58"/>
  <c r="B955" i="58"/>
  <c r="C954" i="58"/>
  <c r="B954" i="58"/>
  <c r="C951" i="58"/>
  <c r="B951" i="58"/>
  <c r="C950" i="58"/>
  <c r="B950" i="58"/>
  <c r="C948" i="58"/>
  <c r="B948" i="58"/>
  <c r="C947" i="58"/>
  <c r="B947" i="58"/>
  <c r="C946" i="58"/>
  <c r="B946" i="58"/>
  <c r="C945" i="58"/>
  <c r="B945" i="58"/>
  <c r="C944" i="58"/>
  <c r="B944" i="58"/>
  <c r="C943" i="58"/>
  <c r="B943" i="58"/>
  <c r="C942" i="58"/>
  <c r="B942" i="58"/>
  <c r="C941" i="58"/>
  <c r="B941" i="58"/>
  <c r="C940" i="58"/>
  <c r="B940" i="58"/>
  <c r="C939" i="58"/>
  <c r="B939" i="58"/>
  <c r="C938" i="58"/>
  <c r="B938" i="58"/>
  <c r="C937" i="58"/>
  <c r="B937" i="58"/>
  <c r="C936" i="58"/>
  <c r="B936" i="58"/>
  <c r="C935" i="58"/>
  <c r="B935" i="58"/>
  <c r="C934" i="58"/>
  <c r="B934" i="58"/>
  <c r="C933" i="58"/>
  <c r="B933" i="58"/>
  <c r="C932" i="58"/>
  <c r="B932" i="58"/>
  <c r="C931" i="58"/>
  <c r="B931" i="58"/>
  <c r="C930" i="58"/>
  <c r="B930" i="58"/>
  <c r="C929" i="58"/>
  <c r="B929" i="58"/>
  <c r="C928" i="58"/>
  <c r="B928" i="58"/>
  <c r="C927" i="58"/>
  <c r="B927" i="58"/>
  <c r="C926" i="58"/>
  <c r="B926" i="58"/>
  <c r="C925" i="58"/>
  <c r="B925" i="58"/>
  <c r="C924" i="58"/>
  <c r="B924" i="58"/>
  <c r="C923" i="58"/>
  <c r="B923" i="58"/>
  <c r="C922" i="58"/>
  <c r="B922" i="58"/>
  <c r="C921" i="58"/>
  <c r="B921" i="58"/>
  <c r="C920" i="58"/>
  <c r="B920" i="58"/>
  <c r="C919" i="58"/>
  <c r="B919" i="58"/>
  <c r="C918" i="58"/>
  <c r="B918" i="58"/>
  <c r="C917" i="58"/>
  <c r="B917" i="58"/>
  <c r="C916" i="58"/>
  <c r="B916" i="58"/>
  <c r="C915" i="58"/>
  <c r="B915" i="58"/>
  <c r="C914" i="58"/>
  <c r="B914" i="58"/>
  <c r="C913" i="58"/>
  <c r="B913" i="58"/>
  <c r="C912" i="58"/>
  <c r="B912" i="58"/>
  <c r="C911" i="58"/>
  <c r="B911" i="58"/>
  <c r="C910" i="58"/>
  <c r="B910" i="58"/>
  <c r="C909" i="58"/>
  <c r="B909" i="58"/>
  <c r="C908" i="58"/>
  <c r="B908" i="58"/>
  <c r="C907" i="58"/>
  <c r="B907" i="58"/>
  <c r="C906" i="58"/>
  <c r="B906" i="58"/>
  <c r="C905" i="58"/>
  <c r="B905" i="58"/>
  <c r="C904" i="58"/>
  <c r="B904" i="58"/>
  <c r="C903" i="58"/>
  <c r="B903" i="58"/>
  <c r="C902" i="58"/>
  <c r="B902" i="58"/>
  <c r="C901" i="58"/>
  <c r="B901" i="58"/>
  <c r="C900" i="58"/>
  <c r="B900" i="58"/>
  <c r="C899" i="58"/>
  <c r="B899" i="58"/>
  <c r="C898" i="58"/>
  <c r="B898" i="58"/>
  <c r="C897" i="58"/>
  <c r="B897" i="58"/>
  <c r="C896" i="58"/>
  <c r="B896" i="58"/>
  <c r="C895" i="58"/>
  <c r="B895" i="58"/>
  <c r="C894" i="58"/>
  <c r="B894" i="58"/>
  <c r="C893" i="58"/>
  <c r="B893" i="58"/>
  <c r="C892" i="58"/>
  <c r="B892" i="58"/>
  <c r="C891" i="58"/>
  <c r="B891" i="58"/>
  <c r="C890" i="58"/>
  <c r="B890" i="58"/>
  <c r="C889" i="58"/>
  <c r="B889" i="58"/>
  <c r="C888" i="58"/>
  <c r="B888" i="58"/>
  <c r="C887" i="58"/>
  <c r="B887" i="58"/>
  <c r="C886" i="58"/>
  <c r="B886" i="58"/>
  <c r="C885" i="58"/>
  <c r="B885" i="58"/>
  <c r="C884" i="58"/>
  <c r="B884" i="58"/>
  <c r="C883" i="58"/>
  <c r="B883" i="58"/>
  <c r="C882" i="58"/>
  <c r="B882" i="58"/>
  <c r="C881" i="58"/>
  <c r="B881" i="58"/>
  <c r="C880" i="58"/>
  <c r="B880" i="58"/>
  <c r="C879" i="58"/>
  <c r="B879" i="58"/>
  <c r="C878" i="58"/>
  <c r="B878" i="58"/>
  <c r="C877" i="58"/>
  <c r="B877" i="58"/>
  <c r="C876" i="58"/>
  <c r="B876" i="58"/>
  <c r="C875" i="58"/>
  <c r="B875" i="58"/>
  <c r="C874" i="58"/>
  <c r="B874" i="58"/>
  <c r="C873" i="58"/>
  <c r="B873" i="58"/>
  <c r="C872" i="58"/>
  <c r="B872" i="58"/>
  <c r="C871" i="58"/>
  <c r="B871" i="58"/>
  <c r="C870" i="58"/>
  <c r="B870" i="58"/>
  <c r="C869" i="58"/>
  <c r="B869" i="58"/>
  <c r="C867" i="58"/>
  <c r="B867" i="58"/>
  <c r="C866" i="58"/>
  <c r="B866" i="58"/>
  <c r="C864" i="58"/>
  <c r="B864" i="58"/>
  <c r="C863" i="58"/>
  <c r="B863" i="58"/>
  <c r="C862" i="58"/>
  <c r="B862" i="58"/>
  <c r="C861" i="58"/>
  <c r="B861" i="58"/>
  <c r="C860" i="58"/>
  <c r="B860" i="58"/>
  <c r="C859" i="58"/>
  <c r="B859" i="58"/>
  <c r="C858" i="58"/>
  <c r="B858" i="58"/>
  <c r="C857" i="58"/>
  <c r="B857" i="58"/>
  <c r="C856" i="58"/>
  <c r="B856" i="58"/>
  <c r="C855" i="58"/>
  <c r="B855" i="58"/>
  <c r="C852" i="58"/>
  <c r="B852" i="58"/>
  <c r="C851" i="58"/>
  <c r="B851" i="58"/>
  <c r="C850" i="58"/>
  <c r="B850" i="58"/>
  <c r="C849" i="58"/>
  <c r="B849" i="58"/>
  <c r="C846" i="58"/>
  <c r="B846" i="58"/>
  <c r="EC80" i="54"/>
  <c r="M84" i="74" l="1"/>
  <c r="N63" i="74"/>
  <c r="M69" i="74"/>
  <c r="M90" i="74" s="1"/>
  <c r="AG44" i="57"/>
  <c r="U39" i="37"/>
  <c r="AF39" i="57"/>
  <c r="AF52" i="57" s="1"/>
  <c r="G27" i="68"/>
  <c r="W288" i="42"/>
  <c r="L18" i="67" s="1"/>
  <c r="AG48" i="57"/>
  <c r="AG47" i="57"/>
  <c r="AE44" i="57"/>
  <c r="AE42" i="57"/>
  <c r="M52" i="70"/>
  <c r="P52" i="70" s="1"/>
  <c r="Q52" i="70" s="1"/>
  <c r="AF48" i="57"/>
  <c r="AF47" i="57"/>
  <c r="AF49" i="57"/>
  <c r="AE48" i="57"/>
  <c r="AE49" i="57"/>
  <c r="AH47" i="57"/>
  <c r="AO49" i="57"/>
  <c r="AO48" i="57"/>
  <c r="AH48" i="57"/>
  <c r="AF51" i="57"/>
  <c r="AF43" i="57"/>
  <c r="AH39" i="57"/>
  <c r="AH52" i="57" s="1"/>
  <c r="AF44" i="57"/>
  <c r="AG39" i="57"/>
  <c r="AG52" i="57" s="1"/>
  <c r="AH44" i="57"/>
  <c r="AH42" i="57"/>
  <c r="AO44" i="57"/>
  <c r="AO43" i="57"/>
  <c r="AE39" i="57"/>
  <c r="AE52" i="57" s="1"/>
  <c r="AE51" i="57"/>
  <c r="AH43" i="57"/>
  <c r="AG43" i="57"/>
  <c r="AF42" i="57"/>
  <c r="S52" i="70"/>
  <c r="AR15" i="57"/>
  <c r="AR37" i="57"/>
  <c r="C7" i="66"/>
  <c r="AO39" i="57"/>
  <c r="AR32" i="57"/>
  <c r="N38" i="67"/>
  <c r="L30" i="69"/>
  <c r="L44" i="68"/>
  <c r="AA13" i="45"/>
  <c r="M43" i="68"/>
  <c r="O37" i="67"/>
  <c r="O38" i="67" s="1"/>
  <c r="Z15" i="45"/>
  <c r="AN13" i="45"/>
  <c r="K31" i="69"/>
  <c r="R30" i="69"/>
  <c r="J44" i="70"/>
  <c r="F17" i="69"/>
  <c r="F33" i="69" s="1"/>
  <c r="AI66" i="38"/>
  <c r="AI69" i="38" s="1"/>
  <c r="AI95" i="38" s="1"/>
  <c r="AI96" i="38" s="1"/>
  <c r="AI101" i="38" s="1"/>
  <c r="U69" i="38"/>
  <c r="U95" i="38" s="1"/>
  <c r="U228" i="42"/>
  <c r="E16" i="69"/>
  <c r="E29" i="68"/>
  <c r="E46" i="68" s="1"/>
  <c r="P27" i="68"/>
  <c r="AH120" i="38"/>
  <c r="G19" i="67"/>
  <c r="R120" i="38"/>
  <c r="G29" i="68"/>
  <c r="G46" i="68" s="1"/>
  <c r="G16" i="69"/>
  <c r="G17" i="69" s="1"/>
  <c r="G33" i="69" s="1"/>
  <c r="AI289" i="42"/>
  <c r="AI291" i="42" s="1"/>
  <c r="V227" i="42"/>
  <c r="V66" i="38"/>
  <c r="V69" i="38" s="1"/>
  <c r="V95" i="38" s="1"/>
  <c r="H19" i="67"/>
  <c r="S120" i="38"/>
  <c r="I19" i="67"/>
  <c r="I21" i="67" s="1"/>
  <c r="I40" i="67" s="1"/>
  <c r="T120" i="38"/>
  <c r="K17" i="67"/>
  <c r="I12" i="69"/>
  <c r="I51" i="69"/>
  <c r="I52" i="69" s="1"/>
  <c r="I53" i="69" s="1"/>
  <c r="J10" i="69"/>
  <c r="J21" i="68"/>
  <c r="J64" i="68"/>
  <c r="J65" i="68" s="1"/>
  <c r="J66" i="68" s="1"/>
  <c r="Q12" i="69"/>
  <c r="Q51" i="69"/>
  <c r="Q52" i="69" s="1"/>
  <c r="Q53" i="69" s="1"/>
  <c r="I21" i="70"/>
  <c r="I64" i="70"/>
  <c r="I65" i="70" s="1"/>
  <c r="I66" i="70" s="1"/>
  <c r="T26" i="67"/>
  <c r="Y24" i="67"/>
  <c r="T38" i="67"/>
  <c r="Y28" i="67"/>
  <c r="Y23" i="67"/>
  <c r="W26" i="67"/>
  <c r="E5" i="66"/>
  <c r="E7" i="66" s="1"/>
  <c r="V289" i="42"/>
  <c r="V292" i="42" s="1"/>
  <c r="U291" i="42"/>
  <c r="X226" i="42"/>
  <c r="AJ214" i="42"/>
  <c r="W224" i="42"/>
  <c r="W286" i="42" s="1"/>
  <c r="W217" i="42"/>
  <c r="X79" i="42"/>
  <c r="X288" i="42" s="1"/>
  <c r="M18" i="67" s="1"/>
  <c r="W81" i="42"/>
  <c r="X77" i="42"/>
  <c r="X80" i="42"/>
  <c r="K17" i="68" s="1"/>
  <c r="X78" i="42"/>
  <c r="X287" i="42" s="1"/>
  <c r="P39" i="37"/>
  <c r="W52" i="35"/>
  <c r="W39" i="37"/>
  <c r="AP22" i="45"/>
  <c r="DJ68" i="54"/>
  <c r="AZ68" i="54"/>
  <c r="CV68" i="54"/>
  <c r="DA68" i="54" s="1"/>
  <c r="EB68" i="54"/>
  <c r="CC68" i="54"/>
  <c r="ED68" i="54"/>
  <c r="FN68" i="54" s="1"/>
  <c r="EE68" i="54"/>
  <c r="EF68" i="54"/>
  <c r="FP68" i="54" s="1"/>
  <c r="EC68" i="54"/>
  <c r="FM68" i="54" s="1"/>
  <c r="EG68" i="54"/>
  <c r="FQ68" i="54" s="1"/>
  <c r="CB68" i="54"/>
  <c r="DL68" i="54" s="1"/>
  <c r="CL68" i="54"/>
  <c r="CD68" i="54"/>
  <c r="DN68" i="54" s="1"/>
  <c r="CM68" i="54"/>
  <c r="CN68" i="54"/>
  <c r="BT68" i="54"/>
  <c r="CO68" i="54"/>
  <c r="CA68" i="54"/>
  <c r="DK68" i="54" s="1"/>
  <c r="CE68" i="54"/>
  <c r="AD68" i="54"/>
  <c r="AH68" i="54" s="1"/>
  <c r="BU68" i="54"/>
  <c r="CP68" i="54"/>
  <c r="DH68" i="54" s="1"/>
  <c r="BV68" i="54"/>
  <c r="DF68" i="54" s="1"/>
  <c r="CQ68" i="54"/>
  <c r="DI68" i="54" s="1"/>
  <c r="CW68" i="54"/>
  <c r="BW68" i="54"/>
  <c r="N212" i="42"/>
  <c r="M212" i="42"/>
  <c r="L212" i="42"/>
  <c r="K212" i="42"/>
  <c r="I212" i="42"/>
  <c r="H212" i="42"/>
  <c r="G212" i="42"/>
  <c r="F212" i="42"/>
  <c r="E212" i="42"/>
  <c r="D212" i="42"/>
  <c r="C212" i="42"/>
  <c r="AF100" i="43"/>
  <c r="AE100" i="43"/>
  <c r="AD100" i="43"/>
  <c r="AC100" i="43"/>
  <c r="AF77" i="43"/>
  <c r="AD77" i="43"/>
  <c r="AC77" i="43"/>
  <c r="N66" i="74" l="1"/>
  <c r="N80" i="74"/>
  <c r="AH51" i="57"/>
  <c r="Y26" i="67"/>
  <c r="H17" i="71"/>
  <c r="H23" i="71" s="1"/>
  <c r="AG51" i="57"/>
  <c r="AR39" i="57"/>
  <c r="AO52" i="57"/>
  <c r="AO51" i="57"/>
  <c r="AP100" i="43"/>
  <c r="R31" i="69"/>
  <c r="M30" i="69"/>
  <c r="M31" i="69" s="1"/>
  <c r="M44" i="68"/>
  <c r="L31" i="69"/>
  <c r="N43" i="68"/>
  <c r="P37" i="67"/>
  <c r="P38" i="67" s="1"/>
  <c r="AA15" i="45"/>
  <c r="AK13" i="45"/>
  <c r="S43" i="68"/>
  <c r="U37" i="67"/>
  <c r="U110" i="38"/>
  <c r="U96" i="38"/>
  <c r="U101" i="38" s="1"/>
  <c r="AJ217" i="42"/>
  <c r="AJ227" i="42" s="1"/>
  <c r="AJ224" i="42"/>
  <c r="AJ286" i="42" s="1"/>
  <c r="H27" i="70"/>
  <c r="P29" i="68"/>
  <c r="P46" i="68" s="1"/>
  <c r="H21" i="67"/>
  <c r="H40" i="67" s="1"/>
  <c r="AI292" i="42"/>
  <c r="E17" i="69"/>
  <c r="E33" i="69" s="1"/>
  <c r="P16" i="69"/>
  <c r="P17" i="69" s="1"/>
  <c r="V110" i="38"/>
  <c r="I27" i="68" s="1"/>
  <c r="V96" i="38"/>
  <c r="V101" i="38" s="1"/>
  <c r="W227" i="42"/>
  <c r="W228" i="42" s="1"/>
  <c r="W66" i="38"/>
  <c r="W69" i="38" s="1"/>
  <c r="W95" i="38" s="1"/>
  <c r="V228" i="42"/>
  <c r="G21" i="67"/>
  <c r="G40" i="67" s="1"/>
  <c r="R19" i="67"/>
  <c r="R21" i="67" s="1"/>
  <c r="R40" i="67" s="1"/>
  <c r="T18" i="67"/>
  <c r="J12" i="69"/>
  <c r="J51" i="69"/>
  <c r="J52" i="69" s="1"/>
  <c r="J53" i="69" s="1"/>
  <c r="L17" i="67"/>
  <c r="K21" i="68"/>
  <c r="K10" i="69"/>
  <c r="R10" i="69" s="1"/>
  <c r="K64" i="68"/>
  <c r="K65" i="68" s="1"/>
  <c r="K66" i="68" s="1"/>
  <c r="R17" i="68"/>
  <c r="W289" i="42"/>
  <c r="W292" i="42" s="1"/>
  <c r="V291" i="42"/>
  <c r="X224" i="42"/>
  <c r="X286" i="42" s="1"/>
  <c r="X217" i="42"/>
  <c r="Y226" i="42"/>
  <c r="X81" i="42"/>
  <c r="Y77" i="42"/>
  <c r="Y80" i="42"/>
  <c r="L17" i="68" s="1"/>
  <c r="Y78" i="42"/>
  <c r="Y287" i="42" s="1"/>
  <c r="Y79" i="42"/>
  <c r="AE77" i="43"/>
  <c r="AP77" i="43" s="1"/>
  <c r="EK68" i="54"/>
  <c r="FO68" i="54"/>
  <c r="FU68" i="54" s="1"/>
  <c r="EJ68" i="54"/>
  <c r="EL68" i="54" s="1"/>
  <c r="FL68" i="54"/>
  <c r="FT68" i="54" s="1"/>
  <c r="FV68" i="54" s="1"/>
  <c r="DM68" i="54"/>
  <c r="CI68" i="54"/>
  <c r="CY68" i="54"/>
  <c r="CX68" i="54"/>
  <c r="DB68" i="54" s="1"/>
  <c r="DD68" i="54"/>
  <c r="CF68" i="54"/>
  <c r="DG68" i="54"/>
  <c r="DQ68" i="54" s="1"/>
  <c r="CG68" i="54"/>
  <c r="CH68" i="54"/>
  <c r="DE68" i="54"/>
  <c r="DO68" i="54"/>
  <c r="DR68" i="54"/>
  <c r="B48" i="54"/>
  <c r="B49" i="54" s="1"/>
  <c r="B50" i="54" s="1"/>
  <c r="FJ48" i="54"/>
  <c r="FI48" i="54"/>
  <c r="FH48" i="54"/>
  <c r="FG48" i="54"/>
  <c r="FF48" i="54"/>
  <c r="FC48" i="54"/>
  <c r="FB48" i="54"/>
  <c r="FA48" i="54"/>
  <c r="EZ48" i="54"/>
  <c r="EH48" i="54"/>
  <c r="CU48" i="54"/>
  <c r="CT48" i="54"/>
  <c r="BZ48" i="54"/>
  <c r="BY48" i="54"/>
  <c r="BL48" i="54"/>
  <c r="AU48" i="54"/>
  <c r="AT48" i="54"/>
  <c r="AS48" i="54"/>
  <c r="AR48" i="54"/>
  <c r="AQ48" i="54"/>
  <c r="AP48" i="54"/>
  <c r="AX48" i="54" s="1"/>
  <c r="AO48" i="54"/>
  <c r="AN48" i="54"/>
  <c r="AM48" i="54"/>
  <c r="AW48" i="54" s="1"/>
  <c r="AL48" i="54"/>
  <c r="AK48" i="54"/>
  <c r="AJ48" i="54"/>
  <c r="AV48" i="54" s="1"/>
  <c r="AC48" i="54"/>
  <c r="BM48" i="54" s="1"/>
  <c r="AB48" i="54"/>
  <c r="AA48" i="54"/>
  <c r="BK48" i="54" s="1"/>
  <c r="Z48" i="54"/>
  <c r="BJ48" i="54" s="1"/>
  <c r="Y48" i="54"/>
  <c r="BI48" i="54" s="1"/>
  <c r="X48" i="54"/>
  <c r="AF48" i="54" s="1"/>
  <c r="W48" i="54"/>
  <c r="V48" i="54"/>
  <c r="U48" i="54"/>
  <c r="AE48" i="54" s="1"/>
  <c r="T48" i="54"/>
  <c r="S48" i="54"/>
  <c r="R48" i="54"/>
  <c r="P48" i="54"/>
  <c r="O48" i="54"/>
  <c r="CS48" i="54" s="1"/>
  <c r="G48" i="54"/>
  <c r="E28" i="54"/>
  <c r="E25" i="54"/>
  <c r="E14" i="54"/>
  <c r="E9" i="54"/>
  <c r="EC13" i="54"/>
  <c r="EB13" i="54"/>
  <c r="EB33" i="54"/>
  <c r="ED33" i="54"/>
  <c r="EC33" i="54"/>
  <c r="EA202" i="54"/>
  <c r="EA201" i="54"/>
  <c r="EA200" i="54"/>
  <c r="EA199" i="54"/>
  <c r="EA198" i="54"/>
  <c r="EA197" i="54"/>
  <c r="EA196" i="54"/>
  <c r="EA195" i="54"/>
  <c r="EA194" i="54"/>
  <c r="EA193" i="54"/>
  <c r="EA192" i="54"/>
  <c r="EA191" i="54"/>
  <c r="EA190" i="54"/>
  <c r="EA189" i="54"/>
  <c r="EA188" i="54"/>
  <c r="EA187" i="54"/>
  <c r="EA186" i="54"/>
  <c r="EA185" i="54"/>
  <c r="EA184" i="54"/>
  <c r="EA183" i="54"/>
  <c r="EA182" i="54"/>
  <c r="G118" i="38"/>
  <c r="N84" i="74" l="1"/>
  <c r="N69" i="74"/>
  <c r="N90" i="74" s="1"/>
  <c r="J12" i="71"/>
  <c r="J14" i="71" s="1"/>
  <c r="J15" i="71" s="1"/>
  <c r="K43" i="70"/>
  <c r="S44" i="68"/>
  <c r="W37" i="67"/>
  <c r="W38" i="67" s="1"/>
  <c r="U38" i="67"/>
  <c r="AK15" i="45"/>
  <c r="AQ13" i="45"/>
  <c r="N30" i="69"/>
  <c r="N44" i="68"/>
  <c r="U43" i="68"/>
  <c r="U44" i="68" s="1"/>
  <c r="Y288" i="42"/>
  <c r="N18" i="67" s="1"/>
  <c r="X227" i="42"/>
  <c r="X66" i="38"/>
  <c r="I16" i="69"/>
  <c r="I29" i="68"/>
  <c r="I46" i="68" s="1"/>
  <c r="H29" i="70"/>
  <c r="H46" i="70" s="1"/>
  <c r="AJ289" i="42"/>
  <c r="P33" i="69"/>
  <c r="W110" i="38"/>
  <c r="W111" i="38" s="1"/>
  <c r="W116" i="38" s="1"/>
  <c r="W96" i="38"/>
  <c r="W101" i="38" s="1"/>
  <c r="U111" i="38"/>
  <c r="U116" i="38" s="1"/>
  <c r="AI110" i="38"/>
  <c r="AI111" i="38" s="1"/>
  <c r="AI116" i="38" s="1"/>
  <c r="H27" i="68"/>
  <c r="V111" i="38"/>
  <c r="V116" i="38" s="1"/>
  <c r="L21" i="68"/>
  <c r="L10" i="69"/>
  <c r="L64" i="68"/>
  <c r="L65" i="68" s="1"/>
  <c r="L66" i="68" s="1"/>
  <c r="K12" i="69"/>
  <c r="K51" i="69"/>
  <c r="K52" i="69" s="1"/>
  <c r="K53" i="69" s="1"/>
  <c r="J17" i="70"/>
  <c r="R64" i="68"/>
  <c r="R65" i="68" s="1"/>
  <c r="R66" i="68" s="1"/>
  <c r="R21" i="68"/>
  <c r="X289" i="42"/>
  <c r="X291" i="42" s="1"/>
  <c r="M17" i="67"/>
  <c r="R12" i="69"/>
  <c r="R51" i="69"/>
  <c r="R52" i="69" s="1"/>
  <c r="R53" i="69" s="1"/>
  <c r="W291" i="42"/>
  <c r="Y224" i="42"/>
  <c r="Y286" i="42" s="1"/>
  <c r="Y217" i="42"/>
  <c r="Z226" i="42"/>
  <c r="Y81" i="42"/>
  <c r="AA79" i="42"/>
  <c r="Z79" i="42"/>
  <c r="Z78" i="42"/>
  <c r="Z287" i="42" s="1"/>
  <c r="AA78" i="42"/>
  <c r="AA287" i="42" s="1"/>
  <c r="Z77" i="42"/>
  <c r="Z80" i="42"/>
  <c r="M17" i="68" s="1"/>
  <c r="DP68" i="54"/>
  <c r="CJ68" i="54"/>
  <c r="DS68" i="54"/>
  <c r="FD48" i="54"/>
  <c r="FR48" i="54"/>
  <c r="BF48" i="54"/>
  <c r="BE48" i="54"/>
  <c r="BG48" i="54"/>
  <c r="BB48" i="54"/>
  <c r="BC48" i="54"/>
  <c r="AY48" i="54"/>
  <c r="AZ48" i="54" s="1"/>
  <c r="BD48" i="54"/>
  <c r="BO48" i="54"/>
  <c r="BQ48" i="54"/>
  <c r="BH48" i="54"/>
  <c r="BP48" i="54" s="1"/>
  <c r="BN48" i="54"/>
  <c r="BR48" i="54" s="1"/>
  <c r="AG48" i="54"/>
  <c r="CE48" i="54"/>
  <c r="CW48" i="54"/>
  <c r="CB48" i="54"/>
  <c r="DL48" i="54" s="1"/>
  <c r="FM48" i="54"/>
  <c r="CM48" i="54"/>
  <c r="CN48" i="54"/>
  <c r="CV48" i="54"/>
  <c r="CD48" i="54"/>
  <c r="BT48" i="54"/>
  <c r="CO48" i="54"/>
  <c r="ED48" i="54"/>
  <c r="FN48" i="54" s="1"/>
  <c r="CL48" i="54"/>
  <c r="AD48" i="54"/>
  <c r="BU48" i="54"/>
  <c r="CP48" i="54"/>
  <c r="EG48" i="54"/>
  <c r="FQ48" i="54" s="1"/>
  <c r="BV48" i="54"/>
  <c r="CQ48" i="54"/>
  <c r="DI48" i="54" s="1"/>
  <c r="EF48" i="54"/>
  <c r="FP48" i="54" s="1"/>
  <c r="BW48" i="54"/>
  <c r="CR48" i="54"/>
  <c r="CZ48" i="54" s="1"/>
  <c r="CA48" i="54"/>
  <c r="DK48" i="54" s="1"/>
  <c r="CC48" i="54"/>
  <c r="EE48" i="54"/>
  <c r="BX48" i="54"/>
  <c r="G166" i="42"/>
  <c r="AM166" i="42" s="1"/>
  <c r="G146" i="43"/>
  <c r="AM169" i="42" l="1"/>
  <c r="AM189" i="42" s="1"/>
  <c r="AM186" i="42"/>
  <c r="X292" i="42"/>
  <c r="Y37" i="67"/>
  <c r="Y38" i="67"/>
  <c r="W43" i="68"/>
  <c r="W44" i="68"/>
  <c r="N31" i="69"/>
  <c r="S30" i="69"/>
  <c r="U30" i="69"/>
  <c r="U31" i="69" s="1"/>
  <c r="K44" i="70"/>
  <c r="N43" i="70"/>
  <c r="J27" i="68"/>
  <c r="J16" i="69" s="1"/>
  <c r="J17" i="69" s="1"/>
  <c r="J33" i="69" s="1"/>
  <c r="Z288" i="42"/>
  <c r="O18" i="67" s="1"/>
  <c r="X228" i="42"/>
  <c r="L19" i="67"/>
  <c r="L21" i="67" s="1"/>
  <c r="L40" i="67" s="1"/>
  <c r="W120" i="38"/>
  <c r="AJ291" i="42"/>
  <c r="AJ292" i="42"/>
  <c r="K19" i="67"/>
  <c r="V120" i="38"/>
  <c r="I17" i="69"/>
  <c r="I33" i="69" s="1"/>
  <c r="AJ66" i="38"/>
  <c r="AJ69" i="38" s="1"/>
  <c r="AJ95" i="38" s="1"/>
  <c r="AJ96" i="38" s="1"/>
  <c r="AJ101" i="38" s="1"/>
  <c r="X69" i="38"/>
  <c r="X95" i="38" s="1"/>
  <c r="H16" i="69"/>
  <c r="H29" i="68"/>
  <c r="H46" i="68" s="1"/>
  <c r="Q27" i="68"/>
  <c r="AI120" i="38"/>
  <c r="J19" i="67"/>
  <c r="U120" i="38"/>
  <c r="AA226" i="42"/>
  <c r="AA288" i="42" s="1"/>
  <c r="P18" i="67" s="1"/>
  <c r="AN216" i="42"/>
  <c r="AK216" i="42"/>
  <c r="AK226" i="42" s="1"/>
  <c r="AK288" i="42" s="1"/>
  <c r="Y227" i="42"/>
  <c r="Y66" i="38"/>
  <c r="Y69" i="38" s="1"/>
  <c r="Y95" i="38" s="1"/>
  <c r="M21" i="68"/>
  <c r="M10" i="69"/>
  <c r="M64" i="68"/>
  <c r="M65" i="68" s="1"/>
  <c r="M66" i="68" s="1"/>
  <c r="J21" i="70"/>
  <c r="J64" i="70"/>
  <c r="J65" i="70" s="1"/>
  <c r="J66" i="70" s="1"/>
  <c r="T17" i="67"/>
  <c r="L12" i="69"/>
  <c r="L51" i="69"/>
  <c r="L52" i="69" s="1"/>
  <c r="L53" i="69" s="1"/>
  <c r="Y289" i="42"/>
  <c r="Y291" i="42" s="1"/>
  <c r="N17" i="67"/>
  <c r="Z224" i="42"/>
  <c r="Z286" i="42" s="1"/>
  <c r="Z217" i="42"/>
  <c r="Z81" i="42"/>
  <c r="AA80" i="42"/>
  <c r="DT68" i="54"/>
  <c r="DA48" i="54"/>
  <c r="AH48" i="54"/>
  <c r="DH48" i="54"/>
  <c r="CX48" i="54"/>
  <c r="DJ48" i="54"/>
  <c r="DR48" i="54" s="1"/>
  <c r="CY48" i="54"/>
  <c r="DB48" i="54"/>
  <c r="DN48" i="54"/>
  <c r="DO48" i="54"/>
  <c r="EK48" i="54"/>
  <c r="FO48" i="54"/>
  <c r="FU48" i="54" s="1"/>
  <c r="FK48" i="54"/>
  <c r="FS48" i="54" s="1"/>
  <c r="EI48" i="54"/>
  <c r="DD48" i="54"/>
  <c r="CF48" i="54"/>
  <c r="DE48" i="54"/>
  <c r="DM48" i="54"/>
  <c r="DS48" i="54" s="1"/>
  <c r="CI48" i="54"/>
  <c r="DG48" i="54"/>
  <c r="DQ48" i="54" s="1"/>
  <c r="CG48" i="54"/>
  <c r="FL48" i="54"/>
  <c r="FT48" i="54" s="1"/>
  <c r="EJ48" i="54"/>
  <c r="DF48" i="54"/>
  <c r="CH48" i="54"/>
  <c r="DZ179" i="54"/>
  <c r="DZ178" i="54"/>
  <c r="DZ177" i="54"/>
  <c r="DZ176" i="54"/>
  <c r="DZ175" i="54"/>
  <c r="DZ174" i="54"/>
  <c r="DZ173" i="54"/>
  <c r="DZ172" i="54"/>
  <c r="DZ171" i="54"/>
  <c r="M844" i="58"/>
  <c r="M843" i="58"/>
  <c r="M842" i="58"/>
  <c r="M841" i="58"/>
  <c r="M840" i="58"/>
  <c r="M839" i="58"/>
  <c r="M838" i="58"/>
  <c r="M837" i="58"/>
  <c r="M835" i="58"/>
  <c r="M834" i="58"/>
  <c r="M833" i="58"/>
  <c r="M832" i="58"/>
  <c r="M831" i="58"/>
  <c r="M830" i="58"/>
  <c r="M829" i="58"/>
  <c r="M827" i="58"/>
  <c r="M826" i="58"/>
  <c r="M824" i="58"/>
  <c r="M823" i="58"/>
  <c r="M822" i="58"/>
  <c r="M821" i="58"/>
  <c r="M820" i="58"/>
  <c r="M819" i="58"/>
  <c r="M818" i="58"/>
  <c r="M816" i="58"/>
  <c r="M815" i="58"/>
  <c r="M814" i="58"/>
  <c r="M813" i="58"/>
  <c r="M812" i="58"/>
  <c r="M811" i="58"/>
  <c r="M810" i="58"/>
  <c r="M809" i="58"/>
  <c r="M808" i="58"/>
  <c r="M807" i="58"/>
  <c r="M806" i="58"/>
  <c r="M803" i="58"/>
  <c r="M800" i="58"/>
  <c r="M799" i="58"/>
  <c r="M798" i="58"/>
  <c r="M797" i="58"/>
  <c r="M791" i="58"/>
  <c r="M790" i="58"/>
  <c r="M786" i="58"/>
  <c r="M785" i="58"/>
  <c r="M784" i="58"/>
  <c r="M783" i="58"/>
  <c r="M782" i="58"/>
  <c r="M781" i="58"/>
  <c r="M780" i="58"/>
  <c r="M779" i="58"/>
  <c r="M778" i="58"/>
  <c r="M777" i="58"/>
  <c r="M776" i="58"/>
  <c r="M775" i="58"/>
  <c r="M774" i="58"/>
  <c r="M773" i="58"/>
  <c r="M772" i="58"/>
  <c r="M771" i="58"/>
  <c r="M770" i="58"/>
  <c r="M769" i="58"/>
  <c r="M768" i="58"/>
  <c r="M767" i="58"/>
  <c r="M766" i="58"/>
  <c r="M765" i="58"/>
  <c r="M764" i="58"/>
  <c r="M763" i="58"/>
  <c r="M761" i="58"/>
  <c r="M760" i="58"/>
  <c r="M759" i="58"/>
  <c r="M758" i="58"/>
  <c r="M757" i="58"/>
  <c r="M756" i="58"/>
  <c r="M755" i="58"/>
  <c r="M754" i="58"/>
  <c r="M753" i="58"/>
  <c r="M752" i="58"/>
  <c r="M751" i="58"/>
  <c r="M750" i="58"/>
  <c r="M749" i="58"/>
  <c r="M748" i="58"/>
  <c r="M747" i="58"/>
  <c r="M746" i="58"/>
  <c r="M745" i="58"/>
  <c r="M744" i="58"/>
  <c r="M743" i="58"/>
  <c r="M742" i="58"/>
  <c r="M741" i="58"/>
  <c r="M740" i="58"/>
  <c r="M739" i="58"/>
  <c r="M738" i="58"/>
  <c r="M737" i="58"/>
  <c r="M736" i="58"/>
  <c r="M735" i="58"/>
  <c r="M734" i="58"/>
  <c r="M733" i="58"/>
  <c r="M732" i="58"/>
  <c r="M731" i="58"/>
  <c r="M730" i="58"/>
  <c r="M729" i="58"/>
  <c r="M728" i="58"/>
  <c r="M727" i="58"/>
  <c r="M726" i="58"/>
  <c r="M725" i="58"/>
  <c r="M724" i="58"/>
  <c r="M723" i="58"/>
  <c r="M722" i="58"/>
  <c r="M721" i="58"/>
  <c r="M720" i="58"/>
  <c r="M719" i="58"/>
  <c r="M718" i="58"/>
  <c r="M717" i="58"/>
  <c r="M716" i="58"/>
  <c r="M715" i="58"/>
  <c r="M714" i="58"/>
  <c r="M713" i="58"/>
  <c r="M712" i="58"/>
  <c r="M711" i="58"/>
  <c r="M710" i="58"/>
  <c r="M709" i="58"/>
  <c r="M708" i="58"/>
  <c r="M707" i="58"/>
  <c r="M706" i="58"/>
  <c r="M705" i="58"/>
  <c r="M704" i="58"/>
  <c r="M703" i="58"/>
  <c r="M702" i="58"/>
  <c r="M701" i="58"/>
  <c r="M700" i="58"/>
  <c r="M699" i="58"/>
  <c r="M698" i="58"/>
  <c r="M697" i="58"/>
  <c r="M696" i="58"/>
  <c r="M695" i="58"/>
  <c r="M694" i="58"/>
  <c r="M693" i="58"/>
  <c r="M692" i="58"/>
  <c r="M691" i="58"/>
  <c r="M690" i="58"/>
  <c r="M689" i="58"/>
  <c r="M688" i="58"/>
  <c r="M687" i="58"/>
  <c r="M686" i="58"/>
  <c r="M685" i="58"/>
  <c r="M684" i="58"/>
  <c r="M683" i="58"/>
  <c r="M682" i="58"/>
  <c r="M681" i="58"/>
  <c r="M680" i="58"/>
  <c r="M679" i="58"/>
  <c r="M678" i="58"/>
  <c r="M677" i="58"/>
  <c r="M676" i="58"/>
  <c r="M675" i="58"/>
  <c r="M674" i="58"/>
  <c r="M673" i="58"/>
  <c r="M672" i="58"/>
  <c r="M671" i="58"/>
  <c r="M670" i="58"/>
  <c r="M669" i="58"/>
  <c r="M668" i="58"/>
  <c r="M667" i="58"/>
  <c r="M666" i="58"/>
  <c r="M665" i="58"/>
  <c r="M664" i="58"/>
  <c r="M663" i="58"/>
  <c r="M662" i="58"/>
  <c r="M660" i="58"/>
  <c r="M659" i="58"/>
  <c r="M658" i="58"/>
  <c r="M657" i="58"/>
  <c r="M656" i="58"/>
  <c r="M655" i="58"/>
  <c r="M654" i="58"/>
  <c r="M653" i="58"/>
  <c r="M652" i="58"/>
  <c r="M651" i="58"/>
  <c r="M650" i="58"/>
  <c r="M649" i="58"/>
  <c r="M648" i="58"/>
  <c r="C844" i="58"/>
  <c r="B844" i="58"/>
  <c r="C843" i="58"/>
  <c r="B843" i="58"/>
  <c r="C842" i="58"/>
  <c r="B842" i="58"/>
  <c r="C841" i="58"/>
  <c r="B841" i="58"/>
  <c r="C840" i="58"/>
  <c r="B840" i="58"/>
  <c r="C839" i="58"/>
  <c r="B839" i="58"/>
  <c r="C838" i="58"/>
  <c r="B838" i="58"/>
  <c r="C837" i="58"/>
  <c r="B837" i="58"/>
  <c r="C835" i="58"/>
  <c r="B835" i="58"/>
  <c r="C834" i="58"/>
  <c r="B834" i="58"/>
  <c r="C833" i="58"/>
  <c r="B833" i="58"/>
  <c r="C832" i="58"/>
  <c r="B832" i="58"/>
  <c r="C831" i="58"/>
  <c r="B831" i="58"/>
  <c r="C830" i="58"/>
  <c r="B830" i="58"/>
  <c r="C829" i="58"/>
  <c r="B829" i="58"/>
  <c r="C827" i="58"/>
  <c r="B827" i="58"/>
  <c r="C826" i="58"/>
  <c r="B826" i="58"/>
  <c r="C824" i="58"/>
  <c r="B824" i="58"/>
  <c r="C823" i="58"/>
  <c r="B823" i="58"/>
  <c r="C822" i="58"/>
  <c r="B822" i="58"/>
  <c r="C821" i="58"/>
  <c r="B821" i="58"/>
  <c r="C820" i="58"/>
  <c r="B820" i="58"/>
  <c r="C819" i="58"/>
  <c r="B819" i="58"/>
  <c r="C818" i="58"/>
  <c r="B818" i="58"/>
  <c r="C816" i="58"/>
  <c r="B816" i="58"/>
  <c r="C815" i="58"/>
  <c r="B815" i="58"/>
  <c r="C814" i="58"/>
  <c r="B814" i="58"/>
  <c r="C813" i="58"/>
  <c r="B813" i="58"/>
  <c r="C812" i="58"/>
  <c r="B812" i="58"/>
  <c r="C811" i="58"/>
  <c r="B811" i="58"/>
  <c r="C810" i="58"/>
  <c r="B810" i="58"/>
  <c r="C809" i="58"/>
  <c r="B809" i="58"/>
  <c r="C808" i="58"/>
  <c r="B808" i="58"/>
  <c r="C807" i="58"/>
  <c r="B807" i="58"/>
  <c r="C806" i="58"/>
  <c r="B806" i="58"/>
  <c r="C803" i="58"/>
  <c r="B803" i="58"/>
  <c r="C800" i="58"/>
  <c r="B800" i="58"/>
  <c r="C799" i="58"/>
  <c r="B799" i="58"/>
  <c r="C798" i="58"/>
  <c r="B798" i="58"/>
  <c r="C797" i="58"/>
  <c r="B797" i="58"/>
  <c r="C791" i="58"/>
  <c r="B791" i="58"/>
  <c r="C790" i="58"/>
  <c r="B790" i="58"/>
  <c r="C786" i="58"/>
  <c r="B786" i="58"/>
  <c r="C785" i="58"/>
  <c r="B785" i="58"/>
  <c r="C784" i="58"/>
  <c r="B784" i="58"/>
  <c r="C783" i="58"/>
  <c r="B783" i="58"/>
  <c r="C782" i="58"/>
  <c r="B782" i="58"/>
  <c r="C781" i="58"/>
  <c r="B781" i="58"/>
  <c r="C780" i="58"/>
  <c r="B780" i="58"/>
  <c r="C779" i="58"/>
  <c r="B779" i="58"/>
  <c r="C778" i="58"/>
  <c r="B778" i="58"/>
  <c r="C777" i="58"/>
  <c r="B777" i="58"/>
  <c r="C776" i="58"/>
  <c r="B776" i="58"/>
  <c r="C775" i="58"/>
  <c r="B775" i="58"/>
  <c r="C774" i="58"/>
  <c r="B774" i="58"/>
  <c r="C773" i="58"/>
  <c r="B773" i="58"/>
  <c r="C772" i="58"/>
  <c r="B772" i="58"/>
  <c r="C771" i="58"/>
  <c r="B771" i="58"/>
  <c r="C770" i="58"/>
  <c r="B770" i="58"/>
  <c r="C769" i="58"/>
  <c r="B769" i="58"/>
  <c r="C768" i="58"/>
  <c r="B768" i="58"/>
  <c r="C767" i="58"/>
  <c r="B767" i="58"/>
  <c r="C766" i="58"/>
  <c r="B766" i="58"/>
  <c r="C765" i="58"/>
  <c r="B765" i="58"/>
  <c r="C764" i="58"/>
  <c r="B764" i="58"/>
  <c r="C763" i="58"/>
  <c r="B763" i="58"/>
  <c r="C761" i="58"/>
  <c r="B761" i="58"/>
  <c r="C760" i="58"/>
  <c r="B760" i="58"/>
  <c r="C759" i="58"/>
  <c r="B759" i="58"/>
  <c r="C758" i="58"/>
  <c r="B758" i="58"/>
  <c r="C757" i="58"/>
  <c r="B757" i="58"/>
  <c r="C756" i="58"/>
  <c r="B756" i="58"/>
  <c r="C755" i="58"/>
  <c r="B755" i="58"/>
  <c r="C754" i="58"/>
  <c r="B754" i="58"/>
  <c r="C753" i="58"/>
  <c r="B753" i="58"/>
  <c r="C752" i="58"/>
  <c r="B752" i="58"/>
  <c r="C751" i="58"/>
  <c r="B751" i="58"/>
  <c r="C750" i="58"/>
  <c r="B750" i="58"/>
  <c r="C749" i="58"/>
  <c r="B749" i="58"/>
  <c r="C748" i="58"/>
  <c r="B748" i="58"/>
  <c r="C747" i="58"/>
  <c r="B747" i="58"/>
  <c r="C746" i="58"/>
  <c r="B746" i="58"/>
  <c r="C745" i="58"/>
  <c r="B745" i="58"/>
  <c r="C744" i="58"/>
  <c r="B744" i="58"/>
  <c r="C743" i="58"/>
  <c r="B743" i="58"/>
  <c r="C742" i="58"/>
  <c r="B742" i="58"/>
  <c r="C741" i="58"/>
  <c r="B741" i="58"/>
  <c r="C740" i="58"/>
  <c r="B740" i="58"/>
  <c r="C739" i="58"/>
  <c r="B739" i="58"/>
  <c r="C738" i="58"/>
  <c r="B738" i="58"/>
  <c r="C737" i="58"/>
  <c r="B737" i="58"/>
  <c r="C736" i="58"/>
  <c r="B736" i="58"/>
  <c r="C735" i="58"/>
  <c r="B735" i="58"/>
  <c r="C734" i="58"/>
  <c r="B734" i="58"/>
  <c r="C733" i="58"/>
  <c r="B733" i="58"/>
  <c r="C732" i="58"/>
  <c r="B732" i="58"/>
  <c r="C731" i="58"/>
  <c r="B731" i="58"/>
  <c r="C730" i="58"/>
  <c r="B730" i="58"/>
  <c r="C729" i="58"/>
  <c r="B729" i="58"/>
  <c r="C728" i="58"/>
  <c r="B728" i="58"/>
  <c r="C727" i="58"/>
  <c r="B727" i="58"/>
  <c r="C726" i="58"/>
  <c r="B726" i="58"/>
  <c r="C725" i="58"/>
  <c r="B725" i="58"/>
  <c r="C724" i="58"/>
  <c r="B724" i="58"/>
  <c r="C723" i="58"/>
  <c r="B723" i="58"/>
  <c r="C722" i="58"/>
  <c r="B722" i="58"/>
  <c r="C721" i="58"/>
  <c r="B721" i="58"/>
  <c r="C720" i="58"/>
  <c r="B720" i="58"/>
  <c r="C719" i="58"/>
  <c r="B719" i="58"/>
  <c r="C718" i="58"/>
  <c r="B718" i="58"/>
  <c r="C717" i="58"/>
  <c r="B717" i="58"/>
  <c r="C716" i="58"/>
  <c r="B716" i="58"/>
  <c r="C715" i="58"/>
  <c r="B715" i="58"/>
  <c r="C714" i="58"/>
  <c r="B714" i="58"/>
  <c r="C713" i="58"/>
  <c r="B713" i="58"/>
  <c r="C712" i="58"/>
  <c r="B712" i="58"/>
  <c r="C711" i="58"/>
  <c r="B711" i="58"/>
  <c r="C710" i="58"/>
  <c r="B710" i="58"/>
  <c r="C709" i="58"/>
  <c r="B709" i="58"/>
  <c r="C708" i="58"/>
  <c r="B708" i="58"/>
  <c r="C707" i="58"/>
  <c r="B707" i="58"/>
  <c r="C706" i="58"/>
  <c r="B706" i="58"/>
  <c r="C705" i="58"/>
  <c r="B705" i="58"/>
  <c r="C704" i="58"/>
  <c r="B704" i="58"/>
  <c r="C703" i="58"/>
  <c r="B703" i="58"/>
  <c r="C702" i="58"/>
  <c r="B702" i="58"/>
  <c r="C701" i="58"/>
  <c r="B701" i="58"/>
  <c r="C700" i="58"/>
  <c r="B700" i="58"/>
  <c r="C699" i="58"/>
  <c r="B699" i="58"/>
  <c r="C698" i="58"/>
  <c r="B698" i="58"/>
  <c r="C697" i="58"/>
  <c r="B697" i="58"/>
  <c r="C696" i="58"/>
  <c r="B696" i="58"/>
  <c r="C695" i="58"/>
  <c r="B695" i="58"/>
  <c r="C694" i="58"/>
  <c r="B694" i="58"/>
  <c r="C693" i="58"/>
  <c r="B693" i="58"/>
  <c r="C692" i="58"/>
  <c r="B692" i="58"/>
  <c r="C691" i="58"/>
  <c r="B691" i="58"/>
  <c r="C690" i="58"/>
  <c r="B690" i="58"/>
  <c r="C689" i="58"/>
  <c r="B689" i="58"/>
  <c r="C688" i="58"/>
  <c r="B688" i="58"/>
  <c r="C687" i="58"/>
  <c r="B687" i="58"/>
  <c r="C686" i="58"/>
  <c r="B686" i="58"/>
  <c r="C685" i="58"/>
  <c r="B685" i="58"/>
  <c r="C684" i="58"/>
  <c r="B684" i="58"/>
  <c r="C683" i="58"/>
  <c r="B683" i="58"/>
  <c r="C682" i="58"/>
  <c r="B682" i="58"/>
  <c r="C681" i="58"/>
  <c r="B681" i="58"/>
  <c r="C680" i="58"/>
  <c r="B680" i="58"/>
  <c r="C679" i="58"/>
  <c r="B679" i="58"/>
  <c r="C678" i="58"/>
  <c r="B678" i="58"/>
  <c r="C677" i="58"/>
  <c r="B677" i="58"/>
  <c r="C676" i="58"/>
  <c r="B676" i="58"/>
  <c r="C675" i="58"/>
  <c r="B675" i="58"/>
  <c r="C674" i="58"/>
  <c r="B674" i="58"/>
  <c r="C673" i="58"/>
  <c r="B673" i="58"/>
  <c r="C672" i="58"/>
  <c r="B672" i="58"/>
  <c r="C671" i="58"/>
  <c r="B671" i="58"/>
  <c r="C670" i="58"/>
  <c r="B670" i="58"/>
  <c r="C669" i="58"/>
  <c r="B669" i="58"/>
  <c r="C668" i="58"/>
  <c r="B668" i="58"/>
  <c r="C667" i="58"/>
  <c r="B667" i="58"/>
  <c r="C666" i="58"/>
  <c r="B666" i="58"/>
  <c r="C665" i="58"/>
  <c r="B665" i="58"/>
  <c r="C664" i="58"/>
  <c r="B664" i="58"/>
  <c r="C663" i="58"/>
  <c r="B663" i="58"/>
  <c r="C662" i="58"/>
  <c r="B662" i="58"/>
  <c r="C660" i="58"/>
  <c r="B660" i="58"/>
  <c r="C659" i="58"/>
  <c r="B659" i="58"/>
  <c r="C658" i="58"/>
  <c r="B658" i="58"/>
  <c r="C657" i="58"/>
  <c r="B657" i="58"/>
  <c r="C656" i="58"/>
  <c r="B656" i="58"/>
  <c r="C655" i="58"/>
  <c r="B655" i="58"/>
  <c r="C654" i="58"/>
  <c r="B654" i="58"/>
  <c r="C653" i="58"/>
  <c r="B653" i="58"/>
  <c r="C652" i="58"/>
  <c r="B652" i="58"/>
  <c r="C651" i="58"/>
  <c r="B651" i="58"/>
  <c r="C650" i="58"/>
  <c r="B650" i="58"/>
  <c r="C649" i="58"/>
  <c r="B649" i="58"/>
  <c r="C648" i="58"/>
  <c r="B648" i="58"/>
  <c r="G70" i="35"/>
  <c r="G69" i="35"/>
  <c r="G15" i="45"/>
  <c r="G31" i="45"/>
  <c r="F83" i="54"/>
  <c r="P40" i="54"/>
  <c r="FI34" i="54"/>
  <c r="FH34" i="54"/>
  <c r="FG34" i="54"/>
  <c r="FF34" i="54"/>
  <c r="EZ34" i="54"/>
  <c r="EH34" i="54"/>
  <c r="AU34" i="54"/>
  <c r="AT34" i="54"/>
  <c r="AS34" i="54"/>
  <c r="AY34" i="54" s="1"/>
  <c r="AR34" i="54"/>
  <c r="AQ34" i="54"/>
  <c r="AP34" i="54"/>
  <c r="AO34" i="54"/>
  <c r="AN34" i="54"/>
  <c r="AM34" i="54"/>
  <c r="AL34" i="54"/>
  <c r="AK34" i="54"/>
  <c r="AJ34" i="54"/>
  <c r="AC34" i="54"/>
  <c r="BM34" i="54" s="1"/>
  <c r="AB34" i="54"/>
  <c r="BL34" i="54" s="1"/>
  <c r="AA34" i="54"/>
  <c r="Z34" i="54"/>
  <c r="Y34" i="54"/>
  <c r="X34" i="54"/>
  <c r="W34" i="54"/>
  <c r="V34" i="54"/>
  <c r="U34" i="54"/>
  <c r="T34" i="54"/>
  <c r="S34" i="54"/>
  <c r="R34" i="54"/>
  <c r="P34" i="54"/>
  <c r="O34" i="54"/>
  <c r="EB34" i="54" s="1"/>
  <c r="G34" i="54"/>
  <c r="FI16" i="54"/>
  <c r="FH16" i="54"/>
  <c r="FG16" i="54"/>
  <c r="FF16" i="54"/>
  <c r="FR16" i="54" s="1"/>
  <c r="EZ16" i="54"/>
  <c r="EH16" i="54"/>
  <c r="CP16" i="54"/>
  <c r="AU16" i="54"/>
  <c r="AT16" i="54"/>
  <c r="AS16" i="54"/>
  <c r="AR16" i="54"/>
  <c r="AQ16" i="54"/>
  <c r="AP16" i="54"/>
  <c r="AO16" i="54"/>
  <c r="AN16" i="54"/>
  <c r="AM16" i="54"/>
  <c r="AW16" i="54" s="1"/>
  <c r="AL16" i="54"/>
  <c r="AK16" i="54"/>
  <c r="AJ16" i="54"/>
  <c r="AV16" i="54" s="1"/>
  <c r="AC16" i="54"/>
  <c r="AB16" i="54"/>
  <c r="AA16" i="54"/>
  <c r="Z16" i="54"/>
  <c r="Y16" i="54"/>
  <c r="X16" i="54"/>
  <c r="W16" i="54"/>
  <c r="V16" i="54"/>
  <c r="U16" i="54"/>
  <c r="T16" i="54"/>
  <c r="S16" i="54"/>
  <c r="P16" i="54"/>
  <c r="O16" i="54"/>
  <c r="EG16" i="54" s="1"/>
  <c r="G16" i="54"/>
  <c r="DZ169" i="54"/>
  <c r="DZ168" i="54"/>
  <c r="DZ167" i="54"/>
  <c r="DZ154" i="54"/>
  <c r="DZ153" i="54"/>
  <c r="DZ152" i="54"/>
  <c r="DZ164" i="54"/>
  <c r="DZ162" i="54"/>
  <c r="DZ160" i="54"/>
  <c r="DZ163" i="54"/>
  <c r="DZ158" i="54"/>
  <c r="DZ161" i="54"/>
  <c r="DZ156" i="54"/>
  <c r="DZ166" i="54"/>
  <c r="DZ151" i="54"/>
  <c r="DZ157" i="54"/>
  <c r="DZ165" i="54"/>
  <c r="DZ159" i="54"/>
  <c r="DZ155" i="54"/>
  <c r="AM244" i="42"/>
  <c r="AM242" i="42"/>
  <c r="AC72" i="43"/>
  <c r="AD72" i="43"/>
  <c r="AE72" i="43"/>
  <c r="AF72" i="43"/>
  <c r="AC73" i="43"/>
  <c r="AD73" i="43"/>
  <c r="AE73" i="43"/>
  <c r="AF73" i="43"/>
  <c r="AC74" i="43"/>
  <c r="AD74" i="43"/>
  <c r="AE74" i="43"/>
  <c r="AF74" i="43"/>
  <c r="AC75" i="43"/>
  <c r="AD75" i="43"/>
  <c r="AE75" i="43"/>
  <c r="AF75" i="43"/>
  <c r="AC76" i="43"/>
  <c r="AD76" i="43"/>
  <c r="AE76" i="43"/>
  <c r="AF76" i="43"/>
  <c r="AC78" i="43"/>
  <c r="AD78" i="43"/>
  <c r="AE78" i="43"/>
  <c r="AF78" i="43"/>
  <c r="AC79" i="43"/>
  <c r="AD79" i="43"/>
  <c r="AE79" i="43"/>
  <c r="AF79" i="43"/>
  <c r="AC80" i="43"/>
  <c r="AD80" i="43"/>
  <c r="AE80" i="43"/>
  <c r="AF80" i="43"/>
  <c r="AC81" i="43"/>
  <c r="AD81" i="43"/>
  <c r="AE81" i="43"/>
  <c r="AF81" i="43"/>
  <c r="AC82" i="43"/>
  <c r="AD82" i="43"/>
  <c r="AE82" i="43"/>
  <c r="AF82" i="43"/>
  <c r="AC83" i="43"/>
  <c r="AD83" i="43"/>
  <c r="AE83" i="43"/>
  <c r="AF83" i="43"/>
  <c r="AC84" i="43"/>
  <c r="AD84" i="43"/>
  <c r="AE84" i="43"/>
  <c r="AF84" i="43"/>
  <c r="AC71" i="43"/>
  <c r="AD71" i="43"/>
  <c r="AE71" i="43"/>
  <c r="AF71" i="43"/>
  <c r="AC94" i="43"/>
  <c r="AD94" i="43"/>
  <c r="AE94" i="43"/>
  <c r="AF94" i="43"/>
  <c r="AF117" i="43"/>
  <c r="AE117" i="43"/>
  <c r="AD117" i="43"/>
  <c r="AC117" i="43"/>
  <c r="AC34" i="43"/>
  <c r="F118" i="38"/>
  <c r="F59" i="35"/>
  <c r="F43" i="35"/>
  <c r="F42" i="35"/>
  <c r="F41" i="35"/>
  <c r="F40" i="35"/>
  <c r="F39" i="35"/>
  <c r="F38" i="35"/>
  <c r="F37" i="35"/>
  <c r="F36" i="35"/>
  <c r="F35" i="35"/>
  <c r="F70" i="35"/>
  <c r="F69" i="35"/>
  <c r="F226" i="42"/>
  <c r="F225" i="42"/>
  <c r="F224" i="42"/>
  <c r="F202" i="42"/>
  <c r="F197" i="42"/>
  <c r="G197" i="42"/>
  <c r="AS164" i="42"/>
  <c r="AS163" i="42"/>
  <c r="I17" i="71" l="1"/>
  <c r="I23" i="71" s="1"/>
  <c r="AM245" i="42"/>
  <c r="AM279" i="42"/>
  <c r="AP79" i="43"/>
  <c r="AP72" i="43"/>
  <c r="J29" i="68"/>
  <c r="J46" i="68" s="1"/>
  <c r="AP78" i="43"/>
  <c r="AP84" i="43"/>
  <c r="AP83" i="43"/>
  <c r="AP117" i="43"/>
  <c r="AP82" i="43"/>
  <c r="AP76" i="43"/>
  <c r="AP73" i="43"/>
  <c r="AP94" i="43"/>
  <c r="AP81" i="43"/>
  <c r="AP75" i="43"/>
  <c r="AP71" i="43"/>
  <c r="AP80" i="43"/>
  <c r="AP74" i="43"/>
  <c r="T43" i="70"/>
  <c r="N44" i="70"/>
  <c r="S31" i="69"/>
  <c r="W31" i="69" s="1"/>
  <c r="W30" i="69"/>
  <c r="U18" i="67"/>
  <c r="W18" i="67"/>
  <c r="AQ216" i="42"/>
  <c r="AN226" i="42"/>
  <c r="J21" i="67"/>
  <c r="J40" i="67" s="1"/>
  <c r="S19" i="67"/>
  <c r="S21" i="67" s="1"/>
  <c r="S40" i="67" s="1"/>
  <c r="AN214" i="42"/>
  <c r="AK214" i="42"/>
  <c r="Z227" i="42"/>
  <c r="Z66" i="38"/>
  <c r="Z69" i="38" s="1"/>
  <c r="Z95" i="38" s="1"/>
  <c r="I27" i="70"/>
  <c r="Q29" i="68"/>
  <c r="Q46" i="68" s="1"/>
  <c r="H17" i="69"/>
  <c r="H33" i="69" s="1"/>
  <c r="Q16" i="69"/>
  <c r="Q17" i="69" s="1"/>
  <c r="X110" i="38"/>
  <c r="X96" i="38"/>
  <c r="X101" i="38" s="1"/>
  <c r="Y110" i="38"/>
  <c r="Y96" i="38"/>
  <c r="Y101" i="38" s="1"/>
  <c r="K21" i="67"/>
  <c r="K40" i="67" s="1"/>
  <c r="Y228" i="42"/>
  <c r="L27" i="68"/>
  <c r="M12" i="69"/>
  <c r="M51" i="69"/>
  <c r="M52" i="69" s="1"/>
  <c r="M53" i="69" s="1"/>
  <c r="AA81" i="42"/>
  <c r="N17" i="68"/>
  <c r="Z289" i="42"/>
  <c r="O17" i="67"/>
  <c r="Y292" i="42"/>
  <c r="Z291" i="42"/>
  <c r="Z292" i="42"/>
  <c r="AA224" i="42"/>
  <c r="AA286" i="42" s="1"/>
  <c r="AA217" i="42"/>
  <c r="AD34" i="54"/>
  <c r="CL16" i="54"/>
  <c r="CM16" i="54"/>
  <c r="CN16" i="54"/>
  <c r="CX16" i="54" s="1"/>
  <c r="CO16" i="54"/>
  <c r="FR34" i="54"/>
  <c r="CJ48" i="54"/>
  <c r="DP48" i="54"/>
  <c r="DT48" i="54" s="1"/>
  <c r="EL48" i="54"/>
  <c r="FV48" i="54"/>
  <c r="AW34" i="54"/>
  <c r="AV34" i="54"/>
  <c r="BW16" i="54"/>
  <c r="DG16" i="54" s="1"/>
  <c r="BX16" i="54"/>
  <c r="DH16" i="54" s="1"/>
  <c r="BY16" i="54"/>
  <c r="BF34" i="54"/>
  <c r="BZ16" i="54"/>
  <c r="CG16" i="54"/>
  <c r="BE34" i="54"/>
  <c r="BU34" i="54"/>
  <c r="BV34" i="54"/>
  <c r="BW34" i="54"/>
  <c r="BX34" i="54"/>
  <c r="BY34" i="54"/>
  <c r="BZ34" i="54"/>
  <c r="CL34" i="54"/>
  <c r="CM34" i="54"/>
  <c r="DE34" i="54" s="1"/>
  <c r="CU34" i="54"/>
  <c r="EA165" i="54"/>
  <c r="EF34" i="54"/>
  <c r="EG34" i="54"/>
  <c r="BG34" i="54"/>
  <c r="EC34" i="54"/>
  <c r="BH34" i="54"/>
  <c r="ED34" i="54"/>
  <c r="BI34" i="54"/>
  <c r="EE34" i="54"/>
  <c r="BJ34" i="54"/>
  <c r="BK34" i="54"/>
  <c r="BQ34" i="54" s="1"/>
  <c r="BT34" i="54"/>
  <c r="ES34" i="54"/>
  <c r="CO34" i="54"/>
  <c r="BB34" i="54"/>
  <c r="CP34" i="54"/>
  <c r="DH34" i="54" s="1"/>
  <c r="BC34" i="54"/>
  <c r="AX34" i="54"/>
  <c r="CQ34" i="54"/>
  <c r="BD34" i="54"/>
  <c r="CR34" i="54"/>
  <c r="CN34" i="54"/>
  <c r="CS34" i="54"/>
  <c r="CT34" i="54"/>
  <c r="ET34" i="54"/>
  <c r="FL34" i="54" s="1"/>
  <c r="AE34" i="54"/>
  <c r="CA34" i="54"/>
  <c r="CV34" i="54"/>
  <c r="EU34" i="54"/>
  <c r="AF34" i="54"/>
  <c r="CB34" i="54"/>
  <c r="CW34" i="54"/>
  <c r="EV34" i="54"/>
  <c r="CC34" i="54"/>
  <c r="EW34" i="54"/>
  <c r="AG34" i="54"/>
  <c r="CD34" i="54"/>
  <c r="EX34" i="54"/>
  <c r="CE34" i="54"/>
  <c r="EY34" i="54"/>
  <c r="BL16" i="54"/>
  <c r="BK16" i="54"/>
  <c r="BE16" i="54"/>
  <c r="BF16" i="54"/>
  <c r="ES16" i="54"/>
  <c r="BH16" i="54"/>
  <c r="BT16" i="54"/>
  <c r="DD16" i="54" s="1"/>
  <c r="AX16" i="54"/>
  <c r="BI16" i="54"/>
  <c r="BU16" i="54"/>
  <c r="DE16" i="54" s="1"/>
  <c r="FJ16" i="54"/>
  <c r="BJ16" i="54"/>
  <c r="BV16" i="54"/>
  <c r="DF16" i="54" s="1"/>
  <c r="EB16" i="54"/>
  <c r="CQ16" i="54"/>
  <c r="EC16" i="54"/>
  <c r="CR16" i="54"/>
  <c r="ED16" i="54"/>
  <c r="CS16" i="54"/>
  <c r="EE16" i="54"/>
  <c r="BM16" i="54"/>
  <c r="BC16" i="54"/>
  <c r="AY16" i="54"/>
  <c r="CT16" i="54"/>
  <c r="EF16" i="54"/>
  <c r="BD16" i="54"/>
  <c r="CU16" i="54"/>
  <c r="AE16" i="54"/>
  <c r="ET16" i="54"/>
  <c r="CA16" i="54"/>
  <c r="CV16" i="54"/>
  <c r="EU16" i="54"/>
  <c r="BG16" i="54"/>
  <c r="CB16" i="54"/>
  <c r="CW16" i="54"/>
  <c r="EV16" i="54"/>
  <c r="AF16" i="54"/>
  <c r="AG16" i="54"/>
  <c r="R16" i="54"/>
  <c r="CC16" i="54"/>
  <c r="EW16" i="54"/>
  <c r="CD16" i="54"/>
  <c r="EX16" i="54"/>
  <c r="CE16" i="54"/>
  <c r="EY16" i="54"/>
  <c r="FQ16" i="54" s="1"/>
  <c r="E12" i="54"/>
  <c r="E27" i="54"/>
  <c r="DY142" i="54"/>
  <c r="DY139" i="54"/>
  <c r="DY148" i="54"/>
  <c r="DY147" i="54"/>
  <c r="DY135" i="54"/>
  <c r="DY137" i="54"/>
  <c r="DY143" i="54"/>
  <c r="DY146" i="54"/>
  <c r="DY140" i="54"/>
  <c r="DY136" i="54"/>
  <c r="DY145" i="54"/>
  <c r="DY144" i="54"/>
  <c r="DY141" i="54"/>
  <c r="DY138" i="54"/>
  <c r="Y18" i="67" l="1"/>
  <c r="T44" i="70"/>
  <c r="Z110" i="38"/>
  <c r="Z111" i="38" s="1"/>
  <c r="Z116" i="38" s="1"/>
  <c r="Z96" i="38"/>
  <c r="Z101" i="38" s="1"/>
  <c r="AN217" i="42"/>
  <c r="AN224" i="42"/>
  <c r="AQ214" i="42"/>
  <c r="L16" i="69"/>
  <c r="L29" i="68"/>
  <c r="L46" i="68" s="1"/>
  <c r="Y111" i="38"/>
  <c r="Y116" i="38" s="1"/>
  <c r="AK217" i="42"/>
  <c r="AK227" i="42" s="1"/>
  <c r="AK224" i="42"/>
  <c r="AK286" i="42" s="1"/>
  <c r="Z228" i="42"/>
  <c r="M27" i="68"/>
  <c r="AA227" i="42"/>
  <c r="AA66" i="38"/>
  <c r="Q33" i="69"/>
  <c r="AQ226" i="42"/>
  <c r="AN288" i="42"/>
  <c r="X111" i="38"/>
  <c r="X116" i="38" s="1"/>
  <c r="AJ110" i="38"/>
  <c r="AJ111" i="38" s="1"/>
  <c r="AJ116" i="38" s="1"/>
  <c r="K27" i="68"/>
  <c r="I29" i="70"/>
  <c r="I46" i="70" s="1"/>
  <c r="N10" i="69"/>
  <c r="N21" i="68"/>
  <c r="N64" i="68"/>
  <c r="N65" i="68" s="1"/>
  <c r="N66" i="68" s="1"/>
  <c r="U17" i="68"/>
  <c r="S17" i="68"/>
  <c r="AA289" i="42"/>
  <c r="AA292" i="42" s="1"/>
  <c r="P17" i="67"/>
  <c r="FM34" i="54"/>
  <c r="EJ34" i="54"/>
  <c r="FN16" i="54"/>
  <c r="FP16" i="54"/>
  <c r="BO16" i="54"/>
  <c r="DI16" i="54"/>
  <c r="DQ16" i="54" s="1"/>
  <c r="BO34" i="54"/>
  <c r="DF34" i="54"/>
  <c r="DI34" i="54"/>
  <c r="BQ16" i="54"/>
  <c r="AZ34" i="54"/>
  <c r="EK34" i="54"/>
  <c r="CG34" i="54"/>
  <c r="FP34" i="54"/>
  <c r="DD34" i="54"/>
  <c r="DP34" i="54" s="1"/>
  <c r="FQ34" i="54"/>
  <c r="DO34" i="54"/>
  <c r="CF34" i="54"/>
  <c r="DN34" i="54"/>
  <c r="BP34" i="54"/>
  <c r="FN34" i="54"/>
  <c r="FT34" i="54" s="1"/>
  <c r="FK34" i="54"/>
  <c r="CZ34" i="54"/>
  <c r="DJ34" i="54"/>
  <c r="CY34" i="54"/>
  <c r="DG34" i="54"/>
  <c r="CX34" i="54"/>
  <c r="BN34" i="54"/>
  <c r="DL34" i="54"/>
  <c r="DA34" i="54"/>
  <c r="FA34" i="54"/>
  <c r="AH34" i="54"/>
  <c r="FC34" i="54"/>
  <c r="FO34" i="54"/>
  <c r="FJ34" i="54"/>
  <c r="EI34" i="54"/>
  <c r="EL34" i="54" s="1"/>
  <c r="DM34" i="54"/>
  <c r="CI34" i="54"/>
  <c r="DK34" i="54"/>
  <c r="CH34" i="54"/>
  <c r="FB34" i="54"/>
  <c r="FM16" i="54"/>
  <c r="BP16" i="54"/>
  <c r="FA16" i="54"/>
  <c r="EJ16" i="54"/>
  <c r="DP16" i="54"/>
  <c r="CF16" i="54"/>
  <c r="AZ16" i="54"/>
  <c r="CZ16" i="54"/>
  <c r="DJ16" i="54"/>
  <c r="EK16" i="54"/>
  <c r="DL16" i="54"/>
  <c r="DA16" i="54"/>
  <c r="FO16" i="54"/>
  <c r="CY16" i="54"/>
  <c r="FB16" i="54"/>
  <c r="DO16" i="54"/>
  <c r="DN16" i="54"/>
  <c r="FU16" i="54"/>
  <c r="CH16" i="54"/>
  <c r="DK16" i="54"/>
  <c r="BB16" i="54"/>
  <c r="BN16" i="54" s="1"/>
  <c r="AD16" i="54"/>
  <c r="AH16" i="54" s="1"/>
  <c r="FC16" i="54"/>
  <c r="EI16" i="54"/>
  <c r="FK16" i="54"/>
  <c r="FS16" i="54" s="1"/>
  <c r="CI16" i="54"/>
  <c r="DM16" i="54"/>
  <c r="FL16" i="54"/>
  <c r="DZ146" i="54"/>
  <c r="DZ148" i="54"/>
  <c r="M644" i="58"/>
  <c r="M646" i="58"/>
  <c r="M643" i="58"/>
  <c r="M645" i="58"/>
  <c r="M647" i="58"/>
  <c r="M637" i="58"/>
  <c r="M641" i="58"/>
  <c r="M640" i="58"/>
  <c r="M639" i="58"/>
  <c r="M638" i="58"/>
  <c r="M636" i="58"/>
  <c r="M642" i="58"/>
  <c r="M632" i="58"/>
  <c r="M631" i="58"/>
  <c r="M629" i="58"/>
  <c r="M633" i="58"/>
  <c r="M630" i="58"/>
  <c r="M634" i="58"/>
  <c r="M635" i="58"/>
  <c r="M626" i="58"/>
  <c r="M624" i="58"/>
  <c r="M625" i="58"/>
  <c r="M627" i="58"/>
  <c r="M628" i="58"/>
  <c r="M623" i="58"/>
  <c r="M621" i="58"/>
  <c r="M622" i="58"/>
  <c r="M620" i="58"/>
  <c r="M619" i="58"/>
  <c r="M618" i="58"/>
  <c r="M617" i="58"/>
  <c r="M610" i="58"/>
  <c r="M615" i="58"/>
  <c r="M613" i="58"/>
  <c r="M612" i="58"/>
  <c r="M614" i="58"/>
  <c r="M611" i="58"/>
  <c r="M616" i="58"/>
  <c r="M608" i="58"/>
  <c r="M609" i="58"/>
  <c r="M605" i="58"/>
  <c r="M607" i="58"/>
  <c r="M606" i="58"/>
  <c r="M604" i="58"/>
  <c r="M603" i="58"/>
  <c r="M602" i="58"/>
  <c r="M601" i="58"/>
  <c r="M600" i="58"/>
  <c r="M597" i="58"/>
  <c r="M599" i="58"/>
  <c r="M598" i="58"/>
  <c r="M595" i="58"/>
  <c r="M594" i="58"/>
  <c r="M593" i="58"/>
  <c r="M596" i="58"/>
  <c r="M592" i="58"/>
  <c r="M588" i="58"/>
  <c r="M589" i="58"/>
  <c r="M590" i="58"/>
  <c r="M591" i="58"/>
  <c r="M587" i="58"/>
  <c r="M586" i="58"/>
  <c r="M585" i="58"/>
  <c r="M584" i="58"/>
  <c r="M582" i="58"/>
  <c r="M583" i="58"/>
  <c r="M549" i="58"/>
  <c r="M548" i="58"/>
  <c r="M547" i="58"/>
  <c r="M546" i="58"/>
  <c r="M545" i="58"/>
  <c r="M544" i="58"/>
  <c r="M543" i="58"/>
  <c r="M542" i="58"/>
  <c r="M541" i="58"/>
  <c r="M540" i="58"/>
  <c r="M539" i="58"/>
  <c r="M538" i="58"/>
  <c r="M537" i="58"/>
  <c r="M536" i="58"/>
  <c r="M535" i="58"/>
  <c r="M534" i="58"/>
  <c r="M533" i="58"/>
  <c r="M532" i="58"/>
  <c r="M531" i="58"/>
  <c r="M530" i="58"/>
  <c r="M529" i="58"/>
  <c r="M528" i="58"/>
  <c r="M527" i="58"/>
  <c r="M526" i="58"/>
  <c r="M525" i="58"/>
  <c r="M524" i="58"/>
  <c r="M523" i="58"/>
  <c r="M522" i="58"/>
  <c r="M521" i="58"/>
  <c r="M511" i="58"/>
  <c r="M510" i="58"/>
  <c r="M551" i="58"/>
  <c r="M560" i="58"/>
  <c r="M509" i="58"/>
  <c r="M555" i="58"/>
  <c r="M520" i="58"/>
  <c r="M519" i="58"/>
  <c r="M518" i="58"/>
  <c r="M556" i="58"/>
  <c r="M557" i="58"/>
  <c r="M559" i="58"/>
  <c r="M554" i="58"/>
  <c r="M512" i="58"/>
  <c r="M553" i="58"/>
  <c r="M578" i="58"/>
  <c r="M562" i="58"/>
  <c r="M563" i="58"/>
  <c r="M577" i="58"/>
  <c r="M576" i="58"/>
  <c r="M579" i="58"/>
  <c r="M516" i="58"/>
  <c r="M513" i="58"/>
  <c r="M575" i="58"/>
  <c r="M574" i="58"/>
  <c r="M573" i="58"/>
  <c r="M572" i="58"/>
  <c r="M571" i="58"/>
  <c r="M570" i="58"/>
  <c r="M569" i="58"/>
  <c r="M565" i="58"/>
  <c r="M568" i="58"/>
  <c r="M567" i="58"/>
  <c r="M514" i="58"/>
  <c r="M550" i="58"/>
  <c r="M558" i="58"/>
  <c r="M566" i="58"/>
  <c r="M517" i="58"/>
  <c r="M561" i="58"/>
  <c r="M552" i="58"/>
  <c r="M581" i="58"/>
  <c r="M515" i="58"/>
  <c r="M580" i="58"/>
  <c r="M564" i="58"/>
  <c r="M507" i="58"/>
  <c r="M506" i="58"/>
  <c r="M508" i="58"/>
  <c r="M504" i="58"/>
  <c r="M505" i="58"/>
  <c r="M502" i="58"/>
  <c r="M503" i="58"/>
  <c r="M498" i="58"/>
  <c r="M499" i="58"/>
  <c r="M500" i="58"/>
  <c r="M497" i="58"/>
  <c r="M501" i="58"/>
  <c r="M487" i="58"/>
  <c r="M488" i="58"/>
  <c r="M492" i="58"/>
  <c r="M491" i="58"/>
  <c r="M495" i="58"/>
  <c r="M485" i="58"/>
  <c r="M494" i="58"/>
  <c r="M490" i="58"/>
  <c r="M489" i="58"/>
  <c r="M496" i="58"/>
  <c r="M493" i="58"/>
  <c r="M486" i="58"/>
  <c r="C644" i="58"/>
  <c r="B644" i="58"/>
  <c r="C646" i="58"/>
  <c r="B646" i="58"/>
  <c r="C643" i="58"/>
  <c r="B643" i="58"/>
  <c r="C645" i="58"/>
  <c r="B645" i="58"/>
  <c r="C647" i="58"/>
  <c r="B647" i="58"/>
  <c r="C637" i="58"/>
  <c r="B637" i="58"/>
  <c r="C641" i="58"/>
  <c r="B641" i="58"/>
  <c r="C640" i="58"/>
  <c r="B640" i="58"/>
  <c r="C639" i="58"/>
  <c r="B639" i="58"/>
  <c r="C638" i="58"/>
  <c r="B638" i="58"/>
  <c r="C636" i="58"/>
  <c r="B636" i="58"/>
  <c r="C642" i="58"/>
  <c r="B642" i="58"/>
  <c r="C632" i="58"/>
  <c r="B632" i="58"/>
  <c r="C631" i="58"/>
  <c r="B631" i="58"/>
  <c r="C629" i="58"/>
  <c r="B629" i="58"/>
  <c r="C633" i="58"/>
  <c r="B633" i="58"/>
  <c r="C630" i="58"/>
  <c r="B630" i="58"/>
  <c r="C634" i="58"/>
  <c r="B634" i="58"/>
  <c r="C635" i="58"/>
  <c r="B635" i="58"/>
  <c r="C626" i="58"/>
  <c r="B626" i="58"/>
  <c r="C624" i="58"/>
  <c r="B624" i="58"/>
  <c r="C625" i="58"/>
  <c r="B625" i="58"/>
  <c r="C627" i="58"/>
  <c r="B627" i="58"/>
  <c r="C628" i="58"/>
  <c r="B628" i="58"/>
  <c r="C623" i="58"/>
  <c r="B623" i="58"/>
  <c r="C621" i="58"/>
  <c r="B621" i="58"/>
  <c r="C622" i="58"/>
  <c r="B622" i="58"/>
  <c r="C620" i="58"/>
  <c r="B620" i="58"/>
  <c r="C619" i="58"/>
  <c r="B619" i="58"/>
  <c r="C618" i="58"/>
  <c r="B618" i="58"/>
  <c r="C617" i="58"/>
  <c r="B617" i="58"/>
  <c r="C610" i="58"/>
  <c r="B610" i="58"/>
  <c r="C615" i="58"/>
  <c r="B615" i="58"/>
  <c r="C613" i="58"/>
  <c r="B613" i="58"/>
  <c r="C612" i="58"/>
  <c r="B612" i="58"/>
  <c r="C614" i="58"/>
  <c r="B614" i="58"/>
  <c r="C611" i="58"/>
  <c r="B611" i="58"/>
  <c r="C616" i="58"/>
  <c r="B616" i="58"/>
  <c r="C608" i="58"/>
  <c r="B608" i="58"/>
  <c r="C609" i="58"/>
  <c r="B609" i="58"/>
  <c r="C605" i="58"/>
  <c r="B605" i="58"/>
  <c r="C607" i="58"/>
  <c r="B607" i="58"/>
  <c r="C606" i="58"/>
  <c r="B606" i="58"/>
  <c r="C604" i="58"/>
  <c r="B604" i="58"/>
  <c r="C603" i="58"/>
  <c r="B603" i="58"/>
  <c r="C602" i="58"/>
  <c r="B602" i="58"/>
  <c r="C601" i="58"/>
  <c r="B601" i="58"/>
  <c r="C600" i="58"/>
  <c r="B600" i="58"/>
  <c r="C597" i="58"/>
  <c r="B597" i="58"/>
  <c r="C599" i="58"/>
  <c r="B599" i="58"/>
  <c r="C598" i="58"/>
  <c r="B598" i="58"/>
  <c r="C595" i="58"/>
  <c r="B595" i="58"/>
  <c r="C594" i="58"/>
  <c r="B594" i="58"/>
  <c r="C593" i="58"/>
  <c r="B593" i="58"/>
  <c r="C596" i="58"/>
  <c r="B596" i="58"/>
  <c r="C592" i="58"/>
  <c r="B592" i="58"/>
  <c r="C588" i="58"/>
  <c r="B588" i="58"/>
  <c r="C589" i="58"/>
  <c r="B589" i="58"/>
  <c r="C590" i="58"/>
  <c r="B590" i="58"/>
  <c r="C591" i="58"/>
  <c r="B591" i="58"/>
  <c r="C587" i="58"/>
  <c r="B587" i="58"/>
  <c r="C586" i="58"/>
  <c r="B586" i="58"/>
  <c r="C585" i="58"/>
  <c r="B585" i="58"/>
  <c r="C584" i="58"/>
  <c r="B584" i="58"/>
  <c r="C582" i="58"/>
  <c r="B582" i="58"/>
  <c r="C583" i="58"/>
  <c r="B583" i="58"/>
  <c r="C549" i="58"/>
  <c r="B549" i="58"/>
  <c r="C548" i="58"/>
  <c r="B548" i="58"/>
  <c r="C547" i="58"/>
  <c r="B547" i="58"/>
  <c r="C546" i="58"/>
  <c r="B546" i="58"/>
  <c r="C545" i="58"/>
  <c r="B545" i="58"/>
  <c r="C544" i="58"/>
  <c r="B544" i="58"/>
  <c r="C543" i="58"/>
  <c r="B543" i="58"/>
  <c r="C542" i="58"/>
  <c r="B542" i="58"/>
  <c r="C541" i="58"/>
  <c r="B541" i="58"/>
  <c r="C540" i="58"/>
  <c r="B540" i="58"/>
  <c r="C539" i="58"/>
  <c r="B539" i="58"/>
  <c r="C538" i="58"/>
  <c r="B538" i="58"/>
  <c r="C537" i="58"/>
  <c r="B537" i="58"/>
  <c r="C536" i="58"/>
  <c r="B536" i="58"/>
  <c r="C535" i="58"/>
  <c r="B535" i="58"/>
  <c r="C534" i="58"/>
  <c r="B534" i="58"/>
  <c r="C533" i="58"/>
  <c r="B533" i="58"/>
  <c r="C532" i="58"/>
  <c r="B532" i="58"/>
  <c r="C531" i="58"/>
  <c r="B531" i="58"/>
  <c r="C530" i="58"/>
  <c r="B530" i="58"/>
  <c r="C529" i="58"/>
  <c r="B529" i="58"/>
  <c r="C528" i="58"/>
  <c r="B528" i="58"/>
  <c r="C527" i="58"/>
  <c r="B527" i="58"/>
  <c r="C526" i="58"/>
  <c r="B526" i="58"/>
  <c r="C525" i="58"/>
  <c r="B525" i="58"/>
  <c r="C524" i="58"/>
  <c r="B524" i="58"/>
  <c r="C523" i="58"/>
  <c r="B523" i="58"/>
  <c r="C522" i="58"/>
  <c r="B522" i="58"/>
  <c r="C521" i="58"/>
  <c r="B521" i="58"/>
  <c r="C511" i="58"/>
  <c r="B511" i="58"/>
  <c r="C510" i="58"/>
  <c r="B510" i="58"/>
  <c r="C551" i="58"/>
  <c r="B551" i="58"/>
  <c r="C560" i="58"/>
  <c r="B560" i="58"/>
  <c r="C509" i="58"/>
  <c r="B509" i="58"/>
  <c r="C555" i="58"/>
  <c r="B555" i="58"/>
  <c r="C520" i="58"/>
  <c r="B520" i="58"/>
  <c r="C519" i="58"/>
  <c r="B519" i="58"/>
  <c r="C518" i="58"/>
  <c r="B518" i="58"/>
  <c r="C556" i="58"/>
  <c r="B556" i="58"/>
  <c r="C557" i="58"/>
  <c r="B557" i="58"/>
  <c r="C559" i="58"/>
  <c r="B559" i="58"/>
  <c r="C554" i="58"/>
  <c r="B554" i="58"/>
  <c r="C512" i="58"/>
  <c r="B512" i="58"/>
  <c r="C553" i="58"/>
  <c r="B553" i="58"/>
  <c r="C578" i="58"/>
  <c r="B578" i="58"/>
  <c r="C562" i="58"/>
  <c r="B562" i="58"/>
  <c r="C563" i="58"/>
  <c r="B563" i="58"/>
  <c r="C577" i="58"/>
  <c r="B577" i="58"/>
  <c r="C576" i="58"/>
  <c r="B576" i="58"/>
  <c r="C579" i="58"/>
  <c r="B579" i="58"/>
  <c r="C516" i="58"/>
  <c r="B516" i="58"/>
  <c r="C513" i="58"/>
  <c r="B513" i="58"/>
  <c r="C575" i="58"/>
  <c r="B575" i="58"/>
  <c r="C574" i="58"/>
  <c r="B574" i="58"/>
  <c r="C573" i="58"/>
  <c r="B573" i="58"/>
  <c r="C572" i="58"/>
  <c r="B572" i="58"/>
  <c r="C571" i="58"/>
  <c r="B571" i="58"/>
  <c r="C570" i="58"/>
  <c r="B570" i="58"/>
  <c r="C569" i="58"/>
  <c r="B569" i="58"/>
  <c r="C565" i="58"/>
  <c r="B565" i="58"/>
  <c r="C568" i="58"/>
  <c r="B568" i="58"/>
  <c r="C567" i="58"/>
  <c r="B567" i="58"/>
  <c r="C514" i="58"/>
  <c r="B514" i="58"/>
  <c r="C550" i="58"/>
  <c r="B550" i="58"/>
  <c r="C558" i="58"/>
  <c r="B558" i="58"/>
  <c r="C566" i="58"/>
  <c r="B566" i="58"/>
  <c r="C517" i="58"/>
  <c r="B517" i="58"/>
  <c r="C561" i="58"/>
  <c r="B561" i="58"/>
  <c r="C552" i="58"/>
  <c r="B552" i="58"/>
  <c r="C581" i="58"/>
  <c r="B581" i="58"/>
  <c r="C515" i="58"/>
  <c r="B515" i="58"/>
  <c r="C580" i="58"/>
  <c r="B580" i="58"/>
  <c r="C564" i="58"/>
  <c r="B564" i="58"/>
  <c r="C507" i="58"/>
  <c r="B507" i="58"/>
  <c r="C506" i="58"/>
  <c r="B506" i="58"/>
  <c r="C508" i="58"/>
  <c r="B508" i="58"/>
  <c r="C504" i="58"/>
  <c r="B504" i="58"/>
  <c r="C505" i="58"/>
  <c r="B505" i="58"/>
  <c r="C502" i="58"/>
  <c r="B502" i="58"/>
  <c r="C503" i="58"/>
  <c r="B503" i="58"/>
  <c r="C498" i="58"/>
  <c r="B498" i="58"/>
  <c r="C499" i="58"/>
  <c r="B499" i="58"/>
  <c r="C500" i="58"/>
  <c r="B500" i="58"/>
  <c r="C497" i="58"/>
  <c r="B497" i="58"/>
  <c r="C501" i="58"/>
  <c r="B501" i="58"/>
  <c r="C487" i="58"/>
  <c r="B487" i="58"/>
  <c r="C488" i="58"/>
  <c r="B488" i="58"/>
  <c r="C492" i="58"/>
  <c r="B492" i="58"/>
  <c r="C491" i="58"/>
  <c r="B491" i="58"/>
  <c r="C495" i="58"/>
  <c r="B495" i="58"/>
  <c r="C485" i="58"/>
  <c r="B485" i="58"/>
  <c r="C494" i="58"/>
  <c r="B494" i="58"/>
  <c r="C490" i="58"/>
  <c r="B490" i="58"/>
  <c r="C489" i="58"/>
  <c r="B489" i="58"/>
  <c r="C496" i="58"/>
  <c r="B496" i="58"/>
  <c r="C493" i="58"/>
  <c r="B493" i="58"/>
  <c r="C486" i="58"/>
  <c r="B486" i="58"/>
  <c r="EH26" i="54"/>
  <c r="AU26" i="54"/>
  <c r="AT26" i="54"/>
  <c r="AS26" i="54"/>
  <c r="AR26" i="54"/>
  <c r="AQ26" i="54"/>
  <c r="AP26" i="54"/>
  <c r="AO26" i="54"/>
  <c r="AN26" i="54"/>
  <c r="AM26" i="54"/>
  <c r="AL26" i="54"/>
  <c r="AK26" i="54"/>
  <c r="AJ26" i="54"/>
  <c r="AC26" i="54"/>
  <c r="AB26" i="54"/>
  <c r="AA26" i="54"/>
  <c r="Z26" i="54"/>
  <c r="Y26" i="54"/>
  <c r="X26" i="54"/>
  <c r="W26" i="54"/>
  <c r="V26" i="54"/>
  <c r="U26" i="54"/>
  <c r="T26" i="54"/>
  <c r="S26" i="54"/>
  <c r="R26" i="54"/>
  <c r="P26" i="54"/>
  <c r="O26" i="54"/>
  <c r="EF26" i="54" s="1"/>
  <c r="G26" i="54"/>
  <c r="AA291" i="42" l="1"/>
  <c r="K12" i="71"/>
  <c r="K14" i="71" s="1"/>
  <c r="K15" i="71" s="1"/>
  <c r="AA228" i="42"/>
  <c r="M16" i="69"/>
  <c r="M17" i="69" s="1"/>
  <c r="M33" i="69" s="1"/>
  <c r="M29" i="68"/>
  <c r="M46" i="68" s="1"/>
  <c r="AJ120" i="38"/>
  <c r="AK289" i="42"/>
  <c r="AK291" i="42" s="1"/>
  <c r="M19" i="67"/>
  <c r="X120" i="38"/>
  <c r="N19" i="67"/>
  <c r="Y120" i="38"/>
  <c r="L17" i="69"/>
  <c r="L33" i="69" s="1"/>
  <c r="AQ288" i="42"/>
  <c r="AN66" i="38"/>
  <c r="AN69" i="38" s="1"/>
  <c r="AN95" i="38" s="1"/>
  <c r="AN96" i="38" s="1"/>
  <c r="AN101" i="38" s="1"/>
  <c r="AK66" i="38"/>
  <c r="AK69" i="38" s="1"/>
  <c r="AK95" i="38" s="1"/>
  <c r="AK96" i="38" s="1"/>
  <c r="AK101" i="38" s="1"/>
  <c r="AA69" i="38"/>
  <c r="AA95" i="38" s="1"/>
  <c r="AQ224" i="42"/>
  <c r="AN286" i="42"/>
  <c r="AQ286" i="42" s="1"/>
  <c r="AN227" i="42"/>
  <c r="AQ227" i="42" s="1"/>
  <c r="AQ217" i="42"/>
  <c r="O19" i="67"/>
  <c r="O21" i="67" s="1"/>
  <c r="O40" i="67" s="1"/>
  <c r="Z120" i="38"/>
  <c r="K16" i="69"/>
  <c r="K29" i="68"/>
  <c r="K46" i="68" s="1"/>
  <c r="R27" i="68"/>
  <c r="K17" i="70"/>
  <c r="S64" i="68"/>
  <c r="S65" i="68" s="1"/>
  <c r="S66" i="68" s="1"/>
  <c r="S21" i="68"/>
  <c r="W17" i="68"/>
  <c r="W17" i="67"/>
  <c r="U17" i="67"/>
  <c r="U64" i="68"/>
  <c r="U65" i="68" s="1"/>
  <c r="U66" i="68" s="1"/>
  <c r="U21" i="68"/>
  <c r="N12" i="69"/>
  <c r="N51" i="69"/>
  <c r="N52" i="69" s="1"/>
  <c r="N53" i="69" s="1"/>
  <c r="U10" i="69"/>
  <c r="S10" i="69"/>
  <c r="FT16" i="54"/>
  <c r="DB34" i="54"/>
  <c r="DS34" i="54"/>
  <c r="FU34" i="54"/>
  <c r="BR34" i="54"/>
  <c r="AD26" i="54"/>
  <c r="DQ34" i="54"/>
  <c r="FS34" i="54"/>
  <c r="AX26" i="54"/>
  <c r="DR34" i="54"/>
  <c r="DT34" i="54" s="1"/>
  <c r="CJ34" i="54"/>
  <c r="FD34" i="54"/>
  <c r="FV34" i="54"/>
  <c r="BE26" i="54"/>
  <c r="DR16" i="54"/>
  <c r="DS16" i="54"/>
  <c r="EL16" i="54"/>
  <c r="FD16" i="54"/>
  <c r="BR16" i="54"/>
  <c r="DB16" i="54"/>
  <c r="FV16" i="54"/>
  <c r="CJ16" i="54"/>
  <c r="BF26" i="54"/>
  <c r="AW26" i="54"/>
  <c r="ES26" i="54"/>
  <c r="ET26" i="54"/>
  <c r="EU26" i="54"/>
  <c r="EV26" i="54"/>
  <c r="EW26" i="54"/>
  <c r="EX26" i="54"/>
  <c r="FP26" i="54" s="1"/>
  <c r="AY26" i="54"/>
  <c r="EY26" i="54"/>
  <c r="BC26" i="54"/>
  <c r="BD26" i="54"/>
  <c r="CT26" i="54"/>
  <c r="BB26" i="54"/>
  <c r="BN26" i="54" s="1"/>
  <c r="CW26" i="54"/>
  <c r="BU26" i="54"/>
  <c r="BH26" i="54"/>
  <c r="EG26" i="54"/>
  <c r="BV26" i="54"/>
  <c r="BX26" i="54"/>
  <c r="CN26" i="54"/>
  <c r="CP26" i="54"/>
  <c r="CR26" i="54"/>
  <c r="BL26" i="54"/>
  <c r="BW26" i="54"/>
  <c r="BY26" i="54"/>
  <c r="CO26" i="54"/>
  <c r="CQ26" i="54"/>
  <c r="CS26" i="54"/>
  <c r="BJ26" i="54"/>
  <c r="BM26" i="54"/>
  <c r="FF26" i="54"/>
  <c r="AE26" i="54"/>
  <c r="CU26" i="54"/>
  <c r="FG26" i="54"/>
  <c r="BZ26" i="54"/>
  <c r="BI26" i="54"/>
  <c r="BK26" i="54"/>
  <c r="AV26" i="54"/>
  <c r="BT26" i="54"/>
  <c r="AF26" i="54"/>
  <c r="BG26" i="54"/>
  <c r="CV26" i="54"/>
  <c r="FH26" i="54"/>
  <c r="FJ26" i="54"/>
  <c r="EC26" i="54"/>
  <c r="ED26" i="54"/>
  <c r="AG26" i="54"/>
  <c r="CA26" i="54"/>
  <c r="CC26" i="54"/>
  <c r="CL26" i="54"/>
  <c r="EE26" i="54"/>
  <c r="CB26" i="54"/>
  <c r="DL26" i="54" s="1"/>
  <c r="CD26" i="54"/>
  <c r="CE26" i="54"/>
  <c r="DO26" i="54" s="1"/>
  <c r="EB26" i="54"/>
  <c r="CM26" i="54"/>
  <c r="N12" i="71" l="1"/>
  <c r="J17" i="71"/>
  <c r="J23" i="71" s="1"/>
  <c r="N14" i="71"/>
  <c r="J27" i="70"/>
  <c r="R29" i="68"/>
  <c r="R46" i="68" s="1"/>
  <c r="K17" i="69"/>
  <c r="K33" i="69" s="1"/>
  <c r="R16" i="69"/>
  <c r="M21" i="67"/>
  <c r="M40" i="67" s="1"/>
  <c r="T19" i="67"/>
  <c r="AA110" i="38"/>
  <c r="AA96" i="38"/>
  <c r="AA101" i="38" s="1"/>
  <c r="AK292" i="42"/>
  <c r="N21" i="67"/>
  <c r="N40" i="67" s="1"/>
  <c r="AN289" i="42"/>
  <c r="AN292" i="42" s="1"/>
  <c r="Y17" i="67"/>
  <c r="W21" i="68"/>
  <c r="K21" i="70"/>
  <c r="K64" i="70"/>
  <c r="K65" i="70" s="1"/>
  <c r="K66" i="70" s="1"/>
  <c r="N17" i="70"/>
  <c r="S12" i="69"/>
  <c r="S51" i="69"/>
  <c r="S52" i="69" s="1"/>
  <c r="S53" i="69" s="1"/>
  <c r="W10" i="69"/>
  <c r="U12" i="69"/>
  <c r="U51" i="69"/>
  <c r="U52" i="69" s="1"/>
  <c r="U53" i="69" s="1"/>
  <c r="DT16" i="54"/>
  <c r="BO26" i="54"/>
  <c r="FQ26" i="54"/>
  <c r="FC26" i="54"/>
  <c r="FK26" i="54"/>
  <c r="AZ26" i="54"/>
  <c r="DF26" i="54"/>
  <c r="CF26" i="54"/>
  <c r="AH26" i="54"/>
  <c r="DA26" i="54"/>
  <c r="BQ26" i="54"/>
  <c r="CY26" i="54"/>
  <c r="FR26" i="54"/>
  <c r="DI26" i="54"/>
  <c r="CG26" i="54"/>
  <c r="DG26" i="54"/>
  <c r="DH26" i="54"/>
  <c r="DK26" i="54"/>
  <c r="BP26" i="54"/>
  <c r="BR26" i="54" s="1"/>
  <c r="DE26" i="54"/>
  <c r="CZ26" i="54"/>
  <c r="DJ26" i="54"/>
  <c r="CX26" i="54"/>
  <c r="FB26" i="54"/>
  <c r="FA26" i="54"/>
  <c r="EZ26" i="54"/>
  <c r="CI26" i="54"/>
  <c r="DM26" i="54"/>
  <c r="FN26" i="54"/>
  <c r="FI26" i="54"/>
  <c r="FS26" i="54" s="1"/>
  <c r="EI26" i="54"/>
  <c r="DN26" i="54"/>
  <c r="FO26" i="54"/>
  <c r="FU26" i="54" s="1"/>
  <c r="EK26" i="54"/>
  <c r="FM26" i="54"/>
  <c r="CH26" i="54"/>
  <c r="FL26" i="54"/>
  <c r="EJ26" i="54"/>
  <c r="DD26" i="54"/>
  <c r="N15" i="71" l="1"/>
  <c r="AN291" i="42"/>
  <c r="AQ289" i="42"/>
  <c r="T21" i="67"/>
  <c r="T40" i="67" s="1"/>
  <c r="AA111" i="38"/>
  <c r="AA116" i="38" s="1"/>
  <c r="AK110" i="38"/>
  <c r="AK111" i="38" s="1"/>
  <c r="AK116" i="38" s="1"/>
  <c r="AN110" i="38"/>
  <c r="N27" i="68"/>
  <c r="R17" i="69"/>
  <c r="J29" i="70"/>
  <c r="J46" i="70" s="1"/>
  <c r="T17" i="70"/>
  <c r="N21" i="70"/>
  <c r="N64" i="70"/>
  <c r="N65" i="70" s="1"/>
  <c r="N66" i="70" s="1"/>
  <c r="W12" i="69"/>
  <c r="DP26" i="54"/>
  <c r="DB26" i="54"/>
  <c r="DR26" i="54"/>
  <c r="CJ26" i="54"/>
  <c r="FD26" i="54"/>
  <c r="FT26" i="54"/>
  <c r="DQ26" i="54"/>
  <c r="FV26" i="54"/>
  <c r="EL26" i="54"/>
  <c r="DS26" i="54"/>
  <c r="DT26" i="54" s="1"/>
  <c r="AQ110" i="38" l="1"/>
  <c r="AN111" i="38"/>
  <c r="AK120" i="38"/>
  <c r="R33" i="69"/>
  <c r="P19" i="67"/>
  <c r="AA120" i="38"/>
  <c r="N16" i="69"/>
  <c r="N29" i="68"/>
  <c r="N46" i="68" s="1"/>
  <c r="S27" i="68"/>
  <c r="U27" i="68"/>
  <c r="T21" i="70"/>
  <c r="FK81" i="54"/>
  <c r="FJ81" i="54"/>
  <c r="FH81" i="54"/>
  <c r="FG81" i="54"/>
  <c r="FF81" i="54"/>
  <c r="FR81" i="54" s="1"/>
  <c r="FA81" i="54"/>
  <c r="EZ81" i="54"/>
  <c r="EY81" i="54"/>
  <c r="EX81" i="54"/>
  <c r="EW81" i="54"/>
  <c r="EV81" i="54"/>
  <c r="EU81" i="54"/>
  <c r="FB81" i="54" s="1"/>
  <c r="EH81" i="54"/>
  <c r="EC81" i="54"/>
  <c r="FL81" i="54"/>
  <c r="EI81" i="54"/>
  <c r="CT81" i="54"/>
  <c r="CS81" i="54"/>
  <c r="AV81" i="54"/>
  <c r="AU81" i="54"/>
  <c r="BM81" i="54" s="1"/>
  <c r="AT81" i="54"/>
  <c r="AS81" i="54"/>
  <c r="AR81" i="54"/>
  <c r="AQ81" i="54"/>
  <c r="AP81" i="54"/>
  <c r="AX81" i="54" s="1"/>
  <c r="AO81" i="54"/>
  <c r="AN81" i="54"/>
  <c r="AM81" i="54"/>
  <c r="AL81" i="54"/>
  <c r="AK81" i="54"/>
  <c r="AJ81" i="54"/>
  <c r="AC81" i="54"/>
  <c r="AB81" i="54"/>
  <c r="AA81" i="54"/>
  <c r="Z81" i="54"/>
  <c r="Y81" i="54"/>
  <c r="X81" i="54"/>
  <c r="W81" i="54"/>
  <c r="V81" i="54"/>
  <c r="U81" i="54"/>
  <c r="T81" i="54"/>
  <c r="S81" i="54"/>
  <c r="R81" i="54"/>
  <c r="P81" i="54"/>
  <c r="O81" i="54"/>
  <c r="CC81" i="54" s="1"/>
  <c r="G81" i="54"/>
  <c r="K17" i="71" l="1"/>
  <c r="K23" i="71" s="1"/>
  <c r="N17" i="69"/>
  <c r="N33" i="69" s="1"/>
  <c r="S16" i="69"/>
  <c r="U16" i="69"/>
  <c r="U17" i="69" s="1"/>
  <c r="U33" i="69" s="1"/>
  <c r="K27" i="70"/>
  <c r="S29" i="68"/>
  <c r="S46" i="68" s="1"/>
  <c r="AQ111" i="38"/>
  <c r="AN116" i="38"/>
  <c r="W27" i="68"/>
  <c r="U29" i="68"/>
  <c r="P21" i="67"/>
  <c r="P40" i="67" s="1"/>
  <c r="W19" i="67"/>
  <c r="W21" i="67" s="1"/>
  <c r="W40" i="67" s="1"/>
  <c r="U19" i="67"/>
  <c r="AG81" i="54"/>
  <c r="FC81" i="54"/>
  <c r="BB81" i="54"/>
  <c r="BK81" i="54"/>
  <c r="BJ81" i="54"/>
  <c r="BL81" i="54"/>
  <c r="BI81" i="54"/>
  <c r="EG81" i="54"/>
  <c r="FQ81" i="54" s="1"/>
  <c r="BG81" i="54"/>
  <c r="BT81" i="54"/>
  <c r="BF81" i="54"/>
  <c r="BH81" i="54"/>
  <c r="BP81" i="54" s="1"/>
  <c r="BU81" i="54"/>
  <c r="BZ81" i="54"/>
  <c r="EF81" i="54"/>
  <c r="FP81" i="54" s="1"/>
  <c r="BV81" i="54"/>
  <c r="BW81" i="54"/>
  <c r="BX81" i="54"/>
  <c r="DH81" i="54" s="1"/>
  <c r="BY81" i="54"/>
  <c r="CN81" i="54"/>
  <c r="CP81" i="54"/>
  <c r="CQ81" i="54"/>
  <c r="CO81" i="54"/>
  <c r="CR81" i="54"/>
  <c r="CZ81" i="54" s="1"/>
  <c r="FD81" i="54"/>
  <c r="CD81" i="54"/>
  <c r="CE81" i="54"/>
  <c r="BC81" i="54"/>
  <c r="AY81" i="54"/>
  <c r="FM81" i="54"/>
  <c r="AW81" i="54"/>
  <c r="AZ81" i="54" s="1"/>
  <c r="BD81" i="54"/>
  <c r="CL81" i="54"/>
  <c r="DD81" i="54" s="1"/>
  <c r="ED81" i="54"/>
  <c r="FN81" i="54" s="1"/>
  <c r="BE81" i="54"/>
  <c r="BO81" i="54" s="1"/>
  <c r="CM81" i="54"/>
  <c r="DE81" i="54" s="1"/>
  <c r="EE81" i="54"/>
  <c r="FO81" i="54" s="1"/>
  <c r="FU81" i="54" s="1"/>
  <c r="FI81" i="54"/>
  <c r="FS81" i="54" s="1"/>
  <c r="AD81" i="54"/>
  <c r="AF81" i="54"/>
  <c r="CU81" i="54"/>
  <c r="AE81" i="54"/>
  <c r="CA81" i="54"/>
  <c r="CV81" i="54"/>
  <c r="CB81" i="54"/>
  <c r="DL81" i="54" s="1"/>
  <c r="CW81" i="54"/>
  <c r="N17" i="71" l="1"/>
  <c r="N23" i="71" s="1"/>
  <c r="W29" i="68"/>
  <c r="U46" i="68"/>
  <c r="W46" i="68" s="1"/>
  <c r="K29" i="70"/>
  <c r="K46" i="70" s="1"/>
  <c r="N27" i="70"/>
  <c r="U21" i="67"/>
  <c r="Y19" i="67"/>
  <c r="AN120" i="38"/>
  <c r="AQ116" i="38"/>
  <c r="S17" i="69"/>
  <c r="W16" i="69"/>
  <c r="DN81" i="54"/>
  <c r="BQ81" i="54"/>
  <c r="DI81" i="54"/>
  <c r="CY81" i="54"/>
  <c r="DF81" i="54"/>
  <c r="CG81" i="54"/>
  <c r="DO81" i="54"/>
  <c r="DG81" i="54"/>
  <c r="DQ81" i="54" s="1"/>
  <c r="CF81" i="54"/>
  <c r="FT81" i="54"/>
  <c r="BN81" i="54"/>
  <c r="BR81" i="54" s="1"/>
  <c r="DJ81" i="54"/>
  <c r="CI81" i="54"/>
  <c r="DP81" i="54"/>
  <c r="EK81" i="54"/>
  <c r="CX81" i="54"/>
  <c r="DA81" i="54"/>
  <c r="DB81" i="54" s="1"/>
  <c r="EJ81" i="54"/>
  <c r="EL81" i="54" s="1"/>
  <c r="FV81" i="54"/>
  <c r="AH81" i="54"/>
  <c r="DM81" i="54"/>
  <c r="CH81" i="54"/>
  <c r="DK81" i="54"/>
  <c r="U40" i="67" l="1"/>
  <c r="Y40" i="67" s="1"/>
  <c r="Y21" i="67"/>
  <c r="S33" i="69"/>
  <c r="W33" i="69" s="1"/>
  <c r="W17" i="69"/>
  <c r="T27" i="70"/>
  <c r="N29" i="70"/>
  <c r="CJ81" i="54"/>
  <c r="DS81" i="54"/>
  <c r="DR81" i="54"/>
  <c r="N70" i="37"/>
  <c r="M70" i="37"/>
  <c r="L70" i="37"/>
  <c r="S70" i="37" s="1"/>
  <c r="K70" i="37"/>
  <c r="J70" i="37"/>
  <c r="I70" i="37"/>
  <c r="R70" i="37" s="1"/>
  <c r="H70" i="37"/>
  <c r="G70" i="37"/>
  <c r="F70" i="37"/>
  <c r="Q70" i="37" s="1"/>
  <c r="E70" i="37"/>
  <c r="D70" i="37"/>
  <c r="C70" i="37"/>
  <c r="P70" i="37" s="1"/>
  <c r="U70" i="37" s="1"/>
  <c r="S65" i="37"/>
  <c r="R65" i="37"/>
  <c r="Q65" i="37"/>
  <c r="P65" i="37"/>
  <c r="T29" i="70" l="1"/>
  <c r="N46" i="70"/>
  <c r="U65" i="37"/>
  <c r="DT81" i="54"/>
  <c r="S60" i="37"/>
  <c r="R60" i="37"/>
  <c r="Q60" i="37"/>
  <c r="P60" i="37"/>
  <c r="T46" i="70" l="1"/>
  <c r="U60" i="37"/>
  <c r="EH86" i="54" l="1"/>
  <c r="AU86" i="54"/>
  <c r="AT86" i="54"/>
  <c r="AS86" i="54"/>
  <c r="AR86" i="54"/>
  <c r="AQ86" i="54"/>
  <c r="AP86" i="54"/>
  <c r="AO86" i="54"/>
  <c r="AN86" i="54"/>
  <c r="AM86" i="54"/>
  <c r="AL86" i="54"/>
  <c r="AK86" i="54"/>
  <c r="AJ86" i="54"/>
  <c r="AC86" i="54"/>
  <c r="AB86" i="54"/>
  <c r="AA86" i="54"/>
  <c r="Z86" i="54"/>
  <c r="Y86" i="54"/>
  <c r="X86" i="54"/>
  <c r="W86" i="54"/>
  <c r="V86" i="54"/>
  <c r="U86" i="54"/>
  <c r="T86" i="54"/>
  <c r="S86" i="54"/>
  <c r="R86" i="54"/>
  <c r="AD86" i="54" s="1"/>
  <c r="P86" i="54"/>
  <c r="O86" i="54"/>
  <c r="G86" i="54"/>
  <c r="EH85" i="54"/>
  <c r="AU85" i="54"/>
  <c r="AT85" i="54"/>
  <c r="AS85" i="54"/>
  <c r="AR85" i="54"/>
  <c r="AQ85" i="54"/>
  <c r="AP85" i="54"/>
  <c r="AO85" i="54"/>
  <c r="AN85" i="54"/>
  <c r="AM85" i="54"/>
  <c r="AL85" i="54"/>
  <c r="AK85" i="54"/>
  <c r="AJ85" i="54"/>
  <c r="AC85" i="54"/>
  <c r="AB85" i="54"/>
  <c r="AA85" i="54"/>
  <c r="Z85" i="54"/>
  <c r="Y85" i="54"/>
  <c r="X85" i="54"/>
  <c r="W85" i="54"/>
  <c r="V85" i="54"/>
  <c r="U85" i="54"/>
  <c r="T85" i="54"/>
  <c r="S85" i="54"/>
  <c r="R85" i="54"/>
  <c r="P85" i="54"/>
  <c r="O85" i="54"/>
  <c r="G85" i="54"/>
  <c r="EH84" i="54"/>
  <c r="AU84" i="54"/>
  <c r="AT84" i="54"/>
  <c r="AS84" i="54"/>
  <c r="AR84" i="54"/>
  <c r="AQ84" i="54"/>
  <c r="AP84" i="54"/>
  <c r="AO84" i="54"/>
  <c r="AN84" i="54"/>
  <c r="AM84" i="54"/>
  <c r="AL84" i="54"/>
  <c r="AK84" i="54"/>
  <c r="AJ84" i="54"/>
  <c r="AC84" i="54"/>
  <c r="AB84" i="54"/>
  <c r="AA84" i="54"/>
  <c r="Z84" i="54"/>
  <c r="Y84" i="54"/>
  <c r="X84" i="54"/>
  <c r="W84" i="54"/>
  <c r="V84" i="54"/>
  <c r="U84" i="54"/>
  <c r="T84" i="54"/>
  <c r="S84" i="54"/>
  <c r="R84" i="54"/>
  <c r="P84" i="54"/>
  <c r="O84" i="54"/>
  <c r="G84" i="54"/>
  <c r="EH83" i="54"/>
  <c r="AU83" i="54"/>
  <c r="AT83" i="54"/>
  <c r="AS83" i="54"/>
  <c r="AR83" i="54"/>
  <c r="AQ83" i="54"/>
  <c r="AP83" i="54"/>
  <c r="AO83" i="54"/>
  <c r="AN83" i="54"/>
  <c r="AM83" i="54"/>
  <c r="AL83" i="54"/>
  <c r="AK83" i="54"/>
  <c r="AJ83" i="54"/>
  <c r="AC83" i="54"/>
  <c r="AB83" i="54"/>
  <c r="AA83" i="54"/>
  <c r="Z83" i="54"/>
  <c r="Y83" i="54"/>
  <c r="X83" i="54"/>
  <c r="W83" i="54"/>
  <c r="V83" i="54"/>
  <c r="U83" i="54"/>
  <c r="T83" i="54"/>
  <c r="S83" i="54"/>
  <c r="R83" i="54"/>
  <c r="AD83" i="54" s="1"/>
  <c r="P83" i="54"/>
  <c r="O83" i="54"/>
  <c r="G83" i="54"/>
  <c r="EH82" i="54"/>
  <c r="AU82" i="54"/>
  <c r="AT82" i="54"/>
  <c r="AS82" i="54"/>
  <c r="AR82" i="54"/>
  <c r="AQ82" i="54"/>
  <c r="AP82" i="54"/>
  <c r="AO82" i="54"/>
  <c r="AN82" i="54"/>
  <c r="AM82" i="54"/>
  <c r="AL82" i="54"/>
  <c r="AK82" i="54"/>
  <c r="AJ82" i="54"/>
  <c r="AV82" i="54" s="1"/>
  <c r="AC82" i="54"/>
  <c r="AB82" i="54"/>
  <c r="AA82" i="54"/>
  <c r="Z82" i="54"/>
  <c r="Y82" i="54"/>
  <c r="X82" i="54"/>
  <c r="W82" i="54"/>
  <c r="V82" i="54"/>
  <c r="U82" i="54"/>
  <c r="T82" i="54"/>
  <c r="S82" i="54"/>
  <c r="R82" i="54"/>
  <c r="P82" i="54"/>
  <c r="O82" i="54"/>
  <c r="G82" i="54"/>
  <c r="B40" i="54"/>
  <c r="EH80" i="54"/>
  <c r="AU80" i="54"/>
  <c r="AT80" i="54"/>
  <c r="AS80" i="54"/>
  <c r="AR80" i="54"/>
  <c r="AQ80" i="54"/>
  <c r="AP80" i="54"/>
  <c r="AO80" i="54"/>
  <c r="AN80" i="54"/>
  <c r="AM80" i="54"/>
  <c r="AL80" i="54"/>
  <c r="AK80" i="54"/>
  <c r="AJ80" i="54"/>
  <c r="AC80" i="54"/>
  <c r="AB80" i="54"/>
  <c r="AA80" i="54"/>
  <c r="Z80" i="54"/>
  <c r="Y80" i="54"/>
  <c r="X80" i="54"/>
  <c r="W80" i="54"/>
  <c r="V80" i="54"/>
  <c r="U80" i="54"/>
  <c r="T80" i="54"/>
  <c r="R80" i="54"/>
  <c r="P80" i="54"/>
  <c r="O80" i="54"/>
  <c r="E80" i="54"/>
  <c r="G80" i="54" s="1"/>
  <c r="EH79" i="54"/>
  <c r="AU79" i="54"/>
  <c r="AT79" i="54"/>
  <c r="AS79" i="54"/>
  <c r="AR79" i="54"/>
  <c r="AQ79" i="54"/>
  <c r="AP79" i="54"/>
  <c r="AO79" i="54"/>
  <c r="AN79" i="54"/>
  <c r="AM79" i="54"/>
  <c r="AW79" i="54" s="1"/>
  <c r="AL79" i="54"/>
  <c r="AK79" i="54"/>
  <c r="AJ79" i="54"/>
  <c r="AC79" i="54"/>
  <c r="AB79" i="54"/>
  <c r="AA79" i="54"/>
  <c r="Z79" i="54"/>
  <c r="Y79" i="54"/>
  <c r="X79" i="54"/>
  <c r="W79" i="54"/>
  <c r="V79" i="54"/>
  <c r="U79" i="54"/>
  <c r="T79" i="54"/>
  <c r="S79" i="54"/>
  <c r="R79" i="54"/>
  <c r="P79" i="54"/>
  <c r="O79" i="54"/>
  <c r="G79" i="54"/>
  <c r="B80" i="54"/>
  <c r="B81" i="54" s="1"/>
  <c r="B82" i="54" s="1"/>
  <c r="B83" i="54" s="1"/>
  <c r="B84" i="54" s="1"/>
  <c r="B85" i="54" s="1"/>
  <c r="B86" i="54" s="1"/>
  <c r="B87" i="54" s="1"/>
  <c r="B88" i="54" s="1"/>
  <c r="E46" i="54"/>
  <c r="EH53" i="54"/>
  <c r="AU53" i="54"/>
  <c r="AT53" i="54"/>
  <c r="AS53" i="54"/>
  <c r="AR53" i="54"/>
  <c r="AQ53" i="54"/>
  <c r="AP53" i="54"/>
  <c r="AO53" i="54"/>
  <c r="AN53" i="54"/>
  <c r="AM53" i="54"/>
  <c r="AL53" i="54"/>
  <c r="AK53" i="54"/>
  <c r="AJ53" i="54"/>
  <c r="AV53" i="54" s="1"/>
  <c r="AC53" i="54"/>
  <c r="AB53" i="54"/>
  <c r="AA53" i="54"/>
  <c r="Z53" i="54"/>
  <c r="Y53" i="54"/>
  <c r="X53" i="54"/>
  <c r="W53" i="54"/>
  <c r="V53" i="54"/>
  <c r="U53" i="54"/>
  <c r="T53" i="54"/>
  <c r="S53" i="54"/>
  <c r="R53" i="54"/>
  <c r="P53" i="54"/>
  <c r="O53" i="54"/>
  <c r="G53" i="54"/>
  <c r="EH72" i="54"/>
  <c r="AU72" i="54"/>
  <c r="AT72" i="54"/>
  <c r="AS72" i="54"/>
  <c r="AR72" i="54"/>
  <c r="AQ72" i="54"/>
  <c r="AP72" i="54"/>
  <c r="AO72" i="54"/>
  <c r="AN72" i="54"/>
  <c r="AM72" i="54"/>
  <c r="AL72" i="54"/>
  <c r="AK72" i="54"/>
  <c r="AJ72" i="54"/>
  <c r="AC72" i="54"/>
  <c r="AB72" i="54"/>
  <c r="AA72" i="54"/>
  <c r="Z72" i="54"/>
  <c r="Y72" i="54"/>
  <c r="X72" i="54"/>
  <c r="W72" i="54"/>
  <c r="V72" i="54"/>
  <c r="U72" i="54"/>
  <c r="T72" i="54"/>
  <c r="S72" i="54"/>
  <c r="R72" i="54"/>
  <c r="P72" i="54"/>
  <c r="O72" i="54"/>
  <c r="G72" i="54"/>
  <c r="EH71" i="54"/>
  <c r="AU71" i="54"/>
  <c r="AT71" i="54"/>
  <c r="AS71" i="54"/>
  <c r="AR71" i="54"/>
  <c r="AQ71" i="54"/>
  <c r="AP71" i="54"/>
  <c r="AO71" i="54"/>
  <c r="AN71" i="54"/>
  <c r="AM71" i="54"/>
  <c r="AL71" i="54"/>
  <c r="AK71" i="54"/>
  <c r="AJ71" i="54"/>
  <c r="AC71" i="54"/>
  <c r="AB71" i="54"/>
  <c r="AA71" i="54"/>
  <c r="Z71" i="54"/>
  <c r="Y71" i="54"/>
  <c r="X71" i="54"/>
  <c r="W71" i="54"/>
  <c r="V71" i="54"/>
  <c r="U71" i="54"/>
  <c r="T71" i="54"/>
  <c r="S71" i="54"/>
  <c r="R71" i="54"/>
  <c r="P71" i="54"/>
  <c r="O71" i="54"/>
  <c r="G71" i="54"/>
  <c r="EH70" i="54"/>
  <c r="AU70" i="54"/>
  <c r="AT70" i="54"/>
  <c r="AS70" i="54"/>
  <c r="AR70" i="54"/>
  <c r="AQ70" i="54"/>
  <c r="AP70" i="54"/>
  <c r="AO70" i="54"/>
  <c r="AN70" i="54"/>
  <c r="AM70" i="54"/>
  <c r="AL70" i="54"/>
  <c r="AK70" i="54"/>
  <c r="AJ70" i="54"/>
  <c r="AC70" i="54"/>
  <c r="AB70" i="54"/>
  <c r="AA70" i="54"/>
  <c r="Z70" i="54"/>
  <c r="Y70" i="54"/>
  <c r="X70" i="54"/>
  <c r="W70" i="54"/>
  <c r="V70" i="54"/>
  <c r="U70" i="54"/>
  <c r="T70" i="54"/>
  <c r="S70" i="54"/>
  <c r="R70" i="54"/>
  <c r="P70" i="54"/>
  <c r="O70" i="54"/>
  <c r="G70" i="54"/>
  <c r="EH69" i="54"/>
  <c r="AU69" i="54"/>
  <c r="AT69" i="54"/>
  <c r="AS69" i="54"/>
  <c r="AR69" i="54"/>
  <c r="AQ69" i="54"/>
  <c r="AP69" i="54"/>
  <c r="AO69" i="54"/>
  <c r="AN69" i="54"/>
  <c r="AM69" i="54"/>
  <c r="AL69" i="54"/>
  <c r="AK69" i="54"/>
  <c r="AJ69" i="54"/>
  <c r="AC69" i="54"/>
  <c r="AB69" i="54"/>
  <c r="AA69" i="54"/>
  <c r="Z69" i="54"/>
  <c r="Y69" i="54"/>
  <c r="X69" i="54"/>
  <c r="W69" i="54"/>
  <c r="V69" i="54"/>
  <c r="U69" i="54"/>
  <c r="T69" i="54"/>
  <c r="S69" i="54"/>
  <c r="R69" i="54"/>
  <c r="P69" i="54"/>
  <c r="O69" i="54"/>
  <c r="G69" i="54"/>
  <c r="AE82" i="54" l="1"/>
  <c r="AY79" i="54"/>
  <c r="CO69" i="54"/>
  <c r="EY69" i="54"/>
  <c r="EX69" i="54"/>
  <c r="EW69" i="54"/>
  <c r="EV69" i="54"/>
  <c r="EU69" i="54"/>
  <c r="ET69" i="54"/>
  <c r="ES69" i="54"/>
  <c r="EF72" i="54"/>
  <c r="EV72" i="54"/>
  <c r="EU72" i="54"/>
  <c r="ET72" i="54"/>
  <c r="EW72" i="54"/>
  <c r="ES72" i="54"/>
  <c r="EX72" i="54"/>
  <c r="FP72" i="54" s="1"/>
  <c r="EY72" i="54"/>
  <c r="BE85" i="54"/>
  <c r="CO83" i="54"/>
  <c r="EY83" i="54"/>
  <c r="EX83" i="54"/>
  <c r="EW83" i="54"/>
  <c r="EV83" i="54"/>
  <c r="EU83" i="54"/>
  <c r="ET83" i="54"/>
  <c r="ES83" i="54"/>
  <c r="EY70" i="54"/>
  <c r="EU70" i="54"/>
  <c r="ET70" i="54"/>
  <c r="ES70" i="54"/>
  <c r="EV70" i="54"/>
  <c r="EX70" i="54"/>
  <c r="EW70" i="54"/>
  <c r="BF83" i="54"/>
  <c r="CS83" i="54"/>
  <c r="EF86" i="54"/>
  <c r="FP86" i="54" s="1"/>
  <c r="EV86" i="54"/>
  <c r="EU86" i="54"/>
  <c r="ET86" i="54"/>
  <c r="ES86" i="54"/>
  <c r="EY86" i="54"/>
  <c r="EW86" i="54"/>
  <c r="EX86" i="54"/>
  <c r="BC83" i="54"/>
  <c r="CT83" i="54"/>
  <c r="EY79" i="54"/>
  <c r="EX79" i="54"/>
  <c r="EW79" i="54"/>
  <c r="EV79" i="54"/>
  <c r="EU79" i="54"/>
  <c r="ET79" i="54"/>
  <c r="ES79" i="54"/>
  <c r="EF53" i="54"/>
  <c r="ES53" i="54"/>
  <c r="EY53" i="54"/>
  <c r="EV53" i="54"/>
  <c r="EX53" i="54"/>
  <c r="EW53" i="54"/>
  <c r="EU53" i="54"/>
  <c r="ET53" i="54"/>
  <c r="EY71" i="54"/>
  <c r="EX71" i="54"/>
  <c r="EW71" i="54"/>
  <c r="EV71" i="54"/>
  <c r="EU71" i="54"/>
  <c r="ET71" i="54"/>
  <c r="ES71" i="54"/>
  <c r="EF80" i="54"/>
  <c r="EV80" i="54"/>
  <c r="EU80" i="54"/>
  <c r="ET80" i="54"/>
  <c r="ES80" i="54"/>
  <c r="EX80" i="54"/>
  <c r="EY80" i="54"/>
  <c r="EW80" i="54"/>
  <c r="ET84" i="54"/>
  <c r="ES84" i="54"/>
  <c r="EV84" i="54"/>
  <c r="EY84" i="54"/>
  <c r="EU84" i="54"/>
  <c r="EX84" i="54"/>
  <c r="EW84" i="54"/>
  <c r="EY85" i="54"/>
  <c r="EX85" i="54"/>
  <c r="EW85" i="54"/>
  <c r="EV85" i="54"/>
  <c r="EU85" i="54"/>
  <c r="ET85" i="54"/>
  <c r="ES85" i="54"/>
  <c r="BD83" i="54"/>
  <c r="AF80" i="54"/>
  <c r="ES82" i="54"/>
  <c r="EY82" i="54"/>
  <c r="EX82" i="54"/>
  <c r="EW82" i="54"/>
  <c r="FC82" i="54" s="1"/>
  <c r="EV82" i="54"/>
  <c r="EU82" i="54"/>
  <c r="ET82" i="54"/>
  <c r="AX82" i="54"/>
  <c r="AX86" i="54"/>
  <c r="AD85" i="54"/>
  <c r="BE83" i="54"/>
  <c r="BJ83" i="54"/>
  <c r="BB83" i="54"/>
  <c r="FH84" i="54"/>
  <c r="BI83" i="54"/>
  <c r="FF69" i="54"/>
  <c r="BE80" i="54"/>
  <c r="BF80" i="54"/>
  <c r="CC82" i="54"/>
  <c r="FH82" i="54"/>
  <c r="FG82" i="54"/>
  <c r="EG82" i="54"/>
  <c r="EF82" i="54"/>
  <c r="EC82" i="54"/>
  <c r="FJ82" i="54"/>
  <c r="ED82" i="54"/>
  <c r="EE82" i="54"/>
  <c r="EB82" i="54"/>
  <c r="AF69" i="54"/>
  <c r="AW83" i="54"/>
  <c r="FG86" i="54"/>
  <c r="AV85" i="54"/>
  <c r="FH71" i="54"/>
  <c r="FH86" i="54"/>
  <c r="AX70" i="54"/>
  <c r="FG83" i="54"/>
  <c r="FF83" i="54"/>
  <c r="AF86" i="54"/>
  <c r="FH83" i="54"/>
  <c r="BG84" i="54"/>
  <c r="BI86" i="54"/>
  <c r="AF84" i="54"/>
  <c r="BJ86" i="54"/>
  <c r="FF85" i="54"/>
  <c r="FG69" i="54"/>
  <c r="BK86" i="54"/>
  <c r="FG53" i="54"/>
  <c r="FG70" i="54"/>
  <c r="BG83" i="54"/>
  <c r="FH53" i="54"/>
  <c r="FH70" i="54"/>
  <c r="FH85" i="54"/>
  <c r="BB80" i="54"/>
  <c r="AY80" i="54"/>
  <c r="BL82" i="54"/>
  <c r="BH83" i="54"/>
  <c r="AG84" i="54"/>
  <c r="BD80" i="54"/>
  <c r="BM82" i="54"/>
  <c r="FF72" i="54"/>
  <c r="CP83" i="54"/>
  <c r="FG72" i="54"/>
  <c r="AV79" i="54"/>
  <c r="CU80" i="54"/>
  <c r="CQ83" i="54"/>
  <c r="CT85" i="54"/>
  <c r="FH72" i="54"/>
  <c r="FH80" i="54"/>
  <c r="CV80" i="54"/>
  <c r="CR83" i="54"/>
  <c r="CU85" i="54"/>
  <c r="AW86" i="54"/>
  <c r="FG84" i="54"/>
  <c r="AV86" i="54"/>
  <c r="BF86" i="54"/>
  <c r="BG86" i="54"/>
  <c r="BL85" i="54"/>
  <c r="AY85" i="54"/>
  <c r="BM85" i="54"/>
  <c r="AW85" i="54"/>
  <c r="BF84" i="54"/>
  <c r="BM84" i="54"/>
  <c r="BI82" i="54"/>
  <c r="AY83" i="54"/>
  <c r="AY86" i="54"/>
  <c r="BI84" i="54"/>
  <c r="AE83" i="54"/>
  <c r="AV83" i="54"/>
  <c r="BL84" i="54"/>
  <c r="BC85" i="54"/>
  <c r="BJ84" i="54"/>
  <c r="BD85" i="54"/>
  <c r="BD86" i="54"/>
  <c r="CU83" i="54"/>
  <c r="BH86" i="54"/>
  <c r="BM83" i="54"/>
  <c r="BC86" i="54"/>
  <c r="BB85" i="54"/>
  <c r="BT85" i="54"/>
  <c r="AY84" i="54"/>
  <c r="BK83" i="54"/>
  <c r="BE86" i="54"/>
  <c r="AX83" i="54"/>
  <c r="BU85" i="54"/>
  <c r="BV85" i="54"/>
  <c r="AX84" i="54"/>
  <c r="BW85" i="54"/>
  <c r="BH84" i="54"/>
  <c r="BK84" i="54"/>
  <c r="BT86" i="54"/>
  <c r="AV84" i="54"/>
  <c r="BU86" i="54"/>
  <c r="AF83" i="54"/>
  <c r="BX85" i="54"/>
  <c r="BV86" i="54"/>
  <c r="AG83" i="54"/>
  <c r="AW84" i="54"/>
  <c r="BY85" i="54"/>
  <c r="EB85" i="54"/>
  <c r="BW86" i="54"/>
  <c r="AX85" i="54"/>
  <c r="BZ85" i="54"/>
  <c r="EC85" i="54"/>
  <c r="BX86" i="54"/>
  <c r="ED85" i="54"/>
  <c r="CN86" i="54"/>
  <c r="CL85" i="54"/>
  <c r="EE85" i="54"/>
  <c r="CO86" i="54"/>
  <c r="BL83" i="54"/>
  <c r="CM85" i="54"/>
  <c r="EF85" i="54"/>
  <c r="CP86" i="54"/>
  <c r="BU83" i="54"/>
  <c r="BB84" i="54"/>
  <c r="BF85" i="54"/>
  <c r="CN85" i="54"/>
  <c r="EG85" i="54"/>
  <c r="CQ86" i="54"/>
  <c r="BV83" i="54"/>
  <c r="BC84" i="54"/>
  <c r="BG85" i="54"/>
  <c r="CO85" i="54"/>
  <c r="CR86" i="54"/>
  <c r="BW83" i="54"/>
  <c r="BD84" i="54"/>
  <c r="BH85" i="54"/>
  <c r="CP85" i="54"/>
  <c r="BL86" i="54"/>
  <c r="BB86" i="54"/>
  <c r="CS86" i="54"/>
  <c r="BX83" i="54"/>
  <c r="BE84" i="54"/>
  <c r="BI85" i="54"/>
  <c r="CQ85" i="54"/>
  <c r="BM86" i="54"/>
  <c r="EG86" i="54"/>
  <c r="BY83" i="54"/>
  <c r="BJ85" i="54"/>
  <c r="CR85" i="54"/>
  <c r="BZ83" i="54"/>
  <c r="BK85" i="54"/>
  <c r="CS85" i="54"/>
  <c r="AE86" i="54"/>
  <c r="CD84" i="54"/>
  <c r="AG86" i="54"/>
  <c r="CA84" i="54"/>
  <c r="CV83" i="54"/>
  <c r="BY86" i="54"/>
  <c r="CT86" i="54"/>
  <c r="EB84" i="54"/>
  <c r="BZ86" i="54"/>
  <c r="CU86" i="54"/>
  <c r="CA86" i="54"/>
  <c r="CV86" i="54"/>
  <c r="CB84" i="54"/>
  <c r="CD83" i="54"/>
  <c r="ED84" i="54"/>
  <c r="AE85" i="54"/>
  <c r="CB86" i="54"/>
  <c r="CW86" i="54"/>
  <c r="CC86" i="54"/>
  <c r="CB83" i="54"/>
  <c r="CL84" i="54"/>
  <c r="CM84" i="54"/>
  <c r="EF84" i="54"/>
  <c r="AG85" i="54"/>
  <c r="CD86" i="54"/>
  <c r="CE84" i="54"/>
  <c r="CN84" i="54"/>
  <c r="EG84" i="54"/>
  <c r="CE86" i="54"/>
  <c r="CA83" i="54"/>
  <c r="CW83" i="54"/>
  <c r="EB83" i="54"/>
  <c r="BT84" i="54"/>
  <c r="CO84" i="54"/>
  <c r="AF85" i="54"/>
  <c r="EC83" i="54"/>
  <c r="AD84" i="54"/>
  <c r="BU84" i="54"/>
  <c r="CP84" i="54"/>
  <c r="CA85" i="54"/>
  <c r="CV85" i="54"/>
  <c r="CW84" i="54"/>
  <c r="EE84" i="54"/>
  <c r="ED83" i="54"/>
  <c r="AE84" i="54"/>
  <c r="BV84" i="54"/>
  <c r="CQ84" i="54"/>
  <c r="CB85" i="54"/>
  <c r="CW85" i="54"/>
  <c r="EB86" i="54"/>
  <c r="EC84" i="54"/>
  <c r="CE83" i="54"/>
  <c r="CL83" i="54"/>
  <c r="EE83" i="54"/>
  <c r="BW84" i="54"/>
  <c r="CR84" i="54"/>
  <c r="CC85" i="54"/>
  <c r="EC86" i="54"/>
  <c r="CV84" i="54"/>
  <c r="CC84" i="54"/>
  <c r="CC83" i="54"/>
  <c r="CM83" i="54"/>
  <c r="EF83" i="54"/>
  <c r="BX84" i="54"/>
  <c r="CS84" i="54"/>
  <c r="CD85" i="54"/>
  <c r="ED86" i="54"/>
  <c r="BY84" i="54"/>
  <c r="CT84" i="54"/>
  <c r="CE85" i="54"/>
  <c r="CL86" i="54"/>
  <c r="EE86" i="54"/>
  <c r="CN83" i="54"/>
  <c r="EG83" i="54"/>
  <c r="BT83" i="54"/>
  <c r="BZ84" i="54"/>
  <c r="CU84" i="54"/>
  <c r="CM86" i="54"/>
  <c r="AD79" i="54"/>
  <c r="BU82" i="54"/>
  <c r="BV82" i="54"/>
  <c r="BB82" i="54"/>
  <c r="AW80" i="54"/>
  <c r="BW82" i="54"/>
  <c r="AF79" i="54"/>
  <c r="CD82" i="54"/>
  <c r="BJ82" i="54"/>
  <c r="CE82" i="54"/>
  <c r="AX53" i="54"/>
  <c r="AG82" i="54"/>
  <c r="AD82" i="54"/>
  <c r="AY82" i="54"/>
  <c r="CO82" i="54"/>
  <c r="CP82" i="54"/>
  <c r="BB72" i="54"/>
  <c r="BC79" i="54"/>
  <c r="BE79" i="54"/>
  <c r="BJ80" i="54"/>
  <c r="BY80" i="54"/>
  <c r="CQ82" i="54"/>
  <c r="AX80" i="54"/>
  <c r="CN82" i="54"/>
  <c r="BF79" i="54"/>
  <c r="BT79" i="54"/>
  <c r="BK80" i="54"/>
  <c r="BZ80" i="54"/>
  <c r="BF82" i="54"/>
  <c r="CR82" i="54"/>
  <c r="BG80" i="54"/>
  <c r="BX80" i="54"/>
  <c r="BU79" i="54"/>
  <c r="CN80" i="54"/>
  <c r="BG82" i="54"/>
  <c r="BD82" i="54"/>
  <c r="BV79" i="54"/>
  <c r="CO80" i="54"/>
  <c r="BH82" i="54"/>
  <c r="BI80" i="54"/>
  <c r="AW71" i="54"/>
  <c r="BW79" i="54"/>
  <c r="AV80" i="54"/>
  <c r="CP80" i="54"/>
  <c r="AW82" i="54"/>
  <c r="BD79" i="54"/>
  <c r="BX79" i="54"/>
  <c r="CQ80" i="54"/>
  <c r="BK82" i="54"/>
  <c r="CR80" i="54"/>
  <c r="EG80" i="54"/>
  <c r="CM82" i="54"/>
  <c r="BT80" i="54"/>
  <c r="EB79" i="54"/>
  <c r="CS80" i="54"/>
  <c r="CL82" i="54"/>
  <c r="BM79" i="54"/>
  <c r="EC79" i="54"/>
  <c r="CT80" i="54"/>
  <c r="BT82" i="54"/>
  <c r="FI82" i="54"/>
  <c r="BC82" i="54"/>
  <c r="BX82" i="54"/>
  <c r="CS82" i="54"/>
  <c r="AF82" i="54"/>
  <c r="BY82" i="54"/>
  <c r="CT82" i="54"/>
  <c r="BE82" i="54"/>
  <c r="BZ82" i="54"/>
  <c r="CU82" i="54"/>
  <c r="CA82" i="54"/>
  <c r="CV82" i="54"/>
  <c r="CB82" i="54"/>
  <c r="CW82" i="54"/>
  <c r="EE79" i="54"/>
  <c r="EF79" i="54"/>
  <c r="CM79" i="54"/>
  <c r="CN79" i="54"/>
  <c r="FF79" i="54"/>
  <c r="AE79" i="54"/>
  <c r="CQ79" i="54"/>
  <c r="BH80" i="54"/>
  <c r="BL80" i="54"/>
  <c r="CR79" i="54"/>
  <c r="BM80" i="54"/>
  <c r="CO79" i="54"/>
  <c r="CP79" i="54"/>
  <c r="BI79" i="54"/>
  <c r="BB79" i="54"/>
  <c r="CS79" i="54"/>
  <c r="AX79" i="54"/>
  <c r="BJ79" i="54"/>
  <c r="CT79" i="54"/>
  <c r="AE80" i="54"/>
  <c r="BK79" i="54"/>
  <c r="FF80" i="54"/>
  <c r="BL79" i="54"/>
  <c r="BU80" i="54"/>
  <c r="FG80" i="54"/>
  <c r="BY79" i="54"/>
  <c r="CL79" i="54"/>
  <c r="AY53" i="54"/>
  <c r="BV80" i="54"/>
  <c r="ED79" i="54"/>
  <c r="EG79" i="54"/>
  <c r="AD71" i="54"/>
  <c r="AV72" i="54"/>
  <c r="BW80" i="54"/>
  <c r="AG80" i="54"/>
  <c r="CW80" i="54"/>
  <c r="S80" i="54"/>
  <c r="CD80" i="54"/>
  <c r="BZ79" i="54"/>
  <c r="CU79" i="54"/>
  <c r="CE80" i="54"/>
  <c r="CC80" i="54"/>
  <c r="CA79" i="54"/>
  <c r="CV79" i="54"/>
  <c r="FH79" i="54"/>
  <c r="BG79" i="54"/>
  <c r="CB79" i="54"/>
  <c r="CW79" i="54"/>
  <c r="CA80" i="54"/>
  <c r="BH79" i="54"/>
  <c r="CC79" i="54"/>
  <c r="CD79" i="54"/>
  <c r="AG79" i="54"/>
  <c r="CE79" i="54"/>
  <c r="CB80" i="54"/>
  <c r="CL80" i="54"/>
  <c r="CM80" i="54"/>
  <c r="AX69" i="54"/>
  <c r="BB53" i="54"/>
  <c r="BC53" i="54"/>
  <c r="BF69" i="54"/>
  <c r="BD53" i="54"/>
  <c r="AW69" i="54"/>
  <c r="BD69" i="54"/>
  <c r="AF53" i="54"/>
  <c r="BU72" i="54"/>
  <c r="BX53" i="54"/>
  <c r="BW71" i="54"/>
  <c r="BY53" i="54"/>
  <c r="BZ53" i="54"/>
  <c r="BV53" i="54"/>
  <c r="BW72" i="54"/>
  <c r="BZ72" i="54"/>
  <c r="CN53" i="54"/>
  <c r="BY72" i="54"/>
  <c r="CS71" i="54"/>
  <c r="CN72" i="54"/>
  <c r="AD53" i="54"/>
  <c r="CO53" i="54"/>
  <c r="CM71" i="54"/>
  <c r="CO72" i="54"/>
  <c r="CP53" i="54"/>
  <c r="BW53" i="54"/>
  <c r="BX71" i="54"/>
  <c r="CN71" i="54"/>
  <c r="BI69" i="54"/>
  <c r="EB71" i="54"/>
  <c r="BU53" i="54"/>
  <c r="BV72" i="54"/>
  <c r="CL71" i="54"/>
  <c r="EC71" i="54"/>
  <c r="AY71" i="54"/>
  <c r="BT72" i="54"/>
  <c r="AG69" i="54"/>
  <c r="AY70" i="54"/>
  <c r="ED71" i="54"/>
  <c r="AW53" i="54"/>
  <c r="BX72" i="54"/>
  <c r="BF53" i="54"/>
  <c r="CU53" i="54"/>
  <c r="EG53" i="54"/>
  <c r="CT53" i="54"/>
  <c r="CS53" i="54"/>
  <c r="AE53" i="54"/>
  <c r="FF53" i="54"/>
  <c r="CQ53" i="54"/>
  <c r="CR53" i="54"/>
  <c r="BT53" i="54"/>
  <c r="BE53" i="54"/>
  <c r="BM53" i="54"/>
  <c r="BL53" i="54"/>
  <c r="BJ53" i="54"/>
  <c r="BI53" i="54"/>
  <c r="BK53" i="54"/>
  <c r="BH53" i="54"/>
  <c r="BG53" i="54"/>
  <c r="CB53" i="54"/>
  <c r="AG53" i="54"/>
  <c r="CW53" i="54"/>
  <c r="CE53" i="54"/>
  <c r="CD53" i="54"/>
  <c r="EB53" i="54"/>
  <c r="EC53" i="54"/>
  <c r="CV53" i="54"/>
  <c r="ED53" i="54"/>
  <c r="CC53" i="54"/>
  <c r="CL53" i="54"/>
  <c r="EE53" i="54"/>
  <c r="CA53" i="54"/>
  <c r="CM53" i="54"/>
  <c r="AE72" i="54"/>
  <c r="BG69" i="54"/>
  <c r="BL72" i="54"/>
  <c r="AD72" i="54"/>
  <c r="BK72" i="54"/>
  <c r="EF71" i="54"/>
  <c r="CP72" i="54"/>
  <c r="EG71" i="54"/>
  <c r="AD69" i="54"/>
  <c r="BJ69" i="54"/>
  <c r="BE71" i="54"/>
  <c r="AY69" i="54"/>
  <c r="AW72" i="54"/>
  <c r="BI72" i="54"/>
  <c r="BJ72" i="54"/>
  <c r="EE71" i="54"/>
  <c r="BT71" i="54"/>
  <c r="AE69" i="54"/>
  <c r="AF71" i="54"/>
  <c r="BU71" i="54"/>
  <c r="CR69" i="54"/>
  <c r="BV71" i="54"/>
  <c r="AX72" i="54"/>
  <c r="BJ71" i="54"/>
  <c r="BU69" i="54"/>
  <c r="BM71" i="54"/>
  <c r="CQ72" i="54"/>
  <c r="BC70" i="54"/>
  <c r="BV69" i="54"/>
  <c r="BD70" i="54"/>
  <c r="CR72" i="54"/>
  <c r="CT69" i="54"/>
  <c r="CU69" i="54"/>
  <c r="BM72" i="54"/>
  <c r="BL71" i="54"/>
  <c r="BW69" i="54"/>
  <c r="DG69" i="54" s="1"/>
  <c r="BE70" i="54"/>
  <c r="AV71" i="54"/>
  <c r="CS72" i="54"/>
  <c r="BB70" i="54"/>
  <c r="CV70" i="54"/>
  <c r="CT72" i="54"/>
  <c r="CS69" i="54"/>
  <c r="BY69" i="54"/>
  <c r="CO71" i="54"/>
  <c r="CU72" i="54"/>
  <c r="BZ69" i="54"/>
  <c r="CP71" i="54"/>
  <c r="EG72" i="54"/>
  <c r="BK71" i="54"/>
  <c r="AV69" i="54"/>
  <c r="CP69" i="54"/>
  <c r="CQ71" i="54"/>
  <c r="AY72" i="54"/>
  <c r="BI71" i="54"/>
  <c r="BX69" i="54"/>
  <c r="BC69" i="54"/>
  <c r="CQ69" i="54"/>
  <c r="CR71" i="54"/>
  <c r="BD72" i="54"/>
  <c r="BF72" i="54"/>
  <c r="BG72" i="54"/>
  <c r="BH72" i="54"/>
  <c r="BB71" i="54"/>
  <c r="AX71" i="54"/>
  <c r="BC71" i="54"/>
  <c r="BD71" i="54"/>
  <c r="BG71" i="54"/>
  <c r="BL70" i="54"/>
  <c r="BF70" i="54"/>
  <c r="BM70" i="54"/>
  <c r="BJ70" i="54"/>
  <c r="AV70" i="54"/>
  <c r="BG70" i="54"/>
  <c r="BI70" i="54"/>
  <c r="AW70" i="54"/>
  <c r="BB69" i="54"/>
  <c r="BH69" i="54"/>
  <c r="BE69" i="54"/>
  <c r="BM69" i="54"/>
  <c r="BL69" i="54"/>
  <c r="BC72" i="54"/>
  <c r="BE72" i="54"/>
  <c r="AF72" i="54"/>
  <c r="AE71" i="54"/>
  <c r="AG70" i="54"/>
  <c r="BK70" i="54"/>
  <c r="AF70" i="54"/>
  <c r="BH70" i="54"/>
  <c r="BK69" i="54"/>
  <c r="CW70" i="54"/>
  <c r="AG72" i="54"/>
  <c r="CB69" i="54"/>
  <c r="CA70" i="54"/>
  <c r="CB72" i="54"/>
  <c r="CW72" i="54"/>
  <c r="CA69" i="54"/>
  <c r="CV72" i="54"/>
  <c r="CA72" i="54"/>
  <c r="CD72" i="54"/>
  <c r="FH69" i="54"/>
  <c r="EC70" i="54"/>
  <c r="CC72" i="54"/>
  <c r="CM70" i="54"/>
  <c r="CN70" i="54"/>
  <c r="EG70" i="54"/>
  <c r="BY71" i="54"/>
  <c r="CT71" i="54"/>
  <c r="CE72" i="54"/>
  <c r="CD69" i="54"/>
  <c r="EE70" i="54"/>
  <c r="EB69" i="54"/>
  <c r="BT70" i="54"/>
  <c r="CO70" i="54"/>
  <c r="BZ71" i="54"/>
  <c r="CU71" i="54"/>
  <c r="FG71" i="54"/>
  <c r="CE70" i="54"/>
  <c r="CW69" i="54"/>
  <c r="AD70" i="54"/>
  <c r="BU70" i="54"/>
  <c r="CP70" i="54"/>
  <c r="BF71" i="54"/>
  <c r="CA71" i="54"/>
  <c r="CV71" i="54"/>
  <c r="CC69" i="54"/>
  <c r="ED70" i="54"/>
  <c r="AG71" i="54"/>
  <c r="EC69" i="54"/>
  <c r="ED69" i="54"/>
  <c r="AE70" i="54"/>
  <c r="BV70" i="54"/>
  <c r="CQ70" i="54"/>
  <c r="CB71" i="54"/>
  <c r="CW71" i="54"/>
  <c r="EB72" i="54"/>
  <c r="CV69" i="54"/>
  <c r="CL70" i="54"/>
  <c r="CL69" i="54"/>
  <c r="EE69" i="54"/>
  <c r="BW70" i="54"/>
  <c r="CR70" i="54"/>
  <c r="BH71" i="54"/>
  <c r="CC71" i="54"/>
  <c r="EC72" i="54"/>
  <c r="CC70" i="54"/>
  <c r="EF70" i="54"/>
  <c r="CM69" i="54"/>
  <c r="EF69" i="54"/>
  <c r="BX70" i="54"/>
  <c r="CS70" i="54"/>
  <c r="CD71" i="54"/>
  <c r="ED72" i="54"/>
  <c r="CN69" i="54"/>
  <c r="EG69" i="54"/>
  <c r="BY70" i="54"/>
  <c r="CT70" i="54"/>
  <c r="CE71" i="54"/>
  <c r="CL72" i="54"/>
  <c r="EE72" i="54"/>
  <c r="CB70" i="54"/>
  <c r="CD70" i="54"/>
  <c r="EB70" i="54"/>
  <c r="CE69" i="54"/>
  <c r="BT69" i="54"/>
  <c r="BZ70" i="54"/>
  <c r="CU70" i="54"/>
  <c r="CM72" i="54"/>
  <c r="AT172" i="42"/>
  <c r="AT174" i="42" s="1"/>
  <c r="AT205" i="42"/>
  <c r="AT207" i="42" s="1"/>
  <c r="AF102" i="43"/>
  <c r="AE102" i="43"/>
  <c r="AD102" i="43"/>
  <c r="AC102" i="43"/>
  <c r="C89" i="43"/>
  <c r="AF99" i="43"/>
  <c r="AE99" i="43"/>
  <c r="AD99" i="43"/>
  <c r="AC99" i="43"/>
  <c r="AS172" i="42"/>
  <c r="AS174" i="42" s="1"/>
  <c r="AT167" i="42"/>
  <c r="AT169" i="42" s="1"/>
  <c r="AS167" i="42"/>
  <c r="AS169" i="42" s="1"/>
  <c r="AT200" i="42"/>
  <c r="AT202" i="42" s="1"/>
  <c r="AP102" i="43" l="1"/>
  <c r="AP99" i="43"/>
  <c r="AT201" i="42"/>
  <c r="EJ82" i="54"/>
  <c r="FO82" i="54"/>
  <c r="FQ82" i="54"/>
  <c r="DM82" i="54"/>
  <c r="FL82" i="54"/>
  <c r="FP53" i="54"/>
  <c r="FQ80" i="54"/>
  <c r="FP80" i="54"/>
  <c r="FM85" i="54"/>
  <c r="DI53" i="54"/>
  <c r="BQ84" i="54"/>
  <c r="FP85" i="54"/>
  <c r="DL83" i="54"/>
  <c r="FL79" i="54"/>
  <c r="BO83" i="54"/>
  <c r="DL80" i="54"/>
  <c r="DG53" i="54"/>
  <c r="FQ79" i="54"/>
  <c r="BO80" i="54"/>
  <c r="BN83" i="54"/>
  <c r="DG83" i="54"/>
  <c r="DN80" i="54"/>
  <c r="CY83" i="54"/>
  <c r="DL85" i="54"/>
  <c r="FM82" i="54"/>
  <c r="CZ83" i="54"/>
  <c r="DK83" i="54"/>
  <c r="EK82" i="54"/>
  <c r="FK71" i="54"/>
  <c r="DE83" i="54"/>
  <c r="FN69" i="54"/>
  <c r="FP82" i="54"/>
  <c r="FU82" i="54" s="1"/>
  <c r="DJ83" i="54"/>
  <c r="FQ85" i="54"/>
  <c r="FK82" i="54"/>
  <c r="FS82" i="54" s="1"/>
  <c r="FA83" i="54"/>
  <c r="FN82" i="54"/>
  <c r="FQ86" i="54"/>
  <c r="FB82" i="54"/>
  <c r="BP84" i="54"/>
  <c r="BP83" i="54"/>
  <c r="DJ85" i="54"/>
  <c r="EZ82" i="54"/>
  <c r="FF82" i="54"/>
  <c r="FR82" i="54" s="1"/>
  <c r="FK83" i="54"/>
  <c r="AZ79" i="54"/>
  <c r="DH83" i="54"/>
  <c r="EI82" i="54"/>
  <c r="DE72" i="54"/>
  <c r="FN79" i="54"/>
  <c r="AZ83" i="54"/>
  <c r="FA82" i="54"/>
  <c r="AZ80" i="54"/>
  <c r="DF82" i="54"/>
  <c r="BP86" i="54"/>
  <c r="AZ85" i="54"/>
  <c r="DA85" i="54"/>
  <c r="DI83" i="54"/>
  <c r="FQ83" i="54"/>
  <c r="AZ86" i="54"/>
  <c r="DA80" i="54"/>
  <c r="BO84" i="54"/>
  <c r="BO86" i="54"/>
  <c r="BQ82" i="54"/>
  <c r="BN69" i="54"/>
  <c r="DF86" i="54"/>
  <c r="DH70" i="54"/>
  <c r="DL79" i="54"/>
  <c r="DI84" i="54"/>
  <c r="CF85" i="54"/>
  <c r="DI86" i="54"/>
  <c r="DL86" i="54"/>
  <c r="BQ86" i="54"/>
  <c r="DK86" i="54"/>
  <c r="CZ86" i="54"/>
  <c r="FO85" i="54"/>
  <c r="BN85" i="54"/>
  <c r="BQ85" i="54"/>
  <c r="BQ83" i="54"/>
  <c r="BN86" i="54"/>
  <c r="DF85" i="54"/>
  <c r="DE85" i="54"/>
  <c r="DF83" i="54"/>
  <c r="DL82" i="54"/>
  <c r="CF86" i="54"/>
  <c r="FJ84" i="54"/>
  <c r="FK85" i="54"/>
  <c r="CG83" i="54"/>
  <c r="BP82" i="54"/>
  <c r="AH83" i="54"/>
  <c r="DO82" i="54"/>
  <c r="DN82" i="54"/>
  <c r="DO84" i="54"/>
  <c r="FR83" i="54"/>
  <c r="DE86" i="54"/>
  <c r="DG86" i="54"/>
  <c r="DE82" i="54"/>
  <c r="BO85" i="54"/>
  <c r="EJ85" i="54"/>
  <c r="CI82" i="54"/>
  <c r="BN84" i="54"/>
  <c r="DI85" i="54"/>
  <c r="EK85" i="54"/>
  <c r="FP83" i="54"/>
  <c r="DH85" i="54"/>
  <c r="FB83" i="54"/>
  <c r="FA86" i="54"/>
  <c r="CY86" i="54"/>
  <c r="FJ86" i="54"/>
  <c r="BP85" i="54"/>
  <c r="CX85" i="54"/>
  <c r="DD85" i="54"/>
  <c r="AZ84" i="54"/>
  <c r="FB84" i="54"/>
  <c r="FN83" i="54"/>
  <c r="AH85" i="54"/>
  <c r="CY84" i="54"/>
  <c r="DA83" i="54"/>
  <c r="FN85" i="54"/>
  <c r="DF84" i="54"/>
  <c r="CX86" i="54"/>
  <c r="DN86" i="54"/>
  <c r="FN84" i="54"/>
  <c r="DK84" i="54"/>
  <c r="FC85" i="54"/>
  <c r="CY85" i="54"/>
  <c r="DG85" i="54"/>
  <c r="DH86" i="54"/>
  <c r="FB85" i="54"/>
  <c r="AH86" i="54"/>
  <c r="CZ85" i="54"/>
  <c r="DO85" i="54"/>
  <c r="CZ84" i="54"/>
  <c r="CH83" i="54"/>
  <c r="CG85" i="54"/>
  <c r="EJ84" i="54"/>
  <c r="FL84" i="54"/>
  <c r="EZ86" i="54"/>
  <c r="FF86" i="54"/>
  <c r="FR86" i="54" s="1"/>
  <c r="CI83" i="54"/>
  <c r="DM83" i="54"/>
  <c r="FO86" i="54"/>
  <c r="EK86" i="54"/>
  <c r="FC83" i="54"/>
  <c r="FP84" i="54"/>
  <c r="DN83" i="54"/>
  <c r="DN84" i="54"/>
  <c r="DD83" i="54"/>
  <c r="CF83" i="54"/>
  <c r="CG84" i="54"/>
  <c r="DG84" i="54"/>
  <c r="FI84" i="54"/>
  <c r="EI84" i="54"/>
  <c r="FA84" i="54"/>
  <c r="CI85" i="54"/>
  <c r="DM85" i="54"/>
  <c r="DL84" i="54"/>
  <c r="FJ83" i="54"/>
  <c r="DO83" i="54"/>
  <c r="FK84" i="54"/>
  <c r="CX84" i="54"/>
  <c r="FL85" i="54"/>
  <c r="FK86" i="54"/>
  <c r="FN86" i="54"/>
  <c r="FM84" i="54"/>
  <c r="DK85" i="54"/>
  <c r="CH85" i="54"/>
  <c r="DD86" i="54"/>
  <c r="FO83" i="54"/>
  <c r="EK83" i="54"/>
  <c r="FC86" i="54"/>
  <c r="FB86" i="54"/>
  <c r="EZ84" i="54"/>
  <c r="FF84" i="54"/>
  <c r="FR84" i="54" s="1"/>
  <c r="DN85" i="54"/>
  <c r="FL86" i="54"/>
  <c r="EJ86" i="54"/>
  <c r="DE84" i="54"/>
  <c r="EI86" i="54"/>
  <c r="FI86" i="54"/>
  <c r="EZ83" i="54"/>
  <c r="EI83" i="54"/>
  <c r="FI83" i="54"/>
  <c r="FI85" i="54"/>
  <c r="EI85" i="54"/>
  <c r="CX83" i="54"/>
  <c r="FA85" i="54"/>
  <c r="AH84" i="54"/>
  <c r="DO86" i="54"/>
  <c r="CI86" i="54"/>
  <c r="DM86" i="54"/>
  <c r="DA86" i="54"/>
  <c r="FM86" i="54"/>
  <c r="CG86" i="54"/>
  <c r="FJ85" i="54"/>
  <c r="DH84" i="54"/>
  <c r="FQ84" i="54"/>
  <c r="DJ86" i="54"/>
  <c r="CH86" i="54"/>
  <c r="CI84" i="54"/>
  <c r="DM84" i="54"/>
  <c r="FG85" i="54"/>
  <c r="FR85" i="54" s="1"/>
  <c r="EZ85" i="54"/>
  <c r="CF84" i="54"/>
  <c r="DD84" i="54"/>
  <c r="EJ83" i="54"/>
  <c r="FL83" i="54"/>
  <c r="DA84" i="54"/>
  <c r="FM83" i="54"/>
  <c r="EK84" i="54"/>
  <c r="FO84" i="54"/>
  <c r="DJ84" i="54"/>
  <c r="CH84" i="54"/>
  <c r="FC84" i="54"/>
  <c r="DG80" i="54"/>
  <c r="BN53" i="54"/>
  <c r="DF80" i="54"/>
  <c r="BN82" i="54"/>
  <c r="DJ80" i="54"/>
  <c r="DE80" i="54"/>
  <c r="AZ82" i="54"/>
  <c r="CF79" i="54"/>
  <c r="DK80" i="54"/>
  <c r="DF79" i="54"/>
  <c r="DE79" i="54"/>
  <c r="FM79" i="54"/>
  <c r="CG80" i="54"/>
  <c r="FR80" i="54"/>
  <c r="BO79" i="54"/>
  <c r="DD82" i="54"/>
  <c r="CF82" i="54"/>
  <c r="DI80" i="54"/>
  <c r="AH79" i="54"/>
  <c r="CY80" i="54"/>
  <c r="DK79" i="54"/>
  <c r="DH79" i="54"/>
  <c r="CX82" i="54"/>
  <c r="FC79" i="54"/>
  <c r="BO82" i="54"/>
  <c r="CY82" i="54"/>
  <c r="FM72" i="54"/>
  <c r="DL53" i="54"/>
  <c r="CZ79" i="54"/>
  <c r="DI82" i="54"/>
  <c r="BQ80" i="54"/>
  <c r="AH82" i="54"/>
  <c r="DH80" i="54"/>
  <c r="DG82" i="54"/>
  <c r="BQ53" i="54"/>
  <c r="CX79" i="54"/>
  <c r="BP80" i="54"/>
  <c r="CZ82" i="54"/>
  <c r="CZ80" i="54"/>
  <c r="DF53" i="54"/>
  <c r="BN79" i="54"/>
  <c r="DI79" i="54"/>
  <c r="CG82" i="54"/>
  <c r="DH82" i="54"/>
  <c r="DK82" i="54"/>
  <c r="DA82" i="54"/>
  <c r="DJ82" i="54"/>
  <c r="CH82" i="54"/>
  <c r="CY79" i="54"/>
  <c r="EJ79" i="54"/>
  <c r="CF80" i="54"/>
  <c r="EZ80" i="54"/>
  <c r="FO79" i="54"/>
  <c r="DD79" i="54"/>
  <c r="FC80" i="54"/>
  <c r="FB80" i="54"/>
  <c r="BQ79" i="54"/>
  <c r="AZ53" i="54"/>
  <c r="DO80" i="54"/>
  <c r="FM80" i="54"/>
  <c r="FP79" i="54"/>
  <c r="BQ69" i="54"/>
  <c r="CG72" i="54"/>
  <c r="BP79" i="54"/>
  <c r="EK79" i="54"/>
  <c r="CF72" i="54"/>
  <c r="DG79" i="54"/>
  <c r="CG79" i="54"/>
  <c r="BO69" i="54"/>
  <c r="DF71" i="54"/>
  <c r="CX80" i="54"/>
  <c r="DA79" i="54"/>
  <c r="EJ80" i="54"/>
  <c r="FL80" i="54"/>
  <c r="FG79" i="54"/>
  <c r="FR79" i="54" s="1"/>
  <c r="EZ79" i="54"/>
  <c r="EI79" i="54"/>
  <c r="FJ79" i="54"/>
  <c r="FK79" i="54"/>
  <c r="EK80" i="54"/>
  <c r="FO80" i="54"/>
  <c r="FU80" i="54" s="1"/>
  <c r="DN79" i="54"/>
  <c r="FK80" i="54"/>
  <c r="FB79" i="54"/>
  <c r="CI80" i="54"/>
  <c r="DM80" i="54"/>
  <c r="EI80" i="54"/>
  <c r="FI80" i="54"/>
  <c r="CI79" i="54"/>
  <c r="DM79" i="54"/>
  <c r="DJ79" i="54"/>
  <c r="CH79" i="54"/>
  <c r="DO79" i="54"/>
  <c r="FI79" i="54"/>
  <c r="FA79" i="54"/>
  <c r="FJ80" i="54"/>
  <c r="DD80" i="54"/>
  <c r="BC80" i="54"/>
  <c r="BN80" i="54" s="1"/>
  <c r="AD80" i="54"/>
  <c r="AH80" i="54" s="1"/>
  <c r="FN80" i="54"/>
  <c r="FA80" i="54"/>
  <c r="CH80" i="54"/>
  <c r="CF53" i="54"/>
  <c r="DE53" i="54"/>
  <c r="DF70" i="54"/>
  <c r="FN70" i="54"/>
  <c r="EJ71" i="54"/>
  <c r="DD71" i="54"/>
  <c r="AH72" i="54"/>
  <c r="FN71" i="54"/>
  <c r="AZ69" i="54"/>
  <c r="FN72" i="54"/>
  <c r="DK71" i="54"/>
  <c r="FM71" i="54"/>
  <c r="DK72" i="54"/>
  <c r="EK71" i="54"/>
  <c r="FQ70" i="54"/>
  <c r="DF69" i="54"/>
  <c r="FN53" i="54"/>
  <c r="FR53" i="54"/>
  <c r="DG72" i="54"/>
  <c r="BN70" i="54"/>
  <c r="FM69" i="54"/>
  <c r="DG71" i="54"/>
  <c r="CX71" i="54"/>
  <c r="DI69" i="54"/>
  <c r="AH69" i="54"/>
  <c r="DH72" i="54"/>
  <c r="CY53" i="54"/>
  <c r="CY72" i="54"/>
  <c r="DN70" i="54"/>
  <c r="DE71" i="54"/>
  <c r="DE69" i="54"/>
  <c r="CZ71" i="54"/>
  <c r="BP69" i="54"/>
  <c r="BQ70" i="54"/>
  <c r="BO53" i="54"/>
  <c r="FB71" i="54"/>
  <c r="CG53" i="54"/>
  <c r="BQ71" i="54"/>
  <c r="BP72" i="54"/>
  <c r="DK53" i="54"/>
  <c r="DF72" i="54"/>
  <c r="CZ69" i="54"/>
  <c r="AH71" i="54"/>
  <c r="FQ72" i="54"/>
  <c r="CZ53" i="54"/>
  <c r="BO71" i="54"/>
  <c r="DH71" i="54"/>
  <c r="AH53" i="54"/>
  <c r="DJ69" i="54"/>
  <c r="DJ72" i="54"/>
  <c r="DH53" i="54"/>
  <c r="BN72" i="54"/>
  <c r="AZ71" i="54"/>
  <c r="FQ53" i="54"/>
  <c r="FM53" i="54"/>
  <c r="DA53" i="54"/>
  <c r="BP53" i="54"/>
  <c r="FK53" i="54"/>
  <c r="DJ53" i="54"/>
  <c r="CX53" i="54"/>
  <c r="FB53" i="54"/>
  <c r="CI53" i="54"/>
  <c r="DM53" i="54"/>
  <c r="EK53" i="54"/>
  <c r="FO53" i="54"/>
  <c r="FL53" i="54"/>
  <c r="EJ53" i="54"/>
  <c r="FA53" i="54"/>
  <c r="FC53" i="54"/>
  <c r="DO53" i="54"/>
  <c r="EZ53" i="54"/>
  <c r="EI53" i="54"/>
  <c r="FI53" i="54"/>
  <c r="DD53" i="54"/>
  <c r="DN53" i="54"/>
  <c r="FJ53" i="54"/>
  <c r="CH53" i="54"/>
  <c r="FC71" i="54"/>
  <c r="FQ71" i="54"/>
  <c r="FP71" i="54"/>
  <c r="BP70" i="54"/>
  <c r="BP71" i="54"/>
  <c r="DL72" i="54"/>
  <c r="BO70" i="54"/>
  <c r="AZ72" i="54"/>
  <c r="CG69" i="54"/>
  <c r="CF71" i="54"/>
  <c r="DA72" i="54"/>
  <c r="DK69" i="54"/>
  <c r="CY69" i="54"/>
  <c r="BQ72" i="54"/>
  <c r="FO71" i="54"/>
  <c r="CZ72" i="54"/>
  <c r="CY71" i="54"/>
  <c r="FR69" i="54"/>
  <c r="FC72" i="54"/>
  <c r="FR72" i="54"/>
  <c r="FA69" i="54"/>
  <c r="FP69" i="54"/>
  <c r="DN72" i="54"/>
  <c r="FB72" i="54"/>
  <c r="BO72" i="54"/>
  <c r="DL69" i="54"/>
  <c r="CX72" i="54"/>
  <c r="DL71" i="54"/>
  <c r="DE70" i="54"/>
  <c r="DH69" i="54"/>
  <c r="DI72" i="54"/>
  <c r="AH70" i="54"/>
  <c r="DO72" i="54"/>
  <c r="FJ70" i="54"/>
  <c r="DK70" i="54"/>
  <c r="FA71" i="54"/>
  <c r="BN71" i="54"/>
  <c r="AZ70" i="54"/>
  <c r="FB70" i="54"/>
  <c r="FA70" i="54"/>
  <c r="DL70" i="54"/>
  <c r="FP70" i="54"/>
  <c r="DN69" i="54"/>
  <c r="DA69" i="54"/>
  <c r="FL72" i="54"/>
  <c r="EJ72" i="54"/>
  <c r="FI71" i="54"/>
  <c r="EI71" i="54"/>
  <c r="DO71" i="54"/>
  <c r="EZ70" i="54"/>
  <c r="FF70" i="54"/>
  <c r="FR70" i="54" s="1"/>
  <c r="DM71" i="54"/>
  <c r="CI71" i="54"/>
  <c r="EK70" i="54"/>
  <c r="FO70" i="54"/>
  <c r="FO72" i="54"/>
  <c r="EK72" i="54"/>
  <c r="DI71" i="54"/>
  <c r="CG71" i="54"/>
  <c r="FB69" i="54"/>
  <c r="EZ72" i="54"/>
  <c r="EI72" i="54"/>
  <c r="FI72" i="54"/>
  <c r="DM70" i="54"/>
  <c r="CI70" i="54"/>
  <c r="DO70" i="54"/>
  <c r="FJ72" i="54"/>
  <c r="FJ71" i="54"/>
  <c r="CI69" i="54"/>
  <c r="DM69" i="54"/>
  <c r="CH71" i="54"/>
  <c r="DJ71" i="54"/>
  <c r="CH72" i="54"/>
  <c r="EZ71" i="54"/>
  <c r="FF71" i="54"/>
  <c r="FR71" i="54" s="1"/>
  <c r="FL71" i="54"/>
  <c r="DI70" i="54"/>
  <c r="CG70" i="54"/>
  <c r="DG70" i="54"/>
  <c r="CX69" i="54"/>
  <c r="CY70" i="54"/>
  <c r="FC70" i="54"/>
  <c r="DD72" i="54"/>
  <c r="FQ69" i="54"/>
  <c r="FK69" i="54"/>
  <c r="DJ70" i="54"/>
  <c r="CH70" i="54"/>
  <c r="CX70" i="54"/>
  <c r="CF70" i="54"/>
  <c r="DD70" i="54"/>
  <c r="FJ69" i="54"/>
  <c r="FI70" i="54"/>
  <c r="EI70" i="54"/>
  <c r="FA72" i="54"/>
  <c r="CZ70" i="54"/>
  <c r="EI69" i="54"/>
  <c r="FI69" i="54"/>
  <c r="FC69" i="54"/>
  <c r="CI72" i="54"/>
  <c r="DM72" i="54"/>
  <c r="EZ69" i="54"/>
  <c r="DA71" i="54"/>
  <c r="DA70" i="54"/>
  <c r="DN71" i="54"/>
  <c r="FL69" i="54"/>
  <c r="EJ69" i="54"/>
  <c r="FM70" i="54"/>
  <c r="FO69" i="54"/>
  <c r="EK69" i="54"/>
  <c r="CF69" i="54"/>
  <c r="DD69" i="54"/>
  <c r="FK72" i="54"/>
  <c r="DO69" i="54"/>
  <c r="EJ70" i="54"/>
  <c r="FL70" i="54"/>
  <c r="CH69" i="54"/>
  <c r="FK70" i="54"/>
  <c r="AT173" i="42"/>
  <c r="AT206" i="42"/>
  <c r="AS173" i="42"/>
  <c r="AT168" i="42"/>
  <c r="AS168" i="42"/>
  <c r="E118" i="38"/>
  <c r="E79" i="42"/>
  <c r="E78" i="42"/>
  <c r="D72" i="42"/>
  <c r="D67" i="42"/>
  <c r="D62" i="42"/>
  <c r="D57" i="42"/>
  <c r="E72" i="42" l="1"/>
  <c r="E62" i="42"/>
  <c r="E57" i="42"/>
  <c r="E67" i="42"/>
  <c r="DQ79" i="54"/>
  <c r="DR80" i="54"/>
  <c r="FT85" i="54"/>
  <c r="DP79" i="54"/>
  <c r="DQ53" i="54"/>
  <c r="DR85" i="54"/>
  <c r="DP84" i="54"/>
  <c r="FT82" i="54"/>
  <c r="DQ85" i="54"/>
  <c r="BR84" i="54"/>
  <c r="DR83" i="54"/>
  <c r="FU85" i="54"/>
  <c r="DS82" i="54"/>
  <c r="EL82" i="54"/>
  <c r="FU86" i="54"/>
  <c r="FT79" i="54"/>
  <c r="FS83" i="54"/>
  <c r="DQ83" i="54"/>
  <c r="BR83" i="54"/>
  <c r="FV82" i="54"/>
  <c r="BR86" i="54"/>
  <c r="DR82" i="54"/>
  <c r="DP83" i="54"/>
  <c r="DB85" i="54"/>
  <c r="FD82" i="54"/>
  <c r="DP80" i="54"/>
  <c r="DR86" i="54"/>
  <c r="FS84" i="54"/>
  <c r="FU84" i="54"/>
  <c r="FU83" i="54"/>
  <c r="FT71" i="54"/>
  <c r="DB86" i="54"/>
  <c r="DQ86" i="54"/>
  <c r="DS86" i="54"/>
  <c r="DP85" i="54"/>
  <c r="CJ86" i="54"/>
  <c r="DP86" i="54"/>
  <c r="DP82" i="54"/>
  <c r="EL85" i="54"/>
  <c r="BR85" i="54"/>
  <c r="BR82" i="54"/>
  <c r="CJ83" i="54"/>
  <c r="DB83" i="54"/>
  <c r="FS85" i="54"/>
  <c r="DQ84" i="54"/>
  <c r="CJ85" i="54"/>
  <c r="EL84" i="54"/>
  <c r="FD84" i="54"/>
  <c r="FD85" i="54"/>
  <c r="FD83" i="54"/>
  <c r="DS83" i="54"/>
  <c r="CJ84" i="54"/>
  <c r="EL86" i="54"/>
  <c r="EL83" i="54"/>
  <c r="FS86" i="54"/>
  <c r="FD86" i="54"/>
  <c r="FT86" i="54"/>
  <c r="FT84" i="54"/>
  <c r="DS85" i="54"/>
  <c r="FT83" i="54"/>
  <c r="DS84" i="54"/>
  <c r="DB84" i="54"/>
  <c r="DR84" i="54"/>
  <c r="DP71" i="54"/>
  <c r="DB82" i="54"/>
  <c r="BR79" i="54"/>
  <c r="FD80" i="54"/>
  <c r="DQ70" i="54"/>
  <c r="DQ82" i="54"/>
  <c r="BR80" i="54"/>
  <c r="CJ79" i="54"/>
  <c r="EL53" i="54"/>
  <c r="DR79" i="54"/>
  <c r="DB79" i="54"/>
  <c r="DQ69" i="54"/>
  <c r="DB80" i="54"/>
  <c r="DQ80" i="54"/>
  <c r="CJ82" i="54"/>
  <c r="DR53" i="54"/>
  <c r="CJ80" i="54"/>
  <c r="EL79" i="54"/>
  <c r="BR69" i="54"/>
  <c r="FU79" i="54"/>
  <c r="DP53" i="54"/>
  <c r="EL80" i="54"/>
  <c r="DS80" i="54"/>
  <c r="FT80" i="54"/>
  <c r="DS79" i="54"/>
  <c r="FD79" i="54"/>
  <c r="FS79" i="54"/>
  <c r="FS80" i="54"/>
  <c r="BR53" i="54"/>
  <c r="DQ71" i="54"/>
  <c r="BR70" i="54"/>
  <c r="DR72" i="54"/>
  <c r="DP69" i="54"/>
  <c r="DQ72" i="54"/>
  <c r="EL71" i="54"/>
  <c r="FT69" i="54"/>
  <c r="FT72" i="54"/>
  <c r="FD53" i="54"/>
  <c r="FU71" i="54"/>
  <c r="FT53" i="54"/>
  <c r="DB53" i="54"/>
  <c r="DP72" i="54"/>
  <c r="CJ71" i="54"/>
  <c r="BR71" i="54"/>
  <c r="FD71" i="54"/>
  <c r="FU53" i="54"/>
  <c r="FU72" i="54"/>
  <c r="DR69" i="54"/>
  <c r="CJ53" i="54"/>
  <c r="DS53" i="54"/>
  <c r="FS53" i="54"/>
  <c r="DB72" i="54"/>
  <c r="DB71" i="54"/>
  <c r="DR70" i="54"/>
  <c r="BR72" i="54"/>
  <c r="DR71" i="54"/>
  <c r="DS72" i="54"/>
  <c r="DB69" i="54"/>
  <c r="DP70" i="54"/>
  <c r="FU69" i="54"/>
  <c r="FD70" i="54"/>
  <c r="FS69" i="54"/>
  <c r="EL69" i="54"/>
  <c r="DS71" i="54"/>
  <c r="FT70" i="54"/>
  <c r="FU70" i="54"/>
  <c r="CJ72" i="54"/>
  <c r="CJ69" i="54"/>
  <c r="EL70" i="54"/>
  <c r="FS70" i="54"/>
  <c r="FS72" i="54"/>
  <c r="CJ70" i="54"/>
  <c r="DB70" i="54"/>
  <c r="FS71" i="54"/>
  <c r="DS70" i="54"/>
  <c r="EL72" i="54"/>
  <c r="DS69" i="54"/>
  <c r="FD69" i="54"/>
  <c r="FD72" i="54"/>
  <c r="D118" i="38"/>
  <c r="E43" i="35"/>
  <c r="E42" i="35"/>
  <c r="E41" i="35"/>
  <c r="E40" i="35"/>
  <c r="E39" i="35"/>
  <c r="E38" i="35"/>
  <c r="E37" i="35"/>
  <c r="E36" i="35"/>
  <c r="E35" i="35"/>
  <c r="E59" i="35"/>
  <c r="DZ132" i="54"/>
  <c r="DZ131" i="54"/>
  <c r="DZ130" i="54"/>
  <c r="DZ129" i="54"/>
  <c r="DZ128" i="54"/>
  <c r="DZ127" i="54"/>
  <c r="DZ126" i="54"/>
  <c r="DZ125" i="54"/>
  <c r="DZ124" i="54"/>
  <c r="DZ123" i="54"/>
  <c r="DZ122" i="54"/>
  <c r="DZ121" i="54"/>
  <c r="DZ120" i="54"/>
  <c r="DZ119" i="54"/>
  <c r="DZ118" i="54"/>
  <c r="DZ117" i="54"/>
  <c r="DZ116" i="54"/>
  <c r="DZ115" i="54"/>
  <c r="DZ114" i="54"/>
  <c r="DZ113" i="54"/>
  <c r="E70" i="35"/>
  <c r="E69" i="35"/>
  <c r="FV85" i="54" l="1"/>
  <c r="DT83" i="54"/>
  <c r="DT80" i="54"/>
  <c r="DT85" i="54"/>
  <c r="FV83" i="54"/>
  <c r="FV84" i="54"/>
  <c r="FV86" i="54"/>
  <c r="DT86" i="54"/>
  <c r="DT84" i="54"/>
  <c r="DT82" i="54"/>
  <c r="FV80" i="54"/>
  <c r="FV70" i="54"/>
  <c r="DT53" i="54"/>
  <c r="DT79" i="54"/>
  <c r="FV79" i="54"/>
  <c r="DT72" i="54"/>
  <c r="DT69" i="54"/>
  <c r="FV53" i="54"/>
  <c r="FV71" i="54"/>
  <c r="FV72" i="54"/>
  <c r="DT70" i="54"/>
  <c r="FV69" i="54"/>
  <c r="DT71" i="54"/>
  <c r="DX109" i="54"/>
  <c r="DX108" i="54"/>
  <c r="DY105" i="54"/>
  <c r="E15" i="54"/>
  <c r="DY103" i="54"/>
  <c r="DY95" i="54"/>
  <c r="DY102" i="54"/>
  <c r="DY101" i="54"/>
  <c r="DY100" i="54"/>
  <c r="DY94" i="54"/>
  <c r="DY93" i="54"/>
  <c r="DY92" i="54"/>
  <c r="M319" i="58"/>
  <c r="C319" i="58"/>
  <c r="B319" i="58"/>
  <c r="M318" i="58"/>
  <c r="C318" i="58"/>
  <c r="B318" i="58"/>
  <c r="DX110" i="54" l="1"/>
  <c r="M484" i="58"/>
  <c r="M483" i="58"/>
  <c r="M482" i="58"/>
  <c r="M481" i="58"/>
  <c r="M480" i="58"/>
  <c r="M3" i="58"/>
  <c r="M479" i="58"/>
  <c r="M478" i="58"/>
  <c r="M477" i="58"/>
  <c r="M476" i="58"/>
  <c r="M475" i="58"/>
  <c r="M474" i="58"/>
  <c r="M473" i="58"/>
  <c r="M472" i="58"/>
  <c r="M471" i="58"/>
  <c r="M470" i="58"/>
  <c r="M469" i="58"/>
  <c r="M468" i="58"/>
  <c r="M467" i="58"/>
  <c r="M466" i="58"/>
  <c r="M465" i="58"/>
  <c r="M464" i="58"/>
  <c r="M463" i="58"/>
  <c r="M462" i="58"/>
  <c r="M461" i="58"/>
  <c r="M460" i="58"/>
  <c r="M459" i="58"/>
  <c r="M458" i="58"/>
  <c r="M457" i="58"/>
  <c r="M456" i="58"/>
  <c r="M455" i="58"/>
  <c r="M454" i="58"/>
  <c r="M453" i="58"/>
  <c r="M452" i="58"/>
  <c r="M451" i="58"/>
  <c r="M450" i="58"/>
  <c r="M449" i="58"/>
  <c r="M448" i="58"/>
  <c r="M447" i="58"/>
  <c r="M446" i="58"/>
  <c r="M445" i="58"/>
  <c r="M444" i="58"/>
  <c r="M443" i="58"/>
  <c r="M442" i="58"/>
  <c r="M441" i="58"/>
  <c r="M440" i="58"/>
  <c r="M439" i="58"/>
  <c r="M438" i="58"/>
  <c r="M437" i="58"/>
  <c r="M436" i="58"/>
  <c r="M435" i="58"/>
  <c r="M434" i="58"/>
  <c r="M433" i="58"/>
  <c r="M432" i="58"/>
  <c r="M431" i="58"/>
  <c r="M430" i="58"/>
  <c r="M429" i="58"/>
  <c r="M428" i="58"/>
  <c r="M427" i="58"/>
  <c r="M426" i="58"/>
  <c r="M425" i="58"/>
  <c r="M424" i="58"/>
  <c r="M423" i="58"/>
  <c r="M422" i="58"/>
  <c r="M421" i="58"/>
  <c r="M420" i="58"/>
  <c r="M419" i="58"/>
  <c r="M418" i="58"/>
  <c r="M417" i="58"/>
  <c r="M416" i="58"/>
  <c r="M415" i="58"/>
  <c r="M414" i="58"/>
  <c r="M413" i="58"/>
  <c r="M412" i="58"/>
  <c r="M411" i="58"/>
  <c r="M410" i="58"/>
  <c r="M409" i="58"/>
  <c r="M408" i="58"/>
  <c r="M407" i="58"/>
  <c r="M406" i="58"/>
  <c r="M405" i="58"/>
  <c r="M404" i="58"/>
  <c r="M403" i="58"/>
  <c r="M402" i="58"/>
  <c r="M401" i="58"/>
  <c r="M400" i="58"/>
  <c r="M399" i="58"/>
  <c r="M398" i="58"/>
  <c r="M397" i="58"/>
  <c r="M396" i="58"/>
  <c r="M395" i="58"/>
  <c r="M394" i="58"/>
  <c r="M393" i="58"/>
  <c r="M392" i="58"/>
  <c r="M391" i="58"/>
  <c r="M390" i="58"/>
  <c r="M389" i="58"/>
  <c r="M388" i="58"/>
  <c r="M387" i="58"/>
  <c r="M386" i="58"/>
  <c r="M385" i="58"/>
  <c r="M384" i="58"/>
  <c r="M383" i="58"/>
  <c r="M382" i="58"/>
  <c r="M381" i="58"/>
  <c r="M380" i="58"/>
  <c r="M379" i="58"/>
  <c r="M378" i="58"/>
  <c r="M377" i="58"/>
  <c r="M376" i="58"/>
  <c r="M375" i="58"/>
  <c r="M374" i="58"/>
  <c r="M373" i="58"/>
  <c r="M372" i="58"/>
  <c r="M371" i="58"/>
  <c r="M370" i="58"/>
  <c r="M369" i="58"/>
  <c r="M368" i="58"/>
  <c r="M367" i="58"/>
  <c r="M366" i="58"/>
  <c r="M365" i="58"/>
  <c r="M364" i="58"/>
  <c r="M363" i="58"/>
  <c r="M362" i="58"/>
  <c r="M361" i="58"/>
  <c r="M360" i="58"/>
  <c r="M359" i="58"/>
  <c r="M358" i="58"/>
  <c r="M357" i="58"/>
  <c r="M356" i="58"/>
  <c r="M355" i="58"/>
  <c r="M354" i="58"/>
  <c r="M353" i="58"/>
  <c r="M352" i="58"/>
  <c r="M351" i="58"/>
  <c r="M350" i="58"/>
  <c r="M349" i="58"/>
  <c r="M348" i="58"/>
  <c r="M347" i="58"/>
  <c r="M346" i="58"/>
  <c r="M345" i="58"/>
  <c r="M344" i="58"/>
  <c r="M343" i="58"/>
  <c r="M342" i="58"/>
  <c r="M341" i="58"/>
  <c r="M340" i="58"/>
  <c r="M339" i="58"/>
  <c r="M338" i="58"/>
  <c r="M337" i="58"/>
  <c r="M336" i="58"/>
  <c r="M335" i="58"/>
  <c r="M334" i="58"/>
  <c r="M333" i="58"/>
  <c r="M332" i="58"/>
  <c r="M331" i="58"/>
  <c r="M330" i="58"/>
  <c r="M329" i="58"/>
  <c r="M328" i="58"/>
  <c r="M327" i="58"/>
  <c r="M326" i="58"/>
  <c r="M325" i="58"/>
  <c r="M324" i="58"/>
  <c r="M323" i="58"/>
  <c r="M322" i="58"/>
  <c r="M321" i="58"/>
  <c r="M320" i="58"/>
  <c r="C484" i="58"/>
  <c r="B484" i="58"/>
  <c r="C483" i="58"/>
  <c r="B483" i="58"/>
  <c r="C482" i="58"/>
  <c r="B482" i="58"/>
  <c r="C481" i="58"/>
  <c r="B481" i="58"/>
  <c r="C480" i="58"/>
  <c r="B480" i="58"/>
  <c r="C3" i="58"/>
  <c r="B3" i="58"/>
  <c r="C479" i="58"/>
  <c r="B479" i="58"/>
  <c r="C478" i="58"/>
  <c r="B478" i="58"/>
  <c r="C477" i="58"/>
  <c r="B477" i="58"/>
  <c r="C476" i="58"/>
  <c r="B476" i="58"/>
  <c r="C475" i="58"/>
  <c r="B475" i="58"/>
  <c r="C474" i="58"/>
  <c r="B474" i="58"/>
  <c r="C473" i="58"/>
  <c r="B473" i="58"/>
  <c r="C472" i="58"/>
  <c r="B472" i="58"/>
  <c r="C471" i="58"/>
  <c r="B471" i="58"/>
  <c r="C470" i="58"/>
  <c r="B470" i="58"/>
  <c r="C469" i="58"/>
  <c r="B469" i="58"/>
  <c r="C468" i="58"/>
  <c r="B468" i="58"/>
  <c r="C467" i="58"/>
  <c r="B467" i="58"/>
  <c r="C466" i="58"/>
  <c r="B466" i="58"/>
  <c r="C465" i="58"/>
  <c r="B465" i="58"/>
  <c r="C464" i="58"/>
  <c r="B464" i="58"/>
  <c r="C463" i="58"/>
  <c r="B463" i="58"/>
  <c r="C462" i="58"/>
  <c r="B462" i="58"/>
  <c r="C461" i="58"/>
  <c r="B461" i="58"/>
  <c r="C460" i="58"/>
  <c r="B460" i="58"/>
  <c r="C459" i="58"/>
  <c r="B459" i="58"/>
  <c r="C458" i="58"/>
  <c r="B458" i="58"/>
  <c r="C457" i="58"/>
  <c r="B457" i="58"/>
  <c r="C456" i="58"/>
  <c r="B456" i="58"/>
  <c r="C455" i="58"/>
  <c r="B455" i="58"/>
  <c r="C454" i="58"/>
  <c r="B454" i="58"/>
  <c r="C453" i="58"/>
  <c r="B453" i="58"/>
  <c r="C452" i="58"/>
  <c r="B452" i="58"/>
  <c r="C451" i="58"/>
  <c r="B451" i="58"/>
  <c r="C450" i="58"/>
  <c r="B450" i="58"/>
  <c r="C449" i="58"/>
  <c r="B449" i="58"/>
  <c r="C448" i="58"/>
  <c r="B448" i="58"/>
  <c r="C447" i="58"/>
  <c r="B447" i="58"/>
  <c r="C446" i="58"/>
  <c r="B446" i="58"/>
  <c r="C445" i="58"/>
  <c r="B445" i="58"/>
  <c r="C444" i="58"/>
  <c r="B444" i="58"/>
  <c r="C443" i="58"/>
  <c r="B443" i="58"/>
  <c r="C442" i="58"/>
  <c r="B442" i="58"/>
  <c r="C441" i="58"/>
  <c r="B441" i="58"/>
  <c r="C440" i="58"/>
  <c r="B440" i="58"/>
  <c r="C439" i="58"/>
  <c r="B439" i="58"/>
  <c r="C438" i="58"/>
  <c r="B438" i="58"/>
  <c r="C437" i="58"/>
  <c r="B437" i="58"/>
  <c r="C436" i="58"/>
  <c r="B436" i="58"/>
  <c r="C435" i="58"/>
  <c r="B435" i="58"/>
  <c r="C434" i="58"/>
  <c r="B434" i="58"/>
  <c r="C433" i="58"/>
  <c r="B433" i="58"/>
  <c r="C432" i="58"/>
  <c r="B432" i="58"/>
  <c r="C431" i="58"/>
  <c r="B431" i="58"/>
  <c r="C430" i="58"/>
  <c r="B430" i="58"/>
  <c r="C429" i="58"/>
  <c r="B429" i="58"/>
  <c r="C428" i="58"/>
  <c r="B428" i="58"/>
  <c r="C427" i="58"/>
  <c r="B427" i="58"/>
  <c r="C426" i="58"/>
  <c r="B426" i="58"/>
  <c r="C425" i="58"/>
  <c r="B425" i="58"/>
  <c r="C424" i="58"/>
  <c r="B424" i="58"/>
  <c r="C423" i="58"/>
  <c r="B423" i="58"/>
  <c r="C422" i="58"/>
  <c r="B422" i="58"/>
  <c r="C421" i="58"/>
  <c r="B421" i="58"/>
  <c r="C420" i="58"/>
  <c r="B420" i="58"/>
  <c r="C419" i="58"/>
  <c r="B419" i="58"/>
  <c r="C418" i="58"/>
  <c r="B418" i="58"/>
  <c r="C417" i="58"/>
  <c r="B417" i="58"/>
  <c r="C416" i="58"/>
  <c r="B416" i="58"/>
  <c r="C415" i="58"/>
  <c r="B415" i="58"/>
  <c r="C414" i="58"/>
  <c r="B414" i="58"/>
  <c r="C413" i="58"/>
  <c r="B413" i="58"/>
  <c r="C412" i="58"/>
  <c r="B412" i="58"/>
  <c r="C411" i="58"/>
  <c r="B411" i="58"/>
  <c r="C410" i="58"/>
  <c r="B410" i="58"/>
  <c r="C409" i="58"/>
  <c r="B409" i="58"/>
  <c r="C408" i="58"/>
  <c r="B408" i="58"/>
  <c r="C407" i="58"/>
  <c r="B407" i="58"/>
  <c r="C406" i="58"/>
  <c r="B406" i="58"/>
  <c r="C405" i="58"/>
  <c r="B405" i="58"/>
  <c r="C404" i="58"/>
  <c r="B404" i="58"/>
  <c r="C403" i="58"/>
  <c r="B403" i="58"/>
  <c r="C402" i="58"/>
  <c r="B402" i="58"/>
  <c r="C401" i="58"/>
  <c r="B401" i="58"/>
  <c r="C400" i="58"/>
  <c r="B400" i="58"/>
  <c r="C399" i="58"/>
  <c r="B399" i="58"/>
  <c r="C398" i="58"/>
  <c r="B398" i="58"/>
  <c r="C397" i="58"/>
  <c r="B397" i="58"/>
  <c r="C396" i="58"/>
  <c r="B396" i="58"/>
  <c r="C395" i="58"/>
  <c r="B395" i="58"/>
  <c r="C394" i="58"/>
  <c r="B394" i="58"/>
  <c r="C393" i="58"/>
  <c r="B393" i="58"/>
  <c r="C392" i="58"/>
  <c r="B392" i="58"/>
  <c r="C391" i="58"/>
  <c r="B391" i="58"/>
  <c r="C390" i="58"/>
  <c r="B390" i="58"/>
  <c r="C389" i="58"/>
  <c r="B389" i="58"/>
  <c r="C388" i="58"/>
  <c r="B388" i="58"/>
  <c r="C387" i="58"/>
  <c r="B387" i="58"/>
  <c r="C386" i="58"/>
  <c r="B386" i="58"/>
  <c r="C385" i="58"/>
  <c r="B385" i="58"/>
  <c r="C384" i="58"/>
  <c r="B384" i="58"/>
  <c r="C383" i="58"/>
  <c r="B383" i="58"/>
  <c r="C382" i="58"/>
  <c r="B382" i="58"/>
  <c r="C381" i="58"/>
  <c r="B381" i="58"/>
  <c r="C380" i="58"/>
  <c r="B380" i="58"/>
  <c r="C379" i="58"/>
  <c r="B379" i="58"/>
  <c r="C378" i="58"/>
  <c r="B378" i="58"/>
  <c r="C377" i="58"/>
  <c r="B377" i="58"/>
  <c r="C376" i="58"/>
  <c r="B376" i="58"/>
  <c r="C375" i="58"/>
  <c r="B375" i="58"/>
  <c r="C374" i="58"/>
  <c r="B374" i="58"/>
  <c r="C373" i="58"/>
  <c r="B373" i="58"/>
  <c r="C372" i="58"/>
  <c r="B372" i="58"/>
  <c r="C371" i="58"/>
  <c r="B371" i="58"/>
  <c r="C370" i="58"/>
  <c r="B370" i="58"/>
  <c r="C369" i="58"/>
  <c r="B369" i="58"/>
  <c r="C368" i="58"/>
  <c r="B368" i="58"/>
  <c r="C367" i="58"/>
  <c r="B367" i="58"/>
  <c r="C366" i="58"/>
  <c r="B366" i="58"/>
  <c r="C365" i="58"/>
  <c r="B365" i="58"/>
  <c r="C364" i="58"/>
  <c r="B364" i="58"/>
  <c r="C363" i="58"/>
  <c r="B363" i="58"/>
  <c r="C362" i="58"/>
  <c r="B362" i="58"/>
  <c r="C361" i="58"/>
  <c r="B361" i="58"/>
  <c r="C360" i="58"/>
  <c r="B360" i="58"/>
  <c r="C359" i="58"/>
  <c r="B359" i="58"/>
  <c r="C358" i="58"/>
  <c r="B358" i="58"/>
  <c r="C357" i="58"/>
  <c r="B357" i="58"/>
  <c r="C356" i="58"/>
  <c r="B356" i="58"/>
  <c r="C355" i="58"/>
  <c r="B355" i="58"/>
  <c r="C354" i="58"/>
  <c r="B354" i="58"/>
  <c r="C353" i="58"/>
  <c r="B353" i="58"/>
  <c r="C352" i="58"/>
  <c r="B352" i="58"/>
  <c r="C351" i="58"/>
  <c r="B351" i="58"/>
  <c r="C350" i="58"/>
  <c r="B350" i="58"/>
  <c r="C349" i="58"/>
  <c r="B349" i="58"/>
  <c r="C348" i="58"/>
  <c r="B348" i="58"/>
  <c r="C347" i="58"/>
  <c r="B347" i="58"/>
  <c r="C346" i="58"/>
  <c r="B346" i="58"/>
  <c r="C345" i="58"/>
  <c r="B345" i="58"/>
  <c r="C344" i="58"/>
  <c r="B344" i="58"/>
  <c r="C343" i="58"/>
  <c r="B343" i="58"/>
  <c r="C342" i="58"/>
  <c r="B342" i="58"/>
  <c r="C341" i="58"/>
  <c r="B341" i="58"/>
  <c r="C340" i="58"/>
  <c r="B340" i="58"/>
  <c r="C339" i="58"/>
  <c r="B339" i="58"/>
  <c r="C338" i="58"/>
  <c r="B338" i="58"/>
  <c r="C337" i="58"/>
  <c r="B337" i="58"/>
  <c r="C336" i="58"/>
  <c r="B336" i="58"/>
  <c r="C335" i="58"/>
  <c r="B335" i="58"/>
  <c r="C334" i="58"/>
  <c r="B334" i="58"/>
  <c r="C333" i="58"/>
  <c r="B333" i="58"/>
  <c r="C332" i="58"/>
  <c r="B332" i="58"/>
  <c r="C331" i="58"/>
  <c r="B331" i="58"/>
  <c r="C330" i="58"/>
  <c r="B330" i="58"/>
  <c r="C329" i="58"/>
  <c r="B329" i="58"/>
  <c r="C328" i="58"/>
  <c r="B328" i="58"/>
  <c r="C327" i="58"/>
  <c r="B327" i="58"/>
  <c r="C326" i="58"/>
  <c r="B326" i="58"/>
  <c r="C325" i="58"/>
  <c r="B325" i="58"/>
  <c r="C324" i="58"/>
  <c r="B324" i="58"/>
  <c r="C323" i="58"/>
  <c r="B323" i="58"/>
  <c r="C322" i="58"/>
  <c r="B322" i="58"/>
  <c r="C321" i="58"/>
  <c r="B321" i="58"/>
  <c r="AU49" i="54" l="1"/>
  <c r="AT49" i="54"/>
  <c r="AS49" i="54"/>
  <c r="AR49" i="54"/>
  <c r="AQ49" i="54"/>
  <c r="AP49" i="54"/>
  <c r="AO49" i="54"/>
  <c r="AN49" i="54"/>
  <c r="AM49" i="54"/>
  <c r="AL49" i="54"/>
  <c r="AK49" i="54"/>
  <c r="AJ49" i="54"/>
  <c r="AC49" i="54"/>
  <c r="AB49" i="54"/>
  <c r="AA49" i="54"/>
  <c r="Z49" i="54"/>
  <c r="Y49" i="54"/>
  <c r="X49" i="54"/>
  <c r="W49" i="54"/>
  <c r="V49" i="54"/>
  <c r="U49" i="54"/>
  <c r="T49" i="54"/>
  <c r="S49" i="54"/>
  <c r="R49" i="54"/>
  <c r="P49" i="54"/>
  <c r="O49" i="54"/>
  <c r="EF49" i="54" s="1"/>
  <c r="G49" i="54"/>
  <c r="G28" i="54"/>
  <c r="AU28" i="54"/>
  <c r="AT28" i="54"/>
  <c r="AS28" i="54"/>
  <c r="AR28" i="54"/>
  <c r="AQ28" i="54"/>
  <c r="AP28" i="54"/>
  <c r="AO28" i="54"/>
  <c r="AN28" i="54"/>
  <c r="AM28" i="54"/>
  <c r="AL28" i="54"/>
  <c r="AK28" i="54"/>
  <c r="AJ28" i="54"/>
  <c r="AC28" i="54"/>
  <c r="AB28" i="54"/>
  <c r="AA28" i="54"/>
  <c r="Z28" i="54"/>
  <c r="Y28" i="54"/>
  <c r="X28" i="54"/>
  <c r="W28" i="54"/>
  <c r="V28" i="54"/>
  <c r="U28" i="54"/>
  <c r="T28" i="54"/>
  <c r="S28" i="54"/>
  <c r="R28" i="54"/>
  <c r="AD28" i="54" s="1"/>
  <c r="P28" i="54"/>
  <c r="O28" i="54"/>
  <c r="E13" i="54"/>
  <c r="G14" i="54"/>
  <c r="AU14" i="54"/>
  <c r="AT14" i="54"/>
  <c r="AS14" i="54"/>
  <c r="AR14" i="54"/>
  <c r="AQ14" i="54"/>
  <c r="AP14" i="54"/>
  <c r="AO14" i="54"/>
  <c r="AN14" i="54"/>
  <c r="AM14" i="54"/>
  <c r="AW14" i="54" s="1"/>
  <c r="AL14" i="54"/>
  <c r="AK14" i="54"/>
  <c r="AJ14" i="54"/>
  <c r="AC14" i="54"/>
  <c r="AB14" i="54"/>
  <c r="AA14" i="54"/>
  <c r="Z14" i="54"/>
  <c r="Y14" i="54"/>
  <c r="X14" i="54"/>
  <c r="W14" i="54"/>
  <c r="U14" i="54"/>
  <c r="T14" i="54"/>
  <c r="S14" i="54"/>
  <c r="R14" i="54"/>
  <c r="P14" i="54"/>
  <c r="O14" i="54"/>
  <c r="G12" i="54"/>
  <c r="AU12" i="54"/>
  <c r="AT12" i="54"/>
  <c r="AS12" i="54"/>
  <c r="AR12" i="54"/>
  <c r="AQ12" i="54"/>
  <c r="AP12" i="54"/>
  <c r="AO12" i="54"/>
  <c r="AN12" i="54"/>
  <c r="AM12" i="54"/>
  <c r="AL12" i="54"/>
  <c r="AK12" i="54"/>
  <c r="AJ12" i="54"/>
  <c r="AC12" i="54"/>
  <c r="AB12" i="54"/>
  <c r="AA12" i="54"/>
  <c r="Z12" i="54"/>
  <c r="Y12" i="54"/>
  <c r="X12" i="54"/>
  <c r="W12" i="54"/>
  <c r="V12" i="54"/>
  <c r="U12" i="54"/>
  <c r="T12" i="54"/>
  <c r="S12" i="54"/>
  <c r="R12" i="54"/>
  <c r="P12" i="54"/>
  <c r="O12" i="54"/>
  <c r="E7" i="54"/>
  <c r="O18" i="54"/>
  <c r="O17" i="54"/>
  <c r="O15" i="54"/>
  <c r="O13" i="54"/>
  <c r="O11" i="54"/>
  <c r="O10" i="54"/>
  <c r="O9" i="54"/>
  <c r="O8" i="54"/>
  <c r="O7" i="54"/>
  <c r="E8" i="54"/>
  <c r="P13" i="54"/>
  <c r="P11" i="54"/>
  <c r="P10" i="54"/>
  <c r="P9" i="54"/>
  <c r="P8" i="54"/>
  <c r="P7" i="54"/>
  <c r="G9" i="54"/>
  <c r="AU9" i="54"/>
  <c r="AT9" i="54"/>
  <c r="AS9" i="54"/>
  <c r="AR9" i="54"/>
  <c r="AQ9" i="54"/>
  <c r="AP9" i="54"/>
  <c r="AO9" i="54"/>
  <c r="AN9" i="54"/>
  <c r="AM9" i="54"/>
  <c r="AL9" i="54"/>
  <c r="AK9" i="54"/>
  <c r="AJ9" i="54"/>
  <c r="AC9" i="54"/>
  <c r="AB9" i="54"/>
  <c r="AA9" i="54"/>
  <c r="Z9" i="54"/>
  <c r="Y9" i="54"/>
  <c r="X9" i="54"/>
  <c r="V9" i="54"/>
  <c r="U9" i="54"/>
  <c r="T9" i="54"/>
  <c r="S9" i="54"/>
  <c r="R9" i="54"/>
  <c r="AI15" i="45" l="1"/>
  <c r="AN15" i="45"/>
  <c r="AQ15" i="45" s="1"/>
  <c r="EY15" i="54"/>
  <c r="EX15" i="54"/>
  <c r="EW15" i="54"/>
  <c r="EV15" i="54"/>
  <c r="EU15" i="54"/>
  <c r="ET15" i="54"/>
  <c r="ES15" i="54"/>
  <c r="EY9" i="54"/>
  <c r="EX9" i="54"/>
  <c r="EW9" i="54"/>
  <c r="EV9" i="54"/>
  <c r="EU9" i="54"/>
  <c r="ET9" i="54"/>
  <c r="ES9" i="54"/>
  <c r="ES11" i="54"/>
  <c r="EY11" i="54"/>
  <c r="EX11" i="54"/>
  <c r="EW11" i="54"/>
  <c r="EV11" i="54"/>
  <c r="EU11" i="54"/>
  <c r="ET11" i="54"/>
  <c r="EY7" i="54"/>
  <c r="EX7" i="54"/>
  <c r="EW7" i="54"/>
  <c r="EV7" i="54"/>
  <c r="EU7" i="54"/>
  <c r="ET7" i="54"/>
  <c r="ES7" i="54"/>
  <c r="EV10" i="54"/>
  <c r="EY10" i="54"/>
  <c r="EX10" i="54"/>
  <c r="EW10" i="54"/>
  <c r="EU10" i="54"/>
  <c r="ET10" i="54"/>
  <c r="ES10" i="54"/>
  <c r="EY28" i="54"/>
  <c r="EX28" i="54"/>
  <c r="EW28" i="54"/>
  <c r="EV28" i="54"/>
  <c r="EU28" i="54"/>
  <c r="ET28" i="54"/>
  <c r="ES28" i="54"/>
  <c r="EW14" i="54"/>
  <c r="ET14" i="54"/>
  <c r="ES14" i="54"/>
  <c r="EU14" i="54"/>
  <c r="EY14" i="54"/>
  <c r="EX14" i="54"/>
  <c r="EV14" i="54"/>
  <c r="ES8" i="54"/>
  <c r="EW8" i="54"/>
  <c r="EY8" i="54"/>
  <c r="ET8" i="54"/>
  <c r="EU8" i="54"/>
  <c r="EX8" i="54"/>
  <c r="EV8" i="54"/>
  <c r="EY13" i="54"/>
  <c r="EX13" i="54"/>
  <c r="EW13" i="54"/>
  <c r="EV13" i="54"/>
  <c r="EU13" i="54"/>
  <c r="ET13" i="54"/>
  <c r="ES13" i="54"/>
  <c r="EV17" i="54"/>
  <c r="EU17" i="54"/>
  <c r="ET17" i="54"/>
  <c r="ES17" i="54"/>
  <c r="EY17" i="54"/>
  <c r="EW17" i="54"/>
  <c r="EX17" i="54"/>
  <c r="EY18" i="54"/>
  <c r="EX18" i="54"/>
  <c r="EW18" i="54"/>
  <c r="EV18" i="54"/>
  <c r="EU18" i="54"/>
  <c r="ET18" i="54"/>
  <c r="ES18" i="54"/>
  <c r="ES12" i="54"/>
  <c r="ET12" i="54"/>
  <c r="EU12" i="54"/>
  <c r="EV12" i="54"/>
  <c r="EY12" i="54"/>
  <c r="EX12" i="54"/>
  <c r="EW12" i="54"/>
  <c r="AV14" i="54"/>
  <c r="EF12" i="54"/>
  <c r="FF12" i="54"/>
  <c r="FG14" i="54"/>
  <c r="CT9" i="54"/>
  <c r="FG9" i="54"/>
  <c r="V14" i="54"/>
  <c r="BF14" i="54" s="1"/>
  <c r="AX49" i="54"/>
  <c r="EF14" i="54"/>
  <c r="AY14" i="54"/>
  <c r="BL14" i="54"/>
  <c r="AV49" i="54"/>
  <c r="BK49" i="54"/>
  <c r="BL49" i="54"/>
  <c r="EF28" i="54"/>
  <c r="AE49" i="54"/>
  <c r="BU49" i="54"/>
  <c r="AY49" i="54"/>
  <c r="BV49" i="54"/>
  <c r="AY28" i="54"/>
  <c r="BH49" i="54"/>
  <c r="BI49" i="54"/>
  <c r="BX14" i="54"/>
  <c r="BW49" i="54"/>
  <c r="BX49" i="54"/>
  <c r="BZ14" i="54"/>
  <c r="BY49" i="54"/>
  <c r="BG49" i="54"/>
  <c r="BU14" i="54"/>
  <c r="BT49" i="54"/>
  <c r="BV14" i="54"/>
  <c r="BJ49" i="54"/>
  <c r="CO14" i="54"/>
  <c r="BZ49" i="54"/>
  <c r="DJ49" i="54" s="1"/>
  <c r="BT14" i="54"/>
  <c r="CF14" i="54" s="1"/>
  <c r="BG14" i="54"/>
  <c r="BH14" i="54"/>
  <c r="CP14" i="54"/>
  <c r="CO49" i="54"/>
  <c r="CR14" i="54"/>
  <c r="CP49" i="54"/>
  <c r="BW14" i="54"/>
  <c r="BY14" i="54"/>
  <c r="AY12" i="54"/>
  <c r="AV28" i="54"/>
  <c r="AW49" i="54"/>
  <c r="CQ49" i="54"/>
  <c r="AG49" i="54"/>
  <c r="CR49" i="54"/>
  <c r="CS49" i="54"/>
  <c r="CT49" i="54"/>
  <c r="CU49" i="54"/>
  <c r="EG49" i="54"/>
  <c r="FF49" i="54"/>
  <c r="BB49" i="54"/>
  <c r="BC49" i="54"/>
  <c r="BD49" i="54"/>
  <c r="BF49" i="54"/>
  <c r="AD49" i="54"/>
  <c r="BE49" i="54"/>
  <c r="AF49" i="54"/>
  <c r="CE49" i="54"/>
  <c r="CC49" i="54"/>
  <c r="FG49" i="54"/>
  <c r="CD49" i="54"/>
  <c r="BM49" i="54"/>
  <c r="CV49" i="54"/>
  <c r="CW49" i="54"/>
  <c r="EB49" i="54"/>
  <c r="EC49" i="54"/>
  <c r="FP49" i="54"/>
  <c r="CL49" i="54"/>
  <c r="ED49" i="54"/>
  <c r="CM49" i="54"/>
  <c r="EE49" i="54"/>
  <c r="CA49" i="54"/>
  <c r="CB49" i="54"/>
  <c r="CN49" i="54"/>
  <c r="BI14" i="54"/>
  <c r="BT12" i="54"/>
  <c r="BU12" i="54"/>
  <c r="BW12" i="54"/>
  <c r="CB12" i="54"/>
  <c r="CQ14" i="54"/>
  <c r="CO12" i="54"/>
  <c r="BY12" i="54"/>
  <c r="BZ12" i="54"/>
  <c r="CP12" i="54"/>
  <c r="CQ12" i="54"/>
  <c r="BX12" i="54"/>
  <c r="BV12" i="54"/>
  <c r="BJ14" i="54"/>
  <c r="BK14" i="54"/>
  <c r="BL12" i="54"/>
  <c r="BJ12" i="54"/>
  <c r="BM12" i="54"/>
  <c r="AW12" i="54"/>
  <c r="BI12" i="54"/>
  <c r="BF28" i="54"/>
  <c r="AY9" i="54"/>
  <c r="BK12" i="54"/>
  <c r="AX14" i="54"/>
  <c r="AX12" i="54"/>
  <c r="BV28" i="54"/>
  <c r="BW28" i="54"/>
  <c r="BG28" i="54"/>
  <c r="CS14" i="54"/>
  <c r="BY28" i="54"/>
  <c r="BZ28" i="54"/>
  <c r="BU28" i="54"/>
  <c r="CO28" i="54"/>
  <c r="BX28" i="54"/>
  <c r="CP28" i="54"/>
  <c r="CQ28" i="54"/>
  <c r="CR28" i="54"/>
  <c r="BT28" i="54"/>
  <c r="AW28" i="54"/>
  <c r="AX28" i="54"/>
  <c r="BI28" i="54"/>
  <c r="BJ28" i="54"/>
  <c r="BL28" i="54"/>
  <c r="BK28" i="54"/>
  <c r="CS28" i="54"/>
  <c r="AF28" i="54"/>
  <c r="CT28" i="54"/>
  <c r="CU28" i="54"/>
  <c r="EG28" i="54"/>
  <c r="BC28" i="54"/>
  <c r="FF28" i="54"/>
  <c r="BD28" i="54"/>
  <c r="AE28" i="54"/>
  <c r="BE28" i="54"/>
  <c r="AG28" i="54"/>
  <c r="BH28" i="54"/>
  <c r="BB28" i="54"/>
  <c r="CV28" i="54"/>
  <c r="CA28" i="54"/>
  <c r="CW28" i="54"/>
  <c r="BM28" i="54"/>
  <c r="EB28" i="54"/>
  <c r="CB28" i="54"/>
  <c r="EC28" i="54"/>
  <c r="CD28" i="54"/>
  <c r="CL28" i="54"/>
  <c r="ED28" i="54"/>
  <c r="CC28" i="54"/>
  <c r="CM28" i="54"/>
  <c r="EE28" i="54"/>
  <c r="FG28" i="54"/>
  <c r="CE28" i="54"/>
  <c r="CN28" i="54"/>
  <c r="BG12" i="54"/>
  <c r="BH12" i="54"/>
  <c r="CT14" i="54"/>
  <c r="CU14" i="54"/>
  <c r="BC14" i="54"/>
  <c r="EG14" i="54"/>
  <c r="BD14" i="54"/>
  <c r="FF14" i="54"/>
  <c r="BE14" i="54"/>
  <c r="AD14" i="54"/>
  <c r="AG14" i="54"/>
  <c r="AF14" i="54"/>
  <c r="BB14" i="54"/>
  <c r="CA14" i="54"/>
  <c r="CW14" i="54"/>
  <c r="CC14" i="54"/>
  <c r="CV14" i="54"/>
  <c r="CD14" i="54"/>
  <c r="BM14" i="54"/>
  <c r="EB14" i="54"/>
  <c r="EC14" i="54"/>
  <c r="CL14" i="54"/>
  <c r="ED14" i="54"/>
  <c r="CE14" i="54"/>
  <c r="CM14" i="54"/>
  <c r="EE14" i="54"/>
  <c r="CB14" i="54"/>
  <c r="CN14" i="54"/>
  <c r="AV12" i="54"/>
  <c r="CR12" i="54"/>
  <c r="BJ9" i="54"/>
  <c r="BB12" i="54"/>
  <c r="CS12" i="54"/>
  <c r="BK9" i="54"/>
  <c r="BC12" i="54"/>
  <c r="CT12" i="54"/>
  <c r="BL9" i="54"/>
  <c r="BD12" i="54"/>
  <c r="EG12" i="54"/>
  <c r="AE12" i="54"/>
  <c r="AV9" i="54"/>
  <c r="BT9" i="54"/>
  <c r="BF12" i="54"/>
  <c r="AD12" i="54"/>
  <c r="BE12" i="54"/>
  <c r="AF12" i="54"/>
  <c r="CU12" i="54"/>
  <c r="CE12" i="54"/>
  <c r="EB12" i="54"/>
  <c r="FG12" i="54"/>
  <c r="CW12" i="54"/>
  <c r="CD12" i="54"/>
  <c r="EC12" i="54"/>
  <c r="CL12" i="54"/>
  <c r="ED12" i="54"/>
  <c r="AG12" i="54"/>
  <c r="CV12" i="54"/>
  <c r="CC12" i="54"/>
  <c r="CM12" i="54"/>
  <c r="EE12" i="54"/>
  <c r="CA12" i="54"/>
  <c r="CN12" i="54"/>
  <c r="EF9" i="54"/>
  <c r="BU9" i="54"/>
  <c r="W9" i="54"/>
  <c r="BG9" i="54" s="1"/>
  <c r="BV9" i="54"/>
  <c r="BW9" i="54"/>
  <c r="EG9" i="54"/>
  <c r="CO9" i="54"/>
  <c r="CP9" i="54"/>
  <c r="BX9" i="54"/>
  <c r="CQ9" i="54"/>
  <c r="CR9" i="54"/>
  <c r="BY9" i="54"/>
  <c r="CS9" i="54"/>
  <c r="AX9" i="54"/>
  <c r="BF9" i="54"/>
  <c r="BH9" i="54"/>
  <c r="BI9" i="54"/>
  <c r="BM9" i="54"/>
  <c r="AW9" i="54"/>
  <c r="BC9" i="54"/>
  <c r="BD9" i="54"/>
  <c r="AF9" i="54"/>
  <c r="AD9" i="54"/>
  <c r="BB9" i="54"/>
  <c r="BE9" i="54"/>
  <c r="CU9" i="54"/>
  <c r="AG9" i="54"/>
  <c r="CV9" i="54"/>
  <c r="CB9" i="54"/>
  <c r="DL9" i="54" s="1"/>
  <c r="CE9" i="54"/>
  <c r="CA9" i="54"/>
  <c r="CC9" i="54"/>
  <c r="EB9" i="54"/>
  <c r="EC9" i="54"/>
  <c r="CW9" i="54"/>
  <c r="CD9" i="54"/>
  <c r="CL9" i="54"/>
  <c r="ED9" i="54"/>
  <c r="CM9" i="54"/>
  <c r="EE9" i="54"/>
  <c r="BZ9" i="54"/>
  <c r="CN9" i="54"/>
  <c r="AC98" i="43"/>
  <c r="AF98" i="43"/>
  <c r="AE98" i="43"/>
  <c r="AE14" i="54" l="1"/>
  <c r="DK49" i="54"/>
  <c r="DE49" i="54"/>
  <c r="DH49" i="54"/>
  <c r="DH12" i="54"/>
  <c r="FP12" i="54"/>
  <c r="FP14" i="54"/>
  <c r="DE14" i="54"/>
  <c r="DL12" i="54"/>
  <c r="AZ49" i="54"/>
  <c r="DJ14" i="54"/>
  <c r="AZ14" i="54"/>
  <c r="DG49" i="54"/>
  <c r="DK9" i="54"/>
  <c r="DH14" i="54"/>
  <c r="FP28" i="54"/>
  <c r="DI14" i="54"/>
  <c r="BP14" i="54"/>
  <c r="CF12" i="54"/>
  <c r="DI49" i="54"/>
  <c r="DQ49" i="54" s="1"/>
  <c r="CY49" i="54"/>
  <c r="DD12" i="54"/>
  <c r="BQ49" i="54"/>
  <c r="CG14" i="54"/>
  <c r="AH49" i="54"/>
  <c r="DL14" i="54"/>
  <c r="DG12" i="54"/>
  <c r="DF49" i="54"/>
  <c r="DO14" i="54"/>
  <c r="DE12" i="54"/>
  <c r="BO14" i="54"/>
  <c r="CF49" i="54"/>
  <c r="CG49" i="54"/>
  <c r="DF12" i="54"/>
  <c r="CY14" i="54"/>
  <c r="BO49" i="54"/>
  <c r="DG14" i="54"/>
  <c r="BP49" i="54"/>
  <c r="DK28" i="54"/>
  <c r="BN28" i="54"/>
  <c r="AZ12" i="54"/>
  <c r="FQ9" i="54"/>
  <c r="DF14" i="54"/>
  <c r="DL49" i="54"/>
  <c r="DR49" i="54" s="1"/>
  <c r="FB49" i="54"/>
  <c r="FN49" i="54"/>
  <c r="EZ49" i="54"/>
  <c r="DO49" i="54"/>
  <c r="FQ49" i="54"/>
  <c r="CZ49" i="54"/>
  <c r="FM49" i="54"/>
  <c r="CX49" i="54"/>
  <c r="DA49" i="54"/>
  <c r="BN49" i="54"/>
  <c r="CI49" i="54"/>
  <c r="DM49" i="54"/>
  <c r="EH49" i="54"/>
  <c r="FH49" i="54"/>
  <c r="FR49" i="54" s="1"/>
  <c r="EI49" i="54"/>
  <c r="FI49" i="54"/>
  <c r="DN49" i="54"/>
  <c r="FA49" i="54"/>
  <c r="FL49" i="54"/>
  <c r="EJ49" i="54"/>
  <c r="DD49" i="54"/>
  <c r="CH49" i="54"/>
  <c r="FC49" i="54"/>
  <c r="FK49" i="54"/>
  <c r="EK49" i="54"/>
  <c r="FO49" i="54"/>
  <c r="FJ49" i="54"/>
  <c r="CZ14" i="54"/>
  <c r="DI12" i="54"/>
  <c r="BQ28" i="54"/>
  <c r="CY12" i="54"/>
  <c r="CF28" i="54"/>
  <c r="AH28" i="54"/>
  <c r="CZ9" i="54"/>
  <c r="BQ12" i="54"/>
  <c r="CG12" i="54"/>
  <c r="BQ14" i="54"/>
  <c r="DJ12" i="54"/>
  <c r="DG9" i="54"/>
  <c r="AZ28" i="54"/>
  <c r="BO28" i="54"/>
  <c r="DK14" i="54"/>
  <c r="DL28" i="54"/>
  <c r="BP12" i="54"/>
  <c r="DH9" i="54"/>
  <c r="DF28" i="54"/>
  <c r="CY28" i="54"/>
  <c r="BN14" i="54"/>
  <c r="FK14" i="54"/>
  <c r="DJ28" i="54"/>
  <c r="BP28" i="54"/>
  <c r="DH28" i="54"/>
  <c r="DE28" i="54"/>
  <c r="DI28" i="54"/>
  <c r="AH14" i="54"/>
  <c r="CG28" i="54"/>
  <c r="CZ28" i="54"/>
  <c r="BO12" i="54"/>
  <c r="FA14" i="54"/>
  <c r="DG28" i="54"/>
  <c r="BN9" i="54"/>
  <c r="FN28" i="54"/>
  <c r="FQ28" i="54"/>
  <c r="DO28" i="54"/>
  <c r="FB28" i="54"/>
  <c r="CX28" i="54"/>
  <c r="EZ28" i="54"/>
  <c r="DA28" i="54"/>
  <c r="FM28" i="54"/>
  <c r="DN28" i="54"/>
  <c r="FH28" i="54"/>
  <c r="FR28" i="54" s="1"/>
  <c r="EH28" i="54"/>
  <c r="DD28" i="54"/>
  <c r="FA28" i="54"/>
  <c r="FC28" i="54"/>
  <c r="EJ28" i="54"/>
  <c r="FL28" i="54"/>
  <c r="FK28" i="54"/>
  <c r="FO28" i="54"/>
  <c r="EK28" i="54"/>
  <c r="CI28" i="54"/>
  <c r="DM28" i="54"/>
  <c r="FI28" i="54"/>
  <c r="EI28" i="54"/>
  <c r="CH28" i="54"/>
  <c r="FJ28" i="54"/>
  <c r="DD9" i="54"/>
  <c r="DF9" i="54"/>
  <c r="BQ9" i="54"/>
  <c r="DK12" i="54"/>
  <c r="DI9" i="54"/>
  <c r="FB14" i="54"/>
  <c r="FC14" i="54"/>
  <c r="FQ14" i="54"/>
  <c r="EZ14" i="54"/>
  <c r="FN14" i="54"/>
  <c r="DA14" i="54"/>
  <c r="DN14" i="54"/>
  <c r="CX14" i="54"/>
  <c r="FM14" i="54"/>
  <c r="CI14" i="54"/>
  <c r="DM14" i="54"/>
  <c r="FL14" i="54"/>
  <c r="EJ14" i="54"/>
  <c r="CH14" i="54"/>
  <c r="FH14" i="54"/>
  <c r="FR14" i="54" s="1"/>
  <c r="EH14" i="54"/>
  <c r="DD14" i="54"/>
  <c r="EI14" i="54"/>
  <c r="FI14" i="54"/>
  <c r="FO14" i="54"/>
  <c r="EK14" i="54"/>
  <c r="FJ14" i="54"/>
  <c r="FC12" i="54"/>
  <c r="BP9" i="54"/>
  <c r="AE9" i="54"/>
  <c r="AH9" i="54" s="1"/>
  <c r="DE9" i="54"/>
  <c r="BN12" i="54"/>
  <c r="AH12" i="54"/>
  <c r="CZ12" i="54"/>
  <c r="FQ12" i="54"/>
  <c r="FP9" i="54"/>
  <c r="CF9" i="54"/>
  <c r="FK12" i="54"/>
  <c r="FJ12" i="54"/>
  <c r="DO12" i="54"/>
  <c r="DA12" i="54"/>
  <c r="DM12" i="54"/>
  <c r="CI12" i="54"/>
  <c r="EI12" i="54"/>
  <c r="FI12" i="54"/>
  <c r="FB12" i="54"/>
  <c r="FN12" i="54"/>
  <c r="EZ12" i="54"/>
  <c r="FH12" i="54"/>
  <c r="FR12" i="54" s="1"/>
  <c r="EH12" i="54"/>
  <c r="FM12" i="54"/>
  <c r="DN12" i="54"/>
  <c r="CH12" i="54"/>
  <c r="EJ12" i="54"/>
  <c r="FL12" i="54"/>
  <c r="CX12" i="54"/>
  <c r="FA12" i="54"/>
  <c r="EK12" i="54"/>
  <c r="FO12" i="54"/>
  <c r="BO9" i="54"/>
  <c r="CY9" i="54"/>
  <c r="AZ9" i="54"/>
  <c r="CG9" i="54"/>
  <c r="DO9" i="54"/>
  <c r="DM9" i="54"/>
  <c r="CI9" i="54"/>
  <c r="FB9" i="54"/>
  <c r="CX9" i="54"/>
  <c r="FI9" i="54"/>
  <c r="EI9" i="54"/>
  <c r="FA9" i="54"/>
  <c r="CH9" i="54"/>
  <c r="DJ9" i="54"/>
  <c r="FN9" i="54"/>
  <c r="DA9" i="54"/>
  <c r="FK9" i="54"/>
  <c r="EJ9" i="54"/>
  <c r="FL9" i="54"/>
  <c r="EK9" i="54"/>
  <c r="FO9" i="54"/>
  <c r="DN9" i="54"/>
  <c r="EZ9" i="54"/>
  <c r="FF9" i="54"/>
  <c r="FM9" i="54"/>
  <c r="FJ9" i="54"/>
  <c r="EH9" i="54"/>
  <c r="FH9" i="54"/>
  <c r="FC9" i="54"/>
  <c r="AD98" i="43"/>
  <c r="AP98" i="43" s="1"/>
  <c r="DQ14" i="54" l="1"/>
  <c r="DR9" i="54"/>
  <c r="DQ12" i="54"/>
  <c r="FS12" i="54"/>
  <c r="DR14" i="54"/>
  <c r="BR49" i="54"/>
  <c r="DP12" i="54"/>
  <c r="DR28" i="54"/>
  <c r="DP28" i="54"/>
  <c r="DB28" i="54"/>
  <c r="DP49" i="54"/>
  <c r="DB49" i="54"/>
  <c r="DP14" i="54"/>
  <c r="FU49" i="54"/>
  <c r="CJ49" i="54"/>
  <c r="FT49" i="54"/>
  <c r="FD49" i="54"/>
  <c r="FS49" i="54"/>
  <c r="FV49" i="54" s="1"/>
  <c r="EL49" i="54"/>
  <c r="DS49" i="54"/>
  <c r="DT49" i="54" s="1"/>
  <c r="BR9" i="54"/>
  <c r="FD14" i="54"/>
  <c r="BR28" i="54"/>
  <c r="BR14" i="54"/>
  <c r="DR12" i="54"/>
  <c r="DQ9" i="54"/>
  <c r="FU14" i="54"/>
  <c r="BR12" i="54"/>
  <c r="DP9" i="54"/>
  <c r="DB14" i="54"/>
  <c r="DQ28" i="54"/>
  <c r="FT28" i="54"/>
  <c r="FU28" i="54"/>
  <c r="DS14" i="54"/>
  <c r="DS28" i="54"/>
  <c r="CJ28" i="54"/>
  <c r="FD28" i="54"/>
  <c r="FS28" i="54"/>
  <c r="EL28" i="54"/>
  <c r="FU12" i="54"/>
  <c r="FU9" i="54"/>
  <c r="CJ14" i="54"/>
  <c r="FT14" i="54"/>
  <c r="FS14" i="54"/>
  <c r="EL14" i="54"/>
  <c r="DB12" i="54"/>
  <c r="CJ9" i="54"/>
  <c r="FT12" i="54"/>
  <c r="CJ12" i="54"/>
  <c r="FD12" i="54"/>
  <c r="DS12" i="54"/>
  <c r="EL12" i="54"/>
  <c r="FT9" i="54"/>
  <c r="FD9" i="54"/>
  <c r="FR9" i="54"/>
  <c r="FS9" i="54"/>
  <c r="DB9" i="54"/>
  <c r="EL9" i="54"/>
  <c r="DS9" i="54"/>
  <c r="P53" i="61"/>
  <c r="P37" i="61"/>
  <c r="P36" i="61"/>
  <c r="P35" i="61"/>
  <c r="P34" i="61"/>
  <c r="P33" i="61"/>
  <c r="P32" i="61"/>
  <c r="P31" i="61"/>
  <c r="P30" i="61"/>
  <c r="P29" i="61"/>
  <c r="P28" i="61"/>
  <c r="D70" i="35"/>
  <c r="C70" i="35"/>
  <c r="D69" i="35"/>
  <c r="C69" i="35"/>
  <c r="DT14" i="54" l="1"/>
  <c r="FV14" i="54"/>
  <c r="DT9" i="54"/>
  <c r="DT28" i="54"/>
  <c r="DT12" i="54"/>
  <c r="FV28" i="54"/>
  <c r="FV12" i="54"/>
  <c r="FV9" i="54"/>
  <c r="R50" i="61"/>
  <c r="W50" i="61" s="1"/>
  <c r="D3" i="61"/>
  <c r="F2" i="61"/>
  <c r="C118" i="38"/>
  <c r="C247" i="42"/>
  <c r="AM247" i="42" s="1"/>
  <c r="M317" i="58"/>
  <c r="M316" i="58"/>
  <c r="M315" i="58"/>
  <c r="M314" i="58"/>
  <c r="M313" i="58"/>
  <c r="M312" i="58"/>
  <c r="M311" i="58"/>
  <c r="M310" i="58"/>
  <c r="M309" i="58"/>
  <c r="M308" i="58"/>
  <c r="M307" i="58"/>
  <c r="M306" i="58"/>
  <c r="M305" i="58"/>
  <c r="M304" i="58"/>
  <c r="M303" i="58"/>
  <c r="M302" i="58"/>
  <c r="M301" i="58"/>
  <c r="M300" i="58"/>
  <c r="M299" i="58"/>
  <c r="M298" i="58"/>
  <c r="M297" i="58"/>
  <c r="M296" i="58"/>
  <c r="M295" i="58"/>
  <c r="M294" i="58"/>
  <c r="M293" i="58"/>
  <c r="M292" i="58"/>
  <c r="M291" i="58"/>
  <c r="M290" i="58"/>
  <c r="M289" i="58"/>
  <c r="M288" i="58"/>
  <c r="M287" i="58"/>
  <c r="M286" i="58"/>
  <c r="M285" i="58"/>
  <c r="M284" i="58"/>
  <c r="M283" i="58"/>
  <c r="M282" i="58"/>
  <c r="M281" i="58"/>
  <c r="M280" i="58"/>
  <c r="M279" i="58"/>
  <c r="M278" i="58"/>
  <c r="M277" i="58"/>
  <c r="M276" i="58"/>
  <c r="M275" i="58"/>
  <c r="M274" i="58"/>
  <c r="M273" i="58"/>
  <c r="M272" i="58"/>
  <c r="M271" i="58"/>
  <c r="M270" i="58"/>
  <c r="M269" i="58"/>
  <c r="M268" i="58"/>
  <c r="M267" i="58"/>
  <c r="M266" i="58"/>
  <c r="M265" i="58"/>
  <c r="M264" i="58"/>
  <c r="M263" i="58"/>
  <c r="M262" i="58"/>
  <c r="M261" i="58"/>
  <c r="M260" i="58"/>
  <c r="M259" i="58"/>
  <c r="M258" i="58"/>
  <c r="M257" i="58"/>
  <c r="M256" i="58"/>
  <c r="M255" i="58"/>
  <c r="M254" i="58"/>
  <c r="M253" i="58"/>
  <c r="M252" i="58"/>
  <c r="M251" i="58"/>
  <c r="M250" i="58"/>
  <c r="M249" i="58"/>
  <c r="M248" i="58"/>
  <c r="M247" i="58"/>
  <c r="M246" i="58"/>
  <c r="M245" i="58"/>
  <c r="M244" i="58"/>
  <c r="M243" i="58"/>
  <c r="M242" i="58"/>
  <c r="M241" i="58"/>
  <c r="M240" i="58"/>
  <c r="M239" i="58"/>
  <c r="M238" i="58"/>
  <c r="M237" i="58"/>
  <c r="M236" i="58"/>
  <c r="M235" i="58"/>
  <c r="M234" i="58"/>
  <c r="M233" i="58"/>
  <c r="M232" i="58"/>
  <c r="M231" i="58"/>
  <c r="M230" i="58"/>
  <c r="M229" i="58"/>
  <c r="M228" i="58"/>
  <c r="M227" i="58"/>
  <c r="M226" i="58"/>
  <c r="M225" i="58"/>
  <c r="M224" i="58"/>
  <c r="M223" i="58"/>
  <c r="M222" i="58"/>
  <c r="M221" i="58"/>
  <c r="M220" i="58"/>
  <c r="M219" i="58"/>
  <c r="M218" i="58"/>
  <c r="M217" i="58"/>
  <c r="M216" i="58"/>
  <c r="M215" i="58"/>
  <c r="M214" i="58"/>
  <c r="M213" i="58"/>
  <c r="M212" i="58"/>
  <c r="M211" i="58"/>
  <c r="M210" i="58"/>
  <c r="M209" i="58"/>
  <c r="M208" i="58"/>
  <c r="M207" i="58"/>
  <c r="M206" i="58"/>
  <c r="M205" i="58"/>
  <c r="M204" i="58"/>
  <c r="M203" i="58"/>
  <c r="M202" i="58"/>
  <c r="M201" i="58"/>
  <c r="M200" i="58"/>
  <c r="M199" i="58"/>
  <c r="M198" i="58"/>
  <c r="M197" i="58"/>
  <c r="M196" i="58"/>
  <c r="M195" i="58"/>
  <c r="M194" i="58"/>
  <c r="M193" i="58"/>
  <c r="M192" i="58"/>
  <c r="M191" i="58"/>
  <c r="M190" i="58"/>
  <c r="M189" i="58"/>
  <c r="M188" i="58"/>
  <c r="M187" i="58"/>
  <c r="M186" i="58"/>
  <c r="M185" i="58"/>
  <c r="M184" i="58"/>
  <c r="M183" i="58"/>
  <c r="M182" i="58"/>
  <c r="M181" i="58"/>
  <c r="M180" i="58"/>
  <c r="M179" i="58"/>
  <c r="M178" i="58"/>
  <c r="M177" i="58"/>
  <c r="M176" i="58"/>
  <c r="M175" i="58"/>
  <c r="M174" i="58"/>
  <c r="M173" i="58"/>
  <c r="M172" i="58"/>
  <c r="M171" i="58"/>
  <c r="M170" i="58"/>
  <c r="M169" i="58"/>
  <c r="M168" i="58"/>
  <c r="M167" i="58"/>
  <c r="M166" i="58"/>
  <c r="M165" i="58"/>
  <c r="M164" i="58"/>
  <c r="M163" i="58"/>
  <c r="M162" i="58"/>
  <c r="M161" i="58"/>
  <c r="M160" i="58"/>
  <c r="M159" i="58"/>
  <c r="M158" i="58"/>
  <c r="M157" i="58"/>
  <c r="M156" i="58"/>
  <c r="M155" i="58"/>
  <c r="M154" i="58"/>
  <c r="M153" i="58"/>
  <c r="M152" i="58"/>
  <c r="M151" i="58"/>
  <c r="M150" i="58"/>
  <c r="C320" i="58"/>
  <c r="B320" i="58"/>
  <c r="C317" i="58"/>
  <c r="B317" i="58"/>
  <c r="C316" i="58"/>
  <c r="B316" i="58"/>
  <c r="C315" i="58"/>
  <c r="B315" i="58"/>
  <c r="C314" i="58"/>
  <c r="B314" i="58"/>
  <c r="C313" i="58"/>
  <c r="B313" i="58"/>
  <c r="C312" i="58"/>
  <c r="B312" i="58"/>
  <c r="C311" i="58"/>
  <c r="B311" i="58"/>
  <c r="C310" i="58"/>
  <c r="B310" i="58"/>
  <c r="C309" i="58"/>
  <c r="B309" i="58"/>
  <c r="C308" i="58"/>
  <c r="B308" i="58"/>
  <c r="C307" i="58"/>
  <c r="B307" i="58"/>
  <c r="C306" i="58"/>
  <c r="B306" i="58"/>
  <c r="C305" i="58"/>
  <c r="B305" i="58"/>
  <c r="C304" i="58"/>
  <c r="B304" i="58"/>
  <c r="C303" i="58"/>
  <c r="B303" i="58"/>
  <c r="C302" i="58"/>
  <c r="B302" i="58"/>
  <c r="C301" i="58"/>
  <c r="B301" i="58"/>
  <c r="C300" i="58"/>
  <c r="B300" i="58"/>
  <c r="C299" i="58"/>
  <c r="B299" i="58"/>
  <c r="C298" i="58"/>
  <c r="B298" i="58"/>
  <c r="C297" i="58"/>
  <c r="B297" i="58"/>
  <c r="C296" i="58"/>
  <c r="B296" i="58"/>
  <c r="C295" i="58"/>
  <c r="B295" i="58"/>
  <c r="C294" i="58"/>
  <c r="B294" i="58"/>
  <c r="C293" i="58"/>
  <c r="B293" i="58"/>
  <c r="C292" i="58"/>
  <c r="B292" i="58"/>
  <c r="C291" i="58"/>
  <c r="B291" i="58"/>
  <c r="C290" i="58"/>
  <c r="B290" i="58"/>
  <c r="C289" i="58"/>
  <c r="B289" i="58"/>
  <c r="C288" i="58"/>
  <c r="B288" i="58"/>
  <c r="C287" i="58"/>
  <c r="B287" i="58"/>
  <c r="C286" i="58"/>
  <c r="B286" i="58"/>
  <c r="C285" i="58"/>
  <c r="B285" i="58"/>
  <c r="C284" i="58"/>
  <c r="B284" i="58"/>
  <c r="C283" i="58"/>
  <c r="B283" i="58"/>
  <c r="C282" i="58"/>
  <c r="B282" i="58"/>
  <c r="C281" i="58"/>
  <c r="B281" i="58"/>
  <c r="C280" i="58"/>
  <c r="B280" i="58"/>
  <c r="C279" i="58"/>
  <c r="B279" i="58"/>
  <c r="C278" i="58"/>
  <c r="B278" i="58"/>
  <c r="C277" i="58"/>
  <c r="B277" i="58"/>
  <c r="C276" i="58"/>
  <c r="B276" i="58"/>
  <c r="C275" i="58"/>
  <c r="B275" i="58"/>
  <c r="C274" i="58"/>
  <c r="B274" i="58"/>
  <c r="C273" i="58"/>
  <c r="B273" i="58"/>
  <c r="C272" i="58"/>
  <c r="B272" i="58"/>
  <c r="C271" i="58"/>
  <c r="B271" i="58"/>
  <c r="C270" i="58"/>
  <c r="B270" i="58"/>
  <c r="C269" i="58"/>
  <c r="B269" i="58"/>
  <c r="C268" i="58"/>
  <c r="B268" i="58"/>
  <c r="C267" i="58"/>
  <c r="B267" i="58"/>
  <c r="C266" i="58"/>
  <c r="B266" i="58"/>
  <c r="C265" i="58"/>
  <c r="B265" i="58"/>
  <c r="C264" i="58"/>
  <c r="B264" i="58"/>
  <c r="C263" i="58"/>
  <c r="B263" i="58"/>
  <c r="C262" i="58"/>
  <c r="B262" i="58"/>
  <c r="C261" i="58"/>
  <c r="B261" i="58"/>
  <c r="C260" i="58"/>
  <c r="B260" i="58"/>
  <c r="C259" i="58"/>
  <c r="B259" i="58"/>
  <c r="C258" i="58"/>
  <c r="B258" i="58"/>
  <c r="C257" i="58"/>
  <c r="B257" i="58"/>
  <c r="C256" i="58"/>
  <c r="B256" i="58"/>
  <c r="C255" i="58"/>
  <c r="B255" i="58"/>
  <c r="C254" i="58"/>
  <c r="B254" i="58"/>
  <c r="C253" i="58"/>
  <c r="B253" i="58"/>
  <c r="C252" i="58"/>
  <c r="B252" i="58"/>
  <c r="C251" i="58"/>
  <c r="B251" i="58"/>
  <c r="C250" i="58"/>
  <c r="B250" i="58"/>
  <c r="C249" i="58"/>
  <c r="B249" i="58"/>
  <c r="C248" i="58"/>
  <c r="B248" i="58"/>
  <c r="C247" i="58"/>
  <c r="B247" i="58"/>
  <c r="C246" i="58"/>
  <c r="B246" i="58"/>
  <c r="C245" i="58"/>
  <c r="B245" i="58"/>
  <c r="C244" i="58"/>
  <c r="B244" i="58"/>
  <c r="C243" i="58"/>
  <c r="B243" i="58"/>
  <c r="C242" i="58"/>
  <c r="B242" i="58"/>
  <c r="C241" i="58"/>
  <c r="B241" i="58"/>
  <c r="C240" i="58"/>
  <c r="B240" i="58"/>
  <c r="C239" i="58"/>
  <c r="B239" i="58"/>
  <c r="C238" i="58"/>
  <c r="B238" i="58"/>
  <c r="C237" i="58"/>
  <c r="B237" i="58"/>
  <c r="C236" i="58"/>
  <c r="B236" i="58"/>
  <c r="C235" i="58"/>
  <c r="B235" i="58"/>
  <c r="C234" i="58"/>
  <c r="B234" i="58"/>
  <c r="C233" i="58"/>
  <c r="B233" i="58"/>
  <c r="C232" i="58"/>
  <c r="B232" i="58"/>
  <c r="C231" i="58"/>
  <c r="B231" i="58"/>
  <c r="C230" i="58"/>
  <c r="B230" i="58"/>
  <c r="C229" i="58"/>
  <c r="B229" i="58"/>
  <c r="C228" i="58"/>
  <c r="B228" i="58"/>
  <c r="C227" i="58"/>
  <c r="B227" i="58"/>
  <c r="C226" i="58"/>
  <c r="B226" i="58"/>
  <c r="C225" i="58"/>
  <c r="B225" i="58"/>
  <c r="C224" i="58"/>
  <c r="B224" i="58"/>
  <c r="C223" i="58"/>
  <c r="B223" i="58"/>
  <c r="C222" i="58"/>
  <c r="B222" i="58"/>
  <c r="C221" i="58"/>
  <c r="B221" i="58"/>
  <c r="C220" i="58"/>
  <c r="B220" i="58"/>
  <c r="C219" i="58"/>
  <c r="B219" i="58"/>
  <c r="C218" i="58"/>
  <c r="B218" i="58"/>
  <c r="C217" i="58"/>
  <c r="B217" i="58"/>
  <c r="C216" i="58"/>
  <c r="B216" i="58"/>
  <c r="C215" i="58"/>
  <c r="B215" i="58"/>
  <c r="C214" i="58"/>
  <c r="B214" i="58"/>
  <c r="C213" i="58"/>
  <c r="B213" i="58"/>
  <c r="C212" i="58"/>
  <c r="B212" i="58"/>
  <c r="C211" i="58"/>
  <c r="B211" i="58"/>
  <c r="C210" i="58"/>
  <c r="B210" i="58"/>
  <c r="C209" i="58"/>
  <c r="B209" i="58"/>
  <c r="C208" i="58"/>
  <c r="B208" i="58"/>
  <c r="C207" i="58"/>
  <c r="B207" i="58"/>
  <c r="C206" i="58"/>
  <c r="B206" i="58"/>
  <c r="C205" i="58"/>
  <c r="B205" i="58"/>
  <c r="C204" i="58"/>
  <c r="B204" i="58"/>
  <c r="C203" i="58"/>
  <c r="B203" i="58"/>
  <c r="C202" i="58"/>
  <c r="B202" i="58"/>
  <c r="C201" i="58"/>
  <c r="B201" i="58"/>
  <c r="C200" i="58"/>
  <c r="B200" i="58"/>
  <c r="C199" i="58"/>
  <c r="B199" i="58"/>
  <c r="C198" i="58"/>
  <c r="B198" i="58"/>
  <c r="C197" i="58"/>
  <c r="B197" i="58"/>
  <c r="C196" i="58"/>
  <c r="B196" i="58"/>
  <c r="C195" i="58"/>
  <c r="B195" i="58"/>
  <c r="C194" i="58"/>
  <c r="B194" i="58"/>
  <c r="C193" i="58"/>
  <c r="B193" i="58"/>
  <c r="C192" i="58"/>
  <c r="B192" i="58"/>
  <c r="C191" i="58"/>
  <c r="B191" i="58"/>
  <c r="C190" i="58"/>
  <c r="B190" i="58"/>
  <c r="C189" i="58"/>
  <c r="B189" i="58"/>
  <c r="C188" i="58"/>
  <c r="B188" i="58"/>
  <c r="C187" i="58"/>
  <c r="B187" i="58"/>
  <c r="C186" i="58"/>
  <c r="B186" i="58"/>
  <c r="C185" i="58"/>
  <c r="B185" i="58"/>
  <c r="C184" i="58"/>
  <c r="B184" i="58"/>
  <c r="C183" i="58"/>
  <c r="B183" i="58"/>
  <c r="C182" i="58"/>
  <c r="B182" i="58"/>
  <c r="C181" i="58"/>
  <c r="B181" i="58"/>
  <c r="C180" i="58"/>
  <c r="B180" i="58"/>
  <c r="C179" i="58"/>
  <c r="B179" i="58"/>
  <c r="C178" i="58"/>
  <c r="B178" i="58"/>
  <c r="C177" i="58"/>
  <c r="B177" i="58"/>
  <c r="C176" i="58"/>
  <c r="B176" i="58"/>
  <c r="C175" i="58"/>
  <c r="B175" i="58"/>
  <c r="C174" i="58"/>
  <c r="B174" i="58"/>
  <c r="C173" i="58"/>
  <c r="B173" i="58"/>
  <c r="C172" i="58"/>
  <c r="B172" i="58"/>
  <c r="C171" i="58"/>
  <c r="B171" i="58"/>
  <c r="C170" i="58"/>
  <c r="B170" i="58"/>
  <c r="C169" i="58"/>
  <c r="B169" i="58"/>
  <c r="C168" i="58"/>
  <c r="B168" i="58"/>
  <c r="C167" i="58"/>
  <c r="B167" i="58"/>
  <c r="C166" i="58"/>
  <c r="B166" i="58"/>
  <c r="C165" i="58"/>
  <c r="B165" i="58"/>
  <c r="C164" i="58"/>
  <c r="B164" i="58"/>
  <c r="C163" i="58"/>
  <c r="B163" i="58"/>
  <c r="C162" i="58"/>
  <c r="B162" i="58"/>
  <c r="C161" i="58"/>
  <c r="B161" i="58"/>
  <c r="C160" i="58"/>
  <c r="B160" i="58"/>
  <c r="C159" i="58"/>
  <c r="B159" i="58"/>
  <c r="C158" i="58"/>
  <c r="B158" i="58"/>
  <c r="C157" i="58"/>
  <c r="B157" i="58"/>
  <c r="C156" i="58"/>
  <c r="B156" i="58"/>
  <c r="C155" i="58"/>
  <c r="B155" i="58"/>
  <c r="C154" i="58"/>
  <c r="B154" i="58"/>
  <c r="C153" i="58"/>
  <c r="B153" i="58"/>
  <c r="C152" i="58"/>
  <c r="B152" i="58"/>
  <c r="C151" i="58"/>
  <c r="B151" i="58"/>
  <c r="C150" i="58"/>
  <c r="B150" i="58"/>
  <c r="AM250" i="42" l="1"/>
  <c r="AM280" i="42" s="1"/>
  <c r="AM277" i="42"/>
  <c r="G2" i="61"/>
  <c r="H2" i="61" s="1"/>
  <c r="I2" i="61" s="1"/>
  <c r="J2" i="61" s="1"/>
  <c r="K2" i="61" s="1"/>
  <c r="O38" i="61"/>
  <c r="P38" i="61"/>
  <c r="B41" i="54"/>
  <c r="B42" i="54" s="1"/>
  <c r="B43" i="54" s="1"/>
  <c r="L2" i="61" l="1"/>
  <c r="M2" i="61" s="1"/>
  <c r="N2" i="61" s="1"/>
  <c r="O2" i="61" s="1"/>
  <c r="P2" i="61" s="1"/>
  <c r="C149" i="58" l="1"/>
  <c r="B149" i="58"/>
  <c r="C148" i="58"/>
  <c r="B148" i="58"/>
  <c r="C147" i="58"/>
  <c r="B147" i="58"/>
  <c r="C146" i="58"/>
  <c r="B146" i="58"/>
  <c r="C145" i="58"/>
  <c r="B145" i="58"/>
  <c r="C144" i="58"/>
  <c r="B144" i="58"/>
  <c r="C143" i="58"/>
  <c r="B143" i="58"/>
  <c r="C142" i="58"/>
  <c r="B142" i="58"/>
  <c r="C141" i="58"/>
  <c r="B141" i="58"/>
  <c r="C140" i="58"/>
  <c r="B140" i="58"/>
  <c r="C139" i="58"/>
  <c r="B139" i="58"/>
  <c r="C138" i="58"/>
  <c r="B138" i="58"/>
  <c r="C137" i="58"/>
  <c r="B137" i="58"/>
  <c r="C136" i="58"/>
  <c r="B136" i="58"/>
  <c r="C135" i="58"/>
  <c r="B135" i="58"/>
  <c r="C134" i="58"/>
  <c r="B134" i="58"/>
  <c r="C133" i="58"/>
  <c r="B133" i="58"/>
  <c r="C132" i="58"/>
  <c r="B132" i="58"/>
  <c r="C131" i="58"/>
  <c r="B131" i="58"/>
  <c r="C130" i="58"/>
  <c r="B130" i="58"/>
  <c r="C129" i="58"/>
  <c r="B129" i="58"/>
  <c r="C128" i="58"/>
  <c r="B128" i="58"/>
  <c r="C127" i="58"/>
  <c r="B127" i="58"/>
  <c r="C126" i="58"/>
  <c r="B126" i="58"/>
  <c r="C125" i="58"/>
  <c r="B125" i="58"/>
  <c r="C124" i="58"/>
  <c r="B124" i="58"/>
  <c r="C123" i="58"/>
  <c r="B123" i="58"/>
  <c r="C122" i="58"/>
  <c r="B122" i="58"/>
  <c r="C121" i="58"/>
  <c r="B121" i="58"/>
  <c r="C120" i="58"/>
  <c r="B120" i="58"/>
  <c r="C119" i="58"/>
  <c r="B119" i="58"/>
  <c r="C118" i="58"/>
  <c r="B118" i="58"/>
  <c r="C117" i="58"/>
  <c r="B117" i="58"/>
  <c r="C116" i="58"/>
  <c r="B116" i="58"/>
  <c r="C115" i="58"/>
  <c r="B115" i="58"/>
  <c r="C114" i="58"/>
  <c r="B114" i="58"/>
  <c r="C113" i="58"/>
  <c r="B113" i="58"/>
  <c r="C112" i="58"/>
  <c r="B112" i="58"/>
  <c r="C111" i="58"/>
  <c r="B111" i="58"/>
  <c r="C110" i="58"/>
  <c r="B110" i="58"/>
  <c r="C109" i="58"/>
  <c r="B109" i="58"/>
  <c r="C108" i="58"/>
  <c r="B108" i="58"/>
  <c r="C107" i="58"/>
  <c r="B107" i="58"/>
  <c r="C106" i="58"/>
  <c r="B106" i="58"/>
  <c r="C105" i="58"/>
  <c r="B105" i="58"/>
  <c r="C104" i="58"/>
  <c r="B104" i="58"/>
  <c r="C103" i="58"/>
  <c r="B103" i="58"/>
  <c r="C102" i="58"/>
  <c r="B102" i="58"/>
  <c r="C101" i="58"/>
  <c r="B101" i="58"/>
  <c r="C100" i="58"/>
  <c r="B100" i="58"/>
  <c r="C99" i="58"/>
  <c r="B99" i="58"/>
  <c r="C98" i="58"/>
  <c r="B98" i="58"/>
  <c r="C97" i="58"/>
  <c r="B97" i="58"/>
  <c r="C96" i="58"/>
  <c r="B96" i="58"/>
  <c r="C95" i="58"/>
  <c r="B95" i="58"/>
  <c r="C94" i="58"/>
  <c r="B94" i="58"/>
  <c r="C93" i="58"/>
  <c r="B93" i="58"/>
  <c r="C92" i="58"/>
  <c r="B92" i="58"/>
  <c r="C91" i="58"/>
  <c r="B91" i="58"/>
  <c r="C90" i="58"/>
  <c r="B90" i="58"/>
  <c r="C89" i="58"/>
  <c r="B89" i="58"/>
  <c r="C88" i="58"/>
  <c r="B88" i="58"/>
  <c r="C87" i="58"/>
  <c r="B87" i="58"/>
  <c r="C86" i="58"/>
  <c r="B86" i="58"/>
  <c r="C85" i="58"/>
  <c r="B85" i="58"/>
  <c r="C84" i="58"/>
  <c r="B84" i="58"/>
  <c r="C83" i="58"/>
  <c r="B83" i="58"/>
  <c r="C82" i="58"/>
  <c r="B82" i="58"/>
  <c r="C81" i="58"/>
  <c r="B81" i="58"/>
  <c r="C80" i="58"/>
  <c r="B80" i="58"/>
  <c r="C79" i="58"/>
  <c r="B79" i="58"/>
  <c r="C78" i="58"/>
  <c r="B78" i="58"/>
  <c r="C77" i="58"/>
  <c r="B77" i="58"/>
  <c r="C76" i="58"/>
  <c r="B76" i="58"/>
  <c r="C75" i="58"/>
  <c r="B75" i="58"/>
  <c r="C74" i="58"/>
  <c r="B74" i="58"/>
  <c r="C73" i="58"/>
  <c r="B73" i="58"/>
  <c r="C72" i="58"/>
  <c r="B72" i="58"/>
  <c r="C71" i="58"/>
  <c r="B71" i="58"/>
  <c r="C70" i="58"/>
  <c r="B70" i="58"/>
  <c r="C69" i="58"/>
  <c r="B69" i="58"/>
  <c r="C68" i="58"/>
  <c r="B68" i="58"/>
  <c r="C67" i="58"/>
  <c r="B67" i="58"/>
  <c r="C66" i="58"/>
  <c r="B66" i="58"/>
  <c r="C65" i="58"/>
  <c r="B65" i="58"/>
  <c r="C64" i="58"/>
  <c r="B64" i="58"/>
  <c r="C63" i="58"/>
  <c r="B63" i="58"/>
  <c r="C62" i="58"/>
  <c r="B62" i="58"/>
  <c r="C61" i="58"/>
  <c r="B61" i="58"/>
  <c r="C60" i="58"/>
  <c r="B60" i="58"/>
  <c r="C59" i="58"/>
  <c r="B59" i="58"/>
  <c r="C58" i="58"/>
  <c r="B58" i="58"/>
  <c r="C57" i="58"/>
  <c r="B57" i="58"/>
  <c r="C56" i="58"/>
  <c r="B56" i="58"/>
  <c r="C55" i="58"/>
  <c r="B55" i="58"/>
  <c r="C54" i="58"/>
  <c r="B54" i="58"/>
  <c r="C53" i="58"/>
  <c r="B53" i="58"/>
  <c r="C52" i="58"/>
  <c r="B52" i="58"/>
  <c r="C51" i="58"/>
  <c r="B51" i="58"/>
  <c r="C50" i="58"/>
  <c r="B50" i="58"/>
  <c r="C49" i="58"/>
  <c r="B49" i="58"/>
  <c r="C48" i="58"/>
  <c r="B48" i="58"/>
  <c r="C47" i="58"/>
  <c r="B47" i="58"/>
  <c r="C46" i="58"/>
  <c r="B46" i="58"/>
  <c r="C45" i="58"/>
  <c r="B45" i="58"/>
  <c r="C44" i="58"/>
  <c r="B44" i="58"/>
  <c r="C43" i="58"/>
  <c r="B43" i="58"/>
  <c r="C42" i="58"/>
  <c r="B42" i="58"/>
  <c r="C41" i="58"/>
  <c r="B41" i="58"/>
  <c r="C40" i="58"/>
  <c r="B40" i="58"/>
  <c r="C39" i="58"/>
  <c r="B39" i="58"/>
  <c r="C38" i="58"/>
  <c r="B38" i="58"/>
  <c r="C37" i="58"/>
  <c r="B37" i="58"/>
  <c r="C36" i="58"/>
  <c r="B36" i="58"/>
  <c r="C35" i="58"/>
  <c r="B35" i="58"/>
  <c r="C34" i="58"/>
  <c r="B34" i="58"/>
  <c r="C33" i="58"/>
  <c r="B33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N20" i="61" s="1"/>
  <c r="C8" i="58"/>
  <c r="B8" i="58"/>
  <c r="C7" i="58"/>
  <c r="B7" i="58"/>
  <c r="C6" i="58"/>
  <c r="B6" i="58"/>
  <c r="C5" i="58"/>
  <c r="B5" i="58"/>
  <c r="C4" i="58"/>
  <c r="B4" i="58"/>
  <c r="B2" i="58"/>
  <c r="M149" i="58"/>
  <c r="M148" i="58"/>
  <c r="M147" i="58"/>
  <c r="M146" i="58"/>
  <c r="M145" i="58"/>
  <c r="M144" i="58"/>
  <c r="M143" i="58"/>
  <c r="M142" i="58"/>
  <c r="M141" i="58"/>
  <c r="M140" i="58"/>
  <c r="M139" i="58"/>
  <c r="M138" i="58"/>
  <c r="M137" i="58"/>
  <c r="M136" i="58"/>
  <c r="M135" i="58"/>
  <c r="M134" i="58"/>
  <c r="M133" i="58"/>
  <c r="M132" i="58"/>
  <c r="M131" i="58"/>
  <c r="M130" i="58"/>
  <c r="M129" i="58"/>
  <c r="M128" i="58"/>
  <c r="M127" i="58"/>
  <c r="M126" i="58"/>
  <c r="M125" i="58"/>
  <c r="M124" i="58"/>
  <c r="M123" i="58"/>
  <c r="M122" i="58"/>
  <c r="M121" i="58"/>
  <c r="M120" i="58"/>
  <c r="M119" i="58"/>
  <c r="M118" i="58"/>
  <c r="M117" i="58"/>
  <c r="M116" i="58"/>
  <c r="M115" i="58"/>
  <c r="M114" i="58"/>
  <c r="M113" i="58"/>
  <c r="M112" i="58"/>
  <c r="M111" i="58"/>
  <c r="M110" i="58"/>
  <c r="M109" i="58"/>
  <c r="M108" i="58"/>
  <c r="M107" i="58"/>
  <c r="M106" i="58"/>
  <c r="M105" i="58"/>
  <c r="M104" i="58"/>
  <c r="M103" i="58"/>
  <c r="M102" i="58"/>
  <c r="M101" i="58"/>
  <c r="M100" i="58"/>
  <c r="M99" i="58"/>
  <c r="M98" i="58"/>
  <c r="M97" i="58"/>
  <c r="M96" i="58"/>
  <c r="M95" i="58"/>
  <c r="M94" i="58"/>
  <c r="M93" i="58"/>
  <c r="M92" i="58"/>
  <c r="M91" i="58"/>
  <c r="M90" i="58"/>
  <c r="M89" i="58"/>
  <c r="M88" i="58"/>
  <c r="M87" i="58"/>
  <c r="M86" i="58"/>
  <c r="M85" i="58"/>
  <c r="M84" i="58"/>
  <c r="M83" i="58"/>
  <c r="M82" i="58"/>
  <c r="M81" i="58"/>
  <c r="M80" i="58"/>
  <c r="M79" i="58"/>
  <c r="M78" i="58"/>
  <c r="M77" i="58"/>
  <c r="M76" i="58"/>
  <c r="M75" i="58"/>
  <c r="M74" i="58"/>
  <c r="M73" i="58"/>
  <c r="M72" i="58"/>
  <c r="M71" i="58"/>
  <c r="M70" i="58"/>
  <c r="M69" i="58"/>
  <c r="M68" i="58"/>
  <c r="M67" i="58"/>
  <c r="M66" i="58"/>
  <c r="M65" i="58"/>
  <c r="M64" i="58"/>
  <c r="M63" i="58"/>
  <c r="M62" i="58"/>
  <c r="M61" i="58"/>
  <c r="M60" i="58"/>
  <c r="M59" i="58"/>
  <c r="M58" i="58"/>
  <c r="M57" i="58"/>
  <c r="M56" i="58"/>
  <c r="M55" i="58"/>
  <c r="M54" i="58"/>
  <c r="M53" i="58"/>
  <c r="M52" i="58"/>
  <c r="M51" i="58"/>
  <c r="M50" i="58"/>
  <c r="M49" i="58"/>
  <c r="M48" i="58"/>
  <c r="M47" i="58"/>
  <c r="M46" i="58"/>
  <c r="M45" i="58"/>
  <c r="M44" i="58"/>
  <c r="M43" i="58"/>
  <c r="M42" i="58"/>
  <c r="M41" i="58"/>
  <c r="M40" i="58"/>
  <c r="M39" i="58"/>
  <c r="M38" i="58"/>
  <c r="M37" i="58"/>
  <c r="M36" i="58"/>
  <c r="M35" i="58"/>
  <c r="M34" i="58"/>
  <c r="M33" i="58"/>
  <c r="M32" i="58"/>
  <c r="M31" i="58"/>
  <c r="M30" i="58"/>
  <c r="M29" i="58"/>
  <c r="M28" i="58"/>
  <c r="M27" i="58"/>
  <c r="M26" i="58"/>
  <c r="M25" i="58"/>
  <c r="M24" i="58"/>
  <c r="M23" i="58"/>
  <c r="M22" i="58"/>
  <c r="M21" i="58"/>
  <c r="M20" i="58"/>
  <c r="M19" i="58"/>
  <c r="M18" i="58"/>
  <c r="M17" i="58"/>
  <c r="M16" i="58"/>
  <c r="M15" i="58"/>
  <c r="M14" i="58"/>
  <c r="M13" i="58"/>
  <c r="M12" i="58"/>
  <c r="M11" i="58"/>
  <c r="M10" i="58"/>
  <c r="M9" i="58"/>
  <c r="M8" i="58"/>
  <c r="M7" i="58"/>
  <c r="M6" i="58"/>
  <c r="M5" i="58"/>
  <c r="M4" i="58"/>
  <c r="C2" i="58"/>
  <c r="M2" i="58"/>
  <c r="U20" i="61" l="1"/>
  <c r="N35" i="61"/>
  <c r="N33" i="61"/>
  <c r="N32" i="61"/>
  <c r="N29" i="61"/>
  <c r="N28" i="61"/>
  <c r="N30" i="61"/>
  <c r="N25" i="61"/>
  <c r="N24" i="61"/>
  <c r="N23" i="61"/>
  <c r="N31" i="61"/>
  <c r="N48" i="61"/>
  <c r="N45" i="61"/>
  <c r="U45" i="61" s="1"/>
  <c r="N43" i="61"/>
  <c r="U43" i="61" s="1"/>
  <c r="N37" i="61"/>
  <c r="N36" i="61"/>
  <c r="N18" i="61"/>
  <c r="N44" i="61"/>
  <c r="U44" i="61" s="1"/>
  <c r="N17" i="61"/>
  <c r="N53" i="61"/>
  <c r="U53" i="61" s="1"/>
  <c r="N19" i="61"/>
  <c r="N47" i="61"/>
  <c r="U47" i="61" s="1"/>
  <c r="N46" i="61"/>
  <c r="U46" i="61" s="1"/>
  <c r="N42" i="61"/>
  <c r="U42" i="61" s="1"/>
  <c r="N34" i="61"/>
  <c r="L31" i="61"/>
  <c r="M53" i="61"/>
  <c r="M23" i="61"/>
  <c r="M48" i="61"/>
  <c r="M20" i="61"/>
  <c r="M47" i="61"/>
  <c r="M46" i="61"/>
  <c r="M45" i="61"/>
  <c r="M17" i="61"/>
  <c r="M44" i="61"/>
  <c r="M43" i="61"/>
  <c r="M24" i="61"/>
  <c r="M19" i="61"/>
  <c r="M42" i="61"/>
  <c r="M37" i="61"/>
  <c r="M36" i="61"/>
  <c r="M35" i="61"/>
  <c r="M34" i="61"/>
  <c r="M25" i="61"/>
  <c r="M33" i="61"/>
  <c r="M32" i="61"/>
  <c r="M18" i="61"/>
  <c r="M31" i="61"/>
  <c r="M30" i="61"/>
  <c r="M29" i="61"/>
  <c r="M28" i="61"/>
  <c r="L37" i="61"/>
  <c r="L47" i="61"/>
  <c r="L18" i="61"/>
  <c r="L46" i="61"/>
  <c r="L17" i="61"/>
  <c r="L45" i="61"/>
  <c r="L44" i="61"/>
  <c r="L20" i="61"/>
  <c r="L43" i="61"/>
  <c r="L42" i="61"/>
  <c r="L36" i="61"/>
  <c r="L35" i="61"/>
  <c r="L34" i="61"/>
  <c r="L33" i="61"/>
  <c r="L32" i="61"/>
  <c r="L30" i="61"/>
  <c r="L29" i="61"/>
  <c r="L28" i="61"/>
  <c r="L23" i="61"/>
  <c r="L25" i="61"/>
  <c r="L53" i="61"/>
  <c r="L24" i="61"/>
  <c r="L48" i="61"/>
  <c r="L19" i="61"/>
  <c r="J53" i="61"/>
  <c r="K53" i="61"/>
  <c r="K23" i="61"/>
  <c r="K48" i="61"/>
  <c r="K47" i="61"/>
  <c r="K46" i="61"/>
  <c r="K18" i="61"/>
  <c r="K45" i="61"/>
  <c r="K17" i="61"/>
  <c r="K44" i="61"/>
  <c r="K43" i="61"/>
  <c r="K24" i="61"/>
  <c r="K42" i="61"/>
  <c r="K37" i="61"/>
  <c r="K36" i="61"/>
  <c r="K20" i="61"/>
  <c r="K35" i="61"/>
  <c r="K25" i="61"/>
  <c r="K34" i="61"/>
  <c r="K33" i="61"/>
  <c r="K19" i="61"/>
  <c r="K32" i="61"/>
  <c r="K31" i="61"/>
  <c r="K30" i="61"/>
  <c r="K29" i="61"/>
  <c r="K28" i="61"/>
  <c r="J46" i="61"/>
  <c r="I46" i="61"/>
  <c r="H46" i="61"/>
  <c r="G46" i="61"/>
  <c r="F46" i="61"/>
  <c r="E46" i="61"/>
  <c r="J33" i="61"/>
  <c r="J37" i="61"/>
  <c r="J44" i="61"/>
  <c r="J25" i="61"/>
  <c r="J36" i="61"/>
  <c r="J42" i="61"/>
  <c r="J34" i="61"/>
  <c r="J29" i="61"/>
  <c r="J28" i="61"/>
  <c r="J43" i="61"/>
  <c r="J24" i="61"/>
  <c r="J30" i="61"/>
  <c r="J31" i="61"/>
  <c r="J18" i="61"/>
  <c r="J23" i="61"/>
  <c r="J32" i="61"/>
  <c r="J20" i="61"/>
  <c r="J48" i="61"/>
  <c r="J19" i="61"/>
  <c r="J47" i="61"/>
  <c r="J45" i="61"/>
  <c r="J17" i="61"/>
  <c r="J35" i="61"/>
  <c r="F44" i="61"/>
  <c r="I47" i="61"/>
  <c r="H47" i="61"/>
  <c r="E47" i="61"/>
  <c r="I34" i="61"/>
  <c r="I30" i="61"/>
  <c r="I24" i="61"/>
  <c r="G18" i="61"/>
  <c r="E45" i="61"/>
  <c r="H34" i="61"/>
  <c r="G47" i="61"/>
  <c r="F47" i="61"/>
  <c r="E44" i="61"/>
  <c r="G34" i="61"/>
  <c r="G30" i="61"/>
  <c r="G24" i="61"/>
  <c r="H20" i="61"/>
  <c r="I45" i="61"/>
  <c r="E43" i="61"/>
  <c r="F34" i="61"/>
  <c r="F30" i="61"/>
  <c r="F24" i="61"/>
  <c r="H19" i="61"/>
  <c r="I32" i="61"/>
  <c r="H24" i="61"/>
  <c r="H45" i="61"/>
  <c r="E42" i="61"/>
  <c r="E34" i="61"/>
  <c r="E30" i="61"/>
  <c r="E24" i="61"/>
  <c r="H18" i="61"/>
  <c r="I28" i="61"/>
  <c r="G45" i="61"/>
  <c r="I37" i="61"/>
  <c r="I33" i="61"/>
  <c r="I29" i="61"/>
  <c r="I23" i="61"/>
  <c r="H17" i="61"/>
  <c r="I36" i="61"/>
  <c r="F45" i="61"/>
  <c r="H37" i="61"/>
  <c r="H33" i="61"/>
  <c r="H29" i="61"/>
  <c r="H23" i="61"/>
  <c r="I20" i="61"/>
  <c r="I44" i="61"/>
  <c r="G37" i="61"/>
  <c r="G33" i="61"/>
  <c r="G29" i="61"/>
  <c r="G23" i="61"/>
  <c r="I19" i="61"/>
  <c r="E20" i="61"/>
  <c r="H30" i="61"/>
  <c r="H44" i="61"/>
  <c r="F37" i="61"/>
  <c r="F33" i="61"/>
  <c r="F29" i="61"/>
  <c r="F23" i="61"/>
  <c r="I18" i="61"/>
  <c r="G44" i="61"/>
  <c r="E37" i="61"/>
  <c r="E33" i="61"/>
  <c r="E29" i="61"/>
  <c r="E23" i="61"/>
  <c r="I17" i="61"/>
  <c r="I53" i="61"/>
  <c r="H53" i="61"/>
  <c r="I43" i="61"/>
  <c r="H36" i="61"/>
  <c r="H32" i="61"/>
  <c r="H28" i="61"/>
  <c r="E19" i="61"/>
  <c r="G17" i="61"/>
  <c r="G53" i="61"/>
  <c r="H43" i="61"/>
  <c r="G36" i="61"/>
  <c r="G32" i="61"/>
  <c r="G28" i="61"/>
  <c r="E18" i="61"/>
  <c r="G19" i="61"/>
  <c r="F53" i="61"/>
  <c r="G43" i="61"/>
  <c r="F36" i="61"/>
  <c r="F32" i="61"/>
  <c r="F28" i="61"/>
  <c r="E17" i="61"/>
  <c r="E53" i="61"/>
  <c r="F43" i="61"/>
  <c r="E36" i="61"/>
  <c r="E32" i="61"/>
  <c r="E28" i="61"/>
  <c r="F20" i="61"/>
  <c r="I48" i="61"/>
  <c r="I42" i="61"/>
  <c r="I35" i="61"/>
  <c r="I31" i="61"/>
  <c r="I25" i="61"/>
  <c r="F19" i="61"/>
  <c r="E25" i="61"/>
  <c r="H48" i="61"/>
  <c r="H42" i="61"/>
  <c r="H35" i="61"/>
  <c r="H31" i="61"/>
  <c r="H25" i="61"/>
  <c r="F18" i="61"/>
  <c r="E31" i="61"/>
  <c r="G48" i="61"/>
  <c r="G42" i="61"/>
  <c r="G35" i="61"/>
  <c r="G31" i="61"/>
  <c r="G25" i="61"/>
  <c r="F17" i="61"/>
  <c r="E35" i="61"/>
  <c r="F48" i="61"/>
  <c r="F42" i="61"/>
  <c r="F35" i="61"/>
  <c r="F31" i="61"/>
  <c r="F25" i="61"/>
  <c r="G20" i="61"/>
  <c r="E48" i="61"/>
  <c r="AF85" i="43"/>
  <c r="AE85" i="43"/>
  <c r="AD85" i="43"/>
  <c r="AC85" i="43"/>
  <c r="AC97" i="43"/>
  <c r="AF35" i="43"/>
  <c r="AE35" i="43"/>
  <c r="AD35" i="43"/>
  <c r="AC35" i="43"/>
  <c r="AF36" i="43"/>
  <c r="AE36" i="43"/>
  <c r="AD36" i="43"/>
  <c r="AC36" i="43"/>
  <c r="AF104" i="43"/>
  <c r="AE104" i="43"/>
  <c r="AD104" i="43"/>
  <c r="AC104" i="43"/>
  <c r="AF105" i="43"/>
  <c r="AE105" i="43"/>
  <c r="AD105" i="43"/>
  <c r="AC105" i="43"/>
  <c r="U37" i="61" l="1"/>
  <c r="U31" i="61"/>
  <c r="AB26" i="61"/>
  <c r="U36" i="61"/>
  <c r="U30" i="61"/>
  <c r="U28" i="61"/>
  <c r="N38" i="61"/>
  <c r="U29" i="61"/>
  <c r="U32" i="61"/>
  <c r="U34" i="61"/>
  <c r="U33" i="61"/>
  <c r="U35" i="61"/>
  <c r="AB21" i="61"/>
  <c r="AP36" i="43"/>
  <c r="AP105" i="43"/>
  <c r="AP35" i="43"/>
  <c r="T31" i="61"/>
  <c r="T37" i="61"/>
  <c r="T20" i="61"/>
  <c r="T29" i="61"/>
  <c r="T30" i="61"/>
  <c r="M38" i="61"/>
  <c r="T44" i="61"/>
  <c r="AP104" i="43"/>
  <c r="AP85" i="43"/>
  <c r="T45" i="61"/>
  <c r="T46" i="61"/>
  <c r="T43" i="61"/>
  <c r="T47" i="61"/>
  <c r="T32" i="61"/>
  <c r="T35" i="61"/>
  <c r="T42" i="61"/>
  <c r="T36" i="61"/>
  <c r="T53" i="61"/>
  <c r="T33" i="61"/>
  <c r="T34" i="61"/>
  <c r="L38" i="61"/>
  <c r="K21" i="61"/>
  <c r="K38" i="61"/>
  <c r="T28" i="61"/>
  <c r="K26" i="61"/>
  <c r="S34" i="61"/>
  <c r="J38" i="61"/>
  <c r="W46" i="61"/>
  <c r="R46" i="61"/>
  <c r="S46" i="61"/>
  <c r="S30" i="61"/>
  <c r="S32" i="61"/>
  <c r="S20" i="61"/>
  <c r="S45" i="61"/>
  <c r="S42" i="61"/>
  <c r="S37" i="61"/>
  <c r="S44" i="61"/>
  <c r="S33" i="61"/>
  <c r="S53" i="61"/>
  <c r="S31" i="61"/>
  <c r="S29" i="61"/>
  <c r="S35" i="61"/>
  <c r="S43" i="61"/>
  <c r="S47" i="61"/>
  <c r="S36" i="61"/>
  <c r="I38" i="61"/>
  <c r="AF97" i="43"/>
  <c r="H38" i="61"/>
  <c r="S28" i="61"/>
  <c r="G38" i="61"/>
  <c r="AD97" i="43"/>
  <c r="AF120" i="43"/>
  <c r="R53" i="61"/>
  <c r="W36" i="61"/>
  <c r="W30" i="61"/>
  <c r="F26" i="61"/>
  <c r="D150" i="43" s="1"/>
  <c r="R32" i="61"/>
  <c r="R20" i="61"/>
  <c r="E26" i="61"/>
  <c r="C150" i="43" s="1"/>
  <c r="W53" i="61"/>
  <c r="R31" i="61"/>
  <c r="R36" i="61"/>
  <c r="W37" i="61"/>
  <c r="R28" i="61"/>
  <c r="W28" i="61"/>
  <c r="E38" i="61"/>
  <c r="W47" i="61"/>
  <c r="R47" i="61"/>
  <c r="R37" i="61"/>
  <c r="W34" i="61"/>
  <c r="R34" i="61"/>
  <c r="R30" i="61"/>
  <c r="E21" i="61"/>
  <c r="R42" i="61"/>
  <c r="W42" i="61"/>
  <c r="R45" i="61"/>
  <c r="W45" i="61"/>
  <c r="R35" i="61"/>
  <c r="W35" i="61"/>
  <c r="R33" i="61"/>
  <c r="W33" i="61"/>
  <c r="R43" i="61"/>
  <c r="W43" i="61"/>
  <c r="W20" i="61"/>
  <c r="F38" i="61"/>
  <c r="W31" i="61"/>
  <c r="W32" i="61"/>
  <c r="W44" i="61"/>
  <c r="R44" i="61"/>
  <c r="F21" i="61"/>
  <c r="W29" i="61"/>
  <c r="R29" i="61"/>
  <c r="AE97" i="43"/>
  <c r="AE120" i="43"/>
  <c r="AC120" i="43"/>
  <c r="AD120" i="43"/>
  <c r="U38" i="61" l="1"/>
  <c r="AB38" i="61"/>
  <c r="T38" i="61"/>
  <c r="AP97" i="43"/>
  <c r="AP120" i="43"/>
  <c r="K40" i="61"/>
  <c r="K52" i="61" s="1"/>
  <c r="I150" i="43"/>
  <c r="Y46" i="61"/>
  <c r="S38" i="61"/>
  <c r="Y53" i="61"/>
  <c r="Y36" i="61"/>
  <c r="Y20" i="61"/>
  <c r="Y31" i="61"/>
  <c r="Y32" i="61"/>
  <c r="Y37" i="61"/>
  <c r="Y30" i="61"/>
  <c r="F40" i="61"/>
  <c r="Y47" i="61"/>
  <c r="Y34" i="61"/>
  <c r="Y29" i="61"/>
  <c r="Y43" i="61"/>
  <c r="Y44" i="61"/>
  <c r="Y35" i="61"/>
  <c r="Y45" i="61"/>
  <c r="W38" i="61"/>
  <c r="Y42" i="61"/>
  <c r="E40" i="61"/>
  <c r="Y33" i="61"/>
  <c r="Y28" i="61"/>
  <c r="R38" i="61"/>
  <c r="D3" i="57"/>
  <c r="F2" i="57"/>
  <c r="G2" i="57" s="1"/>
  <c r="H2" i="57" s="1"/>
  <c r="I2" i="57" s="1"/>
  <c r="J2" i="57" s="1"/>
  <c r="K2" i="57" s="1"/>
  <c r="L2" i="57" s="1"/>
  <c r="M2" i="57" s="1"/>
  <c r="N2" i="57" s="1"/>
  <c r="O2" i="57" s="1"/>
  <c r="P2" i="57" s="1"/>
  <c r="R2" i="57" s="1"/>
  <c r="S2" i="57" s="1"/>
  <c r="T2" i="57" s="1"/>
  <c r="U2" i="57" s="1"/>
  <c r="V2" i="57" s="1"/>
  <c r="W2" i="57" s="1"/>
  <c r="X2" i="57" s="1"/>
  <c r="Y2" i="57" s="1"/>
  <c r="Z2" i="57" s="1"/>
  <c r="AA2" i="57" s="1"/>
  <c r="AB2" i="57" s="1"/>
  <c r="AC2" i="57" s="1"/>
  <c r="D3" i="56"/>
  <c r="F2" i="56"/>
  <c r="G2" i="56" s="1"/>
  <c r="H2" i="56" s="1"/>
  <c r="I2" i="56" s="1"/>
  <c r="J2" i="56" s="1"/>
  <c r="K2" i="56" s="1"/>
  <c r="L2" i="56" s="1"/>
  <c r="M2" i="56" s="1"/>
  <c r="N2" i="56" s="1"/>
  <c r="O2" i="56" s="1"/>
  <c r="P2" i="56" s="1"/>
  <c r="AF106" i="43"/>
  <c r="AE106" i="43"/>
  <c r="AD106" i="43"/>
  <c r="AC106" i="43"/>
  <c r="AP106" i="43" l="1"/>
  <c r="K68" i="61"/>
  <c r="K69" i="61" s="1"/>
  <c r="Y38" i="61"/>
  <c r="J43" i="35"/>
  <c r="G43" i="35"/>
  <c r="D43" i="35"/>
  <c r="C43" i="35"/>
  <c r="AM13" i="45"/>
  <c r="AF13" i="45"/>
  <c r="AE13" i="45"/>
  <c r="AD13" i="45"/>
  <c r="AC13" i="45"/>
  <c r="AP13" i="45" l="1"/>
  <c r="D3" i="55" l="1"/>
  <c r="F2" i="55"/>
  <c r="G2" i="55" s="1"/>
  <c r="H2" i="55" s="1"/>
  <c r="I2" i="55" s="1"/>
  <c r="J2" i="55" s="1"/>
  <c r="K2" i="55" s="1"/>
  <c r="L2" i="55" s="1"/>
  <c r="M2" i="55" s="1"/>
  <c r="N2" i="55" s="1"/>
  <c r="O2" i="55" s="1"/>
  <c r="P2" i="55" s="1"/>
  <c r="B52" i="54"/>
  <c r="B53" i="54" s="1"/>
  <c r="B54" i="54" s="1"/>
  <c r="B55" i="54" s="1"/>
  <c r="AU50" i="54"/>
  <c r="AT50" i="54"/>
  <c r="AS50" i="54"/>
  <c r="AR50" i="54"/>
  <c r="AQ50" i="54"/>
  <c r="AP50" i="54"/>
  <c r="AO50" i="54"/>
  <c r="AN50" i="54"/>
  <c r="AM50" i="54"/>
  <c r="AL50" i="54"/>
  <c r="AK50" i="54"/>
  <c r="AJ50" i="54"/>
  <c r="AC50" i="54"/>
  <c r="AB50" i="54"/>
  <c r="AA50" i="54"/>
  <c r="Z50" i="54"/>
  <c r="Y50" i="54"/>
  <c r="X50" i="54"/>
  <c r="W50" i="54"/>
  <c r="V50" i="54"/>
  <c r="U50" i="54"/>
  <c r="T50" i="54"/>
  <c r="S50" i="54"/>
  <c r="R50" i="54"/>
  <c r="P50" i="54"/>
  <c r="O50" i="54"/>
  <c r="G50" i="54"/>
  <c r="AU43" i="54"/>
  <c r="AT43" i="54"/>
  <c r="AS43" i="54"/>
  <c r="AR43" i="54"/>
  <c r="AQ43" i="54"/>
  <c r="AP43" i="54"/>
  <c r="AO43" i="54"/>
  <c r="AN43" i="54"/>
  <c r="AM43" i="54"/>
  <c r="AL43" i="54"/>
  <c r="AK43" i="54"/>
  <c r="AJ43" i="54"/>
  <c r="AC43" i="54"/>
  <c r="AB43" i="54"/>
  <c r="AA43" i="54"/>
  <c r="Z43" i="54"/>
  <c r="Y43" i="54"/>
  <c r="X43" i="54"/>
  <c r="W43" i="54"/>
  <c r="V43" i="54"/>
  <c r="U43" i="54"/>
  <c r="T43" i="54"/>
  <c r="S43" i="54"/>
  <c r="R43" i="54"/>
  <c r="P43" i="54"/>
  <c r="O43" i="54"/>
  <c r="G43" i="54"/>
  <c r="G15" i="54"/>
  <c r="G8" i="54"/>
  <c r="AU30" i="54"/>
  <c r="AT30" i="54"/>
  <c r="AS30" i="54"/>
  <c r="AR30" i="54"/>
  <c r="AQ30" i="54"/>
  <c r="AP30" i="54"/>
  <c r="AO30" i="54"/>
  <c r="AN30" i="54"/>
  <c r="AM30" i="54"/>
  <c r="AL30" i="54"/>
  <c r="AK30" i="54"/>
  <c r="AJ30" i="54"/>
  <c r="AC30" i="54"/>
  <c r="AB30" i="54"/>
  <c r="AA30" i="54"/>
  <c r="Z30" i="54"/>
  <c r="Y30" i="54"/>
  <c r="X30" i="54"/>
  <c r="W30" i="54"/>
  <c r="V30" i="54"/>
  <c r="U30" i="54"/>
  <c r="T30" i="54"/>
  <c r="S30" i="54"/>
  <c r="R30" i="54"/>
  <c r="P30" i="54"/>
  <c r="O30" i="54"/>
  <c r="G30" i="54"/>
  <c r="B23" i="54"/>
  <c r="B24" i="54" s="1"/>
  <c r="B25" i="54" s="1"/>
  <c r="B26" i="54" s="1"/>
  <c r="B27" i="54" s="1"/>
  <c r="B28" i="54" s="1"/>
  <c r="B29" i="54" s="1"/>
  <c r="B30" i="54" s="1"/>
  <c r="B31" i="54" s="1"/>
  <c r="B32" i="54" s="1"/>
  <c r="B33" i="54" s="1"/>
  <c r="B34" i="54" s="1"/>
  <c r="B35" i="54" s="1"/>
  <c r="AU24" i="54"/>
  <c r="AT24" i="54"/>
  <c r="AS24" i="54"/>
  <c r="AR24" i="54"/>
  <c r="AQ24" i="54"/>
  <c r="AP24" i="54"/>
  <c r="AO24" i="54"/>
  <c r="AN24" i="54"/>
  <c r="AM24" i="54"/>
  <c r="AL24" i="54"/>
  <c r="AK24" i="54"/>
  <c r="AJ24" i="54"/>
  <c r="AC24" i="54"/>
  <c r="AB24" i="54"/>
  <c r="AA24" i="54"/>
  <c r="Z24" i="54"/>
  <c r="Y24" i="54"/>
  <c r="X24" i="54"/>
  <c r="W24" i="54"/>
  <c r="V24" i="54"/>
  <c r="U24" i="54"/>
  <c r="T24" i="54"/>
  <c r="S24" i="54"/>
  <c r="R24" i="54"/>
  <c r="P24" i="54"/>
  <c r="O24" i="54"/>
  <c r="G24" i="54"/>
  <c r="AU23" i="54"/>
  <c r="AT23" i="54"/>
  <c r="AS23" i="54"/>
  <c r="AR23" i="54"/>
  <c r="AQ23" i="54"/>
  <c r="AP23" i="54"/>
  <c r="AO23" i="54"/>
  <c r="AN23" i="54"/>
  <c r="AM23" i="54"/>
  <c r="AL23" i="54"/>
  <c r="AK23" i="54"/>
  <c r="AJ23" i="54"/>
  <c r="AC23" i="54"/>
  <c r="AB23" i="54"/>
  <c r="AA23" i="54"/>
  <c r="Z23" i="54"/>
  <c r="Y23" i="54"/>
  <c r="X23" i="54"/>
  <c r="W23" i="54"/>
  <c r="V23" i="54"/>
  <c r="U23" i="54"/>
  <c r="T23" i="54"/>
  <c r="S23" i="54"/>
  <c r="R23" i="54"/>
  <c r="P23" i="54"/>
  <c r="O23" i="54"/>
  <c r="G23" i="54"/>
  <c r="AU10" i="54"/>
  <c r="AT10" i="54"/>
  <c r="AS10" i="54"/>
  <c r="AR10" i="54"/>
  <c r="AQ10" i="54"/>
  <c r="AP10" i="54"/>
  <c r="AO10" i="54"/>
  <c r="AN10" i="54"/>
  <c r="AM10" i="54"/>
  <c r="AL10" i="54"/>
  <c r="AK10" i="54"/>
  <c r="AJ10" i="54"/>
  <c r="AC10" i="54"/>
  <c r="AB10" i="54"/>
  <c r="AA10" i="54"/>
  <c r="Z10" i="54"/>
  <c r="Y10" i="54"/>
  <c r="X10" i="54"/>
  <c r="W10" i="54"/>
  <c r="V10" i="54"/>
  <c r="U10" i="54"/>
  <c r="T10" i="54"/>
  <c r="S10" i="54"/>
  <c r="R10" i="54"/>
  <c r="CW10" i="54"/>
  <c r="G10" i="54"/>
  <c r="F38" i="54"/>
  <c r="E38" i="54"/>
  <c r="F21" i="54"/>
  <c r="E21" i="54"/>
  <c r="F5" i="54"/>
  <c r="AU42" i="54"/>
  <c r="AT42" i="54"/>
  <c r="AS42" i="54"/>
  <c r="AR42" i="54"/>
  <c r="AQ42" i="54"/>
  <c r="AP42" i="54"/>
  <c r="AO42" i="54"/>
  <c r="AN42" i="54"/>
  <c r="AM42" i="54"/>
  <c r="AL42" i="54"/>
  <c r="AK42" i="54"/>
  <c r="AJ42" i="54"/>
  <c r="AC42" i="54"/>
  <c r="AB42" i="54"/>
  <c r="AA42" i="54"/>
  <c r="Z42" i="54"/>
  <c r="Y42" i="54"/>
  <c r="X42" i="54"/>
  <c r="W42" i="54"/>
  <c r="V42" i="54"/>
  <c r="U42" i="54"/>
  <c r="T42" i="54"/>
  <c r="S42" i="54"/>
  <c r="R42" i="54"/>
  <c r="P42" i="54"/>
  <c r="O42" i="54"/>
  <c r="G42" i="54"/>
  <c r="AU41" i="54"/>
  <c r="AT41" i="54"/>
  <c r="AS41" i="54"/>
  <c r="AR41" i="54"/>
  <c r="AQ41" i="54"/>
  <c r="AP41" i="54"/>
  <c r="AO41" i="54"/>
  <c r="AN41" i="54"/>
  <c r="AM41" i="54"/>
  <c r="AL41" i="54"/>
  <c r="AK41" i="54"/>
  <c r="AJ41" i="54"/>
  <c r="AC41" i="54"/>
  <c r="AB41" i="54"/>
  <c r="AA41" i="54"/>
  <c r="Z41" i="54"/>
  <c r="Y41" i="54"/>
  <c r="X41" i="54"/>
  <c r="W41" i="54"/>
  <c r="V41" i="54"/>
  <c r="U41" i="54"/>
  <c r="T41" i="54"/>
  <c r="S41" i="54"/>
  <c r="R41" i="54"/>
  <c r="P41" i="54"/>
  <c r="O41" i="54"/>
  <c r="G41" i="54"/>
  <c r="AU40" i="54"/>
  <c r="AT40" i="54"/>
  <c r="AS40" i="54"/>
  <c r="AR40" i="54"/>
  <c r="AQ40" i="54"/>
  <c r="AP40" i="54"/>
  <c r="AO40" i="54"/>
  <c r="AN40" i="54"/>
  <c r="AM40" i="54"/>
  <c r="AL40" i="54"/>
  <c r="AK40" i="54"/>
  <c r="AJ40" i="54"/>
  <c r="AC40" i="54"/>
  <c r="AB40" i="54"/>
  <c r="AA40" i="54"/>
  <c r="Z40" i="54"/>
  <c r="Y40" i="54"/>
  <c r="X40" i="54"/>
  <c r="W40" i="54"/>
  <c r="V40" i="54"/>
  <c r="U40" i="54"/>
  <c r="T40" i="54"/>
  <c r="S40" i="54"/>
  <c r="R40" i="54"/>
  <c r="O40" i="54"/>
  <c r="G40" i="54"/>
  <c r="AU39" i="54"/>
  <c r="AT39" i="54"/>
  <c r="AS39" i="54"/>
  <c r="AR39" i="54"/>
  <c r="AQ39" i="54"/>
  <c r="AP39" i="54"/>
  <c r="AO39" i="54"/>
  <c r="AN39" i="54"/>
  <c r="AM39" i="54"/>
  <c r="AL39" i="54"/>
  <c r="AK39" i="54"/>
  <c r="AJ39" i="54"/>
  <c r="AC39" i="54"/>
  <c r="AB39" i="54"/>
  <c r="AA39" i="54"/>
  <c r="Z39" i="54"/>
  <c r="Y39" i="54"/>
  <c r="X39" i="54"/>
  <c r="W39" i="54"/>
  <c r="V39" i="54"/>
  <c r="U39" i="54"/>
  <c r="T39" i="54"/>
  <c r="S39" i="54"/>
  <c r="R39" i="54"/>
  <c r="P39" i="54"/>
  <c r="O39" i="54"/>
  <c r="G39" i="54"/>
  <c r="AU35" i="54"/>
  <c r="AT35" i="54"/>
  <c r="AS35" i="54"/>
  <c r="AR35" i="54"/>
  <c r="AQ35" i="54"/>
  <c r="AP35" i="54"/>
  <c r="AO35" i="54"/>
  <c r="AN35" i="54"/>
  <c r="AM35" i="54"/>
  <c r="AL35" i="54"/>
  <c r="AK35" i="54"/>
  <c r="AJ35" i="54"/>
  <c r="AC35" i="54"/>
  <c r="AB35" i="54"/>
  <c r="AA35" i="54"/>
  <c r="Z35" i="54"/>
  <c r="Y35" i="54"/>
  <c r="X35" i="54"/>
  <c r="W35" i="54"/>
  <c r="V35" i="54"/>
  <c r="U35" i="54"/>
  <c r="T35" i="54"/>
  <c r="S35" i="54"/>
  <c r="R35" i="54"/>
  <c r="P35" i="54"/>
  <c r="O35" i="54"/>
  <c r="G35" i="54"/>
  <c r="AU33" i="54"/>
  <c r="AT33" i="54"/>
  <c r="AS33" i="54"/>
  <c r="AR33" i="54"/>
  <c r="AQ33" i="54"/>
  <c r="AP33" i="54"/>
  <c r="AO33" i="54"/>
  <c r="AN33" i="54"/>
  <c r="AM33" i="54"/>
  <c r="AL33" i="54"/>
  <c r="AK33" i="54"/>
  <c r="AJ33" i="54"/>
  <c r="AC33" i="54"/>
  <c r="AB33" i="54"/>
  <c r="AA33" i="54"/>
  <c r="Z33" i="54"/>
  <c r="Y33" i="54"/>
  <c r="X33" i="54"/>
  <c r="W33" i="54"/>
  <c r="V33" i="54"/>
  <c r="U33" i="54"/>
  <c r="T33" i="54"/>
  <c r="S33" i="54"/>
  <c r="R33" i="54"/>
  <c r="P33" i="54"/>
  <c r="O33" i="54"/>
  <c r="G33" i="54"/>
  <c r="AU32" i="54"/>
  <c r="AT32" i="54"/>
  <c r="AS32" i="54"/>
  <c r="AR32" i="54"/>
  <c r="AQ32" i="54"/>
  <c r="AP32" i="54"/>
  <c r="AO32" i="54"/>
  <c r="AN32" i="54"/>
  <c r="AM32" i="54"/>
  <c r="AL32" i="54"/>
  <c r="AK32" i="54"/>
  <c r="AJ32" i="54"/>
  <c r="AC32" i="54"/>
  <c r="AB32" i="54"/>
  <c r="AA32" i="54"/>
  <c r="Z32" i="54"/>
  <c r="Y32" i="54"/>
  <c r="X32" i="54"/>
  <c r="W32" i="54"/>
  <c r="V32" i="54"/>
  <c r="U32" i="54"/>
  <c r="T32" i="54"/>
  <c r="S32" i="54"/>
  <c r="R32" i="54"/>
  <c r="P32" i="54"/>
  <c r="O32" i="54"/>
  <c r="G32" i="54"/>
  <c r="AU31" i="54"/>
  <c r="AT31" i="54"/>
  <c r="AS31" i="54"/>
  <c r="AR31" i="54"/>
  <c r="AQ31" i="54"/>
  <c r="AP31" i="54"/>
  <c r="AO31" i="54"/>
  <c r="AN31" i="54"/>
  <c r="AM31" i="54"/>
  <c r="AL31" i="54"/>
  <c r="AK31" i="54"/>
  <c r="AJ31" i="54"/>
  <c r="AC31" i="54"/>
  <c r="AB31" i="54"/>
  <c r="AA31" i="54"/>
  <c r="Z31" i="54"/>
  <c r="Y31" i="54"/>
  <c r="X31" i="54"/>
  <c r="W31" i="54"/>
  <c r="V31" i="54"/>
  <c r="U31" i="54"/>
  <c r="T31" i="54"/>
  <c r="S31" i="54"/>
  <c r="R31" i="54"/>
  <c r="P31" i="54"/>
  <c r="O31" i="54"/>
  <c r="G31" i="54"/>
  <c r="AU29" i="54"/>
  <c r="AT29" i="54"/>
  <c r="AS29" i="54"/>
  <c r="AR29" i="54"/>
  <c r="AQ29" i="54"/>
  <c r="AP29" i="54"/>
  <c r="AO29" i="54"/>
  <c r="AN29" i="54"/>
  <c r="AM29" i="54"/>
  <c r="AL29" i="54"/>
  <c r="AK29" i="54"/>
  <c r="AJ29" i="54"/>
  <c r="AC29" i="54"/>
  <c r="AB29" i="54"/>
  <c r="AA29" i="54"/>
  <c r="Z29" i="54"/>
  <c r="Y29" i="54"/>
  <c r="X29" i="54"/>
  <c r="W29" i="54"/>
  <c r="V29" i="54"/>
  <c r="U29" i="54"/>
  <c r="T29" i="54"/>
  <c r="S29" i="54"/>
  <c r="R29" i="54"/>
  <c r="P29" i="54"/>
  <c r="O29" i="54"/>
  <c r="G29" i="54"/>
  <c r="AU27" i="54"/>
  <c r="AT27" i="54"/>
  <c r="AS27" i="54"/>
  <c r="AR27" i="54"/>
  <c r="AQ27" i="54"/>
  <c r="AP27" i="54"/>
  <c r="AO27" i="54"/>
  <c r="AN27" i="54"/>
  <c r="AM27" i="54"/>
  <c r="AL27" i="54"/>
  <c r="AK27" i="54"/>
  <c r="AJ27" i="54"/>
  <c r="AC27" i="54"/>
  <c r="AB27" i="54"/>
  <c r="AA27" i="54"/>
  <c r="Z27" i="54"/>
  <c r="Y27" i="54"/>
  <c r="X27" i="54"/>
  <c r="W27" i="54"/>
  <c r="V27" i="54"/>
  <c r="U27" i="54"/>
  <c r="T27" i="54"/>
  <c r="S27" i="54"/>
  <c r="R27" i="54"/>
  <c r="P27" i="54"/>
  <c r="O27" i="54"/>
  <c r="G27" i="54"/>
  <c r="AU25" i="54"/>
  <c r="AT25" i="54"/>
  <c r="AS25" i="54"/>
  <c r="AR25" i="54"/>
  <c r="AQ25" i="54"/>
  <c r="AP25" i="54"/>
  <c r="AO25" i="54"/>
  <c r="AN25" i="54"/>
  <c r="AM25" i="54"/>
  <c r="AL25" i="54"/>
  <c r="AK25" i="54"/>
  <c r="AJ25" i="54"/>
  <c r="AC25" i="54"/>
  <c r="AB25" i="54"/>
  <c r="AA25" i="54"/>
  <c r="Z25" i="54"/>
  <c r="Y25" i="54"/>
  <c r="X25" i="54"/>
  <c r="W25" i="54"/>
  <c r="V25" i="54"/>
  <c r="U25" i="54"/>
  <c r="T25" i="54"/>
  <c r="S25" i="54"/>
  <c r="R25" i="54"/>
  <c r="P25" i="54"/>
  <c r="O25" i="54"/>
  <c r="G25" i="54"/>
  <c r="AU22" i="54"/>
  <c r="AT22" i="54"/>
  <c r="AS22" i="54"/>
  <c r="AR22" i="54"/>
  <c r="AQ22" i="54"/>
  <c r="AP22" i="54"/>
  <c r="AO22" i="54"/>
  <c r="AN22" i="54"/>
  <c r="AM22" i="54"/>
  <c r="AL22" i="54"/>
  <c r="AK22" i="54"/>
  <c r="AJ22" i="54"/>
  <c r="AC22" i="54"/>
  <c r="AB22" i="54"/>
  <c r="AA22" i="54"/>
  <c r="Z22" i="54"/>
  <c r="Y22" i="54"/>
  <c r="X22" i="54"/>
  <c r="W22" i="54"/>
  <c r="V22" i="54"/>
  <c r="U22" i="54"/>
  <c r="T22" i="54"/>
  <c r="S22" i="54"/>
  <c r="R22" i="54"/>
  <c r="P22" i="54"/>
  <c r="O22" i="54"/>
  <c r="G22" i="54"/>
  <c r="AU18" i="54"/>
  <c r="AT18" i="54"/>
  <c r="AS18" i="54"/>
  <c r="AR18" i="54"/>
  <c r="AQ18" i="54"/>
  <c r="AP18" i="54"/>
  <c r="AO18" i="54"/>
  <c r="AN18" i="54"/>
  <c r="AM18" i="54"/>
  <c r="AL18" i="54"/>
  <c r="AK18" i="54"/>
  <c r="AJ18" i="54"/>
  <c r="AC18" i="54"/>
  <c r="AB18" i="54"/>
  <c r="AA18" i="54"/>
  <c r="Z18" i="54"/>
  <c r="Y18" i="54"/>
  <c r="X18" i="54"/>
  <c r="W18" i="54"/>
  <c r="V18" i="54"/>
  <c r="U18" i="54"/>
  <c r="T18" i="54"/>
  <c r="S18" i="54"/>
  <c r="R18" i="54"/>
  <c r="P18" i="54"/>
  <c r="CT18" i="54"/>
  <c r="G18" i="54"/>
  <c r="AU17" i="54"/>
  <c r="AT17" i="54"/>
  <c r="AS17" i="54"/>
  <c r="AR17" i="54"/>
  <c r="AQ17" i="54"/>
  <c r="AP17" i="54"/>
  <c r="AO17" i="54"/>
  <c r="AN17" i="54"/>
  <c r="AM17" i="54"/>
  <c r="AL17" i="54"/>
  <c r="AK17" i="54"/>
  <c r="AJ17" i="54"/>
  <c r="AC17" i="54"/>
  <c r="AB17" i="54"/>
  <c r="AA17" i="54"/>
  <c r="Z17" i="54"/>
  <c r="Y17" i="54"/>
  <c r="X17" i="54"/>
  <c r="W17" i="54"/>
  <c r="V17" i="54"/>
  <c r="U17" i="54"/>
  <c r="T17" i="54"/>
  <c r="S17" i="54"/>
  <c r="R17" i="54"/>
  <c r="P17" i="54"/>
  <c r="CL17" i="54"/>
  <c r="G17" i="54"/>
  <c r="AU15" i="54"/>
  <c r="AT15" i="54"/>
  <c r="AS15" i="54"/>
  <c r="AR15" i="54"/>
  <c r="AQ15" i="54"/>
  <c r="AP15" i="54"/>
  <c r="AO15" i="54"/>
  <c r="AN15" i="54"/>
  <c r="AM15" i="54"/>
  <c r="AL15" i="54"/>
  <c r="AK15" i="54"/>
  <c r="AJ15" i="54"/>
  <c r="AC15" i="54"/>
  <c r="AB15" i="54"/>
  <c r="AA15" i="54"/>
  <c r="Z15" i="54"/>
  <c r="Y15" i="54"/>
  <c r="X15" i="54"/>
  <c r="W15" i="54"/>
  <c r="V15" i="54"/>
  <c r="U15" i="54"/>
  <c r="T15" i="54"/>
  <c r="S15" i="54"/>
  <c r="R15" i="54"/>
  <c r="P15" i="54"/>
  <c r="AU13" i="54"/>
  <c r="AT13" i="54"/>
  <c r="AS13" i="54"/>
  <c r="AR13" i="54"/>
  <c r="AQ13" i="54"/>
  <c r="AP13" i="54"/>
  <c r="AO13" i="54"/>
  <c r="AN13" i="54"/>
  <c r="AM13" i="54"/>
  <c r="AL13" i="54"/>
  <c r="AK13" i="54"/>
  <c r="AJ13" i="54"/>
  <c r="AC13" i="54"/>
  <c r="AB13" i="54"/>
  <c r="AA13" i="54"/>
  <c r="Z13" i="54"/>
  <c r="Y13" i="54"/>
  <c r="X13" i="54"/>
  <c r="W13" i="54"/>
  <c r="V13" i="54"/>
  <c r="U13" i="54"/>
  <c r="T13" i="54"/>
  <c r="S13" i="54"/>
  <c r="CP13" i="54"/>
  <c r="AU11" i="54"/>
  <c r="AT11" i="54"/>
  <c r="AS11" i="54"/>
  <c r="AR11" i="54"/>
  <c r="AQ11" i="54"/>
  <c r="AP11" i="54"/>
  <c r="AO11" i="54"/>
  <c r="AN11" i="54"/>
  <c r="AM11" i="54"/>
  <c r="AL11" i="54"/>
  <c r="AK11" i="54"/>
  <c r="AJ11" i="54"/>
  <c r="AC11" i="54"/>
  <c r="AB11" i="54"/>
  <c r="AA11" i="54"/>
  <c r="Z11" i="54"/>
  <c r="Y11" i="54"/>
  <c r="X11" i="54"/>
  <c r="W11" i="54"/>
  <c r="V11" i="54"/>
  <c r="U11" i="54"/>
  <c r="T11" i="54"/>
  <c r="S11" i="54"/>
  <c r="R11" i="54"/>
  <c r="G11" i="54"/>
  <c r="AU8" i="54"/>
  <c r="AT8" i="54"/>
  <c r="AS8" i="54"/>
  <c r="AR8" i="54"/>
  <c r="AQ8" i="54"/>
  <c r="AP8" i="54"/>
  <c r="AO8" i="54"/>
  <c r="AN8" i="54"/>
  <c r="AM8" i="54"/>
  <c r="AL8" i="54"/>
  <c r="AK8" i="54"/>
  <c r="AJ8" i="54"/>
  <c r="AC8" i="54"/>
  <c r="AB8" i="54"/>
  <c r="AA8" i="54"/>
  <c r="Z8" i="54"/>
  <c r="Y8" i="54"/>
  <c r="X8" i="54"/>
  <c r="W8" i="54"/>
  <c r="V8" i="54"/>
  <c r="U8" i="54"/>
  <c r="T8" i="54"/>
  <c r="S8" i="54"/>
  <c r="R8" i="54"/>
  <c r="AU7" i="54"/>
  <c r="AT7" i="54"/>
  <c r="AS7" i="54"/>
  <c r="AR7" i="54"/>
  <c r="AQ7" i="54"/>
  <c r="AP7" i="54"/>
  <c r="AO7" i="54"/>
  <c r="AN7" i="54"/>
  <c r="AM7" i="54"/>
  <c r="AL7" i="54"/>
  <c r="AK7" i="54"/>
  <c r="AJ7" i="54"/>
  <c r="AC7" i="54"/>
  <c r="AB7" i="54"/>
  <c r="AA7" i="54"/>
  <c r="Z7" i="54"/>
  <c r="Y7" i="54"/>
  <c r="X7" i="54"/>
  <c r="W7" i="54"/>
  <c r="V7" i="54"/>
  <c r="U7" i="54"/>
  <c r="T7" i="54"/>
  <c r="S7" i="54"/>
  <c r="R7" i="54"/>
  <c r="G7" i="54"/>
  <c r="AU6" i="54"/>
  <c r="AT6" i="54"/>
  <c r="AS6" i="54"/>
  <c r="AR6" i="54"/>
  <c r="AQ6" i="54"/>
  <c r="AP6" i="54"/>
  <c r="AO6" i="54"/>
  <c r="AN6" i="54"/>
  <c r="AM6" i="54"/>
  <c r="AL6" i="54"/>
  <c r="AK6" i="54"/>
  <c r="AJ6" i="54"/>
  <c r="AC6" i="54"/>
  <c r="AB6" i="54"/>
  <c r="AA6" i="54"/>
  <c r="Z6" i="54"/>
  <c r="Y6" i="54"/>
  <c r="X6" i="54"/>
  <c r="W6" i="54"/>
  <c r="V6" i="54"/>
  <c r="U6" i="54"/>
  <c r="T6" i="54"/>
  <c r="S6" i="54"/>
  <c r="R6" i="54"/>
  <c r="P6" i="54"/>
  <c r="O6" i="54"/>
  <c r="G6" i="54"/>
  <c r="AU63" i="54"/>
  <c r="AT63" i="54"/>
  <c r="AS63" i="54"/>
  <c r="AR63" i="54"/>
  <c r="AQ63" i="54"/>
  <c r="AP63" i="54"/>
  <c r="AO63" i="54"/>
  <c r="AN63" i="54"/>
  <c r="AM63" i="54"/>
  <c r="AL63" i="54"/>
  <c r="AK63" i="54"/>
  <c r="AJ63" i="54"/>
  <c r="AC63" i="54"/>
  <c r="AB63" i="54"/>
  <c r="AA63" i="54"/>
  <c r="Z63" i="54"/>
  <c r="Y63" i="54"/>
  <c r="X63" i="54"/>
  <c r="W63" i="54"/>
  <c r="V63" i="54"/>
  <c r="U63" i="54"/>
  <c r="T63" i="54"/>
  <c r="S63" i="54"/>
  <c r="R63" i="54"/>
  <c r="P63" i="54"/>
  <c r="O63" i="54"/>
  <c r="G63" i="54"/>
  <c r="AU62" i="54"/>
  <c r="AT62" i="54"/>
  <c r="AS62" i="54"/>
  <c r="AR62" i="54"/>
  <c r="AQ62" i="54"/>
  <c r="AP62" i="54"/>
  <c r="AO62" i="54"/>
  <c r="AN62" i="54"/>
  <c r="AM62" i="54"/>
  <c r="AL62" i="54"/>
  <c r="AK62" i="54"/>
  <c r="AJ62" i="54"/>
  <c r="AC62" i="54"/>
  <c r="AB62" i="54"/>
  <c r="AA62" i="54"/>
  <c r="Z62" i="54"/>
  <c r="Y62" i="54"/>
  <c r="X62" i="54"/>
  <c r="W62" i="54"/>
  <c r="V62" i="54"/>
  <c r="U62" i="54"/>
  <c r="T62" i="54"/>
  <c r="S62" i="54"/>
  <c r="R62" i="54"/>
  <c r="P62" i="54"/>
  <c r="O62" i="54"/>
  <c r="G62" i="54"/>
  <c r="AU61" i="54"/>
  <c r="AT61" i="54"/>
  <c r="AS61" i="54"/>
  <c r="AR61" i="54"/>
  <c r="AQ61" i="54"/>
  <c r="AP61" i="54"/>
  <c r="AO61" i="54"/>
  <c r="AN61" i="54"/>
  <c r="AM61" i="54"/>
  <c r="AL61" i="54"/>
  <c r="AK61" i="54"/>
  <c r="AJ61" i="54"/>
  <c r="AC61" i="54"/>
  <c r="AB61" i="54"/>
  <c r="AA61" i="54"/>
  <c r="Z61" i="54"/>
  <c r="Y61" i="54"/>
  <c r="X61" i="54"/>
  <c r="W61" i="54"/>
  <c r="V61" i="54"/>
  <c r="U61" i="54"/>
  <c r="T61" i="54"/>
  <c r="S61" i="54"/>
  <c r="R61" i="54"/>
  <c r="P61" i="54"/>
  <c r="O61" i="54"/>
  <c r="G61" i="54"/>
  <c r="AU59" i="54"/>
  <c r="AT59" i="54"/>
  <c r="AS59" i="54"/>
  <c r="AR59" i="54"/>
  <c r="AQ59" i="54"/>
  <c r="AP59" i="54"/>
  <c r="AO59" i="54"/>
  <c r="AN59" i="54"/>
  <c r="AM59" i="54"/>
  <c r="AL59" i="54"/>
  <c r="AK59" i="54"/>
  <c r="AJ59" i="54"/>
  <c r="AC59" i="54"/>
  <c r="AB59" i="54"/>
  <c r="AA59" i="54"/>
  <c r="Z59" i="54"/>
  <c r="Y59" i="54"/>
  <c r="X59" i="54"/>
  <c r="W59" i="54"/>
  <c r="V59" i="54"/>
  <c r="U59" i="54"/>
  <c r="T59" i="54"/>
  <c r="S59" i="54"/>
  <c r="R59" i="54"/>
  <c r="P59" i="54"/>
  <c r="O59" i="54"/>
  <c r="G59" i="54"/>
  <c r="AU58" i="54"/>
  <c r="AT58" i="54"/>
  <c r="AS58" i="54"/>
  <c r="AR58" i="54"/>
  <c r="AQ58" i="54"/>
  <c r="AP58" i="54"/>
  <c r="AO58" i="54"/>
  <c r="AN58" i="54"/>
  <c r="AM58" i="54"/>
  <c r="AL58" i="54"/>
  <c r="AK58" i="54"/>
  <c r="AJ58" i="54"/>
  <c r="AC58" i="54"/>
  <c r="AB58" i="54"/>
  <c r="AA58" i="54"/>
  <c r="Z58" i="54"/>
  <c r="Y58" i="54"/>
  <c r="X58" i="54"/>
  <c r="W58" i="54"/>
  <c r="V58" i="54"/>
  <c r="U58" i="54"/>
  <c r="T58" i="54"/>
  <c r="S58" i="54"/>
  <c r="R58" i="54"/>
  <c r="P58" i="54"/>
  <c r="O58" i="54"/>
  <c r="G58" i="54"/>
  <c r="AU57" i="54"/>
  <c r="AT57" i="54"/>
  <c r="AS57" i="54"/>
  <c r="AR57" i="54"/>
  <c r="AQ57" i="54"/>
  <c r="AP57" i="54"/>
  <c r="AO57" i="54"/>
  <c r="AN57" i="54"/>
  <c r="AM57" i="54"/>
  <c r="AL57" i="54"/>
  <c r="AK57" i="54"/>
  <c r="AJ57" i="54"/>
  <c r="AC57" i="54"/>
  <c r="AB57" i="54"/>
  <c r="AA57" i="54"/>
  <c r="Z57" i="54"/>
  <c r="Y57" i="54"/>
  <c r="X57" i="54"/>
  <c r="W57" i="54"/>
  <c r="V57" i="54"/>
  <c r="U57" i="54"/>
  <c r="T57" i="54"/>
  <c r="S57" i="54"/>
  <c r="R57" i="54"/>
  <c r="P57" i="54"/>
  <c r="O57" i="54"/>
  <c r="G57" i="54"/>
  <c r="AU55" i="54"/>
  <c r="AT55" i="54"/>
  <c r="AS55" i="54"/>
  <c r="AR55" i="54"/>
  <c r="AQ55" i="54"/>
  <c r="AP55" i="54"/>
  <c r="AO55" i="54"/>
  <c r="AN55" i="54"/>
  <c r="AM55" i="54"/>
  <c r="AL55" i="54"/>
  <c r="AK55" i="54"/>
  <c r="AJ55" i="54"/>
  <c r="AC55" i="54"/>
  <c r="AB55" i="54"/>
  <c r="AA55" i="54"/>
  <c r="Z55" i="54"/>
  <c r="Y55" i="54"/>
  <c r="X55" i="54"/>
  <c r="W55" i="54"/>
  <c r="V55" i="54"/>
  <c r="U55" i="54"/>
  <c r="T55" i="54"/>
  <c r="S55" i="54"/>
  <c r="R55" i="54"/>
  <c r="P55" i="54"/>
  <c r="O55" i="54"/>
  <c r="G55" i="54"/>
  <c r="F78" i="54"/>
  <c r="E78" i="54"/>
  <c r="F66" i="54"/>
  <c r="E66" i="54"/>
  <c r="F46" i="54"/>
  <c r="AU88" i="54"/>
  <c r="AT88" i="54"/>
  <c r="AS88" i="54"/>
  <c r="AR88" i="54"/>
  <c r="AQ88" i="54"/>
  <c r="AP88" i="54"/>
  <c r="AO88" i="54"/>
  <c r="AN88" i="54"/>
  <c r="AM88" i="54"/>
  <c r="AL88" i="54"/>
  <c r="AK88" i="54"/>
  <c r="AJ88" i="54"/>
  <c r="AC88" i="54"/>
  <c r="AB88" i="54"/>
  <c r="AA88" i="54"/>
  <c r="Z88" i="54"/>
  <c r="Y88" i="54"/>
  <c r="X88" i="54"/>
  <c r="W88" i="54"/>
  <c r="V88" i="54"/>
  <c r="U88" i="54"/>
  <c r="T88" i="54"/>
  <c r="S88" i="54"/>
  <c r="R88" i="54"/>
  <c r="P88" i="54"/>
  <c r="O88" i="54"/>
  <c r="G88" i="54"/>
  <c r="AU87" i="54"/>
  <c r="AT87" i="54"/>
  <c r="AS87" i="54"/>
  <c r="AR87" i="54"/>
  <c r="AQ87" i="54"/>
  <c r="AP87" i="54"/>
  <c r="AO87" i="54"/>
  <c r="AN87" i="54"/>
  <c r="AM87" i="54"/>
  <c r="AL87" i="54"/>
  <c r="AK87" i="54"/>
  <c r="AJ87" i="54"/>
  <c r="AC87" i="54"/>
  <c r="AB87" i="54"/>
  <c r="AA87" i="54"/>
  <c r="Z87" i="54"/>
  <c r="Y87" i="54"/>
  <c r="X87" i="54"/>
  <c r="W87" i="54"/>
  <c r="V87" i="54"/>
  <c r="U87" i="54"/>
  <c r="T87" i="54"/>
  <c r="S87" i="54"/>
  <c r="R87" i="54"/>
  <c r="P87" i="54"/>
  <c r="O87" i="54"/>
  <c r="G87" i="54"/>
  <c r="AU75" i="54"/>
  <c r="AT75" i="54"/>
  <c r="AS75" i="54"/>
  <c r="AR75" i="54"/>
  <c r="AQ75" i="54"/>
  <c r="AP75" i="54"/>
  <c r="AO75" i="54"/>
  <c r="AN75" i="54"/>
  <c r="AM75" i="54"/>
  <c r="AL75" i="54"/>
  <c r="AK75" i="54"/>
  <c r="AJ75" i="54"/>
  <c r="AC75" i="54"/>
  <c r="AB75" i="54"/>
  <c r="AA75" i="54"/>
  <c r="Z75" i="54"/>
  <c r="Y75" i="54"/>
  <c r="X75" i="54"/>
  <c r="W75" i="54"/>
  <c r="V75" i="54"/>
  <c r="U75" i="54"/>
  <c r="T75" i="54"/>
  <c r="S75" i="54"/>
  <c r="R75" i="54"/>
  <c r="P75" i="54"/>
  <c r="O75" i="54"/>
  <c r="G75" i="54"/>
  <c r="AU74" i="54"/>
  <c r="AT74" i="54"/>
  <c r="AS74" i="54"/>
  <c r="AR74" i="54"/>
  <c r="AQ74" i="54"/>
  <c r="AP74" i="54"/>
  <c r="AO74" i="54"/>
  <c r="AN74" i="54"/>
  <c r="AM74" i="54"/>
  <c r="AL74" i="54"/>
  <c r="AK74" i="54"/>
  <c r="AJ74" i="54"/>
  <c r="AC74" i="54"/>
  <c r="AB74" i="54"/>
  <c r="AA74" i="54"/>
  <c r="Z74" i="54"/>
  <c r="Y74" i="54"/>
  <c r="X74" i="54"/>
  <c r="W74" i="54"/>
  <c r="V74" i="54"/>
  <c r="U74" i="54"/>
  <c r="T74" i="54"/>
  <c r="S74" i="54"/>
  <c r="R74" i="54"/>
  <c r="P74" i="54"/>
  <c r="O74" i="54"/>
  <c r="G74" i="54"/>
  <c r="AU73" i="54"/>
  <c r="AT73" i="54"/>
  <c r="AS73" i="54"/>
  <c r="AR73" i="54"/>
  <c r="AQ73" i="54"/>
  <c r="AP73" i="54"/>
  <c r="AO73" i="54"/>
  <c r="AN73" i="54"/>
  <c r="AM73" i="54"/>
  <c r="AL73" i="54"/>
  <c r="AK73" i="54"/>
  <c r="AJ73" i="54"/>
  <c r="AC73" i="54"/>
  <c r="AB73" i="54"/>
  <c r="AA73" i="54"/>
  <c r="Z73" i="54"/>
  <c r="Y73" i="54"/>
  <c r="X73" i="54"/>
  <c r="W73" i="54"/>
  <c r="V73" i="54"/>
  <c r="U73" i="54"/>
  <c r="T73" i="54"/>
  <c r="S73" i="54"/>
  <c r="R73" i="54"/>
  <c r="P73" i="54"/>
  <c r="O73" i="54"/>
  <c r="G73" i="54"/>
  <c r="AU67" i="54"/>
  <c r="AT67" i="54"/>
  <c r="AS67" i="54"/>
  <c r="AR67" i="54"/>
  <c r="AQ67" i="54"/>
  <c r="AP67" i="54"/>
  <c r="AO67" i="54"/>
  <c r="AN67" i="54"/>
  <c r="AM67" i="54"/>
  <c r="AL67" i="54"/>
  <c r="AK67" i="54"/>
  <c r="AJ67" i="54"/>
  <c r="AC67" i="54"/>
  <c r="AB67" i="54"/>
  <c r="AA67" i="54"/>
  <c r="Z67" i="54"/>
  <c r="Y67" i="54"/>
  <c r="X67" i="54"/>
  <c r="W67" i="54"/>
  <c r="V67" i="54"/>
  <c r="U67" i="54"/>
  <c r="T67" i="54"/>
  <c r="S67" i="54"/>
  <c r="R67" i="54"/>
  <c r="P67" i="54"/>
  <c r="O67" i="54"/>
  <c r="CW67" i="54" s="1"/>
  <c r="G67" i="54"/>
  <c r="AU54" i="54"/>
  <c r="AT54" i="54"/>
  <c r="AS54" i="54"/>
  <c r="AR54" i="54"/>
  <c r="AQ54" i="54"/>
  <c r="AP54" i="54"/>
  <c r="AO54" i="54"/>
  <c r="AN54" i="54"/>
  <c r="AM54" i="54"/>
  <c r="AL54" i="54"/>
  <c r="AK54" i="54"/>
  <c r="AJ54" i="54"/>
  <c r="AC54" i="54"/>
  <c r="AB54" i="54"/>
  <c r="AA54" i="54"/>
  <c r="Z54" i="54"/>
  <c r="Y54" i="54"/>
  <c r="X54" i="54"/>
  <c r="W54" i="54"/>
  <c r="V54" i="54"/>
  <c r="U54" i="54"/>
  <c r="T54" i="54"/>
  <c r="S54" i="54"/>
  <c r="R54" i="54"/>
  <c r="P54" i="54"/>
  <c r="O54" i="54"/>
  <c r="G54" i="54"/>
  <c r="AU52" i="54"/>
  <c r="AT52" i="54"/>
  <c r="AS52" i="54"/>
  <c r="AR52" i="54"/>
  <c r="AQ52" i="54"/>
  <c r="AP52" i="54"/>
  <c r="AO52" i="54"/>
  <c r="AN52" i="54"/>
  <c r="AM52" i="54"/>
  <c r="AL52" i="54"/>
  <c r="AK52" i="54"/>
  <c r="AJ52" i="54"/>
  <c r="AC52" i="54"/>
  <c r="AB52" i="54"/>
  <c r="AA52" i="54"/>
  <c r="Z52" i="54"/>
  <c r="Y52" i="54"/>
  <c r="X52" i="54"/>
  <c r="W52" i="54"/>
  <c r="V52" i="54"/>
  <c r="U52" i="54"/>
  <c r="T52" i="54"/>
  <c r="S52" i="54"/>
  <c r="R52" i="54"/>
  <c r="P52" i="54"/>
  <c r="O52" i="54"/>
  <c r="G52" i="54"/>
  <c r="B57" i="54"/>
  <c r="B58" i="54" s="1"/>
  <c r="B59" i="54" s="1"/>
  <c r="B61" i="54" s="1"/>
  <c r="B62" i="54" s="1"/>
  <c r="B63" i="54" s="1"/>
  <c r="AU47" i="54"/>
  <c r="AT47" i="54"/>
  <c r="AS47" i="54"/>
  <c r="AR47" i="54"/>
  <c r="AQ47" i="54"/>
  <c r="AP47" i="54"/>
  <c r="AO47" i="54"/>
  <c r="AN47" i="54"/>
  <c r="AM47" i="54"/>
  <c r="AL47" i="54"/>
  <c r="AK47" i="54"/>
  <c r="AJ47" i="54"/>
  <c r="AC47" i="54"/>
  <c r="AB47" i="54"/>
  <c r="AA47" i="54"/>
  <c r="Z47" i="54"/>
  <c r="Y47" i="54"/>
  <c r="X47" i="54"/>
  <c r="W47" i="54"/>
  <c r="V47" i="54"/>
  <c r="U47" i="54"/>
  <c r="T47" i="54"/>
  <c r="S47" i="54"/>
  <c r="R47" i="54"/>
  <c r="P47" i="54"/>
  <c r="O47" i="54"/>
  <c r="CP47" i="54" s="1"/>
  <c r="G47" i="54"/>
  <c r="AX23" i="54" l="1"/>
  <c r="EU42" i="54"/>
  <c r="EY42" i="54"/>
  <c r="EX42" i="54"/>
  <c r="EW42" i="54"/>
  <c r="EV42" i="54"/>
  <c r="ET42" i="54"/>
  <c r="ES42" i="54"/>
  <c r="EY61" i="54"/>
  <c r="EX61" i="54"/>
  <c r="EW61" i="54"/>
  <c r="EV61" i="54"/>
  <c r="EU61" i="54"/>
  <c r="ET61" i="54"/>
  <c r="ES61" i="54"/>
  <c r="EY43" i="54"/>
  <c r="EX43" i="54"/>
  <c r="EW43" i="54"/>
  <c r="EV43" i="54"/>
  <c r="EU43" i="54"/>
  <c r="ET43" i="54"/>
  <c r="ES43" i="54"/>
  <c r="EU22" i="54"/>
  <c r="ET22" i="54"/>
  <c r="EW22" i="54"/>
  <c r="EY22" i="54"/>
  <c r="ES22" i="54"/>
  <c r="EX22" i="54"/>
  <c r="EV22" i="54"/>
  <c r="EV29" i="54"/>
  <c r="EU29" i="54"/>
  <c r="ET29" i="54"/>
  <c r="ES29" i="54"/>
  <c r="EX29" i="54"/>
  <c r="EW29" i="54"/>
  <c r="EY29" i="54"/>
  <c r="EY58" i="54"/>
  <c r="EX58" i="54"/>
  <c r="EW58" i="54"/>
  <c r="EV58" i="54"/>
  <c r="EU58" i="54"/>
  <c r="ES58" i="54"/>
  <c r="ET58" i="54"/>
  <c r="EV62" i="54"/>
  <c r="EU62" i="54"/>
  <c r="ET62" i="54"/>
  <c r="EY62" i="54"/>
  <c r="ES62" i="54"/>
  <c r="EX62" i="54"/>
  <c r="EW62" i="54"/>
  <c r="EY33" i="54"/>
  <c r="EX33" i="54"/>
  <c r="EW33" i="54"/>
  <c r="EV33" i="54"/>
  <c r="EU33" i="54"/>
  <c r="ET33" i="54"/>
  <c r="ES33" i="54"/>
  <c r="EV24" i="54"/>
  <c r="EU24" i="54"/>
  <c r="EX24" i="54"/>
  <c r="EW24" i="54"/>
  <c r="ET24" i="54"/>
  <c r="ES24" i="54"/>
  <c r="EY24" i="54"/>
  <c r="EY88" i="54"/>
  <c r="EX88" i="54"/>
  <c r="EW88" i="54"/>
  <c r="EV88" i="54"/>
  <c r="EU88" i="54"/>
  <c r="ET88" i="54"/>
  <c r="ES88" i="54"/>
  <c r="ET32" i="54"/>
  <c r="ES32" i="54"/>
  <c r="EW32" i="54"/>
  <c r="EY32" i="54"/>
  <c r="EX32" i="54"/>
  <c r="EU32" i="54"/>
  <c r="EV32" i="54"/>
  <c r="EU6" i="54"/>
  <c r="ES6" i="54"/>
  <c r="EY6" i="54"/>
  <c r="EX6" i="54"/>
  <c r="EW6" i="54"/>
  <c r="EV6" i="54"/>
  <c r="ET6" i="54"/>
  <c r="EY75" i="54"/>
  <c r="ES75" i="54"/>
  <c r="EW75" i="54"/>
  <c r="EX75" i="54"/>
  <c r="ET75" i="54"/>
  <c r="EV75" i="54"/>
  <c r="EU75" i="54"/>
  <c r="EY40" i="54"/>
  <c r="EX40" i="54"/>
  <c r="EW40" i="54"/>
  <c r="EV40" i="54"/>
  <c r="EU40" i="54"/>
  <c r="ET40" i="54"/>
  <c r="ES40" i="54"/>
  <c r="EY52" i="54"/>
  <c r="EX52" i="54"/>
  <c r="EW52" i="54"/>
  <c r="EV52" i="54"/>
  <c r="EU52" i="54"/>
  <c r="ET52" i="54"/>
  <c r="ES52" i="54"/>
  <c r="ET50" i="54"/>
  <c r="EV50" i="54"/>
  <c r="EY50" i="54"/>
  <c r="EX50" i="54"/>
  <c r="EW50" i="54"/>
  <c r="EU50" i="54"/>
  <c r="ES50" i="54"/>
  <c r="EY73" i="54"/>
  <c r="EX73" i="54"/>
  <c r="EU73" i="54"/>
  <c r="EW73" i="54"/>
  <c r="EV73" i="54"/>
  <c r="ES73" i="54"/>
  <c r="ET73" i="54"/>
  <c r="EV55" i="54"/>
  <c r="EY55" i="54"/>
  <c r="EW55" i="54"/>
  <c r="EU55" i="54"/>
  <c r="ET55" i="54"/>
  <c r="ES55" i="54"/>
  <c r="EX55" i="54"/>
  <c r="EU25" i="54"/>
  <c r="EY25" i="54"/>
  <c r="ES25" i="54"/>
  <c r="EX25" i="54"/>
  <c r="EW25" i="54"/>
  <c r="EV25" i="54"/>
  <c r="ET25" i="54"/>
  <c r="EU87" i="54"/>
  <c r="EY87" i="54"/>
  <c r="EX87" i="54"/>
  <c r="EW87" i="54"/>
  <c r="EV87" i="54"/>
  <c r="ET87" i="54"/>
  <c r="ES87" i="54"/>
  <c r="EY59" i="54"/>
  <c r="EW59" i="54"/>
  <c r="ET59" i="54"/>
  <c r="EX59" i="54"/>
  <c r="EV59" i="54"/>
  <c r="ES59" i="54"/>
  <c r="EU59" i="54"/>
  <c r="EY31" i="54"/>
  <c r="EX31" i="54"/>
  <c r="EW31" i="54"/>
  <c r="EV31" i="54"/>
  <c r="EU31" i="54"/>
  <c r="ET31" i="54"/>
  <c r="ES31" i="54"/>
  <c r="ES63" i="54"/>
  <c r="EV63" i="54"/>
  <c r="EU63" i="54"/>
  <c r="EY63" i="54"/>
  <c r="EX63" i="54"/>
  <c r="EW63" i="54"/>
  <c r="ET63" i="54"/>
  <c r="EV35" i="54"/>
  <c r="EU35" i="54"/>
  <c r="ET35" i="54"/>
  <c r="EY35" i="54"/>
  <c r="ES35" i="54"/>
  <c r="EW35" i="54"/>
  <c r="EX35" i="54"/>
  <c r="EV41" i="54"/>
  <c r="EU41" i="54"/>
  <c r="ET41" i="54"/>
  <c r="ES41" i="54"/>
  <c r="EY41" i="54"/>
  <c r="EX41" i="54"/>
  <c r="EW41" i="54"/>
  <c r="EU30" i="54"/>
  <c r="ES30" i="54"/>
  <c r="EY30" i="54"/>
  <c r="EX30" i="54"/>
  <c r="EW30" i="54"/>
  <c r="EV30" i="54"/>
  <c r="ET30" i="54"/>
  <c r="EY23" i="54"/>
  <c r="EX23" i="54"/>
  <c r="EW23" i="54"/>
  <c r="EV23" i="54"/>
  <c r="EU23" i="54"/>
  <c r="ET23" i="54"/>
  <c r="ES23" i="54"/>
  <c r="EY54" i="54"/>
  <c r="EX54" i="54"/>
  <c r="EW54" i="54"/>
  <c r="EV54" i="54"/>
  <c r="EU54" i="54"/>
  <c r="ET54" i="54"/>
  <c r="ES54" i="54"/>
  <c r="EY39" i="54"/>
  <c r="EV39" i="54"/>
  <c r="EU39" i="54"/>
  <c r="ET39" i="54"/>
  <c r="EW39" i="54"/>
  <c r="EX39" i="54"/>
  <c r="ES39" i="54"/>
  <c r="EY74" i="54"/>
  <c r="EX74" i="54"/>
  <c r="EW74" i="54"/>
  <c r="EV74" i="54"/>
  <c r="EU74" i="54"/>
  <c r="ET74" i="54"/>
  <c r="ES74" i="54"/>
  <c r="EV57" i="54"/>
  <c r="ES57" i="54"/>
  <c r="EY57" i="54"/>
  <c r="EU57" i="54"/>
  <c r="EX57" i="54"/>
  <c r="EW57" i="54"/>
  <c r="ET57" i="54"/>
  <c r="EW27" i="54"/>
  <c r="ES27" i="54"/>
  <c r="ET27" i="54"/>
  <c r="EY27" i="54"/>
  <c r="EX27" i="54"/>
  <c r="EU27" i="54"/>
  <c r="EV27" i="54"/>
  <c r="CW42" i="54"/>
  <c r="FG42" i="54"/>
  <c r="CO43" i="54"/>
  <c r="FG43" i="54"/>
  <c r="CP22" i="54"/>
  <c r="CL24" i="54"/>
  <c r="CL73" i="54"/>
  <c r="CT25" i="54"/>
  <c r="CL87" i="54"/>
  <c r="CL59" i="54"/>
  <c r="CM31" i="54"/>
  <c r="CN41" i="54"/>
  <c r="FG30" i="54"/>
  <c r="CT54" i="54"/>
  <c r="CP57" i="54"/>
  <c r="AD74" i="54"/>
  <c r="AV43" i="54"/>
  <c r="AY43" i="54"/>
  <c r="BD50" i="54"/>
  <c r="BF50" i="54"/>
  <c r="AY50" i="54"/>
  <c r="BG50" i="54"/>
  <c r="BH50" i="54"/>
  <c r="BI50" i="54"/>
  <c r="CM41" i="54"/>
  <c r="CP41" i="54"/>
  <c r="CT42" i="54"/>
  <c r="BL50" i="54"/>
  <c r="CU42" i="54"/>
  <c r="CV42" i="54"/>
  <c r="AF50" i="54"/>
  <c r="CU10" i="54"/>
  <c r="CV10" i="54"/>
  <c r="AW50" i="54"/>
  <c r="EF63" i="54"/>
  <c r="AV50" i="54"/>
  <c r="CS32" i="54"/>
  <c r="CL52" i="54"/>
  <c r="EF39" i="54"/>
  <c r="EF30" i="54"/>
  <c r="EF50" i="54"/>
  <c r="EF88" i="54"/>
  <c r="CS61" i="54"/>
  <c r="CT61" i="54"/>
  <c r="CL43" i="54"/>
  <c r="CO6" i="54"/>
  <c r="FG6" i="54"/>
  <c r="FF6" i="54"/>
  <c r="FH6" i="54"/>
  <c r="FG11" i="54"/>
  <c r="FF11" i="54"/>
  <c r="BY43" i="54"/>
  <c r="BC50" i="54"/>
  <c r="CP63" i="54"/>
  <c r="CM43" i="54"/>
  <c r="EF27" i="54"/>
  <c r="CP29" i="54"/>
  <c r="CS74" i="54"/>
  <c r="EF23" i="54"/>
  <c r="FG23" i="54"/>
  <c r="BE50" i="54"/>
  <c r="CT74" i="54"/>
  <c r="CL31" i="54"/>
  <c r="CS42" i="54"/>
  <c r="CT32" i="54"/>
  <c r="EF59" i="54"/>
  <c r="CW58" i="54"/>
  <c r="CT88" i="54"/>
  <c r="CO13" i="54"/>
  <c r="CS54" i="54"/>
  <c r="EF31" i="54"/>
  <c r="EF10" i="54"/>
  <c r="FG10" i="54"/>
  <c r="BK50" i="54"/>
  <c r="EF75" i="54"/>
  <c r="EF35" i="54"/>
  <c r="EF24" i="54"/>
  <c r="FG24" i="54"/>
  <c r="CP6" i="54"/>
  <c r="CW40" i="54"/>
  <c r="CL8" i="54"/>
  <c r="EF55" i="54"/>
  <c r="AW43" i="54"/>
  <c r="AE50" i="54"/>
  <c r="CL41" i="54"/>
  <c r="CT10" i="54"/>
  <c r="E5" i="54"/>
  <c r="CQ47" i="54"/>
  <c r="CM52" i="54"/>
  <c r="CU54" i="54"/>
  <c r="CQ57" i="54"/>
  <c r="CM59" i="54"/>
  <c r="CU61" i="54"/>
  <c r="CQ63" i="54"/>
  <c r="CM73" i="54"/>
  <c r="CU74" i="54"/>
  <c r="CM87" i="54"/>
  <c r="CU88" i="54"/>
  <c r="CQ6" i="54"/>
  <c r="CM8" i="54"/>
  <c r="CQ13" i="54"/>
  <c r="CM17" i="54"/>
  <c r="CU18" i="54"/>
  <c r="CQ22" i="54"/>
  <c r="CM24" i="54"/>
  <c r="CU25" i="54"/>
  <c r="CQ29" i="54"/>
  <c r="CU32" i="54"/>
  <c r="CQ35" i="54"/>
  <c r="CR47" i="54"/>
  <c r="CN52" i="54"/>
  <c r="CV54" i="54"/>
  <c r="CR57" i="54"/>
  <c r="CN59" i="54"/>
  <c r="CV61" i="54"/>
  <c r="CR63" i="54"/>
  <c r="CN73" i="54"/>
  <c r="CV74" i="54"/>
  <c r="CN87" i="54"/>
  <c r="CV88" i="54"/>
  <c r="CR6" i="54"/>
  <c r="CN8" i="54"/>
  <c r="CR13" i="54"/>
  <c r="CN17" i="54"/>
  <c r="CV18" i="54"/>
  <c r="CR22" i="54"/>
  <c r="CN24" i="54"/>
  <c r="CV25" i="54"/>
  <c r="CR29" i="54"/>
  <c r="CN31" i="54"/>
  <c r="CV32" i="54"/>
  <c r="CR35" i="54"/>
  <c r="AX24" i="54"/>
  <c r="AG50" i="54"/>
  <c r="CS47" i="54"/>
  <c r="CO52" i="54"/>
  <c r="CW54" i="54"/>
  <c r="CS57" i="54"/>
  <c r="CO59" i="54"/>
  <c r="CW61" i="54"/>
  <c r="CS63" i="54"/>
  <c r="CO73" i="54"/>
  <c r="CW74" i="54"/>
  <c r="CO87" i="54"/>
  <c r="CW88" i="54"/>
  <c r="CO41" i="54"/>
  <c r="CS6" i="54"/>
  <c r="CO8" i="54"/>
  <c r="CS13" i="54"/>
  <c r="CO17" i="54"/>
  <c r="CW18" i="54"/>
  <c r="CS22" i="54"/>
  <c r="CO24" i="54"/>
  <c r="CW25" i="54"/>
  <c r="CS29" i="54"/>
  <c r="CO31" i="54"/>
  <c r="CW32" i="54"/>
  <c r="CS35" i="54"/>
  <c r="CT47" i="54"/>
  <c r="CP52" i="54"/>
  <c r="CL55" i="54"/>
  <c r="CT57" i="54"/>
  <c r="CP59" i="54"/>
  <c r="CL62" i="54"/>
  <c r="CT63" i="54"/>
  <c r="CP73" i="54"/>
  <c r="CL75" i="54"/>
  <c r="CP87" i="54"/>
  <c r="CL39" i="54"/>
  <c r="CT6" i="54"/>
  <c r="CP8" i="54"/>
  <c r="CL11" i="54"/>
  <c r="CT13" i="54"/>
  <c r="CP17" i="54"/>
  <c r="CT22" i="54"/>
  <c r="CP24" i="54"/>
  <c r="CL27" i="54"/>
  <c r="CT29" i="54"/>
  <c r="CP31" i="54"/>
  <c r="CL33" i="54"/>
  <c r="CT35" i="54"/>
  <c r="CU47" i="54"/>
  <c r="CQ52" i="54"/>
  <c r="CM55" i="54"/>
  <c r="CU57" i="54"/>
  <c r="CQ59" i="54"/>
  <c r="CM62" i="54"/>
  <c r="CU63" i="54"/>
  <c r="CQ73" i="54"/>
  <c r="CM75" i="54"/>
  <c r="CQ87" i="54"/>
  <c r="CM39" i="54"/>
  <c r="CQ41" i="54"/>
  <c r="CU6" i="54"/>
  <c r="CQ8" i="54"/>
  <c r="CM11" i="54"/>
  <c r="CU13" i="54"/>
  <c r="CQ17" i="54"/>
  <c r="CU22" i="54"/>
  <c r="CQ24" i="54"/>
  <c r="CM27" i="54"/>
  <c r="CU29" i="54"/>
  <c r="CQ31" i="54"/>
  <c r="CM33" i="54"/>
  <c r="CU35" i="54"/>
  <c r="BV50" i="54"/>
  <c r="CV47" i="54"/>
  <c r="CR52" i="54"/>
  <c r="CN55" i="54"/>
  <c r="CV57" i="54"/>
  <c r="CR59" i="54"/>
  <c r="CN62" i="54"/>
  <c r="CV63" i="54"/>
  <c r="CR73" i="54"/>
  <c r="CN75" i="54"/>
  <c r="CR87" i="54"/>
  <c r="CN39" i="54"/>
  <c r="CR41" i="54"/>
  <c r="CN43" i="54"/>
  <c r="CV6" i="54"/>
  <c r="CR8" i="54"/>
  <c r="CN11" i="54"/>
  <c r="CV13" i="54"/>
  <c r="CR17" i="54"/>
  <c r="CV22" i="54"/>
  <c r="CR24" i="54"/>
  <c r="CN27" i="54"/>
  <c r="CV29" i="54"/>
  <c r="CR31" i="54"/>
  <c r="CN33" i="54"/>
  <c r="CV35" i="54"/>
  <c r="BW50" i="54"/>
  <c r="CW47" i="54"/>
  <c r="CS52" i="54"/>
  <c r="CO55" i="54"/>
  <c r="CW57" i="54"/>
  <c r="CS59" i="54"/>
  <c r="CO62" i="54"/>
  <c r="CW63" i="54"/>
  <c r="CS73" i="54"/>
  <c r="CO75" i="54"/>
  <c r="CS87" i="54"/>
  <c r="CO39" i="54"/>
  <c r="CS41" i="54"/>
  <c r="CW6" i="54"/>
  <c r="CS8" i="54"/>
  <c r="CO11" i="54"/>
  <c r="CW13" i="54"/>
  <c r="CS17" i="54"/>
  <c r="CW22" i="54"/>
  <c r="CS24" i="54"/>
  <c r="CO27" i="54"/>
  <c r="CW29" i="54"/>
  <c r="CS31" i="54"/>
  <c r="CO33" i="54"/>
  <c r="CW35" i="54"/>
  <c r="BX50" i="54"/>
  <c r="CL50" i="54"/>
  <c r="CT52" i="54"/>
  <c r="CP55" i="54"/>
  <c r="CL58" i="54"/>
  <c r="CT59" i="54"/>
  <c r="CP62" i="54"/>
  <c r="CL67" i="54"/>
  <c r="CT73" i="54"/>
  <c r="CP75" i="54"/>
  <c r="CT87" i="54"/>
  <c r="CP39" i="54"/>
  <c r="CL40" i="54"/>
  <c r="CT41" i="54"/>
  <c r="CP43" i="54"/>
  <c r="CL7" i="54"/>
  <c r="CT8" i="54"/>
  <c r="CP11" i="54"/>
  <c r="CL15" i="54"/>
  <c r="CT17" i="54"/>
  <c r="CL23" i="54"/>
  <c r="CT24" i="54"/>
  <c r="CP27" i="54"/>
  <c r="CL30" i="54"/>
  <c r="CT31" i="54"/>
  <c r="CP33" i="54"/>
  <c r="AD50" i="54"/>
  <c r="BY50" i="54"/>
  <c r="CM50" i="54"/>
  <c r="CU52" i="54"/>
  <c r="CQ55" i="54"/>
  <c r="CM58" i="54"/>
  <c r="CU59" i="54"/>
  <c r="CQ62" i="54"/>
  <c r="CM67" i="54"/>
  <c r="CU73" i="54"/>
  <c r="CQ75" i="54"/>
  <c r="CU87" i="54"/>
  <c r="CQ39" i="54"/>
  <c r="CM40" i="54"/>
  <c r="CU41" i="54"/>
  <c r="CQ43" i="54"/>
  <c r="CM7" i="54"/>
  <c r="CU8" i="54"/>
  <c r="CQ11" i="54"/>
  <c r="CM15" i="54"/>
  <c r="CU17" i="54"/>
  <c r="CM23" i="54"/>
  <c r="CU24" i="54"/>
  <c r="CQ27" i="54"/>
  <c r="CM30" i="54"/>
  <c r="CU31" i="54"/>
  <c r="CQ33" i="54"/>
  <c r="AX50" i="54"/>
  <c r="BZ50" i="54"/>
  <c r="CN50" i="54"/>
  <c r="CV52" i="54"/>
  <c r="CR55" i="54"/>
  <c r="CN58" i="54"/>
  <c r="CV59" i="54"/>
  <c r="CR62" i="54"/>
  <c r="CN67" i="54"/>
  <c r="CV73" i="54"/>
  <c r="CR75" i="54"/>
  <c r="CV87" i="54"/>
  <c r="CR39" i="54"/>
  <c r="CN40" i="54"/>
  <c r="CV41" i="54"/>
  <c r="CR43" i="54"/>
  <c r="CN7" i="54"/>
  <c r="CV8" i="54"/>
  <c r="CR11" i="54"/>
  <c r="CN15" i="54"/>
  <c r="CV17" i="54"/>
  <c r="CN23" i="54"/>
  <c r="CV24" i="54"/>
  <c r="CR27" i="54"/>
  <c r="CN30" i="54"/>
  <c r="CV31" i="54"/>
  <c r="CR33" i="54"/>
  <c r="CO50" i="54"/>
  <c r="CW52" i="54"/>
  <c r="CS55" i="54"/>
  <c r="CO58" i="54"/>
  <c r="CW59" i="54"/>
  <c r="CS62" i="54"/>
  <c r="CO67" i="54"/>
  <c r="CW73" i="54"/>
  <c r="CS75" i="54"/>
  <c r="CW87" i="54"/>
  <c r="CS39" i="54"/>
  <c r="CO40" i="54"/>
  <c r="CW41" i="54"/>
  <c r="CS43" i="54"/>
  <c r="CO7" i="54"/>
  <c r="CW8" i="54"/>
  <c r="CS11" i="54"/>
  <c r="CO15" i="54"/>
  <c r="CW17" i="54"/>
  <c r="CO23" i="54"/>
  <c r="CW24" i="54"/>
  <c r="CS27" i="54"/>
  <c r="CO30" i="54"/>
  <c r="CW31" i="54"/>
  <c r="CS33" i="54"/>
  <c r="EG50" i="54"/>
  <c r="CP50" i="54"/>
  <c r="CL54" i="54"/>
  <c r="CT55" i="54"/>
  <c r="CP58" i="54"/>
  <c r="CL61" i="54"/>
  <c r="CT62" i="54"/>
  <c r="CP67" i="54"/>
  <c r="CL74" i="54"/>
  <c r="CT75" i="54"/>
  <c r="CL88" i="54"/>
  <c r="CT39" i="54"/>
  <c r="CP40" i="54"/>
  <c r="CL42" i="54"/>
  <c r="CT43" i="54"/>
  <c r="CP7" i="54"/>
  <c r="CL10" i="54"/>
  <c r="CT11" i="54"/>
  <c r="CP15" i="54"/>
  <c r="CL18" i="54"/>
  <c r="CP23" i="54"/>
  <c r="CL25" i="54"/>
  <c r="CT27" i="54"/>
  <c r="CP30" i="54"/>
  <c r="CL32" i="54"/>
  <c r="CT33" i="54"/>
  <c r="CQ50" i="54"/>
  <c r="CM54" i="54"/>
  <c r="CU55" i="54"/>
  <c r="CQ58" i="54"/>
  <c r="CM61" i="54"/>
  <c r="CU62" i="54"/>
  <c r="CQ67" i="54"/>
  <c r="CM74" i="54"/>
  <c r="CU75" i="54"/>
  <c r="CM88" i="54"/>
  <c r="CU39" i="54"/>
  <c r="CQ40" i="54"/>
  <c r="CM42" i="54"/>
  <c r="CU43" i="54"/>
  <c r="CQ7" i="54"/>
  <c r="CM10" i="54"/>
  <c r="CU11" i="54"/>
  <c r="CQ15" i="54"/>
  <c r="CM18" i="54"/>
  <c r="CQ23" i="54"/>
  <c r="CM25" i="54"/>
  <c r="CU27" i="54"/>
  <c r="CQ30" i="54"/>
  <c r="CM32" i="54"/>
  <c r="CU33" i="54"/>
  <c r="CR50" i="54"/>
  <c r="CN54" i="54"/>
  <c r="CV55" i="54"/>
  <c r="CR58" i="54"/>
  <c r="CN61" i="54"/>
  <c r="CV62" i="54"/>
  <c r="CR67" i="54"/>
  <c r="CN74" i="54"/>
  <c r="CV75" i="54"/>
  <c r="CN88" i="54"/>
  <c r="CV39" i="54"/>
  <c r="CR40" i="54"/>
  <c r="CN42" i="54"/>
  <c r="CV43" i="54"/>
  <c r="CR7" i="54"/>
  <c r="CN10" i="54"/>
  <c r="CV11" i="54"/>
  <c r="CR15" i="54"/>
  <c r="CN18" i="54"/>
  <c r="CR23" i="54"/>
  <c r="CN25" i="54"/>
  <c r="CV27" i="54"/>
  <c r="CR30" i="54"/>
  <c r="CN32" i="54"/>
  <c r="CV33" i="54"/>
  <c r="BM50" i="54"/>
  <c r="CS50" i="54"/>
  <c r="CO54" i="54"/>
  <c r="CW55" i="54"/>
  <c r="CS58" i="54"/>
  <c r="CO61" i="54"/>
  <c r="CW62" i="54"/>
  <c r="CS67" i="54"/>
  <c r="CO74" i="54"/>
  <c r="CW75" i="54"/>
  <c r="CO88" i="54"/>
  <c r="CW39" i="54"/>
  <c r="CS40" i="54"/>
  <c r="CO42" i="54"/>
  <c r="CW43" i="54"/>
  <c r="CS7" i="54"/>
  <c r="CO10" i="54"/>
  <c r="CW11" i="54"/>
  <c r="CS15" i="54"/>
  <c r="CO18" i="54"/>
  <c r="CS23" i="54"/>
  <c r="CO25" i="54"/>
  <c r="CW27" i="54"/>
  <c r="CS30" i="54"/>
  <c r="CO32" i="54"/>
  <c r="CW33" i="54"/>
  <c r="AD23" i="54"/>
  <c r="BW43" i="54"/>
  <c r="BB50" i="54"/>
  <c r="CO47" i="54"/>
  <c r="CT50" i="54"/>
  <c r="CP54" i="54"/>
  <c r="CL57" i="54"/>
  <c r="CT58" i="54"/>
  <c r="CP61" i="54"/>
  <c r="CL63" i="54"/>
  <c r="CT67" i="54"/>
  <c r="CP74" i="54"/>
  <c r="CP88" i="54"/>
  <c r="CT40" i="54"/>
  <c r="CP42" i="54"/>
  <c r="CL6" i="54"/>
  <c r="CT7" i="54"/>
  <c r="CP10" i="54"/>
  <c r="CL13" i="54"/>
  <c r="CT15" i="54"/>
  <c r="CP18" i="54"/>
  <c r="CL22" i="54"/>
  <c r="CT23" i="54"/>
  <c r="CP25" i="54"/>
  <c r="CL29" i="54"/>
  <c r="CT30" i="54"/>
  <c r="CP32" i="54"/>
  <c r="CL35" i="54"/>
  <c r="CP35" i="54"/>
  <c r="AV24" i="54"/>
  <c r="BX43" i="54"/>
  <c r="BJ50" i="54"/>
  <c r="CL47" i="54"/>
  <c r="CU50" i="54"/>
  <c r="CQ54" i="54"/>
  <c r="CM57" i="54"/>
  <c r="CU58" i="54"/>
  <c r="CQ61" i="54"/>
  <c r="CM63" i="54"/>
  <c r="CU67" i="54"/>
  <c r="CQ74" i="54"/>
  <c r="CQ88" i="54"/>
  <c r="CU40" i="54"/>
  <c r="CQ42" i="54"/>
  <c r="CM6" i="54"/>
  <c r="CU7" i="54"/>
  <c r="CQ10" i="54"/>
  <c r="CM13" i="54"/>
  <c r="CU15" i="54"/>
  <c r="CQ18" i="54"/>
  <c r="CM22" i="54"/>
  <c r="CU23" i="54"/>
  <c r="CQ25" i="54"/>
  <c r="CM29" i="54"/>
  <c r="CU30" i="54"/>
  <c r="CQ32" i="54"/>
  <c r="CM35" i="54"/>
  <c r="CM47" i="54"/>
  <c r="CV50" i="54"/>
  <c r="CR54" i="54"/>
  <c r="CN57" i="54"/>
  <c r="CV58" i="54"/>
  <c r="CR61" i="54"/>
  <c r="CN63" i="54"/>
  <c r="CV67" i="54"/>
  <c r="CR74" i="54"/>
  <c r="CR88" i="54"/>
  <c r="CV40" i="54"/>
  <c r="CR42" i="54"/>
  <c r="CN6" i="54"/>
  <c r="CV7" i="54"/>
  <c r="CR10" i="54"/>
  <c r="CN13" i="54"/>
  <c r="CV15" i="54"/>
  <c r="CR18" i="54"/>
  <c r="CN22" i="54"/>
  <c r="CV23" i="54"/>
  <c r="CR25" i="54"/>
  <c r="CN29" i="54"/>
  <c r="CV30" i="54"/>
  <c r="CR32" i="54"/>
  <c r="CN35" i="54"/>
  <c r="CB43" i="54"/>
  <c r="CN47" i="54"/>
  <c r="CW50" i="54"/>
  <c r="CO57" i="54"/>
  <c r="CO63" i="54"/>
  <c r="CS88" i="54"/>
  <c r="CW7" i="54"/>
  <c r="CS10" i="54"/>
  <c r="CW15" i="54"/>
  <c r="CS18" i="54"/>
  <c r="CO22" i="54"/>
  <c r="CW23" i="54"/>
  <c r="CS25" i="54"/>
  <c r="CO29" i="54"/>
  <c r="CW30" i="54"/>
  <c r="CO35" i="54"/>
  <c r="CA50" i="54"/>
  <c r="CB50" i="54"/>
  <c r="CC50" i="54"/>
  <c r="CD50" i="54"/>
  <c r="CE50" i="54"/>
  <c r="EB50" i="54"/>
  <c r="EC50" i="54"/>
  <c r="ED50" i="54"/>
  <c r="BT50" i="54"/>
  <c r="EE50" i="54"/>
  <c r="BU50" i="54"/>
  <c r="AD43" i="54"/>
  <c r="EB43" i="54"/>
  <c r="BC43" i="54"/>
  <c r="EC43" i="54"/>
  <c r="ED43" i="54"/>
  <c r="BE43" i="54"/>
  <c r="EE43" i="54"/>
  <c r="BF43" i="54"/>
  <c r="EF43" i="54"/>
  <c r="BG43" i="54"/>
  <c r="EG43" i="54"/>
  <c r="BH43" i="54"/>
  <c r="BT43" i="54"/>
  <c r="BI43" i="54"/>
  <c r="BU43" i="54"/>
  <c r="BV43" i="54"/>
  <c r="BJ43" i="54"/>
  <c r="BK43" i="54"/>
  <c r="BL43" i="54"/>
  <c r="BM43" i="54"/>
  <c r="BD43" i="54"/>
  <c r="AX43" i="54"/>
  <c r="BB43" i="54"/>
  <c r="AE43" i="54"/>
  <c r="AF43" i="54"/>
  <c r="AG43" i="54"/>
  <c r="BZ43" i="54"/>
  <c r="CA43" i="54"/>
  <c r="CC43" i="54"/>
  <c r="CD43" i="54"/>
  <c r="CE43" i="54"/>
  <c r="AV10" i="54"/>
  <c r="AX30" i="54"/>
  <c r="AV30" i="54"/>
  <c r="AW24" i="54"/>
  <c r="BH30" i="54"/>
  <c r="BG30" i="54"/>
  <c r="BT30" i="54"/>
  <c r="EG23" i="54"/>
  <c r="BU30" i="54"/>
  <c r="BV30" i="54"/>
  <c r="BJ30" i="54"/>
  <c r="BW30" i="54"/>
  <c r="BK30" i="54"/>
  <c r="BX30" i="54"/>
  <c r="BL30" i="54"/>
  <c r="BM30" i="54"/>
  <c r="EH10" i="54"/>
  <c r="BJ10" i="54"/>
  <c r="BK10" i="54"/>
  <c r="AE24" i="54"/>
  <c r="AF30" i="54"/>
  <c r="BL10" i="54"/>
  <c r="AW23" i="54"/>
  <c r="BH24" i="54"/>
  <c r="BI24" i="54"/>
  <c r="BI23" i="54"/>
  <c r="BJ24" i="54"/>
  <c r="BK24" i="54"/>
  <c r="BC23" i="54"/>
  <c r="AY23" i="54"/>
  <c r="BL24" i="54"/>
  <c r="AD30" i="54"/>
  <c r="BD23" i="54"/>
  <c r="BM24" i="54"/>
  <c r="AY30" i="54"/>
  <c r="BE23" i="54"/>
  <c r="BF23" i="54"/>
  <c r="AE30" i="54"/>
  <c r="BG23" i="54"/>
  <c r="BI30" i="54"/>
  <c r="AW30" i="54"/>
  <c r="BY30" i="54"/>
  <c r="BC30" i="54"/>
  <c r="BD30" i="54"/>
  <c r="BF30" i="54"/>
  <c r="EG30" i="54"/>
  <c r="BB30" i="54"/>
  <c r="BE30" i="54"/>
  <c r="AF24" i="54"/>
  <c r="AG24" i="54"/>
  <c r="BC24" i="54"/>
  <c r="BD24" i="54"/>
  <c r="BF24" i="54"/>
  <c r="BG24" i="54"/>
  <c r="BH23" i="54"/>
  <c r="BJ23" i="54"/>
  <c r="BK23" i="54"/>
  <c r="BL23" i="54"/>
  <c r="BM23" i="54"/>
  <c r="AE23" i="54"/>
  <c r="AG30" i="54"/>
  <c r="BZ30" i="54"/>
  <c r="CA30" i="54"/>
  <c r="CB30" i="54"/>
  <c r="CC30" i="54"/>
  <c r="CD30" i="54"/>
  <c r="CE30" i="54"/>
  <c r="EB30" i="54"/>
  <c r="EC30" i="54"/>
  <c r="ED30" i="54"/>
  <c r="EE30" i="54"/>
  <c r="AF23" i="54"/>
  <c r="AG23" i="54"/>
  <c r="BV24" i="54"/>
  <c r="AV23" i="54"/>
  <c r="AD24" i="54"/>
  <c r="BW24" i="54"/>
  <c r="BX24" i="54"/>
  <c r="BY24" i="54"/>
  <c r="BZ24" i="54"/>
  <c r="BV23" i="54"/>
  <c r="AY24" i="54"/>
  <c r="BW23" i="54"/>
  <c r="BX23" i="54"/>
  <c r="BY23" i="54"/>
  <c r="BB24" i="54"/>
  <c r="BZ23" i="54"/>
  <c r="BV10" i="54"/>
  <c r="BG10" i="54"/>
  <c r="BW10" i="54"/>
  <c r="BE24" i="54"/>
  <c r="EG24" i="54"/>
  <c r="BH10" i="54"/>
  <c r="BX10" i="54"/>
  <c r="BI10" i="54"/>
  <c r="BY10" i="54"/>
  <c r="BB23" i="54"/>
  <c r="CA24" i="54"/>
  <c r="CB24" i="54"/>
  <c r="CC24" i="54"/>
  <c r="CD24" i="54"/>
  <c r="CE24" i="54"/>
  <c r="EB24" i="54"/>
  <c r="EC24" i="54"/>
  <c r="ED24" i="54"/>
  <c r="BT24" i="54"/>
  <c r="EE24" i="54"/>
  <c r="BU24" i="54"/>
  <c r="CA23" i="54"/>
  <c r="CB23" i="54"/>
  <c r="CC23" i="54"/>
  <c r="CD23" i="54"/>
  <c r="CE23" i="54"/>
  <c r="EB23" i="54"/>
  <c r="EC23" i="54"/>
  <c r="ED23" i="54"/>
  <c r="BT23" i="54"/>
  <c r="EE23" i="54"/>
  <c r="BU23" i="54"/>
  <c r="BM10" i="54"/>
  <c r="AX13" i="54"/>
  <c r="AX41" i="54"/>
  <c r="AX10" i="54"/>
  <c r="R13" i="54"/>
  <c r="AD13" i="54" s="1"/>
  <c r="AV27" i="54"/>
  <c r="AD10" i="54"/>
  <c r="AX35" i="54"/>
  <c r="AY10" i="54"/>
  <c r="AG10" i="54"/>
  <c r="AW29" i="54"/>
  <c r="AF39" i="54"/>
  <c r="AG31" i="54"/>
  <c r="BZ10" i="54"/>
  <c r="AX62" i="54"/>
  <c r="AW10" i="54"/>
  <c r="G13" i="54"/>
  <c r="BC10" i="54"/>
  <c r="BD10" i="54"/>
  <c r="AE10" i="54"/>
  <c r="EG10" i="54"/>
  <c r="BF10" i="54"/>
  <c r="BB10" i="54"/>
  <c r="BE10" i="54"/>
  <c r="AF10" i="54"/>
  <c r="CA10" i="54"/>
  <c r="CB10" i="54"/>
  <c r="CC10" i="54"/>
  <c r="CD10" i="54"/>
  <c r="CE10" i="54"/>
  <c r="EB10" i="54"/>
  <c r="EC10" i="54"/>
  <c r="ED10" i="54"/>
  <c r="BT10" i="54"/>
  <c r="EE10" i="54"/>
  <c r="BU10" i="54"/>
  <c r="BI27" i="54"/>
  <c r="AV31" i="54"/>
  <c r="AY33" i="54"/>
  <c r="EE42" i="54"/>
  <c r="BC35" i="54"/>
  <c r="AY31" i="54"/>
  <c r="BL29" i="54"/>
  <c r="BD35" i="54"/>
  <c r="AF22" i="54"/>
  <c r="BM29" i="54"/>
  <c r="BF31" i="54"/>
  <c r="BE35" i="54"/>
  <c r="BG35" i="54"/>
  <c r="BC27" i="54"/>
  <c r="BD27" i="54"/>
  <c r="BF29" i="54"/>
  <c r="AY29" i="54"/>
  <c r="CE42" i="54"/>
  <c r="BV35" i="54"/>
  <c r="AX39" i="54"/>
  <c r="AV33" i="54"/>
  <c r="BE27" i="54"/>
  <c r="BH35" i="54"/>
  <c r="BI63" i="54"/>
  <c r="BF27" i="54"/>
  <c r="BG27" i="54"/>
  <c r="EG27" i="54"/>
  <c r="BJ35" i="54"/>
  <c r="BH27" i="54"/>
  <c r="BL25" i="54"/>
  <c r="BM25" i="54"/>
  <c r="X38" i="54"/>
  <c r="K7" i="55" s="1"/>
  <c r="AG40" i="54"/>
  <c r="AX31" i="54"/>
  <c r="AG41" i="54"/>
  <c r="AL21" i="54"/>
  <c r="G18" i="55" s="1"/>
  <c r="AE35" i="54"/>
  <c r="AB38" i="54"/>
  <c r="O7" i="55" s="1"/>
  <c r="AN21" i="54"/>
  <c r="I18" i="55" s="1"/>
  <c r="G21" i="54"/>
  <c r="AO21" i="54"/>
  <c r="J18" i="55" s="1"/>
  <c r="FK32" i="54"/>
  <c r="BW35" i="54"/>
  <c r="AD40" i="54"/>
  <c r="EG11" i="54"/>
  <c r="BL35" i="54"/>
  <c r="BL42" i="54"/>
  <c r="EG35" i="54"/>
  <c r="BM42" i="54"/>
  <c r="BJ33" i="54"/>
  <c r="BC33" i="54"/>
  <c r="BD33" i="54"/>
  <c r="BM41" i="54"/>
  <c r="AF55" i="54"/>
  <c r="AY63" i="54"/>
  <c r="AE18" i="54"/>
  <c r="AA21" i="54"/>
  <c r="N6" i="55" s="1"/>
  <c r="AF41" i="54"/>
  <c r="AW8" i="54"/>
  <c r="AF8" i="54"/>
  <c r="AW17" i="54"/>
  <c r="AE15" i="54"/>
  <c r="AV18" i="54"/>
  <c r="BB17" i="54"/>
  <c r="BG8" i="54"/>
  <c r="BF11" i="54"/>
  <c r="BI15" i="54"/>
  <c r="BC17" i="54"/>
  <c r="BG11" i="54"/>
  <c r="BJ15" i="54"/>
  <c r="BE13" i="54"/>
  <c r="AG15" i="54"/>
  <c r="BI11" i="54"/>
  <c r="AG11" i="54"/>
  <c r="AV11" i="54"/>
  <c r="AE7" i="54"/>
  <c r="AX17" i="54"/>
  <c r="BM15" i="54"/>
  <c r="BB11" i="54"/>
  <c r="BE8" i="54"/>
  <c r="AY11" i="54"/>
  <c r="BY8" i="54"/>
  <c r="EF17" i="54"/>
  <c r="BE18" i="54"/>
  <c r="EG17" i="54"/>
  <c r="AW13" i="54"/>
  <c r="AV17" i="54"/>
  <c r="AD18" i="54"/>
  <c r="AV7" i="54"/>
  <c r="AW7" i="54"/>
  <c r="AM21" i="54"/>
  <c r="H18" i="55" s="1"/>
  <c r="AW33" i="54"/>
  <c r="Y38" i="54"/>
  <c r="L7" i="55" s="1"/>
  <c r="AP21" i="54"/>
  <c r="K18" i="55" s="1"/>
  <c r="BF35" i="54"/>
  <c r="AQ21" i="54"/>
  <c r="L18" i="55" s="1"/>
  <c r="AY39" i="54"/>
  <c r="AV40" i="54"/>
  <c r="R21" i="54"/>
  <c r="E6" i="55" s="1"/>
  <c r="AR21" i="54"/>
  <c r="M18" i="55" s="1"/>
  <c r="AD59" i="54"/>
  <c r="AX18" i="54"/>
  <c r="S21" i="54"/>
  <c r="F6" i="55" s="1"/>
  <c r="AS21" i="54"/>
  <c r="N18" i="55" s="1"/>
  <c r="AV29" i="54"/>
  <c r="AB21" i="54"/>
  <c r="O6" i="55" s="1"/>
  <c r="BM35" i="54"/>
  <c r="AK38" i="54"/>
  <c r="F19" i="55" s="1"/>
  <c r="AD7" i="54"/>
  <c r="T21" i="54"/>
  <c r="G6" i="55" s="1"/>
  <c r="AT21" i="54"/>
  <c r="O18" i="55" s="1"/>
  <c r="BM32" i="54"/>
  <c r="BE33" i="54"/>
  <c r="AL38" i="54"/>
  <c r="G19" i="55" s="1"/>
  <c r="AW40" i="54"/>
  <c r="BF41" i="54"/>
  <c r="BZ41" i="54"/>
  <c r="BC7" i="54"/>
  <c r="U21" i="54"/>
  <c r="H6" i="55" s="1"/>
  <c r="AU21" i="54"/>
  <c r="P18" i="55" s="1"/>
  <c r="BI31" i="54"/>
  <c r="AM38" i="54"/>
  <c r="H19" i="55" s="1"/>
  <c r="BG41" i="54"/>
  <c r="CA41" i="54"/>
  <c r="BD7" i="54"/>
  <c r="AY17" i="54"/>
  <c r="BC18" i="54"/>
  <c r="V21" i="54"/>
  <c r="I6" i="55" s="1"/>
  <c r="BM22" i="54"/>
  <c r="EC31" i="54"/>
  <c r="AN38" i="54"/>
  <c r="I19" i="55" s="1"/>
  <c r="CB41" i="54"/>
  <c r="BD18" i="54"/>
  <c r="W21" i="54"/>
  <c r="J6" i="55" s="1"/>
  <c r="BL27" i="54"/>
  <c r="ED31" i="54"/>
  <c r="G38" i="54"/>
  <c r="AO38" i="54"/>
  <c r="J19" i="55" s="1"/>
  <c r="BI41" i="54"/>
  <c r="CC41" i="54"/>
  <c r="BF7" i="54"/>
  <c r="BE17" i="54"/>
  <c r="BM27" i="54"/>
  <c r="EE31" i="54"/>
  <c r="AP38" i="54"/>
  <c r="K19" i="55" s="1"/>
  <c r="BJ41" i="54"/>
  <c r="BG7" i="54"/>
  <c r="BF17" i="54"/>
  <c r="BF18" i="54"/>
  <c r="BI22" i="54"/>
  <c r="AE27" i="54"/>
  <c r="AQ38" i="54"/>
  <c r="L19" i="55" s="1"/>
  <c r="BG18" i="54"/>
  <c r="R38" i="54"/>
  <c r="E7" i="55" s="1"/>
  <c r="AR38" i="54"/>
  <c r="M19" i="55" s="1"/>
  <c r="BC40" i="54"/>
  <c r="BJ25" i="54"/>
  <c r="S38" i="54"/>
  <c r="F7" i="55" s="1"/>
  <c r="BD40" i="54"/>
  <c r="BI42" i="54"/>
  <c r="BF15" i="54"/>
  <c r="BI17" i="54"/>
  <c r="AY25" i="54"/>
  <c r="T38" i="54"/>
  <c r="G7" i="55" s="1"/>
  <c r="AT38" i="54"/>
  <c r="O19" i="55" s="1"/>
  <c r="AV39" i="54"/>
  <c r="BJ42" i="54"/>
  <c r="BJ8" i="54"/>
  <c r="BT17" i="54"/>
  <c r="U38" i="54"/>
  <c r="H7" i="55" s="1"/>
  <c r="AU38" i="54"/>
  <c r="P19" i="55" s="1"/>
  <c r="BF40" i="54"/>
  <c r="BW40" i="54"/>
  <c r="BG63" i="54"/>
  <c r="BC8" i="54"/>
  <c r="AY8" i="54"/>
  <c r="BC13" i="54"/>
  <c r="AY13" i="54"/>
  <c r="BH15" i="54"/>
  <c r="BV15" i="54"/>
  <c r="AJ21" i="54"/>
  <c r="E18" i="55" s="1"/>
  <c r="AY35" i="54"/>
  <c r="V38" i="54"/>
  <c r="I7" i="55" s="1"/>
  <c r="BH63" i="54"/>
  <c r="AF15" i="54"/>
  <c r="BL18" i="54"/>
  <c r="AK21" i="54"/>
  <c r="F18" i="55" s="1"/>
  <c r="W38" i="54"/>
  <c r="J7" i="55" s="1"/>
  <c r="AW39" i="54"/>
  <c r="AW41" i="54"/>
  <c r="AG6" i="54"/>
  <c r="AV6" i="54"/>
  <c r="BJ6" i="54"/>
  <c r="BL6" i="54"/>
  <c r="BB6" i="54"/>
  <c r="BC6" i="54"/>
  <c r="BD6" i="54"/>
  <c r="BE6" i="54"/>
  <c r="BK15" i="54"/>
  <c r="AX33" i="54"/>
  <c r="AC21" i="54"/>
  <c r="P6" i="55" s="1"/>
  <c r="AE8" i="54"/>
  <c r="AV25" i="54"/>
  <c r="AV42" i="54"/>
  <c r="AJ38" i="54"/>
  <c r="E19" i="55" s="1"/>
  <c r="AW25" i="54"/>
  <c r="AV32" i="54"/>
  <c r="BE7" i="54"/>
  <c r="EE33" i="54"/>
  <c r="EC40" i="54"/>
  <c r="BD13" i="54"/>
  <c r="EF33" i="54"/>
  <c r="EE40" i="54"/>
  <c r="BW8" i="54"/>
  <c r="AY18" i="54"/>
  <c r="BJ22" i="54"/>
  <c r="AW27" i="54"/>
  <c r="EG33" i="54"/>
  <c r="AX40" i="54"/>
  <c r="EG40" i="54"/>
  <c r="BL41" i="54"/>
  <c r="BY6" i="54"/>
  <c r="BT7" i="54"/>
  <c r="AG8" i="54"/>
  <c r="BX8" i="54"/>
  <c r="BF13" i="54"/>
  <c r="AG22" i="54"/>
  <c r="BB25" i="54"/>
  <c r="BB29" i="54"/>
  <c r="BZ6" i="54"/>
  <c r="BM7" i="54"/>
  <c r="BL8" i="54"/>
  <c r="BI18" i="54"/>
  <c r="AW18" i="54"/>
  <c r="BL22" i="54"/>
  <c r="BC25" i="54"/>
  <c r="BC29" i="54"/>
  <c r="BT33" i="54"/>
  <c r="AW63" i="54"/>
  <c r="BM8" i="54"/>
  <c r="BZ8" i="54"/>
  <c r="BJ18" i="54"/>
  <c r="AX27" i="54"/>
  <c r="BD29" i="54"/>
  <c r="AD32" i="54"/>
  <c r="BI33" i="54"/>
  <c r="BU33" i="54"/>
  <c r="BB42" i="54"/>
  <c r="AW61" i="54"/>
  <c r="BJ11" i="54"/>
  <c r="BI13" i="54"/>
  <c r="BB18" i="54"/>
  <c r="AV22" i="54"/>
  <c r="AD27" i="54"/>
  <c r="BC32" i="54"/>
  <c r="AY32" i="54"/>
  <c r="BV33" i="54"/>
  <c r="BG40" i="54"/>
  <c r="AY42" i="54"/>
  <c r="BC11" i="54"/>
  <c r="BW33" i="54"/>
  <c r="AS38" i="54"/>
  <c r="N19" i="55" s="1"/>
  <c r="BD11" i="54"/>
  <c r="BC15" i="54"/>
  <c r="AY27" i="54"/>
  <c r="BX33" i="54"/>
  <c r="AD35" i="54"/>
  <c r="BI40" i="54"/>
  <c r="BB40" i="54"/>
  <c r="BE11" i="54"/>
  <c r="BM11" i="54"/>
  <c r="BT13" i="54"/>
  <c r="BD15" i="54"/>
  <c r="BU32" i="54"/>
  <c r="BY33" i="54"/>
  <c r="AD39" i="54"/>
  <c r="BT42" i="54"/>
  <c r="Z38" i="54"/>
  <c r="M7" i="55" s="1"/>
  <c r="BM13" i="54"/>
  <c r="BU13" i="54"/>
  <c r="BI29" i="54"/>
  <c r="BB31" i="54"/>
  <c r="BJ31" i="54"/>
  <c r="BV32" i="54"/>
  <c r="BZ33" i="54"/>
  <c r="BC39" i="54"/>
  <c r="BU42" i="54"/>
  <c r="AA38" i="54"/>
  <c r="N7" i="55" s="1"/>
  <c r="BV13" i="54"/>
  <c r="BJ29" i="54"/>
  <c r="BC31" i="54"/>
  <c r="BW32" i="54"/>
  <c r="CB33" i="54"/>
  <c r="BL40" i="54"/>
  <c r="BV42" i="54"/>
  <c r="X21" i="54"/>
  <c r="K6" i="55" s="1"/>
  <c r="AX8" i="54"/>
  <c r="AF11" i="54"/>
  <c r="BX11" i="54"/>
  <c r="AV13" i="54"/>
  <c r="AX22" i="54"/>
  <c r="AG25" i="54"/>
  <c r="AG29" i="54"/>
  <c r="BD31" i="54"/>
  <c r="BL31" i="54"/>
  <c r="AE39" i="54"/>
  <c r="BT40" i="54"/>
  <c r="BW42" i="54"/>
  <c r="Y21" i="54"/>
  <c r="L6" i="55" s="1"/>
  <c r="AC38" i="54"/>
  <c r="P7" i="55" s="1"/>
  <c r="BB7" i="54"/>
  <c r="AX7" i="54"/>
  <c r="BZ11" i="54"/>
  <c r="BM17" i="54"/>
  <c r="BE31" i="54"/>
  <c r="BM31" i="54"/>
  <c r="BB35" i="54"/>
  <c r="BU40" i="54"/>
  <c r="CD42" i="54"/>
  <c r="Z21" i="54"/>
  <c r="M6" i="55" s="1"/>
  <c r="AX6" i="54"/>
  <c r="CE6" i="54"/>
  <c r="BH18" i="54"/>
  <c r="AF18" i="54"/>
  <c r="EC25" i="54"/>
  <c r="CD25" i="54"/>
  <c r="EB25" i="54"/>
  <c r="BV25" i="54"/>
  <c r="BU25" i="54"/>
  <c r="BT25" i="54"/>
  <c r="AX25" i="54"/>
  <c r="BH8" i="54"/>
  <c r="AV73" i="54"/>
  <c r="BK8" i="54"/>
  <c r="EB6" i="54"/>
  <c r="BG15" i="54"/>
  <c r="BI35" i="54"/>
  <c r="AF35" i="54"/>
  <c r="AY6" i="54"/>
  <c r="EC6" i="54"/>
  <c r="BU7" i="54"/>
  <c r="BM18" i="54"/>
  <c r="BZ29" i="54"/>
  <c r="AX29" i="54"/>
  <c r="BH29" i="54"/>
  <c r="AD33" i="54"/>
  <c r="BB33" i="54"/>
  <c r="BJ63" i="54"/>
  <c r="BF6" i="54"/>
  <c r="ED6" i="54"/>
  <c r="BV7" i="54"/>
  <c r="AV8" i="54"/>
  <c r="CE25" i="54"/>
  <c r="BK35" i="54"/>
  <c r="AG35" i="54"/>
  <c r="AV88" i="54"/>
  <c r="BK63" i="54"/>
  <c r="BG6" i="54"/>
  <c r="EE6" i="54"/>
  <c r="BW7" i="54"/>
  <c r="AW22" i="54"/>
  <c r="BE22" i="54"/>
  <c r="AW32" i="54"/>
  <c r="BL63" i="54"/>
  <c r="BH6" i="54"/>
  <c r="EF6" i="54"/>
  <c r="BX7" i="54"/>
  <c r="BJ27" i="54"/>
  <c r="AF27" i="54"/>
  <c r="BM63" i="54"/>
  <c r="BI6" i="54"/>
  <c r="EG6" i="54"/>
  <c r="BY7" i="54"/>
  <c r="AD17" i="54"/>
  <c r="BD17" i="54"/>
  <c r="BI25" i="54"/>
  <c r="BF33" i="54"/>
  <c r="AW6" i="54"/>
  <c r="BK6" i="54"/>
  <c r="AY7" i="54"/>
  <c r="BZ7" i="54"/>
  <c r="EB7" i="54"/>
  <c r="EG8" i="54"/>
  <c r="BK11" i="54"/>
  <c r="BG33" i="54"/>
  <c r="CB7" i="54"/>
  <c r="EC7" i="54"/>
  <c r="BH33" i="54"/>
  <c r="AG42" i="54"/>
  <c r="BK42" i="54"/>
  <c r="BM6" i="54"/>
  <c r="ED7" i="54"/>
  <c r="AD8" i="54"/>
  <c r="BB8" i="54"/>
  <c r="ED25" i="54"/>
  <c r="BG29" i="54"/>
  <c r="EB31" i="54"/>
  <c r="CE31" i="54"/>
  <c r="CD31" i="54"/>
  <c r="BW31" i="54"/>
  <c r="BV31" i="54"/>
  <c r="BU31" i="54"/>
  <c r="BT31" i="54"/>
  <c r="EG31" i="54"/>
  <c r="AD15" i="54"/>
  <c r="BB15" i="54"/>
  <c r="BT6" i="54"/>
  <c r="BH7" i="54"/>
  <c r="EE7" i="54"/>
  <c r="BI8" i="54"/>
  <c r="EE25" i="54"/>
  <c r="BU6" i="54"/>
  <c r="BI7" i="54"/>
  <c r="EF7" i="54"/>
  <c r="BD8" i="54"/>
  <c r="EF25" i="54"/>
  <c r="BD32" i="54"/>
  <c r="BK27" i="54"/>
  <c r="AG27" i="54"/>
  <c r="BV6" i="54"/>
  <c r="BJ7" i="54"/>
  <c r="EG7" i="54"/>
  <c r="BE32" i="54"/>
  <c r="AY88" i="54"/>
  <c r="AX63" i="54"/>
  <c r="BW6" i="54"/>
  <c r="BK7" i="54"/>
  <c r="BF8" i="54"/>
  <c r="AW15" i="54"/>
  <c r="BF22" i="54"/>
  <c r="BF32" i="54"/>
  <c r="BX6" i="54"/>
  <c r="BL7" i="54"/>
  <c r="EG15" i="54"/>
  <c r="BG22" i="54"/>
  <c r="BZ22" i="54"/>
  <c r="BX32" i="54"/>
  <c r="EB32" i="54"/>
  <c r="BY32" i="54"/>
  <c r="EC32" i="54"/>
  <c r="ED32" i="54"/>
  <c r="AX32" i="54"/>
  <c r="EE32" i="54"/>
  <c r="EB39" i="54"/>
  <c r="BM40" i="54"/>
  <c r="EF32" i="54"/>
  <c r="EC39" i="54"/>
  <c r="BL11" i="54"/>
  <c r="BW13" i="54"/>
  <c r="AX15" i="54"/>
  <c r="BL17" i="54"/>
  <c r="BB22" i="54"/>
  <c r="BD25" i="54"/>
  <c r="AE29" i="54"/>
  <c r="BG31" i="54"/>
  <c r="EG32" i="54"/>
  <c r="AV35" i="54"/>
  <c r="ED39" i="54"/>
  <c r="BW11" i="54"/>
  <c r="BX13" i="54"/>
  <c r="BC22" i="54"/>
  <c r="AY22" i="54"/>
  <c r="BE25" i="54"/>
  <c r="BE29" i="54"/>
  <c r="BH31" i="54"/>
  <c r="BV40" i="54"/>
  <c r="ED40" i="54"/>
  <c r="AY41" i="54"/>
  <c r="AX42" i="54"/>
  <c r="EF42" i="54"/>
  <c r="BZ13" i="54"/>
  <c r="ED13" i="54"/>
  <c r="EC18" i="54"/>
  <c r="BD22" i="54"/>
  <c r="BF25" i="54"/>
  <c r="BG32" i="54"/>
  <c r="BK33" i="54"/>
  <c r="BG39" i="54"/>
  <c r="BY11" i="54"/>
  <c r="EE13" i="54"/>
  <c r="AY15" i="54"/>
  <c r="ED18" i="54"/>
  <c r="FN18" i="54" s="1"/>
  <c r="AE22" i="54"/>
  <c r="BG25" i="54"/>
  <c r="BV27" i="54"/>
  <c r="AF29" i="54"/>
  <c r="BK31" i="54"/>
  <c r="BH32" i="54"/>
  <c r="BL33" i="54"/>
  <c r="AW35" i="54"/>
  <c r="BX40" i="54"/>
  <c r="EF40" i="54"/>
  <c r="AE41" i="54"/>
  <c r="EF13" i="54"/>
  <c r="EE18" i="54"/>
  <c r="FO18" i="54" s="1"/>
  <c r="BH25" i="54"/>
  <c r="BW27" i="54"/>
  <c r="BI32" i="54"/>
  <c r="BB32" i="54"/>
  <c r="BM33" i="54"/>
  <c r="BE41" i="54"/>
  <c r="CA11" i="54"/>
  <c r="EG13" i="54"/>
  <c r="BU17" i="54"/>
  <c r="EF18" i="54"/>
  <c r="BK25" i="54"/>
  <c r="BX27" i="54"/>
  <c r="BJ32" i="54"/>
  <c r="BD42" i="54"/>
  <c r="CB11" i="54"/>
  <c r="BV17" i="54"/>
  <c r="BT18" i="54"/>
  <c r="EG18" i="54"/>
  <c r="BY27" i="54"/>
  <c r="BK32" i="54"/>
  <c r="AE33" i="54"/>
  <c r="BX35" i="54"/>
  <c r="CC11" i="54"/>
  <c r="BW17" i="54"/>
  <c r="BU18" i="54"/>
  <c r="BH22" i="54"/>
  <c r="BZ27" i="54"/>
  <c r="BK29" i="54"/>
  <c r="BL32" i="54"/>
  <c r="AF33" i="54"/>
  <c r="BY35" i="54"/>
  <c r="BL39" i="54"/>
  <c r="BB39" i="54"/>
  <c r="BH41" i="54"/>
  <c r="BF42" i="54"/>
  <c r="CD11" i="54"/>
  <c r="BX17" i="54"/>
  <c r="EB17" i="54"/>
  <c r="BV18" i="54"/>
  <c r="BZ35" i="54"/>
  <c r="BM39" i="54"/>
  <c r="CE11" i="54"/>
  <c r="BL15" i="54"/>
  <c r="BE15" i="54"/>
  <c r="BZ17" i="54"/>
  <c r="EC17" i="54"/>
  <c r="BW18" i="54"/>
  <c r="BV39" i="54"/>
  <c r="AX11" i="54"/>
  <c r="ED17" i="54"/>
  <c r="BX18" i="54"/>
  <c r="BK22" i="54"/>
  <c r="BE40" i="54"/>
  <c r="AY40" i="54"/>
  <c r="BK41" i="54"/>
  <c r="EE17" i="54"/>
  <c r="BY18" i="54"/>
  <c r="BB27" i="54"/>
  <c r="AW31" i="54"/>
  <c r="BT32" i="54"/>
  <c r="BC42" i="54"/>
  <c r="AD42" i="54"/>
  <c r="AG39" i="54"/>
  <c r="EE39" i="54"/>
  <c r="BE42" i="54"/>
  <c r="AE42" i="54"/>
  <c r="BH40" i="54"/>
  <c r="AF40" i="54"/>
  <c r="CE39" i="54"/>
  <c r="CD39" i="54"/>
  <c r="CC39" i="54"/>
  <c r="CB39" i="54"/>
  <c r="CA39" i="54"/>
  <c r="BZ39" i="54"/>
  <c r="BY39" i="54"/>
  <c r="EG39" i="54"/>
  <c r="AV41" i="54"/>
  <c r="BG42" i="54"/>
  <c r="BJ40" i="54"/>
  <c r="BH42" i="54"/>
  <c r="BK40" i="54"/>
  <c r="BD39" i="54"/>
  <c r="BE39" i="54"/>
  <c r="BT39" i="54"/>
  <c r="CD41" i="54"/>
  <c r="BF39" i="54"/>
  <c r="BU39" i="54"/>
  <c r="AE40" i="54"/>
  <c r="BY41" i="54"/>
  <c r="BX41" i="54"/>
  <c r="BW41" i="54"/>
  <c r="EG41" i="54"/>
  <c r="BV41" i="54"/>
  <c r="EF41" i="54"/>
  <c r="BU41" i="54"/>
  <c r="EE41" i="54"/>
  <c r="BT41" i="54"/>
  <c r="ED41" i="54"/>
  <c r="EC41" i="54"/>
  <c r="EB41" i="54"/>
  <c r="CE41" i="54"/>
  <c r="BH39" i="54"/>
  <c r="BW39" i="54"/>
  <c r="BB41" i="54"/>
  <c r="AD41" i="54"/>
  <c r="BI39" i="54"/>
  <c r="BX39" i="54"/>
  <c r="BC41" i="54"/>
  <c r="BJ39" i="54"/>
  <c r="BD41" i="54"/>
  <c r="BK39" i="54"/>
  <c r="AW42" i="54"/>
  <c r="BY40" i="54"/>
  <c r="BZ40" i="54"/>
  <c r="EG42" i="54"/>
  <c r="CA40" i="54"/>
  <c r="AF42" i="54"/>
  <c r="CB40" i="54"/>
  <c r="BX42" i="54"/>
  <c r="CC40" i="54"/>
  <c r="BY42" i="54"/>
  <c r="CD40" i="54"/>
  <c r="BZ42" i="54"/>
  <c r="CE40" i="54"/>
  <c r="CA42" i="54"/>
  <c r="CB42" i="54"/>
  <c r="CC42" i="54"/>
  <c r="CA22" i="54"/>
  <c r="CA29" i="54"/>
  <c r="CB22" i="54"/>
  <c r="CB29" i="54"/>
  <c r="CC22" i="54"/>
  <c r="CC29" i="54"/>
  <c r="CD22" i="54"/>
  <c r="CD29" i="54"/>
  <c r="CE22" i="54"/>
  <c r="CA27" i="54"/>
  <c r="CE29" i="54"/>
  <c r="CA35" i="54"/>
  <c r="CB27" i="54"/>
  <c r="AG33" i="54"/>
  <c r="CB35" i="54"/>
  <c r="CC27" i="54"/>
  <c r="CC35" i="54"/>
  <c r="CD27" i="54"/>
  <c r="AE32" i="54"/>
  <c r="CD35" i="54"/>
  <c r="CE27" i="54"/>
  <c r="AF32" i="54"/>
  <c r="CA33" i="54"/>
  <c r="CE35" i="54"/>
  <c r="AG32" i="54"/>
  <c r="EB22" i="54"/>
  <c r="AD25" i="54"/>
  <c r="EB29" i="54"/>
  <c r="AD31" i="54"/>
  <c r="CC33" i="54"/>
  <c r="EC22" i="54"/>
  <c r="AE25" i="54"/>
  <c r="EG25" i="54"/>
  <c r="EC29" i="54"/>
  <c r="AE31" i="54"/>
  <c r="BZ32" i="54"/>
  <c r="CD33" i="54"/>
  <c r="ED22" i="54"/>
  <c r="AF25" i="54"/>
  <c r="BW25" i="54"/>
  <c r="ED29" i="54"/>
  <c r="AF31" i="54"/>
  <c r="CA32" i="54"/>
  <c r="CE33" i="54"/>
  <c r="BT22" i="54"/>
  <c r="EE22" i="54"/>
  <c r="BX25" i="54"/>
  <c r="BT29" i="54"/>
  <c r="EE29" i="54"/>
  <c r="BX31" i="54"/>
  <c r="CB32" i="54"/>
  <c r="AD22" i="54"/>
  <c r="BU22" i="54"/>
  <c r="EF22" i="54"/>
  <c r="BY25" i="54"/>
  <c r="AD29" i="54"/>
  <c r="BU29" i="54"/>
  <c r="EF29" i="54"/>
  <c r="BY31" i="54"/>
  <c r="CC32" i="54"/>
  <c r="EB35" i="54"/>
  <c r="BV22" i="54"/>
  <c r="EG22" i="54"/>
  <c r="BZ25" i="54"/>
  <c r="EC27" i="54"/>
  <c r="BV29" i="54"/>
  <c r="EG29" i="54"/>
  <c r="BZ31" i="54"/>
  <c r="CD32" i="54"/>
  <c r="EC35" i="54"/>
  <c r="BW22" i="54"/>
  <c r="CA25" i="54"/>
  <c r="ED27" i="54"/>
  <c r="BW29" i="54"/>
  <c r="CA31" i="54"/>
  <c r="CE32" i="54"/>
  <c r="ED35" i="54"/>
  <c r="BX22" i="54"/>
  <c r="CB25" i="54"/>
  <c r="BT27" i="54"/>
  <c r="EE27" i="54"/>
  <c r="BX29" i="54"/>
  <c r="CB31" i="54"/>
  <c r="BT35" i="54"/>
  <c r="EE35" i="54"/>
  <c r="BY22" i="54"/>
  <c r="CC25" i="54"/>
  <c r="BU27" i="54"/>
  <c r="BY29" i="54"/>
  <c r="CC31" i="54"/>
  <c r="BU35" i="54"/>
  <c r="CA8" i="54"/>
  <c r="CB8" i="54"/>
  <c r="CC8" i="54"/>
  <c r="BG17" i="54"/>
  <c r="AE17" i="54"/>
  <c r="CD8" i="54"/>
  <c r="BH17" i="54"/>
  <c r="AF17" i="54"/>
  <c r="AF7" i="54"/>
  <c r="CE8" i="54"/>
  <c r="BG13" i="54"/>
  <c r="AE13" i="54"/>
  <c r="BK18" i="54"/>
  <c r="AG18" i="54"/>
  <c r="AG7" i="54"/>
  <c r="BH13" i="54"/>
  <c r="AF13" i="54"/>
  <c r="AV15" i="54"/>
  <c r="BJ17" i="54"/>
  <c r="AD6" i="54"/>
  <c r="BK17" i="54"/>
  <c r="AE6" i="54"/>
  <c r="AE11" i="54"/>
  <c r="BJ13" i="54"/>
  <c r="EF15" i="54"/>
  <c r="BU15" i="54"/>
  <c r="EE15" i="54"/>
  <c r="BT15" i="54"/>
  <c r="ED15" i="54"/>
  <c r="EC15" i="54"/>
  <c r="EB15" i="54"/>
  <c r="CE15" i="54"/>
  <c r="CD15" i="54"/>
  <c r="CC15" i="54"/>
  <c r="CB15" i="54"/>
  <c r="BZ15" i="54"/>
  <c r="AF6" i="54"/>
  <c r="CA7" i="54"/>
  <c r="BK13" i="54"/>
  <c r="AG13" i="54"/>
  <c r="BL13" i="54"/>
  <c r="CC7" i="54"/>
  <c r="EB8" i="54"/>
  <c r="BH11" i="54"/>
  <c r="BW15" i="54"/>
  <c r="CD7" i="54"/>
  <c r="EC8" i="54"/>
  <c r="BX15" i="54"/>
  <c r="CA6" i="54"/>
  <c r="CE7" i="54"/>
  <c r="ED8" i="54"/>
  <c r="BY15" i="54"/>
  <c r="CB6" i="54"/>
  <c r="BT8" i="54"/>
  <c r="EE8" i="54"/>
  <c r="EF11" i="54"/>
  <c r="BU11" i="54"/>
  <c r="EE11" i="54"/>
  <c r="BT11" i="54"/>
  <c r="ED11" i="54"/>
  <c r="EC11" i="54"/>
  <c r="EB11" i="54"/>
  <c r="CA15" i="54"/>
  <c r="CC6" i="54"/>
  <c r="BU8" i="54"/>
  <c r="EF8" i="54"/>
  <c r="AW11" i="54"/>
  <c r="CD6" i="54"/>
  <c r="BV8" i="54"/>
  <c r="AD11" i="54"/>
  <c r="BV11" i="54"/>
  <c r="BZ18" i="54"/>
  <c r="CA18" i="54"/>
  <c r="AG17" i="54"/>
  <c r="CB18" i="54"/>
  <c r="BY13" i="54"/>
  <c r="BY17" i="54"/>
  <c r="CC18" i="54"/>
  <c r="CD18" i="54"/>
  <c r="CA13" i="54"/>
  <c r="CA17" i="54"/>
  <c r="CE18" i="54"/>
  <c r="CB13" i="54"/>
  <c r="CB17" i="54"/>
  <c r="CC13" i="54"/>
  <c r="CC17" i="54"/>
  <c r="CD13" i="54"/>
  <c r="CD17" i="54"/>
  <c r="CE13" i="54"/>
  <c r="CE17" i="54"/>
  <c r="EB18" i="54"/>
  <c r="AW88" i="54"/>
  <c r="AW57" i="54"/>
  <c r="AV63" i="54"/>
  <c r="AE73" i="54"/>
  <c r="AF62" i="54"/>
  <c r="AW54" i="54"/>
  <c r="AV61" i="54"/>
  <c r="BJ74" i="54"/>
  <c r="AY74" i="54"/>
  <c r="AX58" i="54"/>
  <c r="AF75" i="54"/>
  <c r="AY62" i="54"/>
  <c r="BF74" i="54"/>
  <c r="BC75" i="54"/>
  <c r="BC88" i="54"/>
  <c r="BC57" i="54"/>
  <c r="BG74" i="54"/>
  <c r="BD75" i="54"/>
  <c r="BD88" i="54"/>
  <c r="AY67" i="54"/>
  <c r="BH74" i="54"/>
  <c r="EE74" i="54"/>
  <c r="BM88" i="54"/>
  <c r="BI74" i="54"/>
  <c r="EF74" i="54"/>
  <c r="BF88" i="54"/>
  <c r="BG88" i="54"/>
  <c r="BH75" i="54"/>
  <c r="AD52" i="54"/>
  <c r="AX73" i="54"/>
  <c r="AD88" i="54"/>
  <c r="AD57" i="54"/>
  <c r="AE88" i="54"/>
  <c r="AX59" i="54"/>
  <c r="EF73" i="54"/>
  <c r="BM74" i="54"/>
  <c r="EG73" i="54"/>
  <c r="AE74" i="54"/>
  <c r="BX47" i="54"/>
  <c r="AM66" i="54"/>
  <c r="H23" i="55" s="1"/>
  <c r="AF74" i="54"/>
  <c r="BF59" i="54"/>
  <c r="BC62" i="54"/>
  <c r="BY47" i="54"/>
  <c r="EE54" i="54"/>
  <c r="AN66" i="54"/>
  <c r="I23" i="55" s="1"/>
  <c r="BG59" i="54"/>
  <c r="BD62" i="54"/>
  <c r="BH47" i="54"/>
  <c r="BZ47" i="54"/>
  <c r="G66" i="54"/>
  <c r="AO66" i="54"/>
  <c r="J23" i="55" s="1"/>
  <c r="AE75" i="54"/>
  <c r="BW58" i="54"/>
  <c r="BH59" i="54"/>
  <c r="AE62" i="54"/>
  <c r="BX58" i="54"/>
  <c r="BI59" i="54"/>
  <c r="BB61" i="54"/>
  <c r="BY58" i="54"/>
  <c r="BJ59" i="54"/>
  <c r="BC61" i="54"/>
  <c r="AV57" i="54"/>
  <c r="BI58" i="54"/>
  <c r="BZ58" i="54"/>
  <c r="AG59" i="54"/>
  <c r="BC67" i="54"/>
  <c r="BI75" i="54"/>
  <c r="BJ58" i="54"/>
  <c r="BL59" i="54"/>
  <c r="AE61" i="54"/>
  <c r="BD67" i="54"/>
  <c r="AX74" i="54"/>
  <c r="BK58" i="54"/>
  <c r="BM59" i="54"/>
  <c r="BF61" i="54"/>
  <c r="AV47" i="54"/>
  <c r="BG61" i="54"/>
  <c r="AX57" i="54"/>
  <c r="BH61" i="54"/>
  <c r="AD87" i="54"/>
  <c r="BC87" i="54"/>
  <c r="AY87" i="54"/>
  <c r="BD87" i="54"/>
  <c r="BE87" i="54"/>
  <c r="BF87" i="54"/>
  <c r="AF63" i="54"/>
  <c r="ED62" i="54"/>
  <c r="EE62" i="54"/>
  <c r="EF62" i="54"/>
  <c r="EG62" i="54"/>
  <c r="AD63" i="54"/>
  <c r="EB61" i="54"/>
  <c r="AV62" i="54"/>
  <c r="EC61" i="54"/>
  <c r="AE63" i="54"/>
  <c r="AX61" i="54"/>
  <c r="BF62" i="54"/>
  <c r="BI61" i="54"/>
  <c r="BG62" i="54"/>
  <c r="BH62" i="54"/>
  <c r="BI62" i="54"/>
  <c r="BJ62" i="54"/>
  <c r="BK62" i="54"/>
  <c r="BC63" i="54"/>
  <c r="BD63" i="54"/>
  <c r="AW62" i="54"/>
  <c r="BF63" i="54"/>
  <c r="BE63" i="54"/>
  <c r="AD62" i="54"/>
  <c r="BE62" i="54"/>
  <c r="AD61" i="54"/>
  <c r="BD57" i="54"/>
  <c r="AE57" i="54"/>
  <c r="AW58" i="54"/>
  <c r="BT57" i="54"/>
  <c r="AW59" i="54"/>
  <c r="AY58" i="54"/>
  <c r="BU58" i="54"/>
  <c r="BV58" i="54"/>
  <c r="AE59" i="54"/>
  <c r="BC59" i="54"/>
  <c r="BD59" i="54"/>
  <c r="BB58" i="54"/>
  <c r="BD58" i="54"/>
  <c r="BE58" i="54"/>
  <c r="BF58" i="54"/>
  <c r="BG58" i="54"/>
  <c r="BH58" i="54"/>
  <c r="BF57" i="54"/>
  <c r="BG57" i="54"/>
  <c r="BH57" i="54"/>
  <c r="BK59" i="54"/>
  <c r="AD58" i="54"/>
  <c r="BU57" i="54"/>
  <c r="AY61" i="54"/>
  <c r="BV57" i="54"/>
  <c r="BV59" i="54"/>
  <c r="BW57" i="54"/>
  <c r="EB57" i="54"/>
  <c r="BW59" i="54"/>
  <c r="AG63" i="54"/>
  <c r="BX57" i="54"/>
  <c r="EC57" i="54"/>
  <c r="BX59" i="54"/>
  <c r="BY57" i="54"/>
  <c r="ED57" i="54"/>
  <c r="BY59" i="54"/>
  <c r="BJ61" i="54"/>
  <c r="AC78" i="54"/>
  <c r="P12" i="55" s="1"/>
  <c r="BU87" i="54"/>
  <c r="BZ57" i="54"/>
  <c r="EE57" i="54"/>
  <c r="BZ59" i="54"/>
  <c r="BK61" i="54"/>
  <c r="BT62" i="54"/>
  <c r="AW73" i="54"/>
  <c r="AY75" i="54"/>
  <c r="AJ78" i="54"/>
  <c r="E24" i="55" s="1"/>
  <c r="BG87" i="54"/>
  <c r="BV87" i="54"/>
  <c r="BH88" i="54"/>
  <c r="AV55" i="54"/>
  <c r="AY57" i="54"/>
  <c r="EF57" i="54"/>
  <c r="AY59" i="54"/>
  <c r="BL61" i="54"/>
  <c r="BU62" i="54"/>
  <c r="BH87" i="54"/>
  <c r="BW87" i="54"/>
  <c r="EG57" i="54"/>
  <c r="BL58" i="54"/>
  <c r="BM61" i="54"/>
  <c r="BD61" i="54"/>
  <c r="BV62" i="54"/>
  <c r="BV63" i="54"/>
  <c r="AL78" i="54"/>
  <c r="G24" i="55" s="1"/>
  <c r="BI87" i="54"/>
  <c r="BX87" i="54"/>
  <c r="BM58" i="54"/>
  <c r="BC58" i="54"/>
  <c r="BE61" i="54"/>
  <c r="BW62" i="54"/>
  <c r="BW63" i="54"/>
  <c r="BD74" i="54"/>
  <c r="BG75" i="54"/>
  <c r="AM78" i="54"/>
  <c r="H24" i="55" s="1"/>
  <c r="BY87" i="54"/>
  <c r="BI57" i="54"/>
  <c r="BB59" i="54"/>
  <c r="BX62" i="54"/>
  <c r="BX63" i="54"/>
  <c r="BE74" i="54"/>
  <c r="AN78" i="54"/>
  <c r="I24" i="55" s="1"/>
  <c r="BJ57" i="54"/>
  <c r="AE58" i="54"/>
  <c r="BY62" i="54"/>
  <c r="BY63" i="54"/>
  <c r="BB73" i="54"/>
  <c r="G78" i="54"/>
  <c r="AO78" i="54"/>
  <c r="J24" i="55" s="1"/>
  <c r="BK57" i="54"/>
  <c r="BB57" i="54"/>
  <c r="AF58" i="54"/>
  <c r="EG59" i="54"/>
  <c r="BZ63" i="54"/>
  <c r="AA66" i="54"/>
  <c r="N11" i="55" s="1"/>
  <c r="BC73" i="54"/>
  <c r="BL57" i="54"/>
  <c r="AV58" i="54"/>
  <c r="BE59" i="54"/>
  <c r="ED61" i="54"/>
  <c r="AB66" i="54"/>
  <c r="O11" i="55" s="1"/>
  <c r="BD73" i="54"/>
  <c r="AG75" i="54"/>
  <c r="BM57" i="54"/>
  <c r="BT61" i="54"/>
  <c r="EE61" i="54"/>
  <c r="BL75" i="54"/>
  <c r="BE57" i="54"/>
  <c r="ED58" i="54"/>
  <c r="BU61" i="54"/>
  <c r="EF61" i="54"/>
  <c r="BF73" i="54"/>
  <c r="BT73" i="54"/>
  <c r="BM75" i="54"/>
  <c r="BC55" i="54"/>
  <c r="EE58" i="54"/>
  <c r="AF59" i="54"/>
  <c r="BV61" i="54"/>
  <c r="EG61" i="54"/>
  <c r="BL62" i="54"/>
  <c r="BB62" i="54"/>
  <c r="BB63" i="54"/>
  <c r="BT47" i="54"/>
  <c r="AY54" i="54"/>
  <c r="BG73" i="54"/>
  <c r="BD55" i="54"/>
  <c r="EF58" i="54"/>
  <c r="BW61" i="54"/>
  <c r="BM62" i="54"/>
  <c r="BW47" i="54"/>
  <c r="BH73" i="54"/>
  <c r="BE55" i="54"/>
  <c r="BT58" i="54"/>
  <c r="EG58" i="54"/>
  <c r="AV59" i="54"/>
  <c r="BX61" i="54"/>
  <c r="EG63" i="54"/>
  <c r="AG62" i="54"/>
  <c r="CA63" i="54"/>
  <c r="CB63" i="54"/>
  <c r="AF61" i="54"/>
  <c r="BZ62" i="54"/>
  <c r="CC63" i="54"/>
  <c r="AG61" i="54"/>
  <c r="CA62" i="54"/>
  <c r="CD63" i="54"/>
  <c r="BY61" i="54"/>
  <c r="CB62" i="54"/>
  <c r="CE63" i="54"/>
  <c r="BZ61" i="54"/>
  <c r="CC62" i="54"/>
  <c r="CA61" i="54"/>
  <c r="CD62" i="54"/>
  <c r="CB61" i="54"/>
  <c r="CE62" i="54"/>
  <c r="CC61" i="54"/>
  <c r="CD61" i="54"/>
  <c r="CE61" i="54"/>
  <c r="EB63" i="54"/>
  <c r="EC63" i="54"/>
  <c r="ED63" i="54"/>
  <c r="EB62" i="54"/>
  <c r="BT63" i="54"/>
  <c r="EE63" i="54"/>
  <c r="EC62" i="54"/>
  <c r="BU63" i="54"/>
  <c r="AG58" i="54"/>
  <c r="CA59" i="54"/>
  <c r="CB59" i="54"/>
  <c r="AF57" i="54"/>
  <c r="CC59" i="54"/>
  <c r="AG57" i="54"/>
  <c r="CA58" i="54"/>
  <c r="CD59" i="54"/>
  <c r="CB58" i="54"/>
  <c r="CE59" i="54"/>
  <c r="CC58" i="54"/>
  <c r="CA57" i="54"/>
  <c r="CD58" i="54"/>
  <c r="CB57" i="54"/>
  <c r="CE58" i="54"/>
  <c r="CC57" i="54"/>
  <c r="CD57" i="54"/>
  <c r="CE57" i="54"/>
  <c r="EB59" i="54"/>
  <c r="EC59" i="54"/>
  <c r="ED59" i="54"/>
  <c r="EB58" i="54"/>
  <c r="BT59" i="54"/>
  <c r="EE59" i="54"/>
  <c r="EC58" i="54"/>
  <c r="BU59" i="54"/>
  <c r="AD55" i="54"/>
  <c r="AE55" i="54"/>
  <c r="BV55" i="54"/>
  <c r="BW55" i="54"/>
  <c r="BW54" i="54"/>
  <c r="BX55" i="54"/>
  <c r="BX54" i="54"/>
  <c r="BY55" i="54"/>
  <c r="BY54" i="54"/>
  <c r="BZ55" i="54"/>
  <c r="BZ54" i="54"/>
  <c r="CB54" i="54"/>
  <c r="AX52" i="54"/>
  <c r="EG55" i="54"/>
  <c r="BG55" i="54"/>
  <c r="BI55" i="54"/>
  <c r="BJ55" i="54"/>
  <c r="BK55" i="54"/>
  <c r="BL55" i="54"/>
  <c r="BM55" i="54"/>
  <c r="AW55" i="54"/>
  <c r="BJ54" i="54"/>
  <c r="BK54" i="54"/>
  <c r="BL54" i="54"/>
  <c r="BM54" i="54"/>
  <c r="BF55" i="54"/>
  <c r="BH55" i="54"/>
  <c r="AG55" i="54"/>
  <c r="AE52" i="54"/>
  <c r="AR46" i="54"/>
  <c r="M22" i="55" s="1"/>
  <c r="BF52" i="54"/>
  <c r="AS46" i="54"/>
  <c r="N22" i="55" s="1"/>
  <c r="BG52" i="54"/>
  <c r="AX54" i="54"/>
  <c r="AX55" i="54"/>
  <c r="AT46" i="54"/>
  <c r="O22" i="55" s="1"/>
  <c r="AU46" i="54"/>
  <c r="P22" i="55" s="1"/>
  <c r="AY55" i="54"/>
  <c r="W46" i="54"/>
  <c r="J10" i="55" s="1"/>
  <c r="BB55" i="54"/>
  <c r="AV52" i="54"/>
  <c r="CA55" i="54"/>
  <c r="CB55" i="54"/>
  <c r="CC55" i="54"/>
  <c r="CD55" i="54"/>
  <c r="CE55" i="54"/>
  <c r="EB55" i="54"/>
  <c r="EC55" i="54"/>
  <c r="ED55" i="54"/>
  <c r="BT55" i="54"/>
  <c r="EE55" i="54"/>
  <c r="BU55" i="54"/>
  <c r="BI47" i="54"/>
  <c r="BJ47" i="54"/>
  <c r="AD47" i="54"/>
  <c r="BJ75" i="54"/>
  <c r="AP66" i="54"/>
  <c r="K23" i="55" s="1"/>
  <c r="BK75" i="54"/>
  <c r="AY73" i="54"/>
  <c r="AY52" i="54"/>
  <c r="AD67" i="54"/>
  <c r="AR66" i="54"/>
  <c r="M23" i="55" s="1"/>
  <c r="BK47" i="54"/>
  <c r="AT66" i="54"/>
  <c r="O23" i="55" s="1"/>
  <c r="BI73" i="54"/>
  <c r="AW74" i="54"/>
  <c r="EG74" i="54"/>
  <c r="AP78" i="54"/>
  <c r="K24" i="55" s="1"/>
  <c r="BL47" i="54"/>
  <c r="BT52" i="54"/>
  <c r="BE67" i="54"/>
  <c r="AU66" i="54"/>
  <c r="P23" i="55" s="1"/>
  <c r="BJ73" i="54"/>
  <c r="BE73" i="54"/>
  <c r="BI88" i="54"/>
  <c r="BM47" i="54"/>
  <c r="ED52" i="54"/>
  <c r="BL67" i="54"/>
  <c r="BB74" i="54"/>
  <c r="AR78" i="54"/>
  <c r="M24" i="55" s="1"/>
  <c r="BJ88" i="54"/>
  <c r="X46" i="54"/>
  <c r="K10" i="55" s="1"/>
  <c r="BI52" i="54"/>
  <c r="EF54" i="54"/>
  <c r="BU67" i="54"/>
  <c r="BC74" i="54"/>
  <c r="AW75" i="54"/>
  <c r="BK88" i="54"/>
  <c r="BJ52" i="54"/>
  <c r="BV67" i="54"/>
  <c r="BM73" i="54"/>
  <c r="AT78" i="54"/>
  <c r="O24" i="55" s="1"/>
  <c r="BL88" i="54"/>
  <c r="AK46" i="54"/>
  <c r="F22" i="55" s="1"/>
  <c r="BK52" i="54"/>
  <c r="BW67" i="54"/>
  <c r="AD73" i="54"/>
  <c r="AU78" i="54"/>
  <c r="P24" i="55" s="1"/>
  <c r="AL46" i="54"/>
  <c r="G22" i="55" s="1"/>
  <c r="BL52" i="54"/>
  <c r="BY67" i="54"/>
  <c r="AM46" i="54"/>
  <c r="H22" i="55" s="1"/>
  <c r="BM52" i="54"/>
  <c r="G46" i="54"/>
  <c r="AN46" i="54"/>
  <c r="I22" i="55" s="1"/>
  <c r="EB47" i="54"/>
  <c r="BE75" i="54"/>
  <c r="AK78" i="54"/>
  <c r="F24" i="55" s="1"/>
  <c r="AO46" i="54"/>
  <c r="J22" i="55" s="1"/>
  <c r="EC47" i="54"/>
  <c r="BC52" i="54"/>
  <c r="BM67" i="54"/>
  <c r="BF75" i="54"/>
  <c r="AW87" i="54"/>
  <c r="ED87" i="54"/>
  <c r="AP46" i="54"/>
  <c r="K22" i="55" s="1"/>
  <c r="BD52" i="54"/>
  <c r="AJ66" i="54"/>
  <c r="E23" i="55" s="1"/>
  <c r="AW52" i="54"/>
  <c r="BG54" i="54"/>
  <c r="AK66" i="54"/>
  <c r="F23" i="55" s="1"/>
  <c r="BK74" i="54"/>
  <c r="AX87" i="54"/>
  <c r="BH54" i="54"/>
  <c r="BV54" i="54"/>
  <c r="AL66" i="54"/>
  <c r="G23" i="55" s="1"/>
  <c r="AB78" i="54"/>
  <c r="O12" i="55" s="1"/>
  <c r="EE52" i="54"/>
  <c r="BV88" i="54"/>
  <c r="BU52" i="54"/>
  <c r="EF52" i="54"/>
  <c r="BW88" i="54"/>
  <c r="Y46" i="54"/>
  <c r="L10" i="55" s="1"/>
  <c r="AC66" i="54"/>
  <c r="P11" i="55" s="1"/>
  <c r="BV52" i="54"/>
  <c r="EG52" i="54"/>
  <c r="AV54" i="54"/>
  <c r="BX67" i="54"/>
  <c r="AV74" i="54"/>
  <c r="AV75" i="54"/>
  <c r="AX88" i="54"/>
  <c r="BX88" i="54"/>
  <c r="Z46" i="54"/>
  <c r="M10" i="55" s="1"/>
  <c r="BW52" i="54"/>
  <c r="BY88" i="54"/>
  <c r="AA46" i="54"/>
  <c r="N10" i="55" s="1"/>
  <c r="BY52" i="54"/>
  <c r="AX67" i="54"/>
  <c r="BZ67" i="54"/>
  <c r="BZ88" i="54"/>
  <c r="AB46" i="54"/>
  <c r="O10" i="55" s="1"/>
  <c r="FJ67" i="54"/>
  <c r="AC46" i="54"/>
  <c r="P10" i="55" s="1"/>
  <c r="ED47" i="54"/>
  <c r="BU73" i="54"/>
  <c r="BV75" i="54"/>
  <c r="R78" i="54"/>
  <c r="E12" i="55" s="1"/>
  <c r="EE47" i="54"/>
  <c r="EB67" i="54"/>
  <c r="BV73" i="54"/>
  <c r="BT74" i="54"/>
  <c r="AD75" i="54"/>
  <c r="BW75" i="54"/>
  <c r="S78" i="54"/>
  <c r="F12" i="55" s="1"/>
  <c r="BB47" i="54"/>
  <c r="AX47" i="54"/>
  <c r="EF47" i="54"/>
  <c r="BF67" i="54"/>
  <c r="EC67" i="54"/>
  <c r="BW73" i="54"/>
  <c r="BU74" i="54"/>
  <c r="AX75" i="54"/>
  <c r="BX75" i="54"/>
  <c r="BJ87" i="54"/>
  <c r="BB88" i="54"/>
  <c r="T78" i="54"/>
  <c r="G12" i="55" s="1"/>
  <c r="BC47" i="54"/>
  <c r="EG47" i="54"/>
  <c r="BG67" i="54"/>
  <c r="AV67" i="54"/>
  <c r="ED67" i="54"/>
  <c r="BX73" i="54"/>
  <c r="BV74" i="54"/>
  <c r="BY75" i="54"/>
  <c r="BK87" i="54"/>
  <c r="U78" i="54"/>
  <c r="H12" i="55" s="1"/>
  <c r="BD47" i="54"/>
  <c r="AY47" i="54"/>
  <c r="AD54" i="54"/>
  <c r="BH67" i="54"/>
  <c r="AW67" i="54"/>
  <c r="EE67" i="54"/>
  <c r="BY73" i="54"/>
  <c r="BW74" i="54"/>
  <c r="BZ75" i="54"/>
  <c r="BL87" i="54"/>
  <c r="BB87" i="54"/>
  <c r="EG88" i="54"/>
  <c r="R66" i="54"/>
  <c r="E11" i="55" s="1"/>
  <c r="V78" i="54"/>
  <c r="I12" i="55" s="1"/>
  <c r="AQ78" i="54"/>
  <c r="L24" i="55" s="1"/>
  <c r="BE47" i="54"/>
  <c r="BH52" i="54"/>
  <c r="BC54" i="54"/>
  <c r="BI67" i="54"/>
  <c r="BB67" i="54"/>
  <c r="EF67" i="54"/>
  <c r="BZ73" i="54"/>
  <c r="EB73" i="54"/>
  <c r="BX74" i="54"/>
  <c r="BM87" i="54"/>
  <c r="BE88" i="54"/>
  <c r="AJ46" i="54"/>
  <c r="E22" i="55" s="1"/>
  <c r="S66" i="54"/>
  <c r="F11" i="55" s="1"/>
  <c r="W78" i="54"/>
  <c r="J12" i="55" s="1"/>
  <c r="BF47" i="54"/>
  <c r="BD54" i="54"/>
  <c r="BJ67" i="54"/>
  <c r="EG67" i="54"/>
  <c r="CB73" i="54"/>
  <c r="EC73" i="54"/>
  <c r="T66" i="54"/>
  <c r="G11" i="55" s="1"/>
  <c r="X78" i="54"/>
  <c r="K12" i="55" s="1"/>
  <c r="AS78" i="54"/>
  <c r="N24" i="55" s="1"/>
  <c r="BG47" i="54"/>
  <c r="BE54" i="54"/>
  <c r="BK67" i="54"/>
  <c r="ED73" i="54"/>
  <c r="AE87" i="54"/>
  <c r="EE87" i="54"/>
  <c r="U66" i="54"/>
  <c r="H11" i="55" s="1"/>
  <c r="Y78" i="54"/>
  <c r="L12" i="55" s="1"/>
  <c r="AW47" i="54"/>
  <c r="BB52" i="54"/>
  <c r="ED54" i="54"/>
  <c r="EE73" i="54"/>
  <c r="BB75" i="54"/>
  <c r="AF87" i="54"/>
  <c r="EF87" i="54"/>
  <c r="AF88" i="54"/>
  <c r="R46" i="54"/>
  <c r="E10" i="55" s="1"/>
  <c r="V66" i="54"/>
  <c r="I11" i="55" s="1"/>
  <c r="AQ66" i="54"/>
  <c r="L23" i="55" s="1"/>
  <c r="Z78" i="54"/>
  <c r="M12" i="55" s="1"/>
  <c r="AV87" i="54"/>
  <c r="EG87" i="54"/>
  <c r="AG88" i="54"/>
  <c r="S46" i="54"/>
  <c r="F10" i="55" s="1"/>
  <c r="W66" i="54"/>
  <c r="J11" i="55" s="1"/>
  <c r="AA78" i="54"/>
  <c r="N12" i="55" s="1"/>
  <c r="EG75" i="54"/>
  <c r="T46" i="54"/>
  <c r="G10" i="55" s="1"/>
  <c r="X66" i="54"/>
  <c r="K11" i="55" s="1"/>
  <c r="AS66" i="54"/>
  <c r="N23" i="55" s="1"/>
  <c r="BU47" i="54"/>
  <c r="BE52" i="54"/>
  <c r="EB52" i="54"/>
  <c r="BI54" i="54"/>
  <c r="BT54" i="54"/>
  <c r="EG54" i="54"/>
  <c r="BK73" i="54"/>
  <c r="BL74" i="54"/>
  <c r="U46" i="54"/>
  <c r="H10" i="55" s="1"/>
  <c r="Y66" i="54"/>
  <c r="L11" i="55" s="1"/>
  <c r="BV47" i="54"/>
  <c r="EC52" i="54"/>
  <c r="FM52" i="54" s="1"/>
  <c r="BU54" i="54"/>
  <c r="BT67" i="54"/>
  <c r="BL73" i="54"/>
  <c r="ED74" i="54"/>
  <c r="BT87" i="54"/>
  <c r="V46" i="54"/>
  <c r="I10" i="55" s="1"/>
  <c r="AQ46" i="54"/>
  <c r="L22" i="55" s="1"/>
  <c r="Z66" i="54"/>
  <c r="M11" i="55" s="1"/>
  <c r="BB54" i="54"/>
  <c r="AE54" i="54"/>
  <c r="AF54" i="54"/>
  <c r="BF54" i="54"/>
  <c r="AG87" i="54"/>
  <c r="CA88" i="54"/>
  <c r="CB88" i="54"/>
  <c r="BZ87" i="54"/>
  <c r="CC88" i="54"/>
  <c r="CA87" i="54"/>
  <c r="CD88" i="54"/>
  <c r="CB87" i="54"/>
  <c r="CE88" i="54"/>
  <c r="CC87" i="54"/>
  <c r="CD87" i="54"/>
  <c r="CE87" i="54"/>
  <c r="EB88" i="54"/>
  <c r="EC88" i="54"/>
  <c r="ED88" i="54"/>
  <c r="EB87" i="54"/>
  <c r="BT88" i="54"/>
  <c r="EE88" i="54"/>
  <c r="EC87" i="54"/>
  <c r="BU88" i="54"/>
  <c r="AG74" i="54"/>
  <c r="CA75" i="54"/>
  <c r="BY74" i="54"/>
  <c r="CB75" i="54"/>
  <c r="AF73" i="54"/>
  <c r="BZ74" i="54"/>
  <c r="CC75" i="54"/>
  <c r="AG73" i="54"/>
  <c r="CA74" i="54"/>
  <c r="CD75" i="54"/>
  <c r="AE67" i="54"/>
  <c r="CB74" i="54"/>
  <c r="CE75" i="54"/>
  <c r="AF67" i="54"/>
  <c r="CC74" i="54"/>
  <c r="AG67" i="54"/>
  <c r="CA73" i="54"/>
  <c r="CD74" i="54"/>
  <c r="CE74" i="54"/>
  <c r="CC73" i="54"/>
  <c r="CA67" i="54"/>
  <c r="CD73" i="54"/>
  <c r="CB67" i="54"/>
  <c r="CE73" i="54"/>
  <c r="EB75" i="54"/>
  <c r="CC67" i="54"/>
  <c r="EC75" i="54"/>
  <c r="CD67" i="54"/>
  <c r="ED75" i="54"/>
  <c r="CE67" i="54"/>
  <c r="EB74" i="54"/>
  <c r="BT75" i="54"/>
  <c r="EE75" i="54"/>
  <c r="EC74" i="54"/>
  <c r="BU75" i="54"/>
  <c r="AG54" i="54"/>
  <c r="AF52" i="54"/>
  <c r="AG52" i="54"/>
  <c r="BX52" i="54"/>
  <c r="CA54" i="54"/>
  <c r="AE47" i="54"/>
  <c r="AF47" i="54"/>
  <c r="BZ52" i="54"/>
  <c r="CC54" i="54"/>
  <c r="AG47" i="54"/>
  <c r="CA52" i="54"/>
  <c r="CD54" i="54"/>
  <c r="CB52" i="54"/>
  <c r="CE54" i="54"/>
  <c r="CC52" i="54"/>
  <c r="CA47" i="54"/>
  <c r="CD52" i="54"/>
  <c r="CB47" i="54"/>
  <c r="CE52" i="54"/>
  <c r="CC47" i="54"/>
  <c r="CD47" i="54"/>
  <c r="CE47" i="54"/>
  <c r="EB54" i="54"/>
  <c r="EC54" i="54"/>
  <c r="FP58" i="54" l="1"/>
  <c r="FK40" i="54"/>
  <c r="DO42" i="54"/>
  <c r="FQ23" i="54"/>
  <c r="DI52" i="54"/>
  <c r="FK73" i="54"/>
  <c r="FP87" i="54"/>
  <c r="FM57" i="54"/>
  <c r="FP31" i="54"/>
  <c r="DK23" i="54"/>
  <c r="FM61" i="54"/>
  <c r="BN50" i="54"/>
  <c r="BP50" i="54"/>
  <c r="FQ50" i="54"/>
  <c r="FP27" i="54"/>
  <c r="DG61" i="54"/>
  <c r="DG40" i="54"/>
  <c r="BQ25" i="54"/>
  <c r="FK62" i="54"/>
  <c r="DF30" i="54"/>
  <c r="DN11" i="54"/>
  <c r="DH50" i="54"/>
  <c r="FP35" i="54"/>
  <c r="DH43" i="54"/>
  <c r="FQ43" i="54"/>
  <c r="G36" i="55"/>
  <c r="DL50" i="54"/>
  <c r="FP54" i="54"/>
  <c r="FP59" i="54"/>
  <c r="FP74" i="54"/>
  <c r="FK43" i="54"/>
  <c r="AZ50" i="54"/>
  <c r="FP88" i="54"/>
  <c r="FP23" i="54"/>
  <c r="FP30" i="54"/>
  <c r="M30" i="55"/>
  <c r="K30" i="55"/>
  <c r="J30" i="55"/>
  <c r="FJ43" i="54"/>
  <c r="DH55" i="54"/>
  <c r="DE30" i="54"/>
  <c r="I31" i="55"/>
  <c r="F30" i="55"/>
  <c r="DN42" i="54"/>
  <c r="G31" i="55"/>
  <c r="FP39" i="54"/>
  <c r="EI43" i="54"/>
  <c r="F36" i="55"/>
  <c r="FK13" i="54"/>
  <c r="BN24" i="54"/>
  <c r="FM50" i="54"/>
  <c r="FP50" i="54"/>
  <c r="FP63" i="54"/>
  <c r="DF50" i="54"/>
  <c r="DH75" i="54"/>
  <c r="FJ13" i="54"/>
  <c r="BQ50" i="54"/>
  <c r="DL43" i="54"/>
  <c r="BO50" i="54"/>
  <c r="FP10" i="54"/>
  <c r="DH30" i="54"/>
  <c r="DI43" i="54"/>
  <c r="FP55" i="54"/>
  <c r="FL7" i="54"/>
  <c r="U10" i="55"/>
  <c r="T10" i="55"/>
  <c r="FP62" i="54"/>
  <c r="FP43" i="54"/>
  <c r="AZ43" i="54"/>
  <c r="DI50" i="54"/>
  <c r="AH50" i="54"/>
  <c r="FP24" i="54"/>
  <c r="DJ11" i="54"/>
  <c r="DO43" i="54"/>
  <c r="E34" i="55"/>
  <c r="R18" i="55"/>
  <c r="J36" i="55"/>
  <c r="G30" i="55"/>
  <c r="T24" i="55"/>
  <c r="P36" i="55"/>
  <c r="R12" i="55"/>
  <c r="M34" i="55"/>
  <c r="W24" i="55"/>
  <c r="R22" i="55"/>
  <c r="U22" i="55"/>
  <c r="I36" i="55"/>
  <c r="T18" i="55"/>
  <c r="G34" i="55"/>
  <c r="I25" i="55"/>
  <c r="W22" i="55"/>
  <c r="R24" i="55"/>
  <c r="T22" i="55"/>
  <c r="L34" i="55"/>
  <c r="J31" i="55"/>
  <c r="T19" i="55"/>
  <c r="M31" i="55"/>
  <c r="F31" i="55"/>
  <c r="P31" i="55"/>
  <c r="O25" i="55"/>
  <c r="N31" i="55"/>
  <c r="U7" i="55"/>
  <c r="EJ43" i="54"/>
  <c r="M25" i="55"/>
  <c r="W7" i="55"/>
  <c r="E31" i="55"/>
  <c r="E30" i="55"/>
  <c r="R6" i="55"/>
  <c r="CF30" i="54"/>
  <c r="T6" i="55"/>
  <c r="S6" i="55"/>
  <c r="H30" i="55"/>
  <c r="F25" i="55"/>
  <c r="N36" i="55"/>
  <c r="U12" i="55"/>
  <c r="K31" i="55"/>
  <c r="T7" i="55"/>
  <c r="BQ23" i="54"/>
  <c r="H13" i="55"/>
  <c r="H25" i="55"/>
  <c r="L36" i="55"/>
  <c r="P34" i="55"/>
  <c r="BP23" i="54"/>
  <c r="F34" i="55"/>
  <c r="K25" i="55"/>
  <c r="W12" i="55"/>
  <c r="S22" i="55"/>
  <c r="L31" i="55"/>
  <c r="U6" i="55"/>
  <c r="N30" i="55"/>
  <c r="H34" i="55"/>
  <c r="O34" i="55"/>
  <c r="M36" i="55"/>
  <c r="P25" i="55"/>
  <c r="DN50" i="54"/>
  <c r="CY43" i="54"/>
  <c r="R7" i="55"/>
  <c r="N13" i="55"/>
  <c r="R19" i="55"/>
  <c r="W19" i="55"/>
  <c r="I30" i="55"/>
  <c r="W18" i="55"/>
  <c r="DL8" i="54"/>
  <c r="S10" i="55"/>
  <c r="J25" i="55"/>
  <c r="O31" i="55"/>
  <c r="DA50" i="54"/>
  <c r="R10" i="55"/>
  <c r="U24" i="55"/>
  <c r="S24" i="55"/>
  <c r="U19" i="55"/>
  <c r="S7" i="55"/>
  <c r="H31" i="55"/>
  <c r="FI43" i="54"/>
  <c r="S18" i="55"/>
  <c r="L25" i="55"/>
  <c r="K36" i="55"/>
  <c r="T12" i="55"/>
  <c r="N34" i="55"/>
  <c r="K34" i="55"/>
  <c r="P30" i="55"/>
  <c r="DK24" i="54"/>
  <c r="W6" i="55"/>
  <c r="O36" i="55"/>
  <c r="J34" i="55"/>
  <c r="L30" i="55"/>
  <c r="O30" i="55"/>
  <c r="CZ43" i="54"/>
  <c r="G25" i="55"/>
  <c r="CG43" i="54"/>
  <c r="W10" i="55"/>
  <c r="I34" i="55"/>
  <c r="S12" i="55"/>
  <c r="H36" i="55"/>
  <c r="E36" i="55"/>
  <c r="S19" i="55"/>
  <c r="U18" i="55"/>
  <c r="E35" i="55"/>
  <c r="U23" i="55"/>
  <c r="N25" i="55"/>
  <c r="F35" i="55"/>
  <c r="O35" i="55"/>
  <c r="S23" i="55"/>
  <c r="E25" i="55"/>
  <c r="W23" i="55"/>
  <c r="R23" i="55"/>
  <c r="T23" i="55"/>
  <c r="G35" i="55"/>
  <c r="P13" i="55"/>
  <c r="P35" i="55"/>
  <c r="O13" i="55"/>
  <c r="E13" i="55"/>
  <c r="W11" i="55"/>
  <c r="U11" i="55"/>
  <c r="N35" i="55"/>
  <c r="J13" i="55"/>
  <c r="J35" i="55"/>
  <c r="R11" i="55"/>
  <c r="L13" i="55"/>
  <c r="L35" i="55"/>
  <c r="M13" i="55"/>
  <c r="M35" i="55"/>
  <c r="I13" i="55"/>
  <c r="I35" i="55"/>
  <c r="S11" i="55"/>
  <c r="H35" i="55"/>
  <c r="T11" i="55"/>
  <c r="K13" i="55"/>
  <c r="K35" i="55"/>
  <c r="F13" i="55"/>
  <c r="G13" i="55"/>
  <c r="CG50" i="54"/>
  <c r="FK17" i="54"/>
  <c r="BP43" i="54"/>
  <c r="DO50" i="54"/>
  <c r="CZ50" i="54"/>
  <c r="AZ24" i="54"/>
  <c r="DG43" i="54"/>
  <c r="DK15" i="54"/>
  <c r="BQ43" i="54"/>
  <c r="FK58" i="54"/>
  <c r="DK43" i="54"/>
  <c r="DK50" i="54"/>
  <c r="EK43" i="54"/>
  <c r="BO43" i="54"/>
  <c r="CG30" i="54"/>
  <c r="FH41" i="54"/>
  <c r="FO33" i="54"/>
  <c r="DJ50" i="54"/>
  <c r="FK50" i="54"/>
  <c r="FJ47" i="54"/>
  <c r="FM24" i="54"/>
  <c r="FJ50" i="54"/>
  <c r="FF50" i="54"/>
  <c r="EH50" i="54"/>
  <c r="FC50" i="54"/>
  <c r="FL50" i="54"/>
  <c r="EJ50" i="54"/>
  <c r="CI50" i="54"/>
  <c r="DM50" i="54"/>
  <c r="CX50" i="54"/>
  <c r="EZ50" i="54"/>
  <c r="FB50" i="54"/>
  <c r="FI50" i="54"/>
  <c r="EI50" i="54"/>
  <c r="CH50" i="54"/>
  <c r="DE50" i="54"/>
  <c r="FO50" i="54"/>
  <c r="EK50" i="54"/>
  <c r="FH50" i="54"/>
  <c r="CY50" i="54"/>
  <c r="DG50" i="54"/>
  <c r="DD50" i="54"/>
  <c r="CF50" i="54"/>
  <c r="FG50" i="54"/>
  <c r="FN50" i="54"/>
  <c r="FA50" i="54"/>
  <c r="BP30" i="54"/>
  <c r="FN43" i="54"/>
  <c r="DF35" i="54"/>
  <c r="DF39" i="54"/>
  <c r="CF43" i="54"/>
  <c r="FM18" i="54"/>
  <c r="FM43" i="54"/>
  <c r="DF43" i="54"/>
  <c r="BB13" i="54"/>
  <c r="BN13" i="54" s="1"/>
  <c r="FJ30" i="54"/>
  <c r="FO43" i="54"/>
  <c r="DO24" i="54"/>
  <c r="DD43" i="54"/>
  <c r="DE43" i="54"/>
  <c r="FN24" i="54"/>
  <c r="DN24" i="54"/>
  <c r="BN43" i="54"/>
  <c r="FB43" i="54"/>
  <c r="CX43" i="54"/>
  <c r="DA43" i="54"/>
  <c r="AH43" i="54"/>
  <c r="FC43" i="54"/>
  <c r="FL43" i="54"/>
  <c r="FH43" i="54"/>
  <c r="EH43" i="54"/>
  <c r="DM43" i="54"/>
  <c r="CI43" i="54"/>
  <c r="FN42" i="54"/>
  <c r="FF43" i="54"/>
  <c r="EZ43" i="54"/>
  <c r="DJ43" i="54"/>
  <c r="CH43" i="54"/>
  <c r="FA43" i="54"/>
  <c r="DN43" i="54"/>
  <c r="EZ42" i="54"/>
  <c r="DG42" i="54"/>
  <c r="DH11" i="54"/>
  <c r="DI42" i="54"/>
  <c r="FN33" i="54"/>
  <c r="DI61" i="54"/>
  <c r="DK41" i="54"/>
  <c r="DK35" i="54"/>
  <c r="CY42" i="54"/>
  <c r="DH25" i="54"/>
  <c r="DI25" i="54"/>
  <c r="BO23" i="54"/>
  <c r="BP10" i="54"/>
  <c r="AH24" i="54"/>
  <c r="AH30" i="54"/>
  <c r="BQ10" i="54"/>
  <c r="AZ23" i="54"/>
  <c r="BQ24" i="54"/>
  <c r="DH10" i="54"/>
  <c r="BQ30" i="54"/>
  <c r="DL24" i="54"/>
  <c r="FH10" i="54"/>
  <c r="AZ30" i="54"/>
  <c r="DF24" i="54"/>
  <c r="DG10" i="54"/>
  <c r="DK18" i="54"/>
  <c r="DF10" i="54"/>
  <c r="BN23" i="54"/>
  <c r="DG23" i="54"/>
  <c r="CG10" i="54"/>
  <c r="BP24" i="54"/>
  <c r="BO30" i="54"/>
  <c r="FK23" i="54"/>
  <c r="DK30" i="54"/>
  <c r="BN30" i="54"/>
  <c r="BO24" i="54"/>
  <c r="DG24" i="54"/>
  <c r="CZ30" i="54"/>
  <c r="CY30" i="54"/>
  <c r="DN30" i="54"/>
  <c r="DI30" i="54"/>
  <c r="FQ30" i="54"/>
  <c r="FN30" i="54"/>
  <c r="DG30" i="54"/>
  <c r="DL30" i="54"/>
  <c r="FA30" i="54"/>
  <c r="FM30" i="54"/>
  <c r="FK30" i="54"/>
  <c r="FQ24" i="54"/>
  <c r="CZ24" i="54"/>
  <c r="DH24" i="54"/>
  <c r="CG24" i="54"/>
  <c r="AH23" i="54"/>
  <c r="DN23" i="54"/>
  <c r="DO23" i="54"/>
  <c r="CI30" i="54"/>
  <c r="DM30" i="54"/>
  <c r="CX30" i="54"/>
  <c r="FC30" i="54"/>
  <c r="FL30" i="54"/>
  <c r="EJ30" i="54"/>
  <c r="EZ30" i="54"/>
  <c r="FF30" i="54"/>
  <c r="DA30" i="54"/>
  <c r="CH30" i="54"/>
  <c r="DJ30" i="54"/>
  <c r="FB30" i="54"/>
  <c r="FI30" i="54"/>
  <c r="EI30" i="54"/>
  <c r="FH30" i="54"/>
  <c r="EH30" i="54"/>
  <c r="DO30" i="54"/>
  <c r="DD30" i="54"/>
  <c r="FO30" i="54"/>
  <c r="EK30" i="54"/>
  <c r="FO73" i="54"/>
  <c r="DH23" i="54"/>
  <c r="AZ13" i="54"/>
  <c r="DJ24" i="54"/>
  <c r="DL58" i="54"/>
  <c r="CG23" i="54"/>
  <c r="DI24" i="54"/>
  <c r="CZ23" i="54"/>
  <c r="FM25" i="54"/>
  <c r="AZ10" i="54"/>
  <c r="FN23" i="54"/>
  <c r="DH18" i="54"/>
  <c r="FM10" i="54"/>
  <c r="DF23" i="54"/>
  <c r="DI10" i="54"/>
  <c r="FM23" i="54"/>
  <c r="DJ23" i="54"/>
  <c r="AH74" i="54"/>
  <c r="BQ74" i="54"/>
  <c r="DF15" i="54"/>
  <c r="FI17" i="54"/>
  <c r="DL23" i="54"/>
  <c r="FK24" i="54"/>
  <c r="DI23" i="54"/>
  <c r="DA23" i="54"/>
  <c r="FA24" i="54"/>
  <c r="DD24" i="54"/>
  <c r="CF24" i="54"/>
  <c r="CI24" i="54"/>
  <c r="DM24" i="54"/>
  <c r="FC24" i="54"/>
  <c r="EZ24" i="54"/>
  <c r="FF24" i="54"/>
  <c r="FL24" i="54"/>
  <c r="EJ24" i="54"/>
  <c r="CX24" i="54"/>
  <c r="DA24" i="54"/>
  <c r="FJ24" i="54"/>
  <c r="FB24" i="54"/>
  <c r="FI24" i="54"/>
  <c r="EI24" i="54"/>
  <c r="CH24" i="54"/>
  <c r="DE24" i="54"/>
  <c r="FO24" i="54"/>
  <c r="EK24" i="54"/>
  <c r="FH24" i="54"/>
  <c r="EH24" i="54"/>
  <c r="CY24" i="54"/>
  <c r="FA23" i="54"/>
  <c r="DD23" i="54"/>
  <c r="CF23" i="54"/>
  <c r="CI23" i="54"/>
  <c r="DM23" i="54"/>
  <c r="FC23" i="54"/>
  <c r="EZ23" i="54"/>
  <c r="FF23" i="54"/>
  <c r="FL23" i="54"/>
  <c r="EJ23" i="54"/>
  <c r="CX23" i="54"/>
  <c r="FJ23" i="54"/>
  <c r="FB23" i="54"/>
  <c r="FI23" i="54"/>
  <c r="EI23" i="54"/>
  <c r="CH23" i="54"/>
  <c r="DE23" i="54"/>
  <c r="FO23" i="54"/>
  <c r="EK23" i="54"/>
  <c r="FH23" i="54"/>
  <c r="EH23" i="54"/>
  <c r="CY23" i="54"/>
  <c r="BP42" i="54"/>
  <c r="EI25" i="54"/>
  <c r="FQ27" i="54"/>
  <c r="FG41" i="54"/>
  <c r="DE42" i="54"/>
  <c r="DD42" i="54"/>
  <c r="FQ35" i="54"/>
  <c r="DI31" i="54"/>
  <c r="FN25" i="54"/>
  <c r="DN31" i="54"/>
  <c r="FO25" i="54"/>
  <c r="DO31" i="54"/>
  <c r="DF32" i="54"/>
  <c r="BQ29" i="54"/>
  <c r="FP25" i="54"/>
  <c r="DH61" i="54"/>
  <c r="BP41" i="54"/>
  <c r="CZ58" i="54"/>
  <c r="BO27" i="54"/>
  <c r="CZ10" i="54"/>
  <c r="DK27" i="54"/>
  <c r="AZ31" i="54"/>
  <c r="DE35" i="54"/>
  <c r="DL33" i="54"/>
  <c r="FH42" i="54"/>
  <c r="BN25" i="54"/>
  <c r="DL10" i="54"/>
  <c r="BQ40" i="54"/>
  <c r="BN40" i="54"/>
  <c r="DF27" i="54"/>
  <c r="DE32" i="54"/>
  <c r="DD40" i="54"/>
  <c r="BO35" i="54"/>
  <c r="DK10" i="54"/>
  <c r="DJ58" i="54"/>
  <c r="DG11" i="54"/>
  <c r="DJ10" i="54"/>
  <c r="AH10" i="54"/>
  <c r="BO10" i="54"/>
  <c r="DE40" i="54"/>
  <c r="BN10" i="54"/>
  <c r="DI17" i="54"/>
  <c r="AZ17" i="54"/>
  <c r="DF18" i="54"/>
  <c r="DG17" i="54"/>
  <c r="DH17" i="54"/>
  <c r="DO10" i="54"/>
  <c r="FQ10" i="54"/>
  <c r="FN10" i="54"/>
  <c r="DN10" i="54"/>
  <c r="FA10" i="54"/>
  <c r="DA10" i="54"/>
  <c r="FK10" i="54"/>
  <c r="FJ10" i="54"/>
  <c r="CI10" i="54"/>
  <c r="DM10" i="54"/>
  <c r="EZ10" i="54"/>
  <c r="FF10" i="54"/>
  <c r="FC10" i="54"/>
  <c r="FL10" i="54"/>
  <c r="EJ10" i="54"/>
  <c r="CX10" i="54"/>
  <c r="FB10" i="54"/>
  <c r="FI10" i="54"/>
  <c r="EI10" i="54"/>
  <c r="DD10" i="54"/>
  <c r="CF10" i="54"/>
  <c r="CH10" i="54"/>
  <c r="DE10" i="54"/>
  <c r="FO10" i="54"/>
  <c r="EK10" i="54"/>
  <c r="CY10" i="54"/>
  <c r="FH27" i="54"/>
  <c r="FJ42" i="54"/>
  <c r="DK58" i="54"/>
  <c r="EI42" i="54"/>
  <c r="FQ25" i="54"/>
  <c r="DG35" i="54"/>
  <c r="DH33" i="54"/>
  <c r="BP35" i="54"/>
  <c r="FC33" i="54"/>
  <c r="DH8" i="54"/>
  <c r="DL35" i="54"/>
  <c r="EK33" i="54"/>
  <c r="DI40" i="54"/>
  <c r="BN35" i="54"/>
  <c r="AZ6" i="54"/>
  <c r="DF58" i="54"/>
  <c r="BO33" i="54"/>
  <c r="AZ22" i="54"/>
  <c r="EH31" i="54"/>
  <c r="CH41" i="54"/>
  <c r="DL11" i="54"/>
  <c r="FP17" i="54"/>
  <c r="AH40" i="54"/>
  <c r="DE31" i="54"/>
  <c r="BO17" i="54"/>
  <c r="BN27" i="54"/>
  <c r="DG18" i="54"/>
  <c r="FK42" i="54"/>
  <c r="CY33" i="54"/>
  <c r="AH27" i="54"/>
  <c r="FM31" i="54"/>
  <c r="DO25" i="54"/>
  <c r="CF7" i="54"/>
  <c r="CY61" i="54"/>
  <c r="BN11" i="54"/>
  <c r="CZ15" i="54"/>
  <c r="FJ35" i="54"/>
  <c r="BN6" i="54"/>
  <c r="FP7" i="54"/>
  <c r="BQ8" i="54"/>
  <c r="CZ11" i="54"/>
  <c r="BO18" i="54"/>
  <c r="DF31" i="54"/>
  <c r="BQ41" i="54"/>
  <c r="EJ32" i="54"/>
  <c r="DL15" i="54"/>
  <c r="FQ40" i="54"/>
  <c r="DH39" i="54"/>
  <c r="FQ17" i="54"/>
  <c r="BO40" i="54"/>
  <c r="FA11" i="54"/>
  <c r="DG33" i="54"/>
  <c r="AZ42" i="54"/>
  <c r="FO31" i="54"/>
  <c r="CF33" i="54"/>
  <c r="FJ11" i="54"/>
  <c r="EK7" i="54"/>
  <c r="BQ17" i="54"/>
  <c r="DL41" i="54"/>
  <c r="DH35" i="54"/>
  <c r="AZ33" i="54"/>
  <c r="DK32" i="54"/>
  <c r="FG27" i="54"/>
  <c r="FK39" i="54"/>
  <c r="CY39" i="54"/>
  <c r="FM42" i="54"/>
  <c r="BQ42" i="54"/>
  <c r="CX31" i="54"/>
  <c r="AZ11" i="54"/>
  <c r="DL6" i="54"/>
  <c r="FN40" i="54"/>
  <c r="AZ29" i="54"/>
  <c r="DN29" i="54"/>
  <c r="FI40" i="54"/>
  <c r="FL40" i="54"/>
  <c r="BP25" i="54"/>
  <c r="DJ7" i="54"/>
  <c r="DH27" i="54"/>
  <c r="AH32" i="54"/>
  <c r="FM40" i="54"/>
  <c r="BP27" i="54"/>
  <c r="FA35" i="54"/>
  <c r="FJ40" i="54"/>
  <c r="BQ63" i="54"/>
  <c r="DK11" i="54"/>
  <c r="AZ40" i="54"/>
  <c r="FB31" i="54"/>
  <c r="CT21" i="54"/>
  <c r="M18" i="56" s="1"/>
  <c r="FN31" i="54"/>
  <c r="EK18" i="54"/>
  <c r="DE13" i="54"/>
  <c r="FB25" i="54"/>
  <c r="AH13" i="54"/>
  <c r="BN33" i="54"/>
  <c r="BO13" i="54"/>
  <c r="CG33" i="54"/>
  <c r="AZ39" i="54"/>
  <c r="EJ40" i="54"/>
  <c r="FM17" i="54"/>
  <c r="BO41" i="54"/>
  <c r="BD21" i="54"/>
  <c r="FK6" i="54"/>
  <c r="FQ11" i="54"/>
  <c r="EZ25" i="54"/>
  <c r="DJ17" i="54"/>
  <c r="CX6" i="54"/>
  <c r="AZ25" i="54"/>
  <c r="FH39" i="54"/>
  <c r="DE6" i="54"/>
  <c r="CY17" i="54"/>
  <c r="CH27" i="54"/>
  <c r="AH35" i="54"/>
  <c r="BX21" i="54"/>
  <c r="I6" i="56" s="1"/>
  <c r="AY38" i="54"/>
  <c r="FB39" i="54"/>
  <c r="BQ35" i="54"/>
  <c r="BO11" i="54"/>
  <c r="BP15" i="54"/>
  <c r="DN25" i="54"/>
  <c r="EI40" i="54"/>
  <c r="BP33" i="54"/>
  <c r="FC7" i="54"/>
  <c r="FP33" i="54"/>
  <c r="DV38" i="54"/>
  <c r="DA39" i="54"/>
  <c r="DF42" i="54"/>
  <c r="DF61" i="54"/>
  <c r="CY40" i="54"/>
  <c r="CZ17" i="54"/>
  <c r="FQ15" i="54"/>
  <c r="EZ41" i="54"/>
  <c r="CX33" i="54"/>
  <c r="DI33" i="54"/>
  <c r="CX41" i="54"/>
  <c r="FC18" i="54"/>
  <c r="CY18" i="54"/>
  <c r="DA7" i="54"/>
  <c r="DI13" i="54"/>
  <c r="FH11" i="54"/>
  <c r="FR11" i="54" s="1"/>
  <c r="AZ18" i="54"/>
  <c r="FK8" i="54"/>
  <c r="AH18" i="54"/>
  <c r="BN17" i="54"/>
  <c r="BQ18" i="54"/>
  <c r="CG8" i="54"/>
  <c r="EJ17" i="54"/>
  <c r="FC13" i="54"/>
  <c r="DF13" i="54"/>
  <c r="BO8" i="54"/>
  <c r="FM8" i="54"/>
  <c r="DI8" i="54"/>
  <c r="AZ7" i="54"/>
  <c r="FN8" i="54"/>
  <c r="DJ8" i="54"/>
  <c r="FL13" i="54"/>
  <c r="DG13" i="54"/>
  <c r="FG8" i="54"/>
  <c r="CF17" i="54"/>
  <c r="FN17" i="54"/>
  <c r="EI17" i="54"/>
  <c r="AH8" i="54"/>
  <c r="DF17" i="54"/>
  <c r="BQ11" i="54"/>
  <c r="DN15" i="54"/>
  <c r="DI18" i="54"/>
  <c r="BN7" i="54"/>
  <c r="FB7" i="54"/>
  <c r="FQ7" i="54"/>
  <c r="FK7" i="54"/>
  <c r="DW38" i="54"/>
  <c r="DL7" i="54"/>
  <c r="FJ17" i="54"/>
  <c r="DE18" i="54"/>
  <c r="BP31" i="54"/>
  <c r="CE38" i="54"/>
  <c r="P7" i="56" s="1"/>
  <c r="FQ29" i="54"/>
  <c r="FO40" i="54"/>
  <c r="FJ27" i="54"/>
  <c r="EP38" i="54"/>
  <c r="FO7" i="54"/>
  <c r="CF18" i="54"/>
  <c r="DF29" i="54"/>
  <c r="BI21" i="54"/>
  <c r="FC11" i="54"/>
  <c r="EY38" i="54"/>
  <c r="FM27" i="54"/>
  <c r="AY21" i="54"/>
  <c r="CL38" i="54"/>
  <c r="E19" i="56" s="1"/>
  <c r="BP18" i="54"/>
  <c r="CZ7" i="54"/>
  <c r="DO7" i="54"/>
  <c r="FP29" i="54"/>
  <c r="BJ38" i="54"/>
  <c r="AZ8" i="54"/>
  <c r="BM38" i="54"/>
  <c r="AZ32" i="54"/>
  <c r="EJ42" i="54"/>
  <c r="CX18" i="54"/>
  <c r="DE29" i="54"/>
  <c r="BO31" i="54"/>
  <c r="BP11" i="54"/>
  <c r="DY38" i="54"/>
  <c r="AH39" i="54"/>
  <c r="BQ15" i="54"/>
  <c r="AH15" i="54"/>
  <c r="BN18" i="54"/>
  <c r="DE33" i="54"/>
  <c r="DH15" i="54"/>
  <c r="FG32" i="54"/>
  <c r="AF21" i="54"/>
  <c r="DO41" i="54"/>
  <c r="DI11" i="54"/>
  <c r="FM13" i="54"/>
  <c r="EI39" i="54"/>
  <c r="FM33" i="54"/>
  <c r="BW21" i="54"/>
  <c r="H6" i="56" s="1"/>
  <c r="CU21" i="54"/>
  <c r="N18" i="56" s="1"/>
  <c r="CY41" i="54"/>
  <c r="BQ31" i="54"/>
  <c r="DH13" i="54"/>
  <c r="BP63" i="54"/>
  <c r="FB17" i="54"/>
  <c r="DF11" i="54"/>
  <c r="CZ40" i="54"/>
  <c r="FN13" i="54"/>
  <c r="CF13" i="54"/>
  <c r="FN52" i="54"/>
  <c r="EG21" i="54"/>
  <c r="DE41" i="54"/>
  <c r="DJ35" i="54"/>
  <c r="BQ27" i="54"/>
  <c r="FJ31" i="54"/>
  <c r="FH8" i="54"/>
  <c r="AZ27" i="54"/>
  <c r="BO7" i="54"/>
  <c r="DN18" i="54"/>
  <c r="FH32" i="54"/>
  <c r="CQ21" i="54"/>
  <c r="J18" i="56" s="1"/>
  <c r="BN31" i="54"/>
  <c r="DN17" i="54"/>
  <c r="DA27" i="54"/>
  <c r="CH29" i="54"/>
  <c r="FP41" i="54"/>
  <c r="FP18" i="54"/>
  <c r="DH40" i="54"/>
  <c r="BM21" i="54"/>
  <c r="FA31" i="54"/>
  <c r="FK31" i="54"/>
  <c r="BP8" i="54"/>
  <c r="DE25" i="54"/>
  <c r="EI13" i="54"/>
  <c r="FJ18" i="54"/>
  <c r="FP11" i="54"/>
  <c r="DI29" i="54"/>
  <c r="DF41" i="54"/>
  <c r="DJ27" i="54"/>
  <c r="FL39" i="54"/>
  <c r="FK25" i="54"/>
  <c r="EI32" i="54"/>
  <c r="FI6" i="54"/>
  <c r="FJ6" i="54"/>
  <c r="EI6" i="54"/>
  <c r="FQ6" i="54"/>
  <c r="BO6" i="54"/>
  <c r="FK22" i="54"/>
  <c r="EA21" i="54"/>
  <c r="BQ22" i="54"/>
  <c r="BK21" i="54"/>
  <c r="BU38" i="54"/>
  <c r="F7" i="56" s="1"/>
  <c r="CN38" i="54"/>
  <c r="G19" i="56" s="1"/>
  <c r="FB29" i="54"/>
  <c r="EP21" i="54"/>
  <c r="DL40" i="54"/>
  <c r="DI39" i="54"/>
  <c r="CS38" i="54"/>
  <c r="L19" i="56" s="1"/>
  <c r="CG11" i="54"/>
  <c r="CD21" i="54"/>
  <c r="O6" i="56" s="1"/>
  <c r="FF42" i="54"/>
  <c r="BH38" i="54"/>
  <c r="BE21" i="54"/>
  <c r="BL38" i="54"/>
  <c r="CS21" i="54"/>
  <c r="L18" i="56" s="1"/>
  <c r="EK40" i="54"/>
  <c r="AW21" i="54"/>
  <c r="DE7" i="54"/>
  <c r="AG38" i="54"/>
  <c r="EJ13" i="54"/>
  <c r="FJ32" i="54"/>
  <c r="AH29" i="54"/>
  <c r="EE21" i="54"/>
  <c r="EO21" i="54"/>
  <c r="AE38" i="54"/>
  <c r="EU38" i="54"/>
  <c r="BB21" i="54"/>
  <c r="CX15" i="54"/>
  <c r="CR21" i="54"/>
  <c r="K18" i="56" s="1"/>
  <c r="FC27" i="54"/>
  <c r="CO21" i="54"/>
  <c r="H18" i="56" s="1"/>
  <c r="CZ25" i="54"/>
  <c r="EW21" i="54"/>
  <c r="CC21" i="54"/>
  <c r="N6" i="56" s="1"/>
  <c r="BV38" i="54"/>
  <c r="G7" i="56" s="1"/>
  <c r="BP22" i="54"/>
  <c r="BH21" i="54"/>
  <c r="FB40" i="54"/>
  <c r="EE38" i="54"/>
  <c r="BZ21" i="54"/>
  <c r="K6" i="56" s="1"/>
  <c r="BF21" i="54"/>
  <c r="AZ88" i="54"/>
  <c r="DK8" i="54"/>
  <c r="EZ31" i="54"/>
  <c r="BT21" i="54"/>
  <c r="E6" i="56" s="1"/>
  <c r="EB21" i="54"/>
  <c r="ET21" i="54"/>
  <c r="ER21" i="54"/>
  <c r="FL17" i="54"/>
  <c r="CP38" i="54"/>
  <c r="I19" i="56" s="1"/>
  <c r="DZ38" i="54"/>
  <c r="BG21" i="54"/>
  <c r="FM7" i="54"/>
  <c r="DH6" i="54"/>
  <c r="FC17" i="54"/>
  <c r="DL18" i="54"/>
  <c r="EZ15" i="54"/>
  <c r="FC15" i="54"/>
  <c r="EI31" i="54"/>
  <c r="CL21" i="54"/>
  <c r="E18" i="56" s="1"/>
  <c r="DY21" i="54"/>
  <c r="DW21" i="54"/>
  <c r="FB41" i="54"/>
  <c r="AE21" i="54"/>
  <c r="BE38" i="54"/>
  <c r="DL31" i="54"/>
  <c r="CZ31" i="54"/>
  <c r="EY21" i="54"/>
  <c r="EX21" i="54"/>
  <c r="CV38" i="54"/>
  <c r="O19" i="56" s="1"/>
  <c r="CX39" i="54"/>
  <c r="BY38" i="54"/>
  <c r="J7" i="56" s="1"/>
  <c r="FP8" i="54"/>
  <c r="FM15" i="54"/>
  <c r="ED21" i="54"/>
  <c r="FM22" i="54"/>
  <c r="EC21" i="54"/>
  <c r="EN21" i="54"/>
  <c r="EN38" i="54"/>
  <c r="CA38" i="54"/>
  <c r="L7" i="56" s="1"/>
  <c r="EF38" i="54"/>
  <c r="EB38" i="54"/>
  <c r="BN29" i="54"/>
  <c r="BK38" i="54"/>
  <c r="CH8" i="54"/>
  <c r="DH29" i="54"/>
  <c r="DF22" i="54"/>
  <c r="BV21" i="54"/>
  <c r="G6" i="56" s="1"/>
  <c r="CN21" i="54"/>
  <c r="G18" i="56" s="1"/>
  <c r="CM21" i="54"/>
  <c r="F18" i="56" s="1"/>
  <c r="CW21" i="54"/>
  <c r="P18" i="56" s="1"/>
  <c r="BN22" i="54"/>
  <c r="CW38" i="54"/>
  <c r="P19" i="56" s="1"/>
  <c r="BN42" i="54"/>
  <c r="FB13" i="54"/>
  <c r="CQ38" i="54"/>
  <c r="J19" i="56" s="1"/>
  <c r="CM38" i="54"/>
  <c r="F19" i="56" s="1"/>
  <c r="BC38" i="54"/>
  <c r="BL21" i="54"/>
  <c r="FQ33" i="54"/>
  <c r="AZ63" i="54"/>
  <c r="DE11" i="54"/>
  <c r="FJ8" i="54"/>
  <c r="DL22" i="54"/>
  <c r="CB21" i="54"/>
  <c r="M6" i="56" s="1"/>
  <c r="CB38" i="54"/>
  <c r="M7" i="56" s="1"/>
  <c r="CZ41" i="54"/>
  <c r="FQ13" i="54"/>
  <c r="ER38" i="54"/>
  <c r="EG38" i="54"/>
  <c r="BF38" i="54"/>
  <c r="BO29" i="54"/>
  <c r="BN8" i="54"/>
  <c r="CF42" i="54"/>
  <c r="BO15" i="54"/>
  <c r="BF78" i="54"/>
  <c r="EV38" i="54"/>
  <c r="CU38" i="54"/>
  <c r="N19" i="56" s="1"/>
  <c r="CR38" i="54"/>
  <c r="K19" i="56" s="1"/>
  <c r="BQ33" i="54"/>
  <c r="ED38" i="54"/>
  <c r="FG31" i="54"/>
  <c r="AX38" i="54"/>
  <c r="AG21" i="54"/>
  <c r="EX38" i="54"/>
  <c r="EO38" i="54"/>
  <c r="AH41" i="54"/>
  <c r="FM39" i="54"/>
  <c r="EW38" i="54"/>
  <c r="BW38" i="54"/>
  <c r="H7" i="56" s="1"/>
  <c r="EQ38" i="54"/>
  <c r="BG38" i="54"/>
  <c r="CO38" i="54"/>
  <c r="H19" i="56" s="1"/>
  <c r="AW38" i="54"/>
  <c r="FF25" i="54"/>
  <c r="DF33" i="54"/>
  <c r="FB11" i="54"/>
  <c r="FA15" i="54"/>
  <c r="FK29" i="54"/>
  <c r="EU21" i="54"/>
  <c r="ES21" i="54"/>
  <c r="DA22" i="54"/>
  <c r="CV21" i="54"/>
  <c r="O18" i="56" s="1"/>
  <c r="CC38" i="54"/>
  <c r="N7" i="56" s="1"/>
  <c r="BN39" i="54"/>
  <c r="EJ39" i="54"/>
  <c r="BX38" i="54"/>
  <c r="I7" i="56" s="1"/>
  <c r="BB38" i="54"/>
  <c r="CT38" i="54"/>
  <c r="M19" i="56" s="1"/>
  <c r="FP13" i="54"/>
  <c r="BD38" i="54"/>
  <c r="FL32" i="54"/>
  <c r="DF6" i="54"/>
  <c r="BN15" i="54"/>
  <c r="BP29" i="54"/>
  <c r="BJ21" i="54"/>
  <c r="CG17" i="54"/>
  <c r="FH33" i="54"/>
  <c r="EF21" i="54"/>
  <c r="DZ21" i="54"/>
  <c r="DX21" i="54"/>
  <c r="EQ21" i="54"/>
  <c r="CH22" i="54"/>
  <c r="CA21" i="54"/>
  <c r="L6" i="56" s="1"/>
  <c r="DK40" i="54"/>
  <c r="BQ39" i="54"/>
  <c r="AV38" i="54"/>
  <c r="BI38" i="54"/>
  <c r="BO32" i="54"/>
  <c r="DF40" i="54"/>
  <c r="BO25" i="54"/>
  <c r="CX42" i="54"/>
  <c r="FH31" i="54"/>
  <c r="DI6" i="54"/>
  <c r="FG25" i="54"/>
  <c r="DX38" i="54"/>
  <c r="DK7" i="54"/>
  <c r="CP21" i="54"/>
  <c r="I18" i="56" s="1"/>
  <c r="FN29" i="54"/>
  <c r="EZ35" i="54"/>
  <c r="DV21" i="54"/>
  <c r="FG39" i="54"/>
  <c r="FP40" i="54"/>
  <c r="ES38" i="54"/>
  <c r="DD13" i="54"/>
  <c r="CY31" i="54"/>
  <c r="BP6" i="54"/>
  <c r="FH25" i="54"/>
  <c r="CZ18" i="54"/>
  <c r="BU21" i="54"/>
  <c r="F6" i="56" s="1"/>
  <c r="DO22" i="54"/>
  <c r="CE21" i="54"/>
  <c r="P6" i="56" s="1"/>
  <c r="CD38" i="54"/>
  <c r="O7" i="56" s="1"/>
  <c r="AD38" i="54"/>
  <c r="FJ39" i="54"/>
  <c r="BO42" i="54"/>
  <c r="BT38" i="54"/>
  <c r="E7" i="56" s="1"/>
  <c r="BQ32" i="54"/>
  <c r="CX40" i="54"/>
  <c r="BC21" i="54"/>
  <c r="FI31" i="54"/>
  <c r="DA29" i="54"/>
  <c r="FI25" i="54"/>
  <c r="AX21" i="54"/>
  <c r="CG18" i="54"/>
  <c r="EZ8" i="54"/>
  <c r="BY21" i="54"/>
  <c r="J6" i="56" s="1"/>
  <c r="AH22" i="54"/>
  <c r="AD21" i="54"/>
  <c r="EV21" i="54"/>
  <c r="DE39" i="54"/>
  <c r="AF38" i="54"/>
  <c r="FQ39" i="54"/>
  <c r="ET38" i="54"/>
  <c r="DI35" i="54"/>
  <c r="DI27" i="54"/>
  <c r="EZ11" i="54"/>
  <c r="EC38" i="54"/>
  <c r="EA38" i="54"/>
  <c r="BZ38" i="54"/>
  <c r="K7" i="56" s="1"/>
  <c r="AV21" i="54"/>
  <c r="FQ8" i="54"/>
  <c r="DD6" i="54"/>
  <c r="CF6" i="54"/>
  <c r="EH6" i="54"/>
  <c r="CH11" i="54"/>
  <c r="CG13" i="54"/>
  <c r="FA39" i="54"/>
  <c r="CF32" i="54"/>
  <c r="DD32" i="54"/>
  <c r="DA8" i="54"/>
  <c r="CZ22" i="54"/>
  <c r="CY22" i="54"/>
  <c r="CG27" i="54"/>
  <c r="DA35" i="54"/>
  <c r="DH7" i="54"/>
  <c r="DN8" i="54"/>
  <c r="DA25" i="54"/>
  <c r="DL32" i="54"/>
  <c r="EH25" i="54"/>
  <c r="CZ32" i="54"/>
  <c r="EK32" i="54"/>
  <c r="FO32" i="54"/>
  <c r="FP6" i="54"/>
  <c r="DD25" i="54"/>
  <c r="CF25" i="54"/>
  <c r="BP75" i="54"/>
  <c r="EJ7" i="54"/>
  <c r="FJ33" i="54"/>
  <c r="CX27" i="54"/>
  <c r="AH33" i="54"/>
  <c r="FA42" i="54"/>
  <c r="BP32" i="54"/>
  <c r="AZ35" i="54"/>
  <c r="FN7" i="54"/>
  <c r="DF7" i="54"/>
  <c r="FJ25" i="54"/>
  <c r="FB18" i="54"/>
  <c r="FA32" i="54"/>
  <c r="FM35" i="54"/>
  <c r="FQ22" i="54"/>
  <c r="EZ40" i="54"/>
  <c r="CX17" i="54"/>
  <c r="DD17" i="54"/>
  <c r="FQ18" i="54"/>
  <c r="CX7" i="54"/>
  <c r="FA6" i="54"/>
  <c r="FN6" i="54"/>
  <c r="DI58" i="54"/>
  <c r="FH13" i="54"/>
  <c r="EZ13" i="54"/>
  <c r="DA18" i="54"/>
  <c r="CX11" i="54"/>
  <c r="DO8" i="54"/>
  <c r="FA33" i="54"/>
  <c r="DA33" i="54"/>
  <c r="FG29" i="54"/>
  <c r="DN22" i="54"/>
  <c r="FH40" i="54"/>
  <c r="EK17" i="54"/>
  <c r="FO17" i="54"/>
  <c r="FB42" i="54"/>
  <c r="FL42" i="54"/>
  <c r="FQ32" i="54"/>
  <c r="CF40" i="54"/>
  <c r="FM32" i="54"/>
  <c r="BQ7" i="54"/>
  <c r="FQ31" i="54"/>
  <c r="CY6" i="54"/>
  <c r="DD7" i="54"/>
  <c r="DA13" i="54"/>
  <c r="DK33" i="54"/>
  <c r="DN27" i="54"/>
  <c r="CY32" i="54"/>
  <c r="DI32" i="54"/>
  <c r="FC6" i="54"/>
  <c r="CY7" i="54"/>
  <c r="DG31" i="54"/>
  <c r="BQ6" i="54"/>
  <c r="DI7" i="54"/>
  <c r="EJ6" i="54"/>
  <c r="FL6" i="54"/>
  <c r="DF25" i="54"/>
  <c r="DL13" i="54"/>
  <c r="CY29" i="54"/>
  <c r="DO33" i="54"/>
  <c r="DE17" i="54"/>
  <c r="FC32" i="54"/>
  <c r="DG6" i="54"/>
  <c r="CG6" i="54"/>
  <c r="FM6" i="54"/>
  <c r="EJ25" i="54"/>
  <c r="FL25" i="54"/>
  <c r="CZ13" i="54"/>
  <c r="CX13" i="54"/>
  <c r="AH7" i="54"/>
  <c r="DL27" i="54"/>
  <c r="DA42" i="54"/>
  <c r="CZ6" i="54"/>
  <c r="CI11" i="54"/>
  <c r="DM11" i="54"/>
  <c r="EK13" i="54"/>
  <c r="FO13" i="54"/>
  <c r="DD31" i="54"/>
  <c r="CF31" i="54"/>
  <c r="FP61" i="54"/>
  <c r="FJ7" i="54"/>
  <c r="DE27" i="54"/>
  <c r="DN32" i="54"/>
  <c r="FI32" i="54"/>
  <c r="FQ42" i="54"/>
  <c r="CZ27" i="54"/>
  <c r="BN32" i="54"/>
  <c r="DJ13" i="54"/>
  <c r="BP47" i="54"/>
  <c r="FG7" i="54"/>
  <c r="FK27" i="54"/>
  <c r="FH35" i="54"/>
  <c r="FG35" i="54"/>
  <c r="FA27" i="54"/>
  <c r="EH42" i="54"/>
  <c r="FP32" i="54"/>
  <c r="FK18" i="54"/>
  <c r="DO17" i="54"/>
  <c r="AH17" i="54"/>
  <c r="CG35" i="54"/>
  <c r="EZ39" i="54"/>
  <c r="FC40" i="54"/>
  <c r="EJ31" i="54"/>
  <c r="FL31" i="54"/>
  <c r="FA18" i="54"/>
  <c r="AZ15" i="54"/>
  <c r="DL29" i="54"/>
  <c r="AZ41" i="54"/>
  <c r="DN13" i="54"/>
  <c r="DO6" i="54"/>
  <c r="DN7" i="54"/>
  <c r="DK42" i="54"/>
  <c r="DN40" i="54"/>
  <c r="FN39" i="54"/>
  <c r="CY13" i="54"/>
  <c r="BO22" i="54"/>
  <c r="DA6" i="54"/>
  <c r="FP42" i="54"/>
  <c r="DH32" i="54"/>
  <c r="FA25" i="54"/>
  <c r="DG32" i="54"/>
  <c r="CX25" i="54"/>
  <c r="DG62" i="54"/>
  <c r="DA17" i="54"/>
  <c r="FN41" i="54"/>
  <c r="BO39" i="54"/>
  <c r="FC42" i="54"/>
  <c r="FO42" i="54"/>
  <c r="FN32" i="54"/>
  <c r="FI42" i="54"/>
  <c r="CG32" i="54"/>
  <c r="BP7" i="54"/>
  <c r="CY25" i="54"/>
  <c r="CG7" i="54"/>
  <c r="DG7" i="54"/>
  <c r="EK31" i="54"/>
  <c r="FC25" i="54"/>
  <c r="FA13" i="54"/>
  <c r="DA15" i="54"/>
  <c r="BP13" i="54"/>
  <c r="FA40" i="54"/>
  <c r="CZ35" i="54"/>
  <c r="CZ33" i="54"/>
  <c r="DJ33" i="54"/>
  <c r="FB32" i="54"/>
  <c r="CX32" i="54"/>
  <c r="FB6" i="54"/>
  <c r="FC31" i="54"/>
  <c r="CZ8" i="54"/>
  <c r="EK6" i="54"/>
  <c r="FO6" i="54"/>
  <c r="DJ6" i="54"/>
  <c r="CG39" i="54"/>
  <c r="DG39" i="54"/>
  <c r="BP39" i="54"/>
  <c r="CF39" i="54"/>
  <c r="DD39" i="54"/>
  <c r="DD41" i="54"/>
  <c r="CF41" i="54"/>
  <c r="FF41" i="54"/>
  <c r="EH41" i="54"/>
  <c r="FA41" i="54"/>
  <c r="FO41" i="54"/>
  <c r="EK41" i="54"/>
  <c r="CZ39" i="54"/>
  <c r="DJ42" i="54"/>
  <c r="CH42" i="54"/>
  <c r="DM40" i="54"/>
  <c r="CI40" i="54"/>
  <c r="DN41" i="54"/>
  <c r="FI39" i="54"/>
  <c r="EI41" i="54"/>
  <c r="FI41" i="54"/>
  <c r="CH39" i="54"/>
  <c r="DJ39" i="54"/>
  <c r="DA41" i="54"/>
  <c r="DA40" i="54"/>
  <c r="FJ41" i="54"/>
  <c r="DK39" i="54"/>
  <c r="CH40" i="54"/>
  <c r="DJ40" i="54"/>
  <c r="BN41" i="54"/>
  <c r="FQ41" i="54"/>
  <c r="FK41" i="54"/>
  <c r="DG41" i="54"/>
  <c r="CG41" i="54"/>
  <c r="CI41" i="54"/>
  <c r="DL39" i="54"/>
  <c r="CG40" i="54"/>
  <c r="DM41" i="54"/>
  <c r="EK42" i="54"/>
  <c r="DL42" i="54"/>
  <c r="DH41" i="54"/>
  <c r="BP40" i="54"/>
  <c r="FF40" i="54"/>
  <c r="EH40" i="54"/>
  <c r="EJ41" i="54"/>
  <c r="FL41" i="54"/>
  <c r="CI39" i="54"/>
  <c r="DM39" i="54"/>
  <c r="AH42" i="54"/>
  <c r="DO40" i="54"/>
  <c r="FC41" i="54"/>
  <c r="DI41" i="54"/>
  <c r="EK39" i="54"/>
  <c r="FO39" i="54"/>
  <c r="DN39" i="54"/>
  <c r="FG40" i="54"/>
  <c r="CZ42" i="54"/>
  <c r="FM41" i="54"/>
  <c r="DH42" i="54"/>
  <c r="CG42" i="54"/>
  <c r="DJ41" i="54"/>
  <c r="DO39" i="54"/>
  <c r="DM42" i="54"/>
  <c r="CI42" i="54"/>
  <c r="FC39" i="54"/>
  <c r="FF39" i="54"/>
  <c r="EH39" i="54"/>
  <c r="DG22" i="54"/>
  <c r="CG22" i="54"/>
  <c r="FL27" i="54"/>
  <c r="EJ27" i="54"/>
  <c r="DD22" i="54"/>
  <c r="CF22" i="54"/>
  <c r="FL33" i="54"/>
  <c r="EJ33" i="54"/>
  <c r="DJ25" i="54"/>
  <c r="CH25" i="54"/>
  <c r="DG25" i="54"/>
  <c r="CG25" i="54"/>
  <c r="FF35" i="54"/>
  <c r="EH35" i="54"/>
  <c r="EI29" i="54"/>
  <c r="FI29" i="54"/>
  <c r="FF22" i="54"/>
  <c r="EH22" i="54"/>
  <c r="FF32" i="54"/>
  <c r="EH32" i="54"/>
  <c r="DH31" i="54"/>
  <c r="CG31" i="54"/>
  <c r="DO35" i="54"/>
  <c r="DM31" i="54"/>
  <c r="CI31" i="54"/>
  <c r="DO32" i="54"/>
  <c r="FB33" i="54"/>
  <c r="FO29" i="54"/>
  <c r="EK29" i="54"/>
  <c r="FF33" i="54"/>
  <c r="EH33" i="54"/>
  <c r="AH25" i="54"/>
  <c r="FO27" i="54"/>
  <c r="EK27" i="54"/>
  <c r="FI33" i="54"/>
  <c r="EI33" i="54"/>
  <c r="FC35" i="54"/>
  <c r="FN22" i="54"/>
  <c r="FC22" i="54"/>
  <c r="EZ27" i="54"/>
  <c r="CY27" i="54"/>
  <c r="DK31" i="54"/>
  <c r="FL35" i="54"/>
  <c r="EJ35" i="54"/>
  <c r="DD29" i="54"/>
  <c r="CF29" i="54"/>
  <c r="EJ22" i="54"/>
  <c r="FL22" i="54"/>
  <c r="DM29" i="54"/>
  <c r="CI29" i="54"/>
  <c r="DD27" i="54"/>
  <c r="CF27" i="54"/>
  <c r="CZ29" i="54"/>
  <c r="CX35" i="54"/>
  <c r="FB35" i="54"/>
  <c r="CX22" i="54"/>
  <c r="DG29" i="54"/>
  <c r="CG29" i="54"/>
  <c r="DA31" i="54"/>
  <c r="FI35" i="54"/>
  <c r="EI35" i="54"/>
  <c r="FJ29" i="54"/>
  <c r="FB22" i="54"/>
  <c r="DM22" i="54"/>
  <c r="CI22" i="54"/>
  <c r="DJ31" i="54"/>
  <c r="CH31" i="54"/>
  <c r="FP22" i="54"/>
  <c r="CH35" i="54"/>
  <c r="EI22" i="54"/>
  <c r="FI22" i="54"/>
  <c r="EZ29" i="54"/>
  <c r="DD33" i="54"/>
  <c r="FI27" i="54"/>
  <c r="EI27" i="54"/>
  <c r="FN27" i="54"/>
  <c r="EZ33" i="54"/>
  <c r="FF27" i="54"/>
  <c r="EH27" i="54"/>
  <c r="FG22" i="54"/>
  <c r="DM25" i="54"/>
  <c r="CI25" i="54"/>
  <c r="DE22" i="54"/>
  <c r="DN33" i="54"/>
  <c r="DO27" i="54"/>
  <c r="DI22" i="54"/>
  <c r="DM32" i="54"/>
  <c r="CI32" i="54"/>
  <c r="DA32" i="54"/>
  <c r="CI33" i="54"/>
  <c r="DM33" i="54"/>
  <c r="CI35" i="54"/>
  <c r="DM35" i="54"/>
  <c r="EZ22" i="54"/>
  <c r="FF31" i="54"/>
  <c r="FO35" i="54"/>
  <c r="EK35" i="54"/>
  <c r="CH32" i="54"/>
  <c r="DJ32" i="54"/>
  <c r="FA29" i="54"/>
  <c r="CH33" i="54"/>
  <c r="CY35" i="54"/>
  <c r="DL25" i="54"/>
  <c r="FK35" i="54"/>
  <c r="AH31" i="54"/>
  <c r="FH29" i="54"/>
  <c r="FF29" i="54"/>
  <c r="EH29" i="54"/>
  <c r="DD35" i="54"/>
  <c r="CF35" i="54"/>
  <c r="FC29" i="54"/>
  <c r="DO29" i="54"/>
  <c r="EK25" i="54"/>
  <c r="DJ29" i="54"/>
  <c r="DH22" i="54"/>
  <c r="FG33" i="54"/>
  <c r="FM29" i="54"/>
  <c r="EJ29" i="54"/>
  <c r="FL29" i="54"/>
  <c r="FJ22" i="54"/>
  <c r="CI27" i="54"/>
  <c r="DM27" i="54"/>
  <c r="DK29" i="54"/>
  <c r="FK33" i="54"/>
  <c r="CX29" i="54"/>
  <c r="DJ22" i="54"/>
  <c r="FN35" i="54"/>
  <c r="DK25" i="54"/>
  <c r="EZ32" i="54"/>
  <c r="EK22" i="54"/>
  <c r="FO22" i="54"/>
  <c r="FB27" i="54"/>
  <c r="DN35" i="54"/>
  <c r="FH22" i="54"/>
  <c r="FA22" i="54"/>
  <c r="DK22" i="54"/>
  <c r="DG27" i="54"/>
  <c r="FR6" i="54"/>
  <c r="FL15" i="54"/>
  <c r="EJ15" i="54"/>
  <c r="FI18" i="54"/>
  <c r="EI18" i="54"/>
  <c r="EI11" i="54"/>
  <c r="FI11" i="54"/>
  <c r="CH18" i="54"/>
  <c r="DJ18" i="54"/>
  <c r="CI15" i="54"/>
  <c r="DM15" i="54"/>
  <c r="BQ13" i="54"/>
  <c r="EZ18" i="54"/>
  <c r="AH11" i="54"/>
  <c r="DE8" i="54"/>
  <c r="EH11" i="54"/>
  <c r="DM17" i="54"/>
  <c r="CI17" i="54"/>
  <c r="FA17" i="54"/>
  <c r="DM13" i="54"/>
  <c r="CI13" i="54"/>
  <c r="FK11" i="54"/>
  <c r="FB8" i="54"/>
  <c r="FF17" i="54"/>
  <c r="EH17" i="54"/>
  <c r="FO8" i="54"/>
  <c r="EK8" i="54"/>
  <c r="DO15" i="54"/>
  <c r="FN15" i="54"/>
  <c r="EI8" i="54"/>
  <c r="FI8" i="54"/>
  <c r="CY8" i="54"/>
  <c r="FF15" i="54"/>
  <c r="EH15" i="54"/>
  <c r="EJ11" i="54"/>
  <c r="FL11" i="54"/>
  <c r="DD8" i="54"/>
  <c r="CF8" i="54"/>
  <c r="FA7" i="54"/>
  <c r="DD15" i="54"/>
  <c r="CF15" i="54"/>
  <c r="CI7" i="54"/>
  <c r="DM7" i="54"/>
  <c r="FG17" i="54"/>
  <c r="FF18" i="54"/>
  <c r="EH18" i="54"/>
  <c r="CI18" i="54"/>
  <c r="DM18" i="54"/>
  <c r="FH7" i="54"/>
  <c r="DI15" i="54"/>
  <c r="FF7" i="54"/>
  <c r="EH7" i="54"/>
  <c r="EZ7" i="54"/>
  <c r="FG15" i="54"/>
  <c r="CY15" i="54"/>
  <c r="FO11" i="54"/>
  <c r="EK11" i="54"/>
  <c r="DO18" i="54"/>
  <c r="DF8" i="54"/>
  <c r="FO15" i="54"/>
  <c r="EK15" i="54"/>
  <c r="FI13" i="54"/>
  <c r="DG15" i="54"/>
  <c r="CG15" i="54"/>
  <c r="FG18" i="54"/>
  <c r="DM6" i="54"/>
  <c r="CI6" i="54"/>
  <c r="FM11" i="54"/>
  <c r="FC8" i="54"/>
  <c r="FH15" i="54"/>
  <c r="DE15" i="54"/>
  <c r="DK17" i="54"/>
  <c r="CH17" i="54"/>
  <c r="DK6" i="54"/>
  <c r="CH6" i="54"/>
  <c r="FL8" i="54"/>
  <c r="EJ8" i="54"/>
  <c r="BP17" i="54"/>
  <c r="FF13" i="54"/>
  <c r="EH13" i="54"/>
  <c r="EZ17" i="54"/>
  <c r="FI7" i="54"/>
  <c r="EI7" i="54"/>
  <c r="CX8" i="54"/>
  <c r="FI15" i="54"/>
  <c r="EI15" i="54"/>
  <c r="FP15" i="54"/>
  <c r="AH6" i="54"/>
  <c r="DO13" i="54"/>
  <c r="DN6" i="54"/>
  <c r="FN11" i="54"/>
  <c r="EZ6" i="54"/>
  <c r="FB15" i="54"/>
  <c r="FL18" i="54"/>
  <c r="EJ18" i="54"/>
  <c r="DL17" i="54"/>
  <c r="FJ15" i="54"/>
  <c r="EH8" i="54"/>
  <c r="FF8" i="54"/>
  <c r="FG13" i="54"/>
  <c r="FH18" i="54"/>
  <c r="CF11" i="54"/>
  <c r="DD11" i="54"/>
  <c r="DD18" i="54"/>
  <c r="CH7" i="54"/>
  <c r="DG8" i="54"/>
  <c r="FH17" i="54"/>
  <c r="DK13" i="54"/>
  <c r="CH13" i="54"/>
  <c r="DA11" i="54"/>
  <c r="DO11" i="54"/>
  <c r="CY11" i="54"/>
  <c r="DJ15" i="54"/>
  <c r="CH15" i="54"/>
  <c r="FK15" i="54"/>
  <c r="FA8" i="54"/>
  <c r="CI8" i="54"/>
  <c r="DM8" i="54"/>
  <c r="FQ73" i="54"/>
  <c r="BO88" i="54"/>
  <c r="BO74" i="54"/>
  <c r="CG87" i="54"/>
  <c r="DE61" i="54"/>
  <c r="DK73" i="54"/>
  <c r="FC62" i="54"/>
  <c r="FK59" i="54"/>
  <c r="FB61" i="54"/>
  <c r="FC54" i="54"/>
  <c r="BN75" i="54"/>
  <c r="DF75" i="54"/>
  <c r="AZ67" i="54"/>
  <c r="CF57" i="54"/>
  <c r="EK74" i="54"/>
  <c r="CG47" i="54"/>
  <c r="CX61" i="54"/>
  <c r="DI47" i="54"/>
  <c r="DE63" i="54"/>
  <c r="BO67" i="54"/>
  <c r="CF87" i="54"/>
  <c r="DF73" i="54"/>
  <c r="DK88" i="54"/>
  <c r="FQ87" i="54"/>
  <c r="DF62" i="54"/>
  <c r="FP73" i="54"/>
  <c r="BD66" i="54"/>
  <c r="AH75" i="54"/>
  <c r="AD78" i="54"/>
  <c r="BN61" i="54"/>
  <c r="FC58" i="54"/>
  <c r="BN87" i="54"/>
  <c r="BN57" i="54"/>
  <c r="BP58" i="54"/>
  <c r="FQ75" i="54"/>
  <c r="FG74" i="54"/>
  <c r="AH87" i="54"/>
  <c r="DL87" i="54"/>
  <c r="BQ55" i="54"/>
  <c r="CZ87" i="54"/>
  <c r="BO59" i="54"/>
  <c r="CC78" i="54"/>
  <c r="N12" i="56" s="1"/>
  <c r="BG66" i="54"/>
  <c r="FQ61" i="54"/>
  <c r="FQ58" i="54"/>
  <c r="DX66" i="54"/>
  <c r="AE66" i="54"/>
  <c r="DJ59" i="54"/>
  <c r="BP74" i="54"/>
  <c r="DE87" i="54"/>
  <c r="FN63" i="54"/>
  <c r="DI87" i="54"/>
  <c r="BO57" i="54"/>
  <c r="CG54" i="54"/>
  <c r="DO57" i="54"/>
  <c r="DL57" i="54"/>
  <c r="CG55" i="54"/>
  <c r="AH62" i="54"/>
  <c r="CG59" i="54"/>
  <c r="BP59" i="54"/>
  <c r="BH66" i="54"/>
  <c r="AY66" i="54"/>
  <c r="EK62" i="54"/>
  <c r="DI67" i="54"/>
  <c r="DI54" i="54"/>
  <c r="CY57" i="54"/>
  <c r="FH58" i="54"/>
  <c r="FQ63" i="54"/>
  <c r="CZ61" i="54"/>
  <c r="BP57" i="54"/>
  <c r="DJ54" i="54"/>
  <c r="DH59" i="54"/>
  <c r="DL61" i="54"/>
  <c r="DL54" i="54"/>
  <c r="BD78" i="54"/>
  <c r="BQ75" i="54"/>
  <c r="FN62" i="54"/>
  <c r="DH52" i="54"/>
  <c r="CF58" i="54"/>
  <c r="FK61" i="54"/>
  <c r="DN62" i="54"/>
  <c r="BQ58" i="54"/>
  <c r="DL75" i="54"/>
  <c r="BN88" i="54"/>
  <c r="DE67" i="54"/>
  <c r="BO63" i="54"/>
  <c r="CG58" i="54"/>
  <c r="BC66" i="54"/>
  <c r="BN58" i="54"/>
  <c r="AZ73" i="54"/>
  <c r="DD61" i="54"/>
  <c r="CX57" i="54"/>
  <c r="DH58" i="54"/>
  <c r="DG54" i="54"/>
  <c r="DL59" i="54"/>
  <c r="FK63" i="54"/>
  <c r="FH63" i="54"/>
  <c r="AZ57" i="54"/>
  <c r="DJ57" i="54"/>
  <c r="DF57" i="54"/>
  <c r="CX47" i="54"/>
  <c r="BP55" i="54"/>
  <c r="BO55" i="54"/>
  <c r="FG57" i="54"/>
  <c r="DK61" i="54"/>
  <c r="BP61" i="54"/>
  <c r="DD47" i="54"/>
  <c r="CY58" i="54"/>
  <c r="DG58" i="54"/>
  <c r="DE62" i="54"/>
  <c r="FN57" i="54"/>
  <c r="FB57" i="54"/>
  <c r="BO61" i="54"/>
  <c r="BQ59" i="54"/>
  <c r="BP67" i="54"/>
  <c r="FQ62" i="54"/>
  <c r="EK73" i="54"/>
  <c r="BN62" i="54"/>
  <c r="EJ61" i="54"/>
  <c r="FC73" i="54"/>
  <c r="DO88" i="54"/>
  <c r="BP87" i="54"/>
  <c r="DK87" i="54"/>
  <c r="BO87" i="54"/>
  <c r="BQ88" i="54"/>
  <c r="DI88" i="54"/>
  <c r="AH88" i="54"/>
  <c r="DH88" i="54"/>
  <c r="CY87" i="54"/>
  <c r="BZ78" i="54"/>
  <c r="K12" i="56" s="1"/>
  <c r="DG87" i="54"/>
  <c r="BG78" i="54"/>
  <c r="FG61" i="54"/>
  <c r="DK63" i="54"/>
  <c r="AH63" i="54"/>
  <c r="BO62" i="54"/>
  <c r="FO62" i="54"/>
  <c r="BQ62" i="54"/>
  <c r="DI63" i="54"/>
  <c r="FC61" i="54"/>
  <c r="DI62" i="54"/>
  <c r="AZ62" i="54"/>
  <c r="BJ46" i="54"/>
  <c r="DH63" i="54"/>
  <c r="AZ61" i="54"/>
  <c r="DO61" i="54"/>
  <c r="FH62" i="54"/>
  <c r="DK62" i="54"/>
  <c r="DJ63" i="54"/>
  <c r="FG63" i="54"/>
  <c r="DO62" i="54"/>
  <c r="FG62" i="54"/>
  <c r="BP62" i="54"/>
  <c r="BN63" i="54"/>
  <c r="DL63" i="54"/>
  <c r="CH63" i="54"/>
  <c r="DF63" i="54"/>
  <c r="CF62" i="54"/>
  <c r="AH61" i="54"/>
  <c r="DO58" i="54"/>
  <c r="DF59" i="54"/>
  <c r="DA58" i="54"/>
  <c r="FH57" i="54"/>
  <c r="AZ58" i="54"/>
  <c r="DE58" i="54"/>
  <c r="AH59" i="54"/>
  <c r="BN59" i="54"/>
  <c r="DE59" i="54"/>
  <c r="FJ59" i="54"/>
  <c r="DK59" i="54"/>
  <c r="AZ59" i="54"/>
  <c r="CZ59" i="54"/>
  <c r="FN59" i="54"/>
  <c r="FJ58" i="54"/>
  <c r="BO58" i="54"/>
  <c r="FO57" i="54"/>
  <c r="FQ57" i="54"/>
  <c r="FJ57" i="54"/>
  <c r="DH57" i="54"/>
  <c r="EJ57" i="54"/>
  <c r="FK57" i="54"/>
  <c r="BQ57" i="54"/>
  <c r="FO61" i="54"/>
  <c r="DF55" i="54"/>
  <c r="BQ61" i="54"/>
  <c r="BM66" i="54"/>
  <c r="CH58" i="54"/>
  <c r="FP57" i="54"/>
  <c r="CG75" i="54"/>
  <c r="DN58" i="54"/>
  <c r="DA63" i="54"/>
  <c r="DN74" i="54"/>
  <c r="AH55" i="54"/>
  <c r="DA57" i="54"/>
  <c r="FQ88" i="54"/>
  <c r="EI67" i="54"/>
  <c r="DK57" i="54"/>
  <c r="EK58" i="54"/>
  <c r="DL62" i="54"/>
  <c r="CG57" i="54"/>
  <c r="DG57" i="54"/>
  <c r="EJ67" i="54"/>
  <c r="AH57" i="54"/>
  <c r="FH61" i="54"/>
  <c r="CG61" i="54"/>
  <c r="DF87" i="54"/>
  <c r="BQ67" i="54"/>
  <c r="AV66" i="54"/>
  <c r="BN73" i="54"/>
  <c r="CY59" i="54"/>
  <c r="FG58" i="54"/>
  <c r="CG62" i="54"/>
  <c r="FB73" i="54"/>
  <c r="CV66" i="54"/>
  <c r="O23" i="56" s="1"/>
  <c r="DJ75" i="54"/>
  <c r="CG63" i="54"/>
  <c r="EV78" i="54"/>
  <c r="FC59" i="54"/>
  <c r="BJ66" i="54"/>
  <c r="EK57" i="54"/>
  <c r="DA59" i="54"/>
  <c r="DN63" i="54"/>
  <c r="DI59" i="54"/>
  <c r="FQ55" i="54"/>
  <c r="FJ75" i="54"/>
  <c r="AH73" i="54"/>
  <c r="FQ54" i="54"/>
  <c r="BN55" i="54"/>
  <c r="CX59" i="54"/>
  <c r="CZ62" i="54"/>
  <c r="CY62" i="54"/>
  <c r="DH74" i="54"/>
  <c r="BP88" i="54"/>
  <c r="EA78" i="54"/>
  <c r="AH58" i="54"/>
  <c r="FN61" i="54"/>
  <c r="DI57" i="54"/>
  <c r="BP54" i="54"/>
  <c r="FM47" i="54"/>
  <c r="CY63" i="54"/>
  <c r="DE57" i="54"/>
  <c r="FB52" i="54"/>
  <c r="CQ78" i="54"/>
  <c r="J24" i="56" s="1"/>
  <c r="BO75" i="54"/>
  <c r="FQ59" i="54"/>
  <c r="CF61" i="54"/>
  <c r="DH62" i="54"/>
  <c r="DD57" i="54"/>
  <c r="DG88" i="54"/>
  <c r="BO52" i="54"/>
  <c r="EK87" i="54"/>
  <c r="CZ73" i="54"/>
  <c r="ES78" i="54"/>
  <c r="FC63" i="54"/>
  <c r="CZ57" i="54"/>
  <c r="DI74" i="54"/>
  <c r="CT66" i="54"/>
  <c r="M23" i="56" s="1"/>
  <c r="BY46" i="54"/>
  <c r="J10" i="56" s="1"/>
  <c r="BO73" i="54"/>
  <c r="BP73" i="54"/>
  <c r="DH87" i="54"/>
  <c r="FC87" i="54"/>
  <c r="DL88" i="54"/>
  <c r="EX78" i="54"/>
  <c r="CS78" i="54"/>
  <c r="L24" i="56" s="1"/>
  <c r="EJ47" i="54"/>
  <c r="FN58" i="54"/>
  <c r="CX63" i="54"/>
  <c r="EK61" i="54"/>
  <c r="CZ63" i="54"/>
  <c r="FC57" i="54"/>
  <c r="FJ61" i="54"/>
  <c r="FJ62" i="54"/>
  <c r="FJ63" i="54"/>
  <c r="DD63" i="54"/>
  <c r="CF63" i="54"/>
  <c r="CI63" i="54"/>
  <c r="DM63" i="54"/>
  <c r="FL62" i="54"/>
  <c r="EJ62" i="54"/>
  <c r="FL63" i="54"/>
  <c r="EJ63" i="54"/>
  <c r="CI61" i="54"/>
  <c r="DM61" i="54"/>
  <c r="CI62" i="54"/>
  <c r="DM62" i="54"/>
  <c r="FL61" i="54"/>
  <c r="FO63" i="54"/>
  <c r="EK63" i="54"/>
  <c r="CX62" i="54"/>
  <c r="FB63" i="54"/>
  <c r="DA62" i="54"/>
  <c r="FB62" i="54"/>
  <c r="FI63" i="54"/>
  <c r="EI63" i="54"/>
  <c r="DA61" i="54"/>
  <c r="CH62" i="54"/>
  <c r="DJ62" i="54"/>
  <c r="FI61" i="54"/>
  <c r="EI61" i="54"/>
  <c r="FI62" i="54"/>
  <c r="EI62" i="54"/>
  <c r="CH61" i="54"/>
  <c r="DJ61" i="54"/>
  <c r="DG63" i="54"/>
  <c r="FA61" i="54"/>
  <c r="FA62" i="54"/>
  <c r="FA63" i="54"/>
  <c r="EZ63" i="54"/>
  <c r="FF61" i="54"/>
  <c r="EH61" i="54"/>
  <c r="FF62" i="54"/>
  <c r="EH62" i="54"/>
  <c r="FF63" i="54"/>
  <c r="EH63" i="54"/>
  <c r="DO63" i="54"/>
  <c r="EZ61" i="54"/>
  <c r="EZ62" i="54"/>
  <c r="DD62" i="54"/>
  <c r="FM63" i="54"/>
  <c r="BZ46" i="54"/>
  <c r="K10" i="56" s="1"/>
  <c r="FM62" i="54"/>
  <c r="DN61" i="54"/>
  <c r="CI59" i="54"/>
  <c r="DM59" i="54"/>
  <c r="CH57" i="54"/>
  <c r="FO59" i="54"/>
  <c r="EK59" i="54"/>
  <c r="DD59" i="54"/>
  <c r="CF59" i="54"/>
  <c r="FG59" i="54"/>
  <c r="EZ59" i="54"/>
  <c r="DG59" i="54"/>
  <c r="FL58" i="54"/>
  <c r="EJ58" i="54"/>
  <c r="FL59" i="54"/>
  <c r="EJ59" i="54"/>
  <c r="CI57" i="54"/>
  <c r="DM57" i="54"/>
  <c r="CI58" i="54"/>
  <c r="DM58" i="54"/>
  <c r="FL57" i="54"/>
  <c r="CX58" i="54"/>
  <c r="FB59" i="54"/>
  <c r="FB58" i="54"/>
  <c r="FI59" i="54"/>
  <c r="EI59" i="54"/>
  <c r="FA59" i="54"/>
  <c r="FI57" i="54"/>
  <c r="EI57" i="54"/>
  <c r="FI58" i="54"/>
  <c r="EI58" i="54"/>
  <c r="CH59" i="54"/>
  <c r="FF59" i="54"/>
  <c r="EH59" i="54"/>
  <c r="FA57" i="54"/>
  <c r="FA58" i="54"/>
  <c r="DO59" i="54"/>
  <c r="FF57" i="54"/>
  <c r="EH57" i="54"/>
  <c r="FF58" i="54"/>
  <c r="EH58" i="54"/>
  <c r="EZ58" i="54"/>
  <c r="EZ57" i="54"/>
  <c r="DD58" i="54"/>
  <c r="FO58" i="54"/>
  <c r="DN59" i="54"/>
  <c r="FH59" i="54"/>
  <c r="FM59" i="54"/>
  <c r="FM58" i="54"/>
  <c r="DN57" i="54"/>
  <c r="CN46" i="54"/>
  <c r="G22" i="56" s="1"/>
  <c r="DL55" i="54"/>
  <c r="DK55" i="54"/>
  <c r="CZ55" i="54"/>
  <c r="DJ55" i="54"/>
  <c r="BL46" i="54"/>
  <c r="AX46" i="54"/>
  <c r="DI55" i="54"/>
  <c r="CH54" i="54"/>
  <c r="DF54" i="54"/>
  <c r="BK46" i="54"/>
  <c r="FM55" i="54"/>
  <c r="DN55" i="54"/>
  <c r="AZ55" i="54"/>
  <c r="FN55" i="54"/>
  <c r="DO55" i="54"/>
  <c r="AV46" i="54"/>
  <c r="BQ54" i="54"/>
  <c r="BQ52" i="54"/>
  <c r="BN52" i="54"/>
  <c r="AZ52" i="54"/>
  <c r="DG52" i="54"/>
  <c r="FA55" i="54"/>
  <c r="BG46" i="54"/>
  <c r="CY54" i="54"/>
  <c r="BM46" i="54"/>
  <c r="DX46" i="54"/>
  <c r="AZ54" i="54"/>
  <c r="AE46" i="54"/>
  <c r="DA55" i="54"/>
  <c r="FJ55" i="54"/>
  <c r="FF55" i="54"/>
  <c r="EH55" i="54"/>
  <c r="FC55" i="54"/>
  <c r="FL55" i="54"/>
  <c r="EJ55" i="54"/>
  <c r="CI55" i="54"/>
  <c r="DM55" i="54"/>
  <c r="CX55" i="54"/>
  <c r="EZ55" i="54"/>
  <c r="FK55" i="54"/>
  <c r="FB55" i="54"/>
  <c r="FI55" i="54"/>
  <c r="EI55" i="54"/>
  <c r="CH55" i="54"/>
  <c r="DE55" i="54"/>
  <c r="FO55" i="54"/>
  <c r="EK55" i="54"/>
  <c r="FH55" i="54"/>
  <c r="CY55" i="54"/>
  <c r="DG55" i="54"/>
  <c r="DD55" i="54"/>
  <c r="CF55" i="54"/>
  <c r="FG55" i="54"/>
  <c r="BQ47" i="54"/>
  <c r="EI47" i="54"/>
  <c r="DH73" i="54"/>
  <c r="EB46" i="54"/>
  <c r="FQ74" i="54"/>
  <c r="BQ87" i="54"/>
  <c r="AW78" i="54"/>
  <c r="AF66" i="54"/>
  <c r="FN87" i="54"/>
  <c r="AE78" i="54"/>
  <c r="AW46" i="54"/>
  <c r="BH78" i="54"/>
  <c r="DO73" i="54"/>
  <c r="DJ73" i="54"/>
  <c r="BY66" i="54"/>
  <c r="J11" i="56" s="1"/>
  <c r="CG88" i="54"/>
  <c r="BE66" i="54"/>
  <c r="EZ54" i="54"/>
  <c r="AG78" i="54"/>
  <c r="AZ87" i="54"/>
  <c r="DE54" i="54"/>
  <c r="EN46" i="54"/>
  <c r="DG75" i="54"/>
  <c r="CW66" i="54"/>
  <c r="P23" i="56" s="1"/>
  <c r="DO75" i="54"/>
  <c r="DX78" i="54"/>
  <c r="EX46" i="54"/>
  <c r="DH54" i="54"/>
  <c r="BN74" i="54"/>
  <c r="DZ46" i="54"/>
  <c r="EP46" i="54"/>
  <c r="CB66" i="54"/>
  <c r="M11" i="56" s="1"/>
  <c r="CZ74" i="54"/>
  <c r="DZ78" i="54"/>
  <c r="CF54" i="54"/>
  <c r="EY78" i="54"/>
  <c r="AW66" i="54"/>
  <c r="CX52" i="54"/>
  <c r="CD46" i="54"/>
  <c r="O10" i="56" s="1"/>
  <c r="CB46" i="54"/>
  <c r="M10" i="56" s="1"/>
  <c r="FC74" i="54"/>
  <c r="DW78" i="54"/>
  <c r="CD78" i="54"/>
  <c r="O12" i="56" s="1"/>
  <c r="CW78" i="54"/>
  <c r="P24" i="56" s="1"/>
  <c r="BI66" i="54"/>
  <c r="CP46" i="54"/>
  <c r="I22" i="56" s="1"/>
  <c r="BC78" i="54"/>
  <c r="BI78" i="54"/>
  <c r="DL74" i="54"/>
  <c r="EE78" i="54"/>
  <c r="CB78" i="54"/>
  <c r="M12" i="56" s="1"/>
  <c r="EJ52" i="54"/>
  <c r="CF74" i="54"/>
  <c r="FA87" i="54"/>
  <c r="CN78" i="54"/>
  <c r="G24" i="56" s="1"/>
  <c r="EY46" i="54"/>
  <c r="DK75" i="54"/>
  <c r="BT78" i="54"/>
  <c r="E12" i="56" s="1"/>
  <c r="FK88" i="54"/>
  <c r="CZ54" i="54"/>
  <c r="BX46" i="54"/>
  <c r="I10" i="56" s="1"/>
  <c r="CM46" i="54"/>
  <c r="F22" i="56" s="1"/>
  <c r="AZ74" i="54"/>
  <c r="DA88" i="54"/>
  <c r="FH54" i="54"/>
  <c r="DL52" i="54"/>
  <c r="ER66" i="54"/>
  <c r="EU78" i="54"/>
  <c r="AD46" i="54"/>
  <c r="DJ88" i="54"/>
  <c r="FJ54" i="54"/>
  <c r="DA73" i="54"/>
  <c r="CY73" i="54"/>
  <c r="ET78" i="54"/>
  <c r="CZ52" i="54"/>
  <c r="BF66" i="54"/>
  <c r="ER46" i="54"/>
  <c r="DV66" i="54"/>
  <c r="CF73" i="54"/>
  <c r="DD87" i="54"/>
  <c r="ER78" i="54"/>
  <c r="BL66" i="54"/>
  <c r="DA54" i="54"/>
  <c r="EJ73" i="54"/>
  <c r="BH46" i="54"/>
  <c r="FG52" i="54"/>
  <c r="DN52" i="54"/>
  <c r="CE66" i="54"/>
  <c r="P11" i="56" s="1"/>
  <c r="EO66" i="54"/>
  <c r="EX66" i="54"/>
  <c r="EA46" i="54"/>
  <c r="DL73" i="54"/>
  <c r="AX78" i="54"/>
  <c r="FL52" i="54"/>
  <c r="CC66" i="54"/>
  <c r="N11" i="56" s="1"/>
  <c r="AG66" i="54"/>
  <c r="DY78" i="54"/>
  <c r="CT78" i="54"/>
  <c r="M24" i="56" s="1"/>
  <c r="CP78" i="54"/>
  <c r="I24" i="56" s="1"/>
  <c r="EV46" i="54"/>
  <c r="AY46" i="54"/>
  <c r="BL78" i="54"/>
  <c r="DF52" i="54"/>
  <c r="FO52" i="54"/>
  <c r="DW46" i="54"/>
  <c r="CW46" i="54"/>
  <c r="P22" i="56" s="1"/>
  <c r="EK54" i="54"/>
  <c r="FB88" i="54"/>
  <c r="CG73" i="54"/>
  <c r="DG73" i="54"/>
  <c r="EG66" i="54"/>
  <c r="FQ67" i="54"/>
  <c r="FM67" i="54"/>
  <c r="EC66" i="54"/>
  <c r="DD52" i="54"/>
  <c r="EK52" i="54"/>
  <c r="EQ66" i="54"/>
  <c r="FM73" i="54"/>
  <c r="CH88" i="54"/>
  <c r="EW78" i="54"/>
  <c r="CZ67" i="54"/>
  <c r="CR66" i="54"/>
  <c r="K23" i="56" s="1"/>
  <c r="FB47" i="54"/>
  <c r="ET46" i="54"/>
  <c r="ES46" i="54"/>
  <c r="CN66" i="54"/>
  <c r="G23" i="56" s="1"/>
  <c r="FN47" i="54"/>
  <c r="ED46" i="54"/>
  <c r="DO54" i="54"/>
  <c r="FK75" i="54"/>
  <c r="DE47" i="54"/>
  <c r="BU46" i="54"/>
  <c r="F10" i="56" s="1"/>
  <c r="CT46" i="54"/>
  <c r="M22" i="56" s="1"/>
  <c r="CS46" i="54"/>
  <c r="L22" i="56" s="1"/>
  <c r="CY47" i="54"/>
  <c r="CO46" i="54"/>
  <c r="H22" i="56" s="1"/>
  <c r="BW66" i="54"/>
  <c r="H11" i="56" s="1"/>
  <c r="FK47" i="54"/>
  <c r="CO78" i="54"/>
  <c r="H24" i="56" s="1"/>
  <c r="BE46" i="54"/>
  <c r="AF46" i="54"/>
  <c r="CF67" i="54"/>
  <c r="DD67" i="54"/>
  <c r="BT66" i="54"/>
  <c r="E11" i="56" s="1"/>
  <c r="FC47" i="54"/>
  <c r="EW46" i="54"/>
  <c r="BD46" i="54"/>
  <c r="BK78" i="54"/>
  <c r="CY52" i="54"/>
  <c r="BU66" i="54"/>
  <c r="F11" i="56" s="1"/>
  <c r="FB67" i="54"/>
  <c r="ET66" i="54"/>
  <c r="DD54" i="54"/>
  <c r="FO54" i="54"/>
  <c r="CG74" i="54"/>
  <c r="DI75" i="54"/>
  <c r="FP47" i="54"/>
  <c r="EF46" i="54"/>
  <c r="BB78" i="54"/>
  <c r="CL46" i="54"/>
  <c r="E22" i="56" s="1"/>
  <c r="EQ78" i="54"/>
  <c r="EO78" i="54"/>
  <c r="CV78" i="54"/>
  <c r="O24" i="56" s="1"/>
  <c r="EV66" i="54"/>
  <c r="EB78" i="54"/>
  <c r="EU46" i="54"/>
  <c r="DF74" i="54"/>
  <c r="CQ46" i="54"/>
  <c r="J22" i="56" s="1"/>
  <c r="DY66" i="54"/>
  <c r="AV78" i="54"/>
  <c r="AD66" i="54"/>
  <c r="DY46" i="54"/>
  <c r="CF52" i="54"/>
  <c r="DV78" i="54"/>
  <c r="CA78" i="54"/>
  <c r="L12" i="56" s="1"/>
  <c r="FO87" i="54"/>
  <c r="BV78" i="54"/>
  <c r="G12" i="56" s="1"/>
  <c r="CU46" i="54"/>
  <c r="N22" i="56" s="1"/>
  <c r="BM78" i="54"/>
  <c r="BZ66" i="54"/>
  <c r="K11" i="56" s="1"/>
  <c r="DJ67" i="54"/>
  <c r="CL78" i="54"/>
  <c r="E24" i="56" s="1"/>
  <c r="DH47" i="54"/>
  <c r="EQ46" i="54"/>
  <c r="EO46" i="54"/>
  <c r="CV46" i="54"/>
  <c r="O22" i="56" s="1"/>
  <c r="CE78" i="54"/>
  <c r="P12" i="56" s="1"/>
  <c r="AF78" i="54"/>
  <c r="EF78" i="54"/>
  <c r="BF46" i="54"/>
  <c r="ED66" i="54"/>
  <c r="FN67" i="54"/>
  <c r="BW46" i="54"/>
  <c r="H10" i="56" s="1"/>
  <c r="BN47" i="54"/>
  <c r="BB46" i="54"/>
  <c r="CZ88" i="54"/>
  <c r="AX66" i="54"/>
  <c r="BI46" i="54"/>
  <c r="DV46" i="54"/>
  <c r="CC46" i="54"/>
  <c r="N10" i="56" s="1"/>
  <c r="CA46" i="54"/>
  <c r="L10" i="56" s="1"/>
  <c r="CA66" i="54"/>
  <c r="L11" i="56" s="1"/>
  <c r="DA75" i="54"/>
  <c r="FA88" i="54"/>
  <c r="DF47" i="54"/>
  <c r="BV46" i="54"/>
  <c r="G10" i="56" s="1"/>
  <c r="CM78" i="54"/>
  <c r="F24" i="56" s="1"/>
  <c r="CY74" i="54"/>
  <c r="DG74" i="54"/>
  <c r="CY67" i="54"/>
  <c r="DG67" i="54"/>
  <c r="CO66" i="54"/>
  <c r="H23" i="56" s="1"/>
  <c r="AY78" i="54"/>
  <c r="CR78" i="54"/>
  <c r="K24" i="56" s="1"/>
  <c r="EG78" i="54"/>
  <c r="CE46" i="54"/>
  <c r="P10" i="56" s="1"/>
  <c r="DE74" i="54"/>
  <c r="FN88" i="54"/>
  <c r="FJ88" i="54"/>
  <c r="BY78" i="54"/>
  <c r="J12" i="56" s="1"/>
  <c r="FN73" i="54"/>
  <c r="FC52" i="54"/>
  <c r="AZ75" i="54"/>
  <c r="FP52" i="54"/>
  <c r="FB74" i="54"/>
  <c r="DF88" i="54"/>
  <c r="BP52" i="54"/>
  <c r="CF47" i="54"/>
  <c r="EC78" i="54"/>
  <c r="CX73" i="54"/>
  <c r="EF66" i="54"/>
  <c r="FP67" i="54"/>
  <c r="DI73" i="54"/>
  <c r="FL67" i="54"/>
  <c r="EB66" i="54"/>
  <c r="BT46" i="54"/>
  <c r="E10" i="56" s="1"/>
  <c r="DE52" i="54"/>
  <c r="BE78" i="54"/>
  <c r="ED78" i="54"/>
  <c r="DG47" i="54"/>
  <c r="CX74" i="54"/>
  <c r="DW66" i="54"/>
  <c r="FH67" i="54"/>
  <c r="EP66" i="54"/>
  <c r="DK74" i="54"/>
  <c r="FG87" i="54"/>
  <c r="EU66" i="54"/>
  <c r="BW78" i="54"/>
  <c r="H12" i="56" s="1"/>
  <c r="ES66" i="54"/>
  <c r="CQ66" i="54"/>
  <c r="J23" i="56" s="1"/>
  <c r="EK67" i="54"/>
  <c r="EE66" i="54"/>
  <c r="FO67" i="54"/>
  <c r="CM66" i="54"/>
  <c r="F23" i="56" s="1"/>
  <c r="FL47" i="54"/>
  <c r="BX66" i="54"/>
  <c r="I11" i="56" s="1"/>
  <c r="DH67" i="54"/>
  <c r="EC46" i="54"/>
  <c r="CG67" i="54"/>
  <c r="DK54" i="54"/>
  <c r="AZ47" i="54"/>
  <c r="CD66" i="54"/>
  <c r="O11" i="56" s="1"/>
  <c r="FA73" i="54"/>
  <c r="DE88" i="54"/>
  <c r="FK87" i="54"/>
  <c r="CU66" i="54"/>
  <c r="N23" i="56" s="1"/>
  <c r="CS66" i="54"/>
  <c r="L23" i="56" s="1"/>
  <c r="BN67" i="54"/>
  <c r="BB66" i="54"/>
  <c r="CP66" i="54"/>
  <c r="I23" i="56" s="1"/>
  <c r="FN54" i="54"/>
  <c r="BO47" i="54"/>
  <c r="AH67" i="54"/>
  <c r="FM87" i="54"/>
  <c r="BQ73" i="54"/>
  <c r="BK66" i="54"/>
  <c r="BX78" i="54"/>
  <c r="I12" i="56" s="1"/>
  <c r="EG46" i="54"/>
  <c r="FQ47" i="54"/>
  <c r="DE73" i="54"/>
  <c r="EZ73" i="54"/>
  <c r="DA67" i="54"/>
  <c r="DN87" i="54"/>
  <c r="FC67" i="54"/>
  <c r="EW66" i="54"/>
  <c r="CZ47" i="54"/>
  <c r="DJ47" i="54"/>
  <c r="CR46" i="54"/>
  <c r="K22" i="56" s="1"/>
  <c r="BJ78" i="54"/>
  <c r="FK67" i="54"/>
  <c r="EA66" i="54"/>
  <c r="DD73" i="54"/>
  <c r="BU78" i="54"/>
  <c r="F12" i="56" s="1"/>
  <c r="DF67" i="54"/>
  <c r="AG46" i="54"/>
  <c r="EN66" i="54"/>
  <c r="EP78" i="54"/>
  <c r="EN78" i="54"/>
  <c r="CU78" i="54"/>
  <c r="N24" i="56" s="1"/>
  <c r="BN54" i="54"/>
  <c r="CZ75" i="54"/>
  <c r="BC46" i="54"/>
  <c r="EK47" i="54"/>
  <c r="FO47" i="54"/>
  <c r="EE46" i="54"/>
  <c r="CX67" i="54"/>
  <c r="CL66" i="54"/>
  <c r="E23" i="56" s="1"/>
  <c r="DZ66" i="54"/>
  <c r="BV66" i="54"/>
  <c r="G11" i="56" s="1"/>
  <c r="FQ52" i="54"/>
  <c r="EY66" i="54"/>
  <c r="AH54" i="54"/>
  <c r="BO54" i="54"/>
  <c r="AH52" i="54"/>
  <c r="FI88" i="54"/>
  <c r="EI88" i="54"/>
  <c r="FF88" i="54"/>
  <c r="EH88" i="54"/>
  <c r="EZ87" i="54"/>
  <c r="FC88" i="54"/>
  <c r="FF87" i="54"/>
  <c r="EH87" i="54"/>
  <c r="FL88" i="54"/>
  <c r="EJ88" i="54"/>
  <c r="DO87" i="54"/>
  <c r="FH87" i="54"/>
  <c r="CX88" i="54"/>
  <c r="CI88" i="54"/>
  <c r="DM88" i="54"/>
  <c r="FB87" i="54"/>
  <c r="FI87" i="54"/>
  <c r="EI87" i="54"/>
  <c r="DA87" i="54"/>
  <c r="CH87" i="54"/>
  <c r="DJ87" i="54"/>
  <c r="FO88" i="54"/>
  <c r="EK88" i="54"/>
  <c r="FG88" i="54"/>
  <c r="CY88" i="54"/>
  <c r="EZ88" i="54"/>
  <c r="DD88" i="54"/>
  <c r="CF88" i="54"/>
  <c r="FM88" i="54"/>
  <c r="CI87" i="54"/>
  <c r="DM87" i="54"/>
  <c r="DN88" i="54"/>
  <c r="FL87" i="54"/>
  <c r="EJ87" i="54"/>
  <c r="FH88" i="54"/>
  <c r="CX87" i="54"/>
  <c r="FJ87" i="54"/>
  <c r="FL74" i="54"/>
  <c r="EJ74" i="54"/>
  <c r="FI74" i="54"/>
  <c r="EI74" i="54"/>
  <c r="EZ74" i="54"/>
  <c r="CI75" i="54"/>
  <c r="DM75" i="54"/>
  <c r="FF73" i="54"/>
  <c r="EH73" i="54"/>
  <c r="FI73" i="54"/>
  <c r="EI73" i="54"/>
  <c r="DA74" i="54"/>
  <c r="FA67" i="54"/>
  <c r="FM75" i="54"/>
  <c r="EZ67" i="54"/>
  <c r="CH74" i="54"/>
  <c r="DJ74" i="54"/>
  <c r="FF67" i="54"/>
  <c r="EH67" i="54"/>
  <c r="CI73" i="54"/>
  <c r="DM73" i="54"/>
  <c r="DO67" i="54"/>
  <c r="DL67" i="54"/>
  <c r="FJ74" i="54"/>
  <c r="FB75" i="54"/>
  <c r="FP75" i="54"/>
  <c r="FI75" i="54"/>
  <c r="EI75" i="54"/>
  <c r="DE75" i="54"/>
  <c r="FG73" i="54"/>
  <c r="CH75" i="54"/>
  <c r="FO74" i="54"/>
  <c r="FM74" i="54"/>
  <c r="FA74" i="54"/>
  <c r="DN75" i="54"/>
  <c r="EZ75" i="54"/>
  <c r="FN75" i="54"/>
  <c r="FF74" i="54"/>
  <c r="EH74" i="54"/>
  <c r="FG75" i="54"/>
  <c r="FJ73" i="54"/>
  <c r="DM67" i="54"/>
  <c r="CI67" i="54"/>
  <c r="FH74" i="54"/>
  <c r="DO74" i="54"/>
  <c r="FI67" i="54"/>
  <c r="FG67" i="54"/>
  <c r="CI74" i="54"/>
  <c r="DM74" i="54"/>
  <c r="FK74" i="54"/>
  <c r="FN74" i="54"/>
  <c r="DN73" i="54"/>
  <c r="FL73" i="54"/>
  <c r="FO75" i="54"/>
  <c r="EK75" i="54"/>
  <c r="FH73" i="54"/>
  <c r="FC75" i="54"/>
  <c r="CH73" i="54"/>
  <c r="CY75" i="54"/>
  <c r="FL75" i="54"/>
  <c r="EJ75" i="54"/>
  <c r="CH67" i="54"/>
  <c r="DK67" i="54"/>
  <c r="FH75" i="54"/>
  <c r="FA75" i="54"/>
  <c r="DD74" i="54"/>
  <c r="DD75" i="54"/>
  <c r="CF75" i="54"/>
  <c r="DN67" i="54"/>
  <c r="CX75" i="54"/>
  <c r="EH75" i="54"/>
  <c r="FF75" i="54"/>
  <c r="FF47" i="54"/>
  <c r="EH47" i="54"/>
  <c r="DO47" i="54"/>
  <c r="FA54" i="54"/>
  <c r="FF54" i="54"/>
  <c r="EH54" i="54"/>
  <c r="EZ52" i="54"/>
  <c r="FM54" i="54"/>
  <c r="DM47" i="54"/>
  <c r="CI47" i="54"/>
  <c r="FA47" i="54"/>
  <c r="FJ52" i="54"/>
  <c r="DK47" i="54"/>
  <c r="CH47" i="54"/>
  <c r="FK52" i="54"/>
  <c r="FG47" i="54"/>
  <c r="FK54" i="54"/>
  <c r="CI54" i="54"/>
  <c r="DM54" i="54"/>
  <c r="FH52" i="54"/>
  <c r="FB54" i="54"/>
  <c r="DA52" i="54"/>
  <c r="DN47" i="54"/>
  <c r="FI54" i="54"/>
  <c r="EI54" i="54"/>
  <c r="FG54" i="54"/>
  <c r="CH52" i="54"/>
  <c r="DJ52" i="54"/>
  <c r="AH47" i="54"/>
  <c r="FA52" i="54"/>
  <c r="FI47" i="54"/>
  <c r="FF52" i="54"/>
  <c r="EH52" i="54"/>
  <c r="DN54" i="54"/>
  <c r="CG52" i="54"/>
  <c r="FL54" i="54"/>
  <c r="EJ54" i="54"/>
  <c r="DO52" i="54"/>
  <c r="CI52" i="54"/>
  <c r="DM52" i="54"/>
  <c r="CX54" i="54"/>
  <c r="EZ47" i="54"/>
  <c r="DK52" i="54"/>
  <c r="DA47" i="54"/>
  <c r="FI52" i="54"/>
  <c r="EI52" i="54"/>
  <c r="DL47" i="54"/>
  <c r="FH47" i="54"/>
  <c r="BR50" i="54" l="1"/>
  <c r="DS42" i="54"/>
  <c r="DQ50" i="54"/>
  <c r="DP30" i="54"/>
  <c r="FU23" i="54"/>
  <c r="FT18" i="54"/>
  <c r="FS43" i="54"/>
  <c r="T30" i="55"/>
  <c r="G36" i="56"/>
  <c r="FU50" i="54"/>
  <c r="DQ61" i="54"/>
  <c r="FS13" i="54"/>
  <c r="L30" i="56"/>
  <c r="R25" i="55"/>
  <c r="S13" i="55"/>
  <c r="W25" i="55"/>
  <c r="S30" i="55"/>
  <c r="FU43" i="54"/>
  <c r="R30" i="55"/>
  <c r="FR42" i="54"/>
  <c r="DQ43" i="54"/>
  <c r="O36" i="56"/>
  <c r="BR43" i="54"/>
  <c r="P34" i="56"/>
  <c r="I31" i="56"/>
  <c r="G37" i="55"/>
  <c r="T25" i="55"/>
  <c r="Y24" i="55"/>
  <c r="J36" i="56"/>
  <c r="O31" i="56"/>
  <c r="T24" i="56"/>
  <c r="R35" i="55"/>
  <c r="S24" i="56"/>
  <c r="J34" i="56"/>
  <c r="I34" i="56"/>
  <c r="M30" i="56"/>
  <c r="F25" i="56"/>
  <c r="W24" i="56"/>
  <c r="P30" i="56"/>
  <c r="M37" i="55"/>
  <c r="O37" i="55"/>
  <c r="I25" i="56"/>
  <c r="L37" i="55"/>
  <c r="Y22" i="55"/>
  <c r="Y12" i="55"/>
  <c r="T22" i="56"/>
  <c r="T34" i="55"/>
  <c r="J25" i="56"/>
  <c r="R22" i="56"/>
  <c r="U34" i="55"/>
  <c r="U22" i="56"/>
  <c r="R34" i="55"/>
  <c r="L25" i="56"/>
  <c r="T36" i="55"/>
  <c r="S19" i="56"/>
  <c r="U13" i="55"/>
  <c r="S36" i="55"/>
  <c r="Y19" i="55"/>
  <c r="U24" i="56"/>
  <c r="W13" i="55"/>
  <c r="Y10" i="55"/>
  <c r="P37" i="55"/>
  <c r="S31" i="55"/>
  <c r="F31" i="56"/>
  <c r="M31" i="56"/>
  <c r="E34" i="56"/>
  <c r="W10" i="56"/>
  <c r="E30" i="56"/>
  <c r="R6" i="56"/>
  <c r="G25" i="56"/>
  <c r="R12" i="56"/>
  <c r="E36" i="56"/>
  <c r="M34" i="56"/>
  <c r="J30" i="56"/>
  <c r="F30" i="56"/>
  <c r="W19" i="56"/>
  <c r="R19" i="56"/>
  <c r="W36" i="55"/>
  <c r="R36" i="55"/>
  <c r="O34" i="56"/>
  <c r="O25" i="56"/>
  <c r="T19" i="56"/>
  <c r="U12" i="56"/>
  <c r="N36" i="56"/>
  <c r="U19" i="56"/>
  <c r="Y18" i="55"/>
  <c r="L31" i="56"/>
  <c r="W18" i="56"/>
  <c r="R18" i="56"/>
  <c r="I30" i="56"/>
  <c r="W30" i="55"/>
  <c r="R31" i="55"/>
  <c r="W31" i="55"/>
  <c r="T6" i="56"/>
  <c r="K30" i="56"/>
  <c r="S12" i="56"/>
  <c r="H36" i="56"/>
  <c r="T7" i="56"/>
  <c r="K31" i="56"/>
  <c r="T13" i="55"/>
  <c r="U18" i="56"/>
  <c r="T10" i="56"/>
  <c r="K34" i="56"/>
  <c r="W6" i="56"/>
  <c r="H30" i="56"/>
  <c r="S6" i="56"/>
  <c r="S10" i="56"/>
  <c r="H34" i="56"/>
  <c r="L36" i="56"/>
  <c r="Y7" i="55"/>
  <c r="M36" i="56"/>
  <c r="T12" i="56"/>
  <c r="K36" i="56"/>
  <c r="H31" i="56"/>
  <c r="S7" i="56"/>
  <c r="G31" i="56"/>
  <c r="S22" i="56"/>
  <c r="U6" i="56"/>
  <c r="N30" i="56"/>
  <c r="R24" i="56"/>
  <c r="I36" i="56"/>
  <c r="G34" i="56"/>
  <c r="L34" i="56"/>
  <c r="R7" i="56"/>
  <c r="W7" i="56"/>
  <c r="E31" i="56"/>
  <c r="J31" i="56"/>
  <c r="S25" i="55"/>
  <c r="U31" i="55"/>
  <c r="DS50" i="54"/>
  <c r="Y6" i="55"/>
  <c r="T31" i="55"/>
  <c r="W12" i="56"/>
  <c r="F36" i="56"/>
  <c r="S18" i="56"/>
  <c r="F37" i="55"/>
  <c r="W34" i="55"/>
  <c r="M25" i="56"/>
  <c r="R10" i="56"/>
  <c r="F34" i="56"/>
  <c r="N31" i="56"/>
  <c r="U7" i="56"/>
  <c r="P31" i="56"/>
  <c r="DR50" i="54"/>
  <c r="S34" i="55"/>
  <c r="U10" i="56"/>
  <c r="N34" i="56"/>
  <c r="P36" i="56"/>
  <c r="W22" i="56"/>
  <c r="G30" i="56"/>
  <c r="T18" i="56"/>
  <c r="O30" i="56"/>
  <c r="J37" i="55"/>
  <c r="U25" i="55"/>
  <c r="U30" i="55"/>
  <c r="U36" i="55"/>
  <c r="P25" i="56"/>
  <c r="E37" i="55"/>
  <c r="Y11" i="55"/>
  <c r="Y23" i="55"/>
  <c r="H25" i="56"/>
  <c r="S23" i="56"/>
  <c r="T23" i="56"/>
  <c r="K25" i="56"/>
  <c r="R23" i="56"/>
  <c r="E25" i="56"/>
  <c r="W23" i="56"/>
  <c r="U23" i="56"/>
  <c r="N25" i="56"/>
  <c r="R13" i="55"/>
  <c r="U35" i="55"/>
  <c r="N37" i="55"/>
  <c r="I35" i="56"/>
  <c r="I13" i="56"/>
  <c r="T35" i="55"/>
  <c r="K37" i="55"/>
  <c r="T11" i="56"/>
  <c r="K13" i="56"/>
  <c r="K35" i="56"/>
  <c r="L13" i="56"/>
  <c r="L35" i="56"/>
  <c r="H37" i="55"/>
  <c r="S35" i="55"/>
  <c r="F35" i="56"/>
  <c r="F13" i="56"/>
  <c r="W35" i="55"/>
  <c r="I37" i="55"/>
  <c r="P13" i="56"/>
  <c r="P35" i="56"/>
  <c r="O35" i="56"/>
  <c r="O13" i="56"/>
  <c r="J13" i="56"/>
  <c r="J35" i="56"/>
  <c r="N13" i="56"/>
  <c r="U11" i="56"/>
  <c r="N35" i="56"/>
  <c r="G35" i="56"/>
  <c r="G13" i="56"/>
  <c r="R11" i="56"/>
  <c r="E35" i="56"/>
  <c r="E13" i="56"/>
  <c r="W11" i="56"/>
  <c r="S11" i="56"/>
  <c r="H13" i="56"/>
  <c r="H35" i="56"/>
  <c r="M13" i="56"/>
  <c r="M35" i="56"/>
  <c r="DB43" i="54"/>
  <c r="EL43" i="54"/>
  <c r="DR43" i="54"/>
  <c r="FS50" i="54"/>
  <c r="FS30" i="54"/>
  <c r="FT33" i="54"/>
  <c r="FT50" i="54"/>
  <c r="DQ25" i="54"/>
  <c r="DP43" i="54"/>
  <c r="DP50" i="54"/>
  <c r="FD50" i="54"/>
  <c r="DB50" i="54"/>
  <c r="EL50" i="54"/>
  <c r="CJ50" i="54"/>
  <c r="FR50" i="54"/>
  <c r="DS24" i="54"/>
  <c r="FT43" i="54"/>
  <c r="FT24" i="54"/>
  <c r="BR11" i="54"/>
  <c r="FD43" i="54"/>
  <c r="FR43" i="54"/>
  <c r="DQ42" i="54"/>
  <c r="DS43" i="54"/>
  <c r="CJ43" i="54"/>
  <c r="DQ10" i="54"/>
  <c r="DQ11" i="54"/>
  <c r="FU27" i="54"/>
  <c r="FR41" i="54"/>
  <c r="FR10" i="54"/>
  <c r="FU33" i="54"/>
  <c r="DS23" i="54"/>
  <c r="BR24" i="54"/>
  <c r="BR23" i="54"/>
  <c r="DQ8" i="54"/>
  <c r="DQ18" i="54"/>
  <c r="DR24" i="54"/>
  <c r="DQ23" i="54"/>
  <c r="BR30" i="54"/>
  <c r="FU30" i="54"/>
  <c r="FS32" i="54"/>
  <c r="FS17" i="54"/>
  <c r="DR58" i="54"/>
  <c r="DR30" i="54"/>
  <c r="DR10" i="54"/>
  <c r="FU24" i="54"/>
  <c r="DQ24" i="54"/>
  <c r="FS23" i="54"/>
  <c r="DQ30" i="54"/>
  <c r="FT30" i="54"/>
  <c r="CJ30" i="54"/>
  <c r="EL30" i="54"/>
  <c r="DR23" i="54"/>
  <c r="FR30" i="54"/>
  <c r="FD30" i="54"/>
  <c r="DB30" i="54"/>
  <c r="DS30" i="54"/>
  <c r="DP42" i="54"/>
  <c r="BR10" i="54"/>
  <c r="FS42" i="54"/>
  <c r="DP35" i="54"/>
  <c r="DB23" i="54"/>
  <c r="FS24" i="54"/>
  <c r="FT23" i="54"/>
  <c r="FR23" i="54"/>
  <c r="FR24" i="54"/>
  <c r="DB24" i="54"/>
  <c r="FD24" i="54"/>
  <c r="EL24" i="54"/>
  <c r="CJ24" i="54"/>
  <c r="DP24" i="54"/>
  <c r="FD23" i="54"/>
  <c r="CJ23" i="54"/>
  <c r="EL23" i="54"/>
  <c r="DP23" i="54"/>
  <c r="FT42" i="54"/>
  <c r="FU35" i="54"/>
  <c r="DQ17" i="54"/>
  <c r="FT52" i="54"/>
  <c r="FS40" i="54"/>
  <c r="FS10" i="54"/>
  <c r="FT25" i="54"/>
  <c r="DS31" i="54"/>
  <c r="FR27" i="54"/>
  <c r="FU25" i="54"/>
  <c r="DP31" i="54"/>
  <c r="EL31" i="54"/>
  <c r="EL42" i="54"/>
  <c r="FT40" i="54"/>
  <c r="FT10" i="54"/>
  <c r="DR11" i="54"/>
  <c r="BR40" i="54"/>
  <c r="DP32" i="54"/>
  <c r="DS10" i="54"/>
  <c r="BR41" i="54"/>
  <c r="FT31" i="54"/>
  <c r="DR41" i="54"/>
  <c r="DQ35" i="54"/>
  <c r="BR25" i="54"/>
  <c r="FU10" i="54"/>
  <c r="DP40" i="54"/>
  <c r="CJ10" i="54"/>
  <c r="DP10" i="54"/>
  <c r="EL10" i="54"/>
  <c r="DB10" i="54"/>
  <c r="FD10" i="54"/>
  <c r="DQ40" i="54"/>
  <c r="EL39" i="54"/>
  <c r="DR35" i="54"/>
  <c r="DQ33" i="54"/>
  <c r="DB39" i="54"/>
  <c r="DP39" i="54"/>
  <c r="BR35" i="54"/>
  <c r="DB17" i="54"/>
  <c r="FR32" i="54"/>
  <c r="DR15" i="54"/>
  <c r="DS25" i="54"/>
  <c r="DR27" i="54"/>
  <c r="FD31" i="54"/>
  <c r="BR42" i="54"/>
  <c r="BR33" i="54"/>
  <c r="DQ29" i="54"/>
  <c r="FU17" i="54"/>
  <c r="DS33" i="54"/>
  <c r="BR17" i="54"/>
  <c r="FU40" i="54"/>
  <c r="EL17" i="54"/>
  <c r="FS6" i="54"/>
  <c r="FS39" i="54"/>
  <c r="DP33" i="54"/>
  <c r="DR32" i="54"/>
  <c r="FU7" i="54"/>
  <c r="FU31" i="54"/>
  <c r="BR27" i="54"/>
  <c r="FU87" i="54"/>
  <c r="BR31" i="54"/>
  <c r="DB40" i="54"/>
  <c r="DB41" i="54"/>
  <c r="FD39" i="54"/>
  <c r="FR8" i="54"/>
  <c r="DP41" i="54"/>
  <c r="BR8" i="54"/>
  <c r="DR13" i="54"/>
  <c r="FS18" i="54"/>
  <c r="FT17" i="54"/>
  <c r="FU6" i="54"/>
  <c r="DP6" i="54"/>
  <c r="CJ13" i="54"/>
  <c r="DQ27" i="54"/>
  <c r="FS31" i="54"/>
  <c r="EL40" i="54"/>
  <c r="CJ33" i="54"/>
  <c r="FP21" i="54"/>
  <c r="FR39" i="54"/>
  <c r="DB27" i="54"/>
  <c r="DP13" i="54"/>
  <c r="FU29" i="54"/>
  <c r="DP29" i="54"/>
  <c r="BR15" i="54"/>
  <c r="EI38" i="54"/>
  <c r="FT8" i="54"/>
  <c r="FU11" i="54"/>
  <c r="FD15" i="54"/>
  <c r="BR18" i="54"/>
  <c r="CJ18" i="54"/>
  <c r="DS17" i="54"/>
  <c r="DR8" i="54"/>
  <c r="DS11" i="54"/>
  <c r="CJ17" i="54"/>
  <c r="FU18" i="54"/>
  <c r="FT13" i="54"/>
  <c r="DP18" i="54"/>
  <c r="DB18" i="54"/>
  <c r="FS8" i="54"/>
  <c r="DR18" i="54"/>
  <c r="DQ13" i="54"/>
  <c r="DR7" i="54"/>
  <c r="CJ11" i="54"/>
  <c r="CJ7" i="54"/>
  <c r="FT7" i="54"/>
  <c r="FD42" i="54"/>
  <c r="EL13" i="54"/>
  <c r="FD35" i="54"/>
  <c r="FN38" i="54"/>
  <c r="CH21" i="54"/>
  <c r="EH38" i="54"/>
  <c r="DA38" i="54"/>
  <c r="DQ39" i="54"/>
  <c r="DS8" i="54"/>
  <c r="EZ38" i="54"/>
  <c r="DH21" i="54"/>
  <c r="DE21" i="54"/>
  <c r="FH38" i="54"/>
  <c r="FD8" i="54"/>
  <c r="FL21" i="54"/>
  <c r="FU39" i="54"/>
  <c r="FT39" i="54"/>
  <c r="EJ21" i="54"/>
  <c r="CY21" i="54"/>
  <c r="FT32" i="54"/>
  <c r="DB42" i="54"/>
  <c r="FR7" i="54"/>
  <c r="DR40" i="54"/>
  <c r="FD11" i="54"/>
  <c r="DP11" i="54"/>
  <c r="FD41" i="54"/>
  <c r="FD25" i="54"/>
  <c r="EL27" i="54"/>
  <c r="DP17" i="54"/>
  <c r="FS25" i="54"/>
  <c r="DJ38" i="54"/>
  <c r="FR31" i="54"/>
  <c r="FS35" i="54"/>
  <c r="DR25" i="54"/>
  <c r="DB11" i="54"/>
  <c r="DB31" i="54"/>
  <c r="DB33" i="54"/>
  <c r="DR87" i="54"/>
  <c r="FU8" i="54"/>
  <c r="DS27" i="54"/>
  <c r="DS35" i="54"/>
  <c r="AZ21" i="54"/>
  <c r="EL6" i="54"/>
  <c r="DS6" i="54"/>
  <c r="DR6" i="54"/>
  <c r="DQ6" i="54"/>
  <c r="BR6" i="54"/>
  <c r="FQ38" i="54"/>
  <c r="DJ21" i="54"/>
  <c r="CI21" i="54"/>
  <c r="CZ21" i="54"/>
  <c r="BP21" i="54"/>
  <c r="DS22" i="54"/>
  <c r="DM21" i="54"/>
  <c r="CJ25" i="54"/>
  <c r="CG38" i="54"/>
  <c r="FI38" i="54"/>
  <c r="DI38" i="54"/>
  <c r="FB21" i="54"/>
  <c r="CJ29" i="54"/>
  <c r="DG38" i="54"/>
  <c r="DF38" i="54"/>
  <c r="FG21" i="54"/>
  <c r="CZ38" i="54"/>
  <c r="FJ38" i="54"/>
  <c r="FC38" i="54"/>
  <c r="DL38" i="54"/>
  <c r="FP38" i="54"/>
  <c r="AH38" i="54"/>
  <c r="DS39" i="54"/>
  <c r="DA21" i="54"/>
  <c r="EZ21" i="54"/>
  <c r="BP38" i="54"/>
  <c r="DN38" i="54"/>
  <c r="DB6" i="54"/>
  <c r="CF38" i="54"/>
  <c r="DL21" i="54"/>
  <c r="DO38" i="54"/>
  <c r="CH38" i="54"/>
  <c r="DB25" i="54"/>
  <c r="DD38" i="54"/>
  <c r="FG38" i="54"/>
  <c r="BN21" i="54"/>
  <c r="FS7" i="54"/>
  <c r="DK21" i="54"/>
  <c r="FJ21" i="54"/>
  <c r="FR29" i="54"/>
  <c r="DQ31" i="54"/>
  <c r="FF38" i="54"/>
  <c r="DK38" i="54"/>
  <c r="CI38" i="54"/>
  <c r="BR22" i="54"/>
  <c r="BO21" i="54"/>
  <c r="FL38" i="54"/>
  <c r="FB38" i="54"/>
  <c r="DO21" i="54"/>
  <c r="FM21" i="54"/>
  <c r="FA21" i="54"/>
  <c r="FD27" i="54"/>
  <c r="CJ22" i="54"/>
  <c r="CF21" i="54"/>
  <c r="DM38" i="54"/>
  <c r="BO38" i="54"/>
  <c r="EJ38" i="54"/>
  <c r="CY38" i="54"/>
  <c r="FH21" i="54"/>
  <c r="DB32" i="54"/>
  <c r="FC21" i="54"/>
  <c r="EL32" i="54"/>
  <c r="DP22" i="54"/>
  <c r="DD21" i="54"/>
  <c r="FU13" i="54"/>
  <c r="FQ21" i="54"/>
  <c r="DB22" i="54"/>
  <c r="CX21" i="54"/>
  <c r="FN21" i="54"/>
  <c r="FA38" i="54"/>
  <c r="AZ38" i="54"/>
  <c r="DE38" i="54"/>
  <c r="FI21" i="54"/>
  <c r="EH21" i="54"/>
  <c r="FK38" i="54"/>
  <c r="FR25" i="54"/>
  <c r="DF21" i="54"/>
  <c r="FD17" i="54"/>
  <c r="FU22" i="54"/>
  <c r="FO21" i="54"/>
  <c r="EI21" i="54"/>
  <c r="FF21" i="54"/>
  <c r="CG21" i="54"/>
  <c r="CX38" i="54"/>
  <c r="FO38" i="54"/>
  <c r="DB7" i="54"/>
  <c r="BQ21" i="54"/>
  <c r="EK21" i="54"/>
  <c r="DI21" i="54"/>
  <c r="DG21" i="54"/>
  <c r="DB15" i="54"/>
  <c r="DH38" i="54"/>
  <c r="EK38" i="54"/>
  <c r="DB13" i="54"/>
  <c r="BN38" i="54"/>
  <c r="DN21" i="54"/>
  <c r="BR29" i="54"/>
  <c r="FK21" i="54"/>
  <c r="FU73" i="54"/>
  <c r="FM38" i="54"/>
  <c r="EL25" i="54"/>
  <c r="DP7" i="54"/>
  <c r="AH21" i="54"/>
  <c r="BQ38" i="54"/>
  <c r="DS13" i="54"/>
  <c r="DP25" i="54"/>
  <c r="CJ35" i="54"/>
  <c r="FD33" i="54"/>
  <c r="FT35" i="54"/>
  <c r="BR39" i="54"/>
  <c r="FT6" i="54"/>
  <c r="FD18" i="54"/>
  <c r="DQ7" i="54"/>
  <c r="FU32" i="54"/>
  <c r="FT29" i="54"/>
  <c r="FS27" i="54"/>
  <c r="DQ58" i="54"/>
  <c r="EL18" i="54"/>
  <c r="FD6" i="54"/>
  <c r="FT41" i="54"/>
  <c r="FU41" i="54"/>
  <c r="BR7" i="54"/>
  <c r="BR13" i="54"/>
  <c r="CJ41" i="54"/>
  <c r="FD13" i="54"/>
  <c r="FD40" i="54"/>
  <c r="DS7" i="54"/>
  <c r="FD32" i="54"/>
  <c r="BR32" i="54"/>
  <c r="AZ78" i="54"/>
  <c r="DP27" i="54"/>
  <c r="DR39" i="54"/>
  <c r="FR35" i="54"/>
  <c r="DS63" i="54"/>
  <c r="DS29" i="54"/>
  <c r="FU42" i="54"/>
  <c r="FR33" i="54"/>
  <c r="FR40" i="54"/>
  <c r="DR42" i="54"/>
  <c r="DQ32" i="54"/>
  <c r="DR33" i="54"/>
  <c r="DS41" i="54"/>
  <c r="DS40" i="54"/>
  <c r="FS41" i="54"/>
  <c r="CJ42" i="54"/>
  <c r="CJ40" i="54"/>
  <c r="EL41" i="54"/>
  <c r="CJ39" i="54"/>
  <c r="DQ41" i="54"/>
  <c r="FD22" i="54"/>
  <c r="EL29" i="54"/>
  <c r="CJ31" i="54"/>
  <c r="FD29" i="54"/>
  <c r="DS32" i="54"/>
  <c r="FS22" i="54"/>
  <c r="DB35" i="54"/>
  <c r="EL22" i="54"/>
  <c r="FS33" i="54"/>
  <c r="FR22" i="54"/>
  <c r="CJ27" i="54"/>
  <c r="FS29" i="54"/>
  <c r="FT27" i="54"/>
  <c r="DR29" i="54"/>
  <c r="CJ32" i="54"/>
  <c r="DR31" i="54"/>
  <c r="EL35" i="54"/>
  <c r="DQ22" i="54"/>
  <c r="DR22" i="54"/>
  <c r="DB29" i="54"/>
  <c r="FT22" i="54"/>
  <c r="EL33" i="54"/>
  <c r="FT15" i="54"/>
  <c r="DP8" i="54"/>
  <c r="CJ6" i="54"/>
  <c r="FT11" i="54"/>
  <c r="EL8" i="54"/>
  <c r="DS18" i="54"/>
  <c r="DS15" i="54"/>
  <c r="FS11" i="54"/>
  <c r="FS15" i="54"/>
  <c r="FR13" i="54"/>
  <c r="FR18" i="54"/>
  <c r="DQ15" i="54"/>
  <c r="DB8" i="54"/>
  <c r="CJ8" i="54"/>
  <c r="FR17" i="54"/>
  <c r="EL11" i="54"/>
  <c r="DR17" i="54"/>
  <c r="FD7" i="54"/>
  <c r="EL15" i="54"/>
  <c r="FU15" i="54"/>
  <c r="FR15" i="54"/>
  <c r="CJ15" i="54"/>
  <c r="EL7" i="54"/>
  <c r="DP15" i="54"/>
  <c r="DK78" i="54"/>
  <c r="DP61" i="54"/>
  <c r="DR54" i="54"/>
  <c r="DQ54" i="54"/>
  <c r="DL78" i="54"/>
  <c r="BO66" i="54"/>
  <c r="FU63" i="54"/>
  <c r="FU61" i="54"/>
  <c r="BR57" i="54"/>
  <c r="FU58" i="54"/>
  <c r="DP58" i="54"/>
  <c r="DQ74" i="54"/>
  <c r="BR62" i="54"/>
  <c r="FD73" i="54"/>
  <c r="DP62" i="54"/>
  <c r="BR58" i="54"/>
  <c r="BO78" i="54"/>
  <c r="DR55" i="54"/>
  <c r="DB61" i="54"/>
  <c r="CZ78" i="54"/>
  <c r="DP87" i="54"/>
  <c r="EJ66" i="54"/>
  <c r="DB73" i="54"/>
  <c r="BR74" i="54"/>
  <c r="BP78" i="54"/>
  <c r="FU62" i="54"/>
  <c r="FR57" i="54"/>
  <c r="CJ57" i="54"/>
  <c r="DQ88" i="54"/>
  <c r="BR63" i="54"/>
  <c r="FT59" i="54"/>
  <c r="BP66" i="54"/>
  <c r="AH78" i="54"/>
  <c r="FK66" i="54"/>
  <c r="FS63" i="54"/>
  <c r="AZ66" i="54"/>
  <c r="DQ75" i="54"/>
  <c r="FT55" i="54"/>
  <c r="DP59" i="54"/>
  <c r="BR75" i="54"/>
  <c r="FU57" i="54"/>
  <c r="DR73" i="54"/>
  <c r="DR59" i="54"/>
  <c r="FS58" i="54"/>
  <c r="BQ46" i="54"/>
  <c r="BR61" i="54"/>
  <c r="BR59" i="54"/>
  <c r="DB88" i="54"/>
  <c r="DI78" i="54"/>
  <c r="BN66" i="54"/>
  <c r="BR88" i="54"/>
  <c r="DQ52" i="54"/>
  <c r="FS75" i="54"/>
  <c r="FJ78" i="54"/>
  <c r="DQ63" i="54"/>
  <c r="FU54" i="54"/>
  <c r="DR61" i="54"/>
  <c r="DB58" i="54"/>
  <c r="DR75" i="54"/>
  <c r="DR57" i="54"/>
  <c r="FT57" i="54"/>
  <c r="BR55" i="54"/>
  <c r="BR87" i="54"/>
  <c r="BN78" i="54"/>
  <c r="DP88" i="54"/>
  <c r="BQ78" i="54"/>
  <c r="DH78" i="54"/>
  <c r="DQ87" i="54"/>
  <c r="DL46" i="54"/>
  <c r="FS61" i="54"/>
  <c r="DB63" i="54"/>
  <c r="DQ62" i="54"/>
  <c r="FR63" i="54"/>
  <c r="DR62" i="54"/>
  <c r="DP63" i="54"/>
  <c r="FR62" i="54"/>
  <c r="DR63" i="54"/>
  <c r="DS62" i="54"/>
  <c r="CJ62" i="54"/>
  <c r="CG46" i="54"/>
  <c r="FS62" i="54"/>
  <c r="FR61" i="54"/>
  <c r="FS57" i="54"/>
  <c r="FS59" i="54"/>
  <c r="CJ58" i="54"/>
  <c r="DB59" i="54"/>
  <c r="FR59" i="54"/>
  <c r="FD59" i="54"/>
  <c r="FT58" i="54"/>
  <c r="DS57" i="54"/>
  <c r="DB57" i="54"/>
  <c r="DS58" i="54"/>
  <c r="CG78" i="54"/>
  <c r="DP57" i="54"/>
  <c r="FJ66" i="54"/>
  <c r="DG78" i="54"/>
  <c r="DI66" i="54"/>
  <c r="DQ59" i="54"/>
  <c r="DF66" i="54"/>
  <c r="FN78" i="54"/>
  <c r="DQ55" i="54"/>
  <c r="BR73" i="54"/>
  <c r="DP54" i="54"/>
  <c r="BR52" i="54"/>
  <c r="FU59" i="54"/>
  <c r="FI78" i="54"/>
  <c r="AH66" i="54"/>
  <c r="FQ78" i="54"/>
  <c r="FT61" i="54"/>
  <c r="DH66" i="54"/>
  <c r="DQ57" i="54"/>
  <c r="FR88" i="54"/>
  <c r="FU55" i="54"/>
  <c r="DN66" i="54"/>
  <c r="CJ61" i="54"/>
  <c r="FS88" i="54"/>
  <c r="DR88" i="54"/>
  <c r="FR58" i="54"/>
  <c r="DS61" i="54"/>
  <c r="FT63" i="54"/>
  <c r="FD62" i="54"/>
  <c r="FT62" i="54"/>
  <c r="FD61" i="54"/>
  <c r="EL63" i="54"/>
  <c r="EL62" i="54"/>
  <c r="CJ63" i="54"/>
  <c r="EL61" i="54"/>
  <c r="FD63" i="54"/>
  <c r="DB62" i="54"/>
  <c r="EL59" i="54"/>
  <c r="CJ59" i="54"/>
  <c r="FD57" i="54"/>
  <c r="FD58" i="54"/>
  <c r="EL58" i="54"/>
  <c r="DS59" i="54"/>
  <c r="EL57" i="54"/>
  <c r="EJ46" i="54"/>
  <c r="AZ46" i="54"/>
  <c r="DS55" i="54"/>
  <c r="FS54" i="54"/>
  <c r="EH46" i="54"/>
  <c r="DB52" i="54"/>
  <c r="FJ46" i="54"/>
  <c r="FK46" i="54"/>
  <c r="CI46" i="54"/>
  <c r="FS55" i="54"/>
  <c r="FR52" i="54"/>
  <c r="DM46" i="54"/>
  <c r="DJ46" i="54"/>
  <c r="CZ46" i="54"/>
  <c r="BO46" i="54"/>
  <c r="FD55" i="54"/>
  <c r="EI46" i="54"/>
  <c r="DB55" i="54"/>
  <c r="CJ55" i="54"/>
  <c r="DP55" i="54"/>
  <c r="EL55" i="54"/>
  <c r="FR55" i="54"/>
  <c r="CH46" i="54"/>
  <c r="DK46" i="54"/>
  <c r="DF46" i="54"/>
  <c r="FR75" i="54"/>
  <c r="EL75" i="54"/>
  <c r="EH66" i="54"/>
  <c r="FA78" i="54"/>
  <c r="CZ66" i="54"/>
  <c r="EI78" i="54"/>
  <c r="FB66" i="54"/>
  <c r="CJ74" i="54"/>
  <c r="CY78" i="54"/>
  <c r="FH78" i="54"/>
  <c r="EZ66" i="54"/>
  <c r="DH46" i="54"/>
  <c r="AH46" i="54"/>
  <c r="FM46" i="54"/>
  <c r="FG66" i="54"/>
  <c r="CJ54" i="54"/>
  <c r="FI66" i="54"/>
  <c r="EK78" i="54"/>
  <c r="CX46" i="54"/>
  <c r="EI66" i="54"/>
  <c r="FQ66" i="54"/>
  <c r="CI66" i="54"/>
  <c r="DE66" i="54"/>
  <c r="FP46" i="54"/>
  <c r="FC46" i="54"/>
  <c r="DM66" i="54"/>
  <c r="FK78" i="54"/>
  <c r="BN46" i="54"/>
  <c r="FB78" i="54"/>
  <c r="FQ46" i="54"/>
  <c r="DL66" i="54"/>
  <c r="EH78" i="54"/>
  <c r="DB74" i="54"/>
  <c r="DO46" i="54"/>
  <c r="BR67" i="54"/>
  <c r="FF78" i="54"/>
  <c r="FF46" i="54"/>
  <c r="FF66" i="54"/>
  <c r="CX66" i="54"/>
  <c r="DP73" i="54"/>
  <c r="DD78" i="54"/>
  <c r="FB46" i="54"/>
  <c r="FI46" i="54"/>
  <c r="CJ73" i="54"/>
  <c r="FO46" i="54"/>
  <c r="FU47" i="54"/>
  <c r="FL66" i="54"/>
  <c r="FT67" i="54"/>
  <c r="DQ67" i="54"/>
  <c r="DG66" i="54"/>
  <c r="CY46" i="54"/>
  <c r="DA46" i="54"/>
  <c r="FA46" i="54"/>
  <c r="EK46" i="54"/>
  <c r="CY66" i="54"/>
  <c r="DJ66" i="54"/>
  <c r="FP66" i="54"/>
  <c r="DI46" i="54"/>
  <c r="CX78" i="54"/>
  <c r="FA66" i="54"/>
  <c r="FH66" i="54"/>
  <c r="DE46" i="54"/>
  <c r="DP47" i="54"/>
  <c r="DP75" i="54"/>
  <c r="FT88" i="54"/>
  <c r="CG66" i="54"/>
  <c r="FM78" i="54"/>
  <c r="DE78" i="54"/>
  <c r="FN66" i="54"/>
  <c r="DD46" i="54"/>
  <c r="DP52" i="54"/>
  <c r="EZ46" i="54"/>
  <c r="BP46" i="54"/>
  <c r="CF46" i="54"/>
  <c r="DB67" i="54"/>
  <c r="FR87" i="54"/>
  <c r="DP67" i="54"/>
  <c r="DD66" i="54"/>
  <c r="FM66" i="54"/>
  <c r="CJ88" i="54"/>
  <c r="FT87" i="54"/>
  <c r="BR47" i="54"/>
  <c r="FC66" i="54"/>
  <c r="FP78" i="54"/>
  <c r="CF66" i="54"/>
  <c r="DS52" i="54"/>
  <c r="CH78" i="54"/>
  <c r="BR54" i="54"/>
  <c r="FO78" i="54"/>
  <c r="FL46" i="54"/>
  <c r="FT47" i="54"/>
  <c r="DK66" i="54"/>
  <c r="DJ78" i="54"/>
  <c r="EZ78" i="54"/>
  <c r="FS87" i="54"/>
  <c r="DF78" i="54"/>
  <c r="BQ66" i="54"/>
  <c r="FH46" i="54"/>
  <c r="CH66" i="54"/>
  <c r="DO66" i="54"/>
  <c r="DS75" i="54"/>
  <c r="DN78" i="54"/>
  <c r="DS74" i="54"/>
  <c r="DS87" i="54"/>
  <c r="FG78" i="54"/>
  <c r="CI78" i="54"/>
  <c r="DA66" i="54"/>
  <c r="FU67" i="54"/>
  <c r="FO66" i="54"/>
  <c r="DQ47" i="54"/>
  <c r="DG46" i="54"/>
  <c r="FU52" i="54"/>
  <c r="EJ78" i="54"/>
  <c r="FL78" i="54"/>
  <c r="FN46" i="54"/>
  <c r="DN46" i="54"/>
  <c r="FG46" i="54"/>
  <c r="DS73" i="54"/>
  <c r="CJ87" i="54"/>
  <c r="DM78" i="54"/>
  <c r="FC78" i="54"/>
  <c r="FD54" i="54"/>
  <c r="FD74" i="54"/>
  <c r="DA78" i="54"/>
  <c r="DO78" i="54"/>
  <c r="EK66" i="54"/>
  <c r="DQ73" i="54"/>
  <c r="CF78" i="54"/>
  <c r="EL54" i="54"/>
  <c r="FR54" i="54"/>
  <c r="DS54" i="54"/>
  <c r="FU88" i="54"/>
  <c r="EL87" i="54"/>
  <c r="EL88" i="54"/>
  <c r="DS88" i="54"/>
  <c r="FD87" i="54"/>
  <c r="FD88" i="54"/>
  <c r="DB87" i="54"/>
  <c r="DB75" i="54"/>
  <c r="FD67" i="54"/>
  <c r="FD75" i="54"/>
  <c r="CJ75" i="54"/>
  <c r="FS67" i="54"/>
  <c r="FS74" i="54"/>
  <c r="FU75" i="54"/>
  <c r="FT74" i="54"/>
  <c r="DP74" i="54"/>
  <c r="FU74" i="54"/>
  <c r="FT73" i="54"/>
  <c r="DS67" i="54"/>
  <c r="DR67" i="54"/>
  <c r="FS73" i="54"/>
  <c r="CJ67" i="54"/>
  <c r="EL67" i="54"/>
  <c r="FR67" i="54"/>
  <c r="FT75" i="54"/>
  <c r="EL74" i="54"/>
  <c r="EL73" i="54"/>
  <c r="FR74" i="54"/>
  <c r="DR74" i="54"/>
  <c r="FR73" i="54"/>
  <c r="FS47" i="54"/>
  <c r="FD47" i="54"/>
  <c r="DB54" i="54"/>
  <c r="DS47" i="54"/>
  <c r="EL47" i="54"/>
  <c r="FS52" i="54"/>
  <c r="FR47" i="54"/>
  <c r="DB47" i="54"/>
  <c r="FT54" i="54"/>
  <c r="FD52" i="54"/>
  <c r="DR52" i="54"/>
  <c r="CJ47" i="54"/>
  <c r="CJ52" i="54"/>
  <c r="DR47" i="54"/>
  <c r="EL52" i="54"/>
  <c r="I37" i="57" l="1"/>
  <c r="J37" i="57"/>
  <c r="Y13" i="55"/>
  <c r="Y22" i="56"/>
  <c r="T37" i="55"/>
  <c r="L37" i="57"/>
  <c r="Y34" i="55"/>
  <c r="Y24" i="56"/>
  <c r="S30" i="56"/>
  <c r="T25" i="56"/>
  <c r="J37" i="56"/>
  <c r="G37" i="56"/>
  <c r="U31" i="56"/>
  <c r="T30" i="56"/>
  <c r="R37" i="55"/>
  <c r="Y25" i="55"/>
  <c r="W31" i="56"/>
  <c r="S34" i="56"/>
  <c r="Y30" i="55"/>
  <c r="M37" i="57"/>
  <c r="U25" i="56"/>
  <c r="P37" i="57"/>
  <c r="T13" i="56"/>
  <c r="U30" i="56"/>
  <c r="Y31" i="55"/>
  <c r="U34" i="56"/>
  <c r="O37" i="56"/>
  <c r="T36" i="56"/>
  <c r="U36" i="56"/>
  <c r="P37" i="56"/>
  <c r="I37" i="56"/>
  <c r="U37" i="55"/>
  <c r="F37" i="56"/>
  <c r="R31" i="56"/>
  <c r="Y7" i="56"/>
  <c r="S31" i="56"/>
  <c r="R36" i="56"/>
  <c r="W36" i="56"/>
  <c r="M37" i="56"/>
  <c r="G37" i="57"/>
  <c r="W37" i="55"/>
  <c r="Y6" i="56"/>
  <c r="Y12" i="56"/>
  <c r="T34" i="56"/>
  <c r="S13" i="56"/>
  <c r="DT50" i="54"/>
  <c r="L37" i="56"/>
  <c r="R30" i="56"/>
  <c r="W30" i="56"/>
  <c r="Y18" i="56"/>
  <c r="R13" i="56"/>
  <c r="Y36" i="55"/>
  <c r="U13" i="56"/>
  <c r="R25" i="56"/>
  <c r="T31" i="56"/>
  <c r="Y19" i="56"/>
  <c r="Y10" i="56"/>
  <c r="W34" i="56"/>
  <c r="R34" i="56"/>
  <c r="S25" i="56"/>
  <c r="S36" i="56"/>
  <c r="Y23" i="56"/>
  <c r="W25" i="56"/>
  <c r="U35" i="56"/>
  <c r="N37" i="56"/>
  <c r="T35" i="56"/>
  <c r="K37" i="56"/>
  <c r="S35" i="56"/>
  <c r="H37" i="56"/>
  <c r="Y35" i="55"/>
  <c r="S37" i="55"/>
  <c r="Y11" i="56"/>
  <c r="W13" i="56"/>
  <c r="R35" i="56"/>
  <c r="E37" i="56"/>
  <c r="W35" i="56"/>
  <c r="N37" i="57"/>
  <c r="F37" i="57"/>
  <c r="H37" i="57"/>
  <c r="E37" i="57"/>
  <c r="O37" i="57"/>
  <c r="DT43" i="54"/>
  <c r="FV50" i="54"/>
  <c r="FV24" i="54"/>
  <c r="FV43" i="54"/>
  <c r="DT23" i="54"/>
  <c r="FV42" i="54"/>
  <c r="FV10" i="54"/>
  <c r="DT42" i="54"/>
  <c r="DT30" i="54"/>
  <c r="FV30" i="54"/>
  <c r="DT24" i="54"/>
  <c r="FV23" i="54"/>
  <c r="DT35" i="54"/>
  <c r="DT10" i="54"/>
  <c r="FV40" i="54"/>
  <c r="DT33" i="54"/>
  <c r="FV39" i="54"/>
  <c r="DT11" i="54"/>
  <c r="FV31" i="54"/>
  <c r="DT41" i="54"/>
  <c r="FV18" i="54"/>
  <c r="FV17" i="54"/>
  <c r="FV25" i="54"/>
  <c r="FV32" i="54"/>
  <c r="DT31" i="54"/>
  <c r="FV41" i="54"/>
  <c r="FV6" i="54"/>
  <c r="DT25" i="54"/>
  <c r="DT18" i="54"/>
  <c r="DT7" i="54"/>
  <c r="DT17" i="54"/>
  <c r="DT8" i="54"/>
  <c r="FV8" i="54"/>
  <c r="DT13" i="54"/>
  <c r="FV13" i="54"/>
  <c r="FV7" i="54"/>
  <c r="DB38" i="54"/>
  <c r="DR38" i="54"/>
  <c r="FT21" i="54"/>
  <c r="DT40" i="54"/>
  <c r="DR21" i="54"/>
  <c r="DQ21" i="54"/>
  <c r="FV11" i="54"/>
  <c r="FV15" i="54"/>
  <c r="DT27" i="54"/>
  <c r="DT6" i="54"/>
  <c r="FR38" i="54"/>
  <c r="BR38" i="54"/>
  <c r="DS38" i="54"/>
  <c r="FU38" i="54"/>
  <c r="FD21" i="54"/>
  <c r="CJ21" i="54"/>
  <c r="DQ38" i="54"/>
  <c r="CJ38" i="54"/>
  <c r="DB21" i="54"/>
  <c r="FV29" i="54"/>
  <c r="FV27" i="54"/>
  <c r="FV35" i="54"/>
  <c r="FR21" i="54"/>
  <c r="DT39" i="54"/>
  <c r="FU21" i="54"/>
  <c r="DS21" i="54"/>
  <c r="FV33" i="54"/>
  <c r="EL38" i="54"/>
  <c r="DP21" i="54"/>
  <c r="DP38" i="54"/>
  <c r="DT22" i="54"/>
  <c r="EL21" i="54"/>
  <c r="FT38" i="54"/>
  <c r="FD38" i="54"/>
  <c r="BR21" i="54"/>
  <c r="FS21" i="54"/>
  <c r="FS38" i="54"/>
  <c r="DT32" i="54"/>
  <c r="DT29" i="54"/>
  <c r="FV22" i="54"/>
  <c r="DT15" i="54"/>
  <c r="FV57" i="54"/>
  <c r="DT58" i="54"/>
  <c r="FV59" i="54"/>
  <c r="BR78" i="54"/>
  <c r="FV63" i="54"/>
  <c r="DS66" i="54"/>
  <c r="DT62" i="54"/>
  <c r="DT88" i="54"/>
  <c r="DT87" i="54"/>
  <c r="BR66" i="54"/>
  <c r="FV62" i="54"/>
  <c r="FV61" i="54"/>
  <c r="DT54" i="54"/>
  <c r="DQ66" i="54"/>
  <c r="DT61" i="54"/>
  <c r="DB78" i="54"/>
  <c r="DT63" i="54"/>
  <c r="FR46" i="54"/>
  <c r="DT59" i="54"/>
  <c r="FV58" i="54"/>
  <c r="DT57" i="54"/>
  <c r="FV87" i="54"/>
  <c r="DR78" i="54"/>
  <c r="DT55" i="54"/>
  <c r="DB46" i="54"/>
  <c r="FV55" i="54"/>
  <c r="EL78" i="54"/>
  <c r="DQ78" i="54"/>
  <c r="DT52" i="54"/>
  <c r="FV88" i="54"/>
  <c r="DT75" i="54"/>
  <c r="DP46" i="54"/>
  <c r="FV75" i="54"/>
  <c r="FD66" i="54"/>
  <c r="FT66" i="54"/>
  <c r="FT78" i="54"/>
  <c r="DP66" i="54"/>
  <c r="FD78" i="54"/>
  <c r="DQ46" i="54"/>
  <c r="FU46" i="54"/>
  <c r="CJ78" i="54"/>
  <c r="FT46" i="54"/>
  <c r="FR66" i="54"/>
  <c r="FU66" i="54"/>
  <c r="DB66" i="54"/>
  <c r="FV52" i="54"/>
  <c r="EL66" i="54"/>
  <c r="EL46" i="54"/>
  <c r="DS78" i="54"/>
  <c r="FS78" i="54"/>
  <c r="FV73" i="54"/>
  <c r="CJ66" i="54"/>
  <c r="DS46" i="54"/>
  <c r="FS66" i="54"/>
  <c r="DT73" i="54"/>
  <c r="DR46" i="54"/>
  <c r="DR66" i="54"/>
  <c r="FR78" i="54"/>
  <c r="FU78" i="54"/>
  <c r="FD46" i="54"/>
  <c r="DP78" i="54"/>
  <c r="CJ46" i="54"/>
  <c r="FS46" i="54"/>
  <c r="BR46" i="54"/>
  <c r="FV74" i="54"/>
  <c r="FV67" i="54"/>
  <c r="DT74" i="54"/>
  <c r="DT67" i="54"/>
  <c r="DT47" i="54"/>
  <c r="FV47" i="54"/>
  <c r="FV54" i="54"/>
  <c r="G49" i="57" l="1"/>
  <c r="G48" i="57"/>
  <c r="G47" i="57"/>
  <c r="M48" i="57"/>
  <c r="M49" i="57"/>
  <c r="M47" i="57"/>
  <c r="H48" i="57"/>
  <c r="H49" i="57"/>
  <c r="H47" i="57"/>
  <c r="F47" i="57"/>
  <c r="F48" i="57"/>
  <c r="F49" i="57"/>
  <c r="N47" i="57"/>
  <c r="N49" i="57"/>
  <c r="N48" i="57"/>
  <c r="L47" i="57"/>
  <c r="L49" i="57"/>
  <c r="L48" i="57"/>
  <c r="P47" i="57"/>
  <c r="P48" i="57"/>
  <c r="P49" i="57"/>
  <c r="J49" i="57"/>
  <c r="J47" i="57"/>
  <c r="J48" i="57"/>
  <c r="E47" i="57"/>
  <c r="E48" i="57"/>
  <c r="E49" i="57"/>
  <c r="O47" i="57"/>
  <c r="O48" i="57"/>
  <c r="O49" i="57"/>
  <c r="I47" i="57"/>
  <c r="I48" i="57"/>
  <c r="I49" i="57"/>
  <c r="FV78" i="54"/>
  <c r="T11" i="61"/>
  <c r="U11" i="61"/>
  <c r="J13" i="61"/>
  <c r="T12" i="61"/>
  <c r="G13" i="61"/>
  <c r="W12" i="61"/>
  <c r="R12" i="61"/>
  <c r="W11" i="61"/>
  <c r="R11" i="61"/>
  <c r="T10" i="61"/>
  <c r="S6" i="61"/>
  <c r="M13" i="61"/>
  <c r="U10" i="61"/>
  <c r="N13" i="61"/>
  <c r="O13" i="61"/>
  <c r="S11" i="61"/>
  <c r="U7" i="61"/>
  <c r="S10" i="61"/>
  <c r="H13" i="61"/>
  <c r="P13" i="61"/>
  <c r="U12" i="61"/>
  <c r="S12" i="61"/>
  <c r="R6" i="61"/>
  <c r="W6" i="61"/>
  <c r="S7" i="61"/>
  <c r="I13" i="61"/>
  <c r="F13" i="61"/>
  <c r="R7" i="61"/>
  <c r="W7" i="61"/>
  <c r="W10" i="61"/>
  <c r="E13" i="61"/>
  <c r="R10" i="61"/>
  <c r="T6" i="61"/>
  <c r="T7" i="61"/>
  <c r="L13" i="61"/>
  <c r="U6" i="61"/>
  <c r="Y31" i="56"/>
  <c r="S37" i="56"/>
  <c r="T37" i="56"/>
  <c r="U37" i="56"/>
  <c r="Y36" i="56"/>
  <c r="Y34" i="56"/>
  <c r="R37" i="56"/>
  <c r="Y30" i="56"/>
  <c r="Y25" i="56"/>
  <c r="Y13" i="56"/>
  <c r="Y35" i="56"/>
  <c r="W37" i="56"/>
  <c r="Y37" i="55"/>
  <c r="FV38" i="54"/>
  <c r="DT38" i="54"/>
  <c r="DT21" i="54"/>
  <c r="FV21" i="54"/>
  <c r="DT78" i="54"/>
  <c r="DT66" i="54"/>
  <c r="FV46" i="54"/>
  <c r="DT46" i="54"/>
  <c r="FV66" i="54"/>
  <c r="T13" i="61" l="1"/>
  <c r="R13" i="61"/>
  <c r="S13" i="61"/>
  <c r="U13" i="61"/>
  <c r="Y7" i="61"/>
  <c r="Y10" i="61"/>
  <c r="W13" i="61"/>
  <c r="Y11" i="61"/>
  <c r="Y6" i="61"/>
  <c r="Y12" i="61"/>
  <c r="Y37" i="56"/>
  <c r="AU5" i="54"/>
  <c r="P17" i="55" s="1"/>
  <c r="P20" i="55" s="1"/>
  <c r="P27" i="55" s="1"/>
  <c r="AT5" i="54"/>
  <c r="O17" i="55" s="1"/>
  <c r="O20" i="55" s="1"/>
  <c r="O27" i="55" s="1"/>
  <c r="AS5" i="54"/>
  <c r="N17" i="55" s="1"/>
  <c r="AR5" i="54"/>
  <c r="M17" i="55" s="1"/>
  <c r="M20" i="55" s="1"/>
  <c r="M27" i="55" s="1"/>
  <c r="AQ5" i="54"/>
  <c r="L17" i="55" s="1"/>
  <c r="L20" i="55" s="1"/>
  <c r="L27" i="55" s="1"/>
  <c r="AP5" i="54"/>
  <c r="K17" i="55" s="1"/>
  <c r="AO5" i="54"/>
  <c r="J17" i="55" s="1"/>
  <c r="J20" i="55" s="1"/>
  <c r="J27" i="55" s="1"/>
  <c r="AN5" i="54"/>
  <c r="I17" i="55" s="1"/>
  <c r="I20" i="55" s="1"/>
  <c r="I27" i="55" s="1"/>
  <c r="AM5" i="54"/>
  <c r="H17" i="55" s="1"/>
  <c r="AL5" i="54"/>
  <c r="G17" i="55" s="1"/>
  <c r="G20" i="55" s="1"/>
  <c r="G27" i="55" s="1"/>
  <c r="AK5" i="54"/>
  <c r="F17" i="55" s="1"/>
  <c r="F20" i="55" s="1"/>
  <c r="F27" i="55" s="1"/>
  <c r="AJ5" i="54"/>
  <c r="E17" i="55" s="1"/>
  <c r="AC5" i="54"/>
  <c r="P5" i="55" s="1"/>
  <c r="AB5" i="54"/>
  <c r="O5" i="55" s="1"/>
  <c r="AA5" i="54"/>
  <c r="N5" i="55" s="1"/>
  <c r="Z5" i="54"/>
  <c r="M5" i="55" s="1"/>
  <c r="Y5" i="54"/>
  <c r="L5" i="55" s="1"/>
  <c r="X5" i="54"/>
  <c r="K5" i="55" s="1"/>
  <c r="W5" i="54"/>
  <c r="J5" i="55" s="1"/>
  <c r="V5" i="54"/>
  <c r="I5" i="55" s="1"/>
  <c r="U5" i="54"/>
  <c r="H5" i="55" s="1"/>
  <c r="T5" i="54"/>
  <c r="G5" i="55" s="1"/>
  <c r="S5" i="54"/>
  <c r="F5" i="55" s="1"/>
  <c r="R5" i="54"/>
  <c r="E5" i="55" s="1"/>
  <c r="G5" i="54"/>
  <c r="B7" i="54"/>
  <c r="B8" i="54" s="1"/>
  <c r="B9" i="54" s="1"/>
  <c r="B10" i="54" s="1"/>
  <c r="B11" i="54" s="1"/>
  <c r="B12" i="54" s="1"/>
  <c r="B13" i="54" s="1"/>
  <c r="B14" i="54" s="1"/>
  <c r="B15" i="54" s="1"/>
  <c r="B16" i="54" s="1"/>
  <c r="B17" i="54" s="1"/>
  <c r="B18" i="54" s="1"/>
  <c r="Y13" i="61" l="1"/>
  <c r="O29" i="55"/>
  <c r="O32" i="55" s="1"/>
  <c r="O39" i="55" s="1"/>
  <c r="O42" i="55" s="1"/>
  <c r="O8" i="55"/>
  <c r="O15" i="55" s="1"/>
  <c r="N29" i="55"/>
  <c r="N8" i="55"/>
  <c r="N15" i="55" s="1"/>
  <c r="U5" i="55"/>
  <c r="U8" i="55" s="1"/>
  <c r="U15" i="55" s="1"/>
  <c r="E20" i="55"/>
  <c r="E27" i="55" s="1"/>
  <c r="R17" i="55"/>
  <c r="R20" i="55" s="1"/>
  <c r="R27" i="55" s="1"/>
  <c r="W17" i="55"/>
  <c r="K20" i="55"/>
  <c r="K27" i="55" s="1"/>
  <c r="T17" i="55"/>
  <c r="T20" i="55" s="1"/>
  <c r="T27" i="55" s="1"/>
  <c r="F8" i="55"/>
  <c r="F15" i="55" s="1"/>
  <c r="F29" i="55"/>
  <c r="F32" i="55" s="1"/>
  <c r="F39" i="55" s="1"/>
  <c r="M29" i="55"/>
  <c r="M32" i="55" s="1"/>
  <c r="M39" i="55" s="1"/>
  <c r="M42" i="55" s="1"/>
  <c r="M8" i="55"/>
  <c r="M15" i="55" s="1"/>
  <c r="G8" i="55"/>
  <c r="G15" i="55" s="1"/>
  <c r="G29" i="55"/>
  <c r="G32" i="55" s="1"/>
  <c r="G39" i="55" s="1"/>
  <c r="I29" i="55"/>
  <c r="I32" i="55" s="1"/>
  <c r="I39" i="55" s="1"/>
  <c r="I42" i="55" s="1"/>
  <c r="I8" i="55"/>
  <c r="I15" i="55" s="1"/>
  <c r="P29" i="55"/>
  <c r="P32" i="55" s="1"/>
  <c r="P39" i="55" s="1"/>
  <c r="P42" i="55" s="1"/>
  <c r="P8" i="55"/>
  <c r="P15" i="55" s="1"/>
  <c r="H20" i="55"/>
  <c r="H27" i="55" s="1"/>
  <c r="S17" i="55"/>
  <c r="S20" i="55" s="1"/>
  <c r="S27" i="55" s="1"/>
  <c r="U17" i="55"/>
  <c r="U20" i="55" s="1"/>
  <c r="U27" i="55" s="1"/>
  <c r="N20" i="55"/>
  <c r="N27" i="55" s="1"/>
  <c r="S5" i="55"/>
  <c r="S8" i="55" s="1"/>
  <c r="S15" i="55" s="1"/>
  <c r="H8" i="55"/>
  <c r="H15" i="55" s="1"/>
  <c r="H29" i="55"/>
  <c r="J29" i="55"/>
  <c r="J32" i="55" s="1"/>
  <c r="J39" i="55" s="1"/>
  <c r="J42" i="55" s="1"/>
  <c r="J8" i="55"/>
  <c r="J15" i="55" s="1"/>
  <c r="E29" i="55"/>
  <c r="R5" i="55"/>
  <c r="R8" i="55" s="1"/>
  <c r="W5" i="55"/>
  <c r="E8" i="55"/>
  <c r="E15" i="55" s="1"/>
  <c r="T5" i="55"/>
  <c r="T8" i="55" s="1"/>
  <c r="T15" i="55" s="1"/>
  <c r="K29" i="55"/>
  <c r="K8" i="55"/>
  <c r="K15" i="55" s="1"/>
  <c r="L29" i="55"/>
  <c r="L32" i="55" s="1"/>
  <c r="L39" i="55" s="1"/>
  <c r="L42" i="55" s="1"/>
  <c r="L8" i="55"/>
  <c r="L15" i="55" s="1"/>
  <c r="AV5" i="54"/>
  <c r="EQ5" i="54"/>
  <c r="DX5" i="54"/>
  <c r="EP5" i="54"/>
  <c r="DW5" i="54"/>
  <c r="EO5" i="54"/>
  <c r="DV5" i="54"/>
  <c r="DZ5" i="54"/>
  <c r="EN5" i="54"/>
  <c r="ES5" i="54"/>
  <c r="ER5" i="54"/>
  <c r="DY5" i="54"/>
  <c r="EG5" i="54"/>
  <c r="EY5" i="54"/>
  <c r="EF5" i="54"/>
  <c r="EX5" i="54"/>
  <c r="EE5" i="54"/>
  <c r="EW5" i="54"/>
  <c r="ED5" i="54"/>
  <c r="EV5" i="54"/>
  <c r="EC5" i="54"/>
  <c r="EU5" i="54"/>
  <c r="EB5" i="54"/>
  <c r="ET5" i="54"/>
  <c r="EA5" i="54"/>
  <c r="BJ5" i="54"/>
  <c r="BK5" i="54"/>
  <c r="BL5" i="54"/>
  <c r="CS5" i="54"/>
  <c r="L17" i="56" s="1"/>
  <c r="L20" i="56" s="1"/>
  <c r="L27" i="56" s="1"/>
  <c r="BW5" i="54"/>
  <c r="H5" i="56" s="1"/>
  <c r="BT5" i="54"/>
  <c r="E5" i="56" s="1"/>
  <c r="CU5" i="54"/>
  <c r="N17" i="56" s="1"/>
  <c r="CR5" i="54"/>
  <c r="K17" i="56" s="1"/>
  <c r="CM5" i="54"/>
  <c r="F17" i="56" s="1"/>
  <c r="CL5" i="54"/>
  <c r="E17" i="56" s="1"/>
  <c r="CA5" i="54"/>
  <c r="L5" i="56" s="1"/>
  <c r="CQ5" i="54"/>
  <c r="J17" i="56" s="1"/>
  <c r="J20" i="56" s="1"/>
  <c r="J27" i="56" s="1"/>
  <c r="CP5" i="54"/>
  <c r="I17" i="56" s="1"/>
  <c r="I20" i="56" s="1"/>
  <c r="I27" i="56" s="1"/>
  <c r="CO5" i="54"/>
  <c r="H17" i="56" s="1"/>
  <c r="CN5" i="54"/>
  <c r="G17" i="56" s="1"/>
  <c r="CE5" i="54"/>
  <c r="P5" i="56" s="1"/>
  <c r="CC5" i="54"/>
  <c r="N5" i="56" s="1"/>
  <c r="BY5" i="54"/>
  <c r="J5" i="56" s="1"/>
  <c r="BU5" i="54"/>
  <c r="F5" i="56" s="1"/>
  <c r="CW5" i="54"/>
  <c r="P17" i="56" s="1"/>
  <c r="P20" i="56" s="1"/>
  <c r="P27" i="56" s="1"/>
  <c r="CT5" i="54"/>
  <c r="M17" i="56" s="1"/>
  <c r="M20" i="56" s="1"/>
  <c r="M27" i="56" s="1"/>
  <c r="CD5" i="54"/>
  <c r="O5" i="56" s="1"/>
  <c r="BZ5" i="54"/>
  <c r="K5" i="56" s="1"/>
  <c r="BV5" i="54"/>
  <c r="G5" i="56" s="1"/>
  <c r="G8" i="56" s="1"/>
  <c r="G15" i="56" s="1"/>
  <c r="CV5" i="54"/>
  <c r="O17" i="56" s="1"/>
  <c r="O20" i="56" s="1"/>
  <c r="O27" i="56" s="1"/>
  <c r="CB5" i="54"/>
  <c r="M5" i="56" s="1"/>
  <c r="BX5" i="54"/>
  <c r="I5" i="56" s="1"/>
  <c r="BM5" i="54"/>
  <c r="BG5" i="54"/>
  <c r="BH5" i="54"/>
  <c r="DN5" i="54"/>
  <c r="BI5" i="54"/>
  <c r="BB5" i="54"/>
  <c r="BC5" i="54"/>
  <c r="BD5" i="54"/>
  <c r="AE5" i="54"/>
  <c r="BF5" i="54"/>
  <c r="BE5" i="54"/>
  <c r="AY5" i="54"/>
  <c r="AF5" i="54"/>
  <c r="AX5" i="54"/>
  <c r="AW5" i="54"/>
  <c r="AD5" i="54"/>
  <c r="AG5" i="54"/>
  <c r="G29" i="56" l="1"/>
  <c r="G32" i="56" s="1"/>
  <c r="G39" i="56" s="1"/>
  <c r="E136" i="43" s="1"/>
  <c r="G20" i="56"/>
  <c r="G27" i="56" s="1"/>
  <c r="T29" i="55"/>
  <c r="T32" i="55" s="1"/>
  <c r="T39" i="55" s="1"/>
  <c r="K32" i="55"/>
  <c r="K39" i="55" s="1"/>
  <c r="K42" i="55" s="1"/>
  <c r="L8" i="56"/>
  <c r="L15" i="56" s="1"/>
  <c r="L29" i="56"/>
  <c r="L32" i="56" s="1"/>
  <c r="L39" i="56" s="1"/>
  <c r="J136" i="43" s="1"/>
  <c r="R15" i="55"/>
  <c r="U17" i="56"/>
  <c r="U20" i="56" s="1"/>
  <c r="U27" i="56" s="1"/>
  <c r="N20" i="56"/>
  <c r="N27" i="56" s="1"/>
  <c r="W29" i="55"/>
  <c r="E32" i="55"/>
  <c r="E39" i="55" s="1"/>
  <c r="R29" i="55"/>
  <c r="R32" i="55" s="1"/>
  <c r="R39" i="55" s="1"/>
  <c r="K20" i="56"/>
  <c r="K27" i="56" s="1"/>
  <c r="T17" i="56"/>
  <c r="T20" i="56" s="1"/>
  <c r="T27" i="56" s="1"/>
  <c r="E8" i="56"/>
  <c r="E15" i="56" s="1"/>
  <c r="E29" i="56"/>
  <c r="R5" i="56"/>
  <c r="R8" i="56" s="1"/>
  <c r="R15" i="56" s="1"/>
  <c r="W5" i="56"/>
  <c r="U5" i="56"/>
  <c r="U8" i="56" s="1"/>
  <c r="U15" i="56" s="1"/>
  <c r="N29" i="56"/>
  <c r="N8" i="56"/>
  <c r="N15" i="56" s="1"/>
  <c r="Y17" i="55"/>
  <c r="W20" i="55"/>
  <c r="E20" i="56"/>
  <c r="E27" i="56" s="1"/>
  <c r="R17" i="56"/>
  <c r="R20" i="56" s="1"/>
  <c r="R27" i="56" s="1"/>
  <c r="H32" i="55"/>
  <c r="H39" i="55" s="1"/>
  <c r="H42" i="55" s="1"/>
  <c r="S29" i="55"/>
  <c r="S32" i="55" s="1"/>
  <c r="S39" i="55" s="1"/>
  <c r="P8" i="56"/>
  <c r="P15" i="56" s="1"/>
  <c r="P29" i="56"/>
  <c r="P32" i="56" s="1"/>
  <c r="P39" i="56" s="1"/>
  <c r="N136" i="43" s="1"/>
  <c r="H29" i="56"/>
  <c r="H20" i="56"/>
  <c r="H27" i="56" s="1"/>
  <c r="S17" i="56"/>
  <c r="S20" i="56" s="1"/>
  <c r="S27" i="56" s="1"/>
  <c r="S5" i="56"/>
  <c r="S8" i="56" s="1"/>
  <c r="S15" i="56" s="1"/>
  <c r="H8" i="56"/>
  <c r="H15" i="56" s="1"/>
  <c r="K8" i="56"/>
  <c r="K15" i="56" s="1"/>
  <c r="T5" i="56"/>
  <c r="T8" i="56" s="1"/>
  <c r="T15" i="56" s="1"/>
  <c r="K29" i="56"/>
  <c r="W17" i="56"/>
  <c r="F20" i="56"/>
  <c r="F27" i="56" s="1"/>
  <c r="I8" i="56"/>
  <c r="I15" i="56" s="1"/>
  <c r="I29" i="56"/>
  <c r="I32" i="56" s="1"/>
  <c r="I39" i="56" s="1"/>
  <c r="G136" i="43" s="1"/>
  <c r="N32" i="55"/>
  <c r="N39" i="55" s="1"/>
  <c r="N42" i="55" s="1"/>
  <c r="U29" i="55"/>
  <c r="U32" i="55" s="1"/>
  <c r="U39" i="55" s="1"/>
  <c r="W8" i="55"/>
  <c r="W15" i="55" s="1"/>
  <c r="Y5" i="55"/>
  <c r="O29" i="56"/>
  <c r="O32" i="56" s="1"/>
  <c r="O39" i="56" s="1"/>
  <c r="M136" i="43" s="1"/>
  <c r="O8" i="56"/>
  <c r="O15" i="56" s="1"/>
  <c r="F8" i="56"/>
  <c r="F15" i="56" s="1"/>
  <c r="F29" i="56"/>
  <c r="F32" i="56" s="1"/>
  <c r="F39" i="56" s="1"/>
  <c r="D136" i="43" s="1"/>
  <c r="M8" i="56"/>
  <c r="M15" i="56" s="1"/>
  <c r="M29" i="56"/>
  <c r="M32" i="56" s="1"/>
  <c r="M39" i="56" s="1"/>
  <c r="K136" i="43" s="1"/>
  <c r="J29" i="56"/>
  <c r="J32" i="56" s="1"/>
  <c r="J39" i="56" s="1"/>
  <c r="H136" i="43" s="1"/>
  <c r="J8" i="56"/>
  <c r="J15" i="56" s="1"/>
  <c r="P32" i="57"/>
  <c r="I32" i="57"/>
  <c r="F32" i="57"/>
  <c r="O32" i="57"/>
  <c r="G32" i="57"/>
  <c r="L32" i="57"/>
  <c r="M32" i="57"/>
  <c r="J32" i="57"/>
  <c r="FL5" i="54"/>
  <c r="EJ5" i="54"/>
  <c r="FH5" i="54"/>
  <c r="FM5" i="54"/>
  <c r="DO5" i="54"/>
  <c r="FB5" i="54"/>
  <c r="FN5" i="54"/>
  <c r="DK5" i="54"/>
  <c r="FC5" i="54"/>
  <c r="FO5" i="54"/>
  <c r="EK5" i="54"/>
  <c r="DF5" i="54"/>
  <c r="CZ5" i="54"/>
  <c r="FP5" i="54"/>
  <c r="FA5" i="54"/>
  <c r="DA5" i="54"/>
  <c r="FQ5" i="54"/>
  <c r="FI5" i="54"/>
  <c r="EI5" i="54"/>
  <c r="EZ5" i="54"/>
  <c r="BQ5" i="54"/>
  <c r="FG5" i="54"/>
  <c r="FK5" i="54"/>
  <c r="FJ5" i="54"/>
  <c r="FF5" i="54"/>
  <c r="EH5" i="54"/>
  <c r="DH5" i="54"/>
  <c r="DI5" i="54"/>
  <c r="DJ5" i="54"/>
  <c r="BP5" i="54"/>
  <c r="DE5" i="54"/>
  <c r="CY5" i="54"/>
  <c r="CX5" i="54"/>
  <c r="BO5" i="54"/>
  <c r="CI5" i="54"/>
  <c r="DM5" i="54"/>
  <c r="CG5" i="54"/>
  <c r="DG5" i="54"/>
  <c r="CH5" i="54"/>
  <c r="DL5" i="54"/>
  <c r="DD5" i="54"/>
  <c r="CF5" i="54"/>
  <c r="BN5" i="54"/>
  <c r="AZ5" i="54"/>
  <c r="AH5" i="54"/>
  <c r="M39" i="57" l="1"/>
  <c r="M52" i="57" s="1"/>
  <c r="M43" i="57"/>
  <c r="M44" i="57"/>
  <c r="M42" i="57"/>
  <c r="F39" i="57"/>
  <c r="F52" i="57" s="1"/>
  <c r="F43" i="57"/>
  <c r="F42" i="57"/>
  <c r="F44" i="57"/>
  <c r="I39" i="57"/>
  <c r="I52" i="57" s="1"/>
  <c r="I43" i="57"/>
  <c r="I42" i="57"/>
  <c r="I44" i="57"/>
  <c r="L39" i="57"/>
  <c r="L52" i="57" s="1"/>
  <c r="L43" i="57"/>
  <c r="L42" i="57"/>
  <c r="L44" i="57"/>
  <c r="G39" i="57"/>
  <c r="G52" i="57" s="1"/>
  <c r="G42" i="57"/>
  <c r="G44" i="57"/>
  <c r="G43" i="57"/>
  <c r="O39" i="57"/>
  <c r="O52" i="57" s="1"/>
  <c r="O42" i="57"/>
  <c r="O44" i="57"/>
  <c r="O43" i="57"/>
  <c r="P39" i="57"/>
  <c r="P52" i="57" s="1"/>
  <c r="P42" i="57"/>
  <c r="P43" i="57"/>
  <c r="P44" i="57"/>
  <c r="J39" i="57"/>
  <c r="J52" i="57" s="1"/>
  <c r="J42" i="57"/>
  <c r="J43" i="57"/>
  <c r="J44" i="57"/>
  <c r="E8" i="61"/>
  <c r="E15" i="61" s="1"/>
  <c r="F8" i="61"/>
  <c r="F15" i="61" s="1"/>
  <c r="L8" i="61"/>
  <c r="I8" i="61"/>
  <c r="I15" i="61" s="1"/>
  <c r="I64" i="61" s="1"/>
  <c r="I65" i="61" s="1"/>
  <c r="J8" i="61"/>
  <c r="J15" i="61" s="1"/>
  <c r="M8" i="61"/>
  <c r="M15" i="61" s="1"/>
  <c r="M64" i="61" s="1"/>
  <c r="M65" i="61" s="1"/>
  <c r="P8" i="61"/>
  <c r="P15" i="61" s="1"/>
  <c r="O8" i="61"/>
  <c r="O15" i="61" s="1"/>
  <c r="O64" i="61" s="1"/>
  <c r="O65" i="61" s="1"/>
  <c r="Y15" i="55"/>
  <c r="E32" i="56"/>
  <c r="E39" i="56" s="1"/>
  <c r="C136" i="43" s="1"/>
  <c r="C138" i="43" s="1"/>
  <c r="R29" i="56"/>
  <c r="R32" i="56" s="1"/>
  <c r="R39" i="56" s="1"/>
  <c r="W29" i="56"/>
  <c r="H32" i="56"/>
  <c r="H39" i="56" s="1"/>
  <c r="F136" i="43" s="1"/>
  <c r="S29" i="56"/>
  <c r="S32" i="56" s="1"/>
  <c r="S39" i="56" s="1"/>
  <c r="W32" i="55"/>
  <c r="Y29" i="55"/>
  <c r="Y8" i="55"/>
  <c r="W27" i="55"/>
  <c r="Y27" i="55" s="1"/>
  <c r="Y20" i="55"/>
  <c r="U29" i="56"/>
  <c r="U32" i="56" s="1"/>
  <c r="U39" i="56" s="1"/>
  <c r="N32" i="56"/>
  <c r="N39" i="56" s="1"/>
  <c r="L136" i="43" s="1"/>
  <c r="W20" i="56"/>
  <c r="Y17" i="56"/>
  <c r="K32" i="56"/>
  <c r="K39" i="56" s="1"/>
  <c r="T29" i="56"/>
  <c r="T32" i="56" s="1"/>
  <c r="T39" i="56" s="1"/>
  <c r="Y5" i="56"/>
  <c r="W8" i="56"/>
  <c r="E32" i="57"/>
  <c r="N32" i="57"/>
  <c r="H32" i="57"/>
  <c r="DR5" i="54"/>
  <c r="FU5" i="54"/>
  <c r="EL5" i="54"/>
  <c r="FR5" i="54"/>
  <c r="FS5" i="54"/>
  <c r="FT5" i="54"/>
  <c r="FD5" i="54"/>
  <c r="DS5" i="54"/>
  <c r="DQ5" i="54"/>
  <c r="DB5" i="54"/>
  <c r="CJ5" i="54"/>
  <c r="BR5" i="54"/>
  <c r="DP5" i="54"/>
  <c r="M51" i="57" l="1"/>
  <c r="G51" i="57"/>
  <c r="J51" i="57"/>
  <c r="I51" i="57"/>
  <c r="L51" i="57"/>
  <c r="P51" i="57"/>
  <c r="F51" i="57"/>
  <c r="O51" i="57"/>
  <c r="H39" i="57"/>
  <c r="H52" i="57" s="1"/>
  <c r="H43" i="57"/>
  <c r="H44" i="57"/>
  <c r="H42" i="57"/>
  <c r="E39" i="57"/>
  <c r="E52" i="57" s="1"/>
  <c r="E44" i="57"/>
  <c r="E42" i="57"/>
  <c r="E43" i="57"/>
  <c r="N39" i="57"/>
  <c r="N52" i="57" s="1"/>
  <c r="N43" i="57"/>
  <c r="N44" i="57"/>
  <c r="N42" i="57"/>
  <c r="L15" i="61"/>
  <c r="L64" i="61" s="1"/>
  <c r="L65" i="61" s="1"/>
  <c r="J64" i="61"/>
  <c r="J65" i="61" s="1"/>
  <c r="F52" i="61"/>
  <c r="E52" i="61"/>
  <c r="E55" i="61" s="1"/>
  <c r="E61" i="61" s="1"/>
  <c r="U5" i="61"/>
  <c r="U8" i="61" s="1"/>
  <c r="U15" i="61" s="1"/>
  <c r="N8" i="61"/>
  <c r="N15" i="61" s="1"/>
  <c r="N64" i="61" s="1"/>
  <c r="N65" i="61" s="1"/>
  <c r="W5" i="61"/>
  <c r="G8" i="61"/>
  <c r="G15" i="61" s="1"/>
  <c r="R5" i="61"/>
  <c r="R8" i="61" s="1"/>
  <c r="R15" i="61" s="1"/>
  <c r="S5" i="61"/>
  <c r="S8" i="61" s="1"/>
  <c r="S15" i="61" s="1"/>
  <c r="H8" i="61"/>
  <c r="H15" i="61" s="1"/>
  <c r="H64" i="61" s="1"/>
  <c r="H65" i="61" s="1"/>
  <c r="T5" i="61"/>
  <c r="T8" i="61" s="1"/>
  <c r="T15" i="61" s="1"/>
  <c r="K64" i="61"/>
  <c r="K65" i="61" s="1"/>
  <c r="Y8" i="56"/>
  <c r="W15" i="56"/>
  <c r="Y15" i="56" s="1"/>
  <c r="Y20" i="56"/>
  <c r="W27" i="56"/>
  <c r="Y27" i="56" s="1"/>
  <c r="Y32" i="55"/>
  <c r="W39" i="55"/>
  <c r="Y39" i="55" s="1"/>
  <c r="W32" i="56"/>
  <c r="Y29" i="56"/>
  <c r="FV5" i="54"/>
  <c r="DT5" i="54"/>
  <c r="E51" i="57" l="1"/>
  <c r="N51" i="57"/>
  <c r="H51" i="57"/>
  <c r="F50" i="61"/>
  <c r="F55" i="61" s="1"/>
  <c r="F61" i="61" s="1"/>
  <c r="Y5" i="61"/>
  <c r="W8" i="61"/>
  <c r="Y32" i="56"/>
  <c r="W39" i="56"/>
  <c r="Y39" i="56" s="1"/>
  <c r="G50" i="61" l="1"/>
  <c r="Y8" i="61"/>
  <c r="W15" i="61"/>
  <c r="Y15" i="61" s="1"/>
  <c r="N207" i="42"/>
  <c r="M207" i="42"/>
  <c r="L207" i="42"/>
  <c r="K207" i="42"/>
  <c r="I207" i="42"/>
  <c r="H207" i="42"/>
  <c r="G207" i="42"/>
  <c r="F207" i="42"/>
  <c r="E207" i="42"/>
  <c r="D207" i="42"/>
  <c r="C207" i="42"/>
  <c r="N202" i="42"/>
  <c r="M202" i="42"/>
  <c r="L202" i="42"/>
  <c r="K202" i="42"/>
  <c r="I202" i="42"/>
  <c r="H202" i="42"/>
  <c r="G202" i="42"/>
  <c r="E202" i="42"/>
  <c r="D202" i="42"/>
  <c r="C202" i="42"/>
  <c r="P14" i="53" l="1"/>
  <c r="O14" i="53"/>
  <c r="N14" i="53"/>
  <c r="U14" i="53" s="1"/>
  <c r="M14" i="53"/>
  <c r="L14" i="53"/>
  <c r="K14" i="53"/>
  <c r="T14" i="53" s="1"/>
  <c r="J14" i="53"/>
  <c r="I14" i="53"/>
  <c r="H14" i="53"/>
  <c r="S14" i="53" s="1"/>
  <c r="G14" i="53"/>
  <c r="F14" i="53"/>
  <c r="E14" i="53"/>
  <c r="R14" i="53" s="1"/>
  <c r="T13" i="53"/>
  <c r="S13" i="53"/>
  <c r="R13" i="53"/>
  <c r="P13" i="53"/>
  <c r="O13" i="53"/>
  <c r="N13" i="53"/>
  <c r="M13" i="53"/>
  <c r="L13" i="53"/>
  <c r="K13" i="53"/>
  <c r="J13" i="53"/>
  <c r="I13" i="53"/>
  <c r="H13" i="53"/>
  <c r="G13" i="53"/>
  <c r="F13" i="53"/>
  <c r="E13" i="53"/>
  <c r="P12" i="53"/>
  <c r="O12" i="53"/>
  <c r="N12" i="53"/>
  <c r="U12" i="53" s="1"/>
  <c r="M12" i="53"/>
  <c r="L12" i="53"/>
  <c r="K12" i="53"/>
  <c r="J12" i="53"/>
  <c r="I12" i="53"/>
  <c r="H12" i="53"/>
  <c r="S12" i="53" s="1"/>
  <c r="G12" i="53"/>
  <c r="F12" i="53"/>
  <c r="E12" i="53"/>
  <c r="R12" i="53" s="1"/>
  <c r="P11" i="53"/>
  <c r="P15" i="53" s="1"/>
  <c r="O11" i="53"/>
  <c r="O15" i="53" s="1"/>
  <c r="N11" i="53"/>
  <c r="N15" i="53" s="1"/>
  <c r="M11" i="53"/>
  <c r="M15" i="53" s="1"/>
  <c r="L11" i="53"/>
  <c r="L15" i="53" s="1"/>
  <c r="K11" i="53"/>
  <c r="T11" i="53" s="1"/>
  <c r="J11" i="53"/>
  <c r="J15" i="53" s="1"/>
  <c r="I11" i="53"/>
  <c r="I15" i="53" s="1"/>
  <c r="H11" i="53"/>
  <c r="S11" i="53" s="1"/>
  <c r="G11" i="53"/>
  <c r="F11" i="53"/>
  <c r="F15" i="53" s="1"/>
  <c r="E11" i="53"/>
  <c r="E15" i="53" s="1"/>
  <c r="H9" i="53"/>
  <c r="G9" i="53"/>
  <c r="P8" i="53"/>
  <c r="O8" i="53"/>
  <c r="N8" i="53"/>
  <c r="U8" i="53" s="1"/>
  <c r="M8" i="53"/>
  <c r="L8" i="53"/>
  <c r="K8" i="53"/>
  <c r="T8" i="53" s="1"/>
  <c r="J8" i="53"/>
  <c r="I8" i="53"/>
  <c r="H8" i="53"/>
  <c r="S8" i="53" s="1"/>
  <c r="G8" i="53"/>
  <c r="F8" i="53"/>
  <c r="E8" i="53"/>
  <c r="R8" i="53" s="1"/>
  <c r="W7" i="53"/>
  <c r="R7" i="53"/>
  <c r="P7" i="53"/>
  <c r="O7" i="53"/>
  <c r="N7" i="53"/>
  <c r="U7" i="53" s="1"/>
  <c r="M7" i="53"/>
  <c r="L7" i="53"/>
  <c r="K7" i="53"/>
  <c r="T7" i="53" s="1"/>
  <c r="J7" i="53"/>
  <c r="I7" i="53"/>
  <c r="H7" i="53"/>
  <c r="S7" i="53" s="1"/>
  <c r="G7" i="53"/>
  <c r="F7" i="53"/>
  <c r="E7" i="53"/>
  <c r="P6" i="53"/>
  <c r="O6" i="53"/>
  <c r="N6" i="53"/>
  <c r="U6" i="53" s="1"/>
  <c r="M6" i="53"/>
  <c r="L6" i="53"/>
  <c r="K6" i="53"/>
  <c r="J6" i="53"/>
  <c r="I6" i="53"/>
  <c r="H6" i="53"/>
  <c r="S6" i="53" s="1"/>
  <c r="G6" i="53"/>
  <c r="F6" i="53"/>
  <c r="E6" i="53"/>
  <c r="R6" i="53" s="1"/>
  <c r="P5" i="53"/>
  <c r="P9" i="53" s="1"/>
  <c r="O5" i="53"/>
  <c r="O9" i="53" s="1"/>
  <c r="N5" i="53"/>
  <c r="N9" i="53" s="1"/>
  <c r="M5" i="53"/>
  <c r="M9" i="53" s="1"/>
  <c r="L5" i="53"/>
  <c r="L9" i="53" s="1"/>
  <c r="K5" i="53"/>
  <c r="T5" i="53" s="1"/>
  <c r="J5" i="53"/>
  <c r="J9" i="53" s="1"/>
  <c r="I5" i="53"/>
  <c r="H5" i="53"/>
  <c r="G5" i="53"/>
  <c r="E5" i="53"/>
  <c r="E9" i="53" s="1"/>
  <c r="W12" i="53" l="1"/>
  <c r="W6" i="53"/>
  <c r="W11" i="53"/>
  <c r="Y7" i="53"/>
  <c r="W14" i="53"/>
  <c r="W8" i="53"/>
  <c r="W13" i="53"/>
  <c r="Y8" i="53"/>
  <c r="W15" i="53"/>
  <c r="S15" i="53"/>
  <c r="Y14" i="53"/>
  <c r="U13" i="53"/>
  <c r="Y13" i="53" s="1"/>
  <c r="T6" i="53"/>
  <c r="Y6" i="53" s="1"/>
  <c r="I9" i="53"/>
  <c r="G15" i="53"/>
  <c r="H15" i="53"/>
  <c r="K9" i="53"/>
  <c r="T12" i="53"/>
  <c r="Y12" i="53" s="1"/>
  <c r="S5" i="53"/>
  <c r="S9" i="53" s="1"/>
  <c r="R11" i="53"/>
  <c r="R15" i="53" s="1"/>
  <c r="K15" i="53"/>
  <c r="U5" i="53"/>
  <c r="U9" i="53" s="1"/>
  <c r="U11" i="53"/>
  <c r="N279" i="42"/>
  <c r="M279" i="42"/>
  <c r="L279" i="42"/>
  <c r="K279" i="42"/>
  <c r="J279" i="42"/>
  <c r="I279" i="42"/>
  <c r="H279" i="42"/>
  <c r="G279" i="42"/>
  <c r="F279" i="42"/>
  <c r="D279" i="42"/>
  <c r="C279" i="42"/>
  <c r="N278" i="42"/>
  <c r="M278" i="42"/>
  <c r="L278" i="42"/>
  <c r="K278" i="42"/>
  <c r="J278" i="42"/>
  <c r="I278" i="42"/>
  <c r="H278" i="42"/>
  <c r="G278" i="42"/>
  <c r="F278" i="42"/>
  <c r="D278" i="42"/>
  <c r="C278" i="42"/>
  <c r="N277" i="42"/>
  <c r="M277" i="42"/>
  <c r="L277" i="42"/>
  <c r="K277" i="42"/>
  <c r="J277" i="42"/>
  <c r="I277" i="42"/>
  <c r="H277" i="42"/>
  <c r="G277" i="42"/>
  <c r="F277" i="42"/>
  <c r="E277" i="42"/>
  <c r="D277" i="42"/>
  <c r="C277" i="42"/>
  <c r="N226" i="42"/>
  <c r="M226" i="42"/>
  <c r="L226" i="42"/>
  <c r="K226" i="42"/>
  <c r="J226" i="42"/>
  <c r="I226" i="42"/>
  <c r="H226" i="42"/>
  <c r="G226" i="42"/>
  <c r="D226" i="42"/>
  <c r="C226" i="42"/>
  <c r="N225" i="42"/>
  <c r="M225" i="42"/>
  <c r="L225" i="42"/>
  <c r="K225" i="42"/>
  <c r="J225" i="42"/>
  <c r="I225" i="42"/>
  <c r="H225" i="42"/>
  <c r="G225" i="42"/>
  <c r="D225" i="42"/>
  <c r="C225" i="42"/>
  <c r="C287" i="42" s="1"/>
  <c r="N224" i="42"/>
  <c r="M224" i="42"/>
  <c r="L224" i="42"/>
  <c r="K224" i="42"/>
  <c r="J224" i="42"/>
  <c r="I224" i="42"/>
  <c r="H224" i="42"/>
  <c r="G224" i="42"/>
  <c r="E224" i="42"/>
  <c r="D224" i="42"/>
  <c r="C224" i="42"/>
  <c r="N188" i="42"/>
  <c r="M188" i="42"/>
  <c r="L188" i="42"/>
  <c r="K188" i="42"/>
  <c r="J188" i="42"/>
  <c r="I188" i="42"/>
  <c r="H188" i="42"/>
  <c r="G188" i="42"/>
  <c r="F188" i="42"/>
  <c r="E188" i="42"/>
  <c r="D188" i="42"/>
  <c r="C188" i="42"/>
  <c r="N187" i="42"/>
  <c r="M187" i="42"/>
  <c r="L187" i="42"/>
  <c r="K187" i="42"/>
  <c r="J187" i="42"/>
  <c r="I187" i="42"/>
  <c r="H187" i="42"/>
  <c r="G187" i="42"/>
  <c r="F187" i="42"/>
  <c r="E187" i="42"/>
  <c r="D187" i="42"/>
  <c r="C187" i="42"/>
  <c r="N186" i="42"/>
  <c r="M186" i="42"/>
  <c r="L186" i="42"/>
  <c r="K186" i="42"/>
  <c r="J186" i="42"/>
  <c r="I186" i="42"/>
  <c r="H186" i="42"/>
  <c r="G186" i="42"/>
  <c r="F186" i="42"/>
  <c r="E186" i="42"/>
  <c r="D186" i="42"/>
  <c r="C186" i="42"/>
  <c r="N155" i="42"/>
  <c r="M155" i="42"/>
  <c r="L155" i="42"/>
  <c r="K155" i="42"/>
  <c r="J155" i="42"/>
  <c r="I155" i="42"/>
  <c r="H155" i="42"/>
  <c r="G155" i="42"/>
  <c r="F155" i="42"/>
  <c r="E155" i="42"/>
  <c r="D155" i="42"/>
  <c r="C155" i="42"/>
  <c r="N154" i="42"/>
  <c r="M154" i="42"/>
  <c r="L154" i="42"/>
  <c r="K154" i="42"/>
  <c r="J154" i="42"/>
  <c r="I154" i="42"/>
  <c r="H154" i="42"/>
  <c r="G154" i="42"/>
  <c r="F154" i="42"/>
  <c r="E154" i="42"/>
  <c r="D154" i="42"/>
  <c r="C154" i="42"/>
  <c r="N153" i="42"/>
  <c r="M153" i="42"/>
  <c r="L153" i="42"/>
  <c r="K153" i="42"/>
  <c r="J153" i="42"/>
  <c r="I153" i="42"/>
  <c r="H153" i="42"/>
  <c r="G153" i="42"/>
  <c r="F153" i="42"/>
  <c r="E153" i="42"/>
  <c r="D153" i="42"/>
  <c r="C153" i="42"/>
  <c r="N122" i="42"/>
  <c r="M122" i="42"/>
  <c r="L122" i="42"/>
  <c r="K122" i="42"/>
  <c r="J122" i="42"/>
  <c r="I122" i="42"/>
  <c r="H122" i="42"/>
  <c r="G122" i="42"/>
  <c r="F122" i="42"/>
  <c r="D122" i="42"/>
  <c r="C122" i="42"/>
  <c r="N121" i="42"/>
  <c r="M121" i="42"/>
  <c r="L121" i="42"/>
  <c r="K121" i="42"/>
  <c r="J121" i="42"/>
  <c r="I121" i="42"/>
  <c r="H121" i="42"/>
  <c r="G121" i="42"/>
  <c r="F121" i="42"/>
  <c r="D121" i="42"/>
  <c r="C121" i="42"/>
  <c r="N120" i="42"/>
  <c r="M120" i="42"/>
  <c r="L120" i="42"/>
  <c r="K120" i="42"/>
  <c r="J120" i="42"/>
  <c r="I120" i="42"/>
  <c r="H120" i="42"/>
  <c r="G120" i="42"/>
  <c r="F120" i="42"/>
  <c r="E120" i="42"/>
  <c r="D120" i="42"/>
  <c r="C120" i="42"/>
  <c r="N79" i="42"/>
  <c r="M79" i="42"/>
  <c r="L79" i="42"/>
  <c r="K79" i="42"/>
  <c r="K298" i="42" s="1"/>
  <c r="K300" i="42" s="1"/>
  <c r="J79" i="42"/>
  <c r="I79" i="42"/>
  <c r="H79" i="42"/>
  <c r="G79" i="42"/>
  <c r="F79" i="42"/>
  <c r="D79" i="42"/>
  <c r="C79" i="42"/>
  <c r="N78" i="42"/>
  <c r="M78" i="42"/>
  <c r="L78" i="42"/>
  <c r="K78" i="42"/>
  <c r="J78" i="42"/>
  <c r="I78" i="42"/>
  <c r="H78" i="42"/>
  <c r="G78" i="42"/>
  <c r="F78" i="42"/>
  <c r="D78" i="42"/>
  <c r="C78" i="42"/>
  <c r="C77" i="42"/>
  <c r="C59" i="35"/>
  <c r="C46" i="37" s="1"/>
  <c r="J298" i="42" l="1"/>
  <c r="J300" i="42" s="1"/>
  <c r="I298" i="42"/>
  <c r="I300" i="42" s="1"/>
  <c r="H298" i="42"/>
  <c r="G298" i="42"/>
  <c r="G300" i="42" s="1"/>
  <c r="D298" i="42"/>
  <c r="D300" i="42" s="1"/>
  <c r="C298" i="42"/>
  <c r="C300" i="42" s="1"/>
  <c r="F298" i="42"/>
  <c r="F300" i="42" s="1"/>
  <c r="H300" i="42"/>
  <c r="C294" i="42"/>
  <c r="C296" i="42" s="1"/>
  <c r="H288" i="42"/>
  <c r="D287" i="42"/>
  <c r="C288" i="42"/>
  <c r="F287" i="42"/>
  <c r="G287" i="42"/>
  <c r="H287" i="42"/>
  <c r="I287" i="42"/>
  <c r="J287" i="42"/>
  <c r="K287" i="42"/>
  <c r="D288" i="42"/>
  <c r="M287" i="42"/>
  <c r="N287" i="42"/>
  <c r="G288" i="42"/>
  <c r="K288" i="42"/>
  <c r="J288" i="42"/>
  <c r="C286" i="42"/>
  <c r="L287" i="42"/>
  <c r="L288" i="42"/>
  <c r="M288" i="42"/>
  <c r="N288" i="42"/>
  <c r="P18" i="61" s="1"/>
  <c r="T9" i="53"/>
  <c r="T15" i="53"/>
  <c r="Y11" i="53"/>
  <c r="U15" i="53"/>
  <c r="Y15" i="53" s="1"/>
  <c r="F288" i="42"/>
  <c r="I288" i="42"/>
  <c r="C289" i="42" l="1"/>
  <c r="C292" i="42" s="1"/>
  <c r="C291" i="42" l="1"/>
  <c r="P61" i="53"/>
  <c r="O61" i="53"/>
  <c r="N61" i="53"/>
  <c r="M61" i="53"/>
  <c r="L61" i="53"/>
  <c r="K61" i="53"/>
  <c r="T61" i="53" s="1"/>
  <c r="J61" i="53"/>
  <c r="I61" i="53"/>
  <c r="H61" i="53"/>
  <c r="G61" i="53"/>
  <c r="F61" i="53"/>
  <c r="E61" i="53"/>
  <c r="R58" i="53"/>
  <c r="E56" i="53"/>
  <c r="P55" i="53"/>
  <c r="O55" i="53"/>
  <c r="N55" i="53"/>
  <c r="M55" i="53"/>
  <c r="L55" i="53"/>
  <c r="K55" i="53"/>
  <c r="J55" i="53"/>
  <c r="I55" i="53"/>
  <c r="H55" i="53"/>
  <c r="G55" i="53"/>
  <c r="F55" i="53"/>
  <c r="E55" i="53"/>
  <c r="P54" i="53"/>
  <c r="O54" i="53"/>
  <c r="N54" i="53"/>
  <c r="M54" i="53"/>
  <c r="L54" i="53"/>
  <c r="K54" i="53"/>
  <c r="J54" i="53"/>
  <c r="I54" i="53"/>
  <c r="H54" i="53"/>
  <c r="G54" i="53"/>
  <c r="F54" i="53"/>
  <c r="E54" i="53"/>
  <c r="P53" i="53"/>
  <c r="O53" i="53"/>
  <c r="N53" i="53"/>
  <c r="M53" i="53"/>
  <c r="L53" i="53"/>
  <c r="K53" i="53"/>
  <c r="J53" i="53"/>
  <c r="I53" i="53"/>
  <c r="H53" i="53"/>
  <c r="G53" i="53"/>
  <c r="F53" i="53"/>
  <c r="E53" i="53"/>
  <c r="P52" i="53"/>
  <c r="O52" i="53"/>
  <c r="N52" i="53"/>
  <c r="M52" i="53"/>
  <c r="L52" i="53"/>
  <c r="K52" i="53"/>
  <c r="J52" i="53"/>
  <c r="I52" i="53"/>
  <c r="H52" i="53"/>
  <c r="G52" i="53"/>
  <c r="F52" i="53"/>
  <c r="E52" i="53"/>
  <c r="R52" i="53" s="1"/>
  <c r="P51" i="53"/>
  <c r="O51" i="53"/>
  <c r="N51" i="53"/>
  <c r="M51" i="53"/>
  <c r="L51" i="53"/>
  <c r="K51" i="53"/>
  <c r="J51" i="53"/>
  <c r="I51" i="53"/>
  <c r="H51" i="53"/>
  <c r="G51" i="53"/>
  <c r="F51" i="53"/>
  <c r="E51" i="53"/>
  <c r="P46" i="53"/>
  <c r="O46" i="53"/>
  <c r="N46" i="53"/>
  <c r="M46" i="53"/>
  <c r="L46" i="53"/>
  <c r="K46" i="53"/>
  <c r="J46" i="53"/>
  <c r="I46" i="53"/>
  <c r="H46" i="53"/>
  <c r="G46" i="53"/>
  <c r="F46" i="53"/>
  <c r="E46" i="53"/>
  <c r="P45" i="53"/>
  <c r="O45" i="53"/>
  <c r="N45" i="53"/>
  <c r="M45" i="53"/>
  <c r="L45" i="53"/>
  <c r="K45" i="53"/>
  <c r="J45" i="53"/>
  <c r="I45" i="53"/>
  <c r="H45" i="53"/>
  <c r="G45" i="53"/>
  <c r="F45" i="53"/>
  <c r="E45" i="53"/>
  <c r="P44" i="53"/>
  <c r="O44" i="53"/>
  <c r="N44" i="53"/>
  <c r="M44" i="53"/>
  <c r="L44" i="53"/>
  <c r="K44" i="53"/>
  <c r="J44" i="53"/>
  <c r="I44" i="53"/>
  <c r="H44" i="53"/>
  <c r="G44" i="53"/>
  <c r="F44" i="53"/>
  <c r="E44" i="53"/>
  <c r="P43" i="53"/>
  <c r="O43" i="53"/>
  <c r="N43" i="53"/>
  <c r="M43" i="53"/>
  <c r="L43" i="53"/>
  <c r="K43" i="53"/>
  <c r="J43" i="53"/>
  <c r="I43" i="53"/>
  <c r="H43" i="53"/>
  <c r="G43" i="53"/>
  <c r="F43" i="53"/>
  <c r="E43" i="53"/>
  <c r="P42" i="53"/>
  <c r="O42" i="53"/>
  <c r="N42" i="53"/>
  <c r="M42" i="53"/>
  <c r="L42" i="53"/>
  <c r="K42" i="53"/>
  <c r="J42" i="53"/>
  <c r="I42" i="53"/>
  <c r="H42" i="53"/>
  <c r="G42" i="53"/>
  <c r="F42" i="53"/>
  <c r="E42" i="53"/>
  <c r="P41" i="53"/>
  <c r="O41" i="53"/>
  <c r="N41" i="53"/>
  <c r="M41" i="53"/>
  <c r="L41" i="53"/>
  <c r="K41" i="53"/>
  <c r="J41" i="53"/>
  <c r="I41" i="53"/>
  <c r="H41" i="53"/>
  <c r="G41" i="53"/>
  <c r="F41" i="53"/>
  <c r="E41" i="53"/>
  <c r="P40" i="53"/>
  <c r="O40" i="53"/>
  <c r="N40" i="53"/>
  <c r="M40" i="53"/>
  <c r="L40" i="53"/>
  <c r="K40" i="53"/>
  <c r="J40" i="53"/>
  <c r="I40" i="53"/>
  <c r="H40" i="53"/>
  <c r="G40" i="53"/>
  <c r="F40" i="53"/>
  <c r="E40" i="53"/>
  <c r="P39" i="53"/>
  <c r="O39" i="53"/>
  <c r="N39" i="53"/>
  <c r="M39" i="53"/>
  <c r="L39" i="53"/>
  <c r="K39" i="53"/>
  <c r="J39" i="53"/>
  <c r="I39" i="53"/>
  <c r="H39" i="53"/>
  <c r="G39" i="53"/>
  <c r="F39" i="53"/>
  <c r="E39" i="53"/>
  <c r="P38" i="53"/>
  <c r="O38" i="53"/>
  <c r="N38" i="53"/>
  <c r="M38" i="53"/>
  <c r="L38" i="53"/>
  <c r="K38" i="53"/>
  <c r="J38" i="53"/>
  <c r="I38" i="53"/>
  <c r="H38" i="53"/>
  <c r="G38" i="53"/>
  <c r="F38" i="53"/>
  <c r="E38" i="53"/>
  <c r="P37" i="53"/>
  <c r="O37" i="53"/>
  <c r="N37" i="53"/>
  <c r="M37" i="53"/>
  <c r="L37" i="53"/>
  <c r="K37" i="53"/>
  <c r="J37" i="53"/>
  <c r="I37" i="53"/>
  <c r="H37" i="53"/>
  <c r="G37" i="53"/>
  <c r="F37" i="53"/>
  <c r="E37" i="53"/>
  <c r="D3" i="53"/>
  <c r="F2" i="53"/>
  <c r="G2" i="53" s="1"/>
  <c r="H2" i="53" s="1"/>
  <c r="I2" i="53" s="1"/>
  <c r="J2" i="53" s="1"/>
  <c r="K2" i="53" s="1"/>
  <c r="L2" i="53" s="1"/>
  <c r="M2" i="53" s="1"/>
  <c r="N2" i="53" s="1"/>
  <c r="O2" i="53" s="1"/>
  <c r="P2" i="53" s="1"/>
  <c r="N165" i="52"/>
  <c r="M165" i="52"/>
  <c r="L165" i="52"/>
  <c r="K165" i="52"/>
  <c r="J165" i="52"/>
  <c r="I165" i="52"/>
  <c r="H165" i="52"/>
  <c r="G165" i="52"/>
  <c r="F165" i="52"/>
  <c r="E165" i="52"/>
  <c r="D165" i="52"/>
  <c r="N164" i="52"/>
  <c r="M164" i="52"/>
  <c r="L164" i="52"/>
  <c r="K164" i="52"/>
  <c r="J164" i="52"/>
  <c r="I164" i="52"/>
  <c r="H164" i="52"/>
  <c r="G164" i="52"/>
  <c r="F164" i="52"/>
  <c r="Q164" i="52" s="1"/>
  <c r="E164" i="52"/>
  <c r="D164" i="52"/>
  <c r="U164" i="52" s="1"/>
  <c r="N163" i="52"/>
  <c r="M163" i="52"/>
  <c r="L163" i="52"/>
  <c r="K163" i="52"/>
  <c r="J163" i="52"/>
  <c r="I163" i="52"/>
  <c r="R163" i="52" s="1"/>
  <c r="H163" i="52"/>
  <c r="G163" i="52"/>
  <c r="F163" i="52"/>
  <c r="Q163" i="52" s="1"/>
  <c r="E163" i="52"/>
  <c r="D163" i="52"/>
  <c r="P163" i="52" s="1"/>
  <c r="N162" i="52"/>
  <c r="M162" i="52"/>
  <c r="L162" i="52"/>
  <c r="S162" i="52" s="1"/>
  <c r="K162" i="52"/>
  <c r="J162" i="52"/>
  <c r="I162" i="52"/>
  <c r="R162" i="52" s="1"/>
  <c r="H162" i="52"/>
  <c r="G162" i="52"/>
  <c r="F162" i="52"/>
  <c r="Q162" i="52" s="1"/>
  <c r="E162" i="52"/>
  <c r="D162" i="52"/>
  <c r="U162" i="52" s="1"/>
  <c r="N161" i="52"/>
  <c r="M161" i="52"/>
  <c r="L161" i="52"/>
  <c r="K161" i="52"/>
  <c r="J161" i="52"/>
  <c r="I161" i="52"/>
  <c r="H161" i="52"/>
  <c r="G161" i="52"/>
  <c r="F161" i="52"/>
  <c r="E161" i="52"/>
  <c r="D161" i="52"/>
  <c r="U161" i="52" s="1"/>
  <c r="N160" i="52"/>
  <c r="M160" i="52"/>
  <c r="L160" i="52"/>
  <c r="K160" i="52"/>
  <c r="J160" i="52"/>
  <c r="I160" i="52"/>
  <c r="R160" i="52" s="1"/>
  <c r="H160" i="52"/>
  <c r="G160" i="52"/>
  <c r="F160" i="52"/>
  <c r="Q160" i="52" s="1"/>
  <c r="E160" i="52"/>
  <c r="D160" i="52"/>
  <c r="P160" i="52" s="1"/>
  <c r="N159" i="52"/>
  <c r="M159" i="52"/>
  <c r="L159" i="52"/>
  <c r="K159" i="52"/>
  <c r="J159" i="52"/>
  <c r="I159" i="52"/>
  <c r="H159" i="52"/>
  <c r="G159" i="52"/>
  <c r="F159" i="52"/>
  <c r="E159" i="52"/>
  <c r="D159" i="52"/>
  <c r="N157" i="52"/>
  <c r="M157" i="52"/>
  <c r="L157" i="52"/>
  <c r="S157" i="52" s="1"/>
  <c r="K157" i="52"/>
  <c r="J157" i="52"/>
  <c r="R157" i="52" s="1"/>
  <c r="I157" i="52"/>
  <c r="H157" i="52"/>
  <c r="G157" i="52"/>
  <c r="F157" i="52"/>
  <c r="E157" i="52"/>
  <c r="D157" i="52"/>
  <c r="U157" i="52" s="1"/>
  <c r="C165" i="52"/>
  <c r="C164" i="52"/>
  <c r="C163" i="52"/>
  <c r="C162" i="52"/>
  <c r="C161" i="52"/>
  <c r="C160" i="52"/>
  <c r="C159" i="52"/>
  <c r="C157" i="52"/>
  <c r="U165" i="52"/>
  <c r="S165" i="52"/>
  <c r="R165" i="52"/>
  <c r="Q165" i="52"/>
  <c r="P165" i="52"/>
  <c r="S164" i="52"/>
  <c r="R164" i="52"/>
  <c r="U163" i="52"/>
  <c r="S163" i="52"/>
  <c r="S161" i="52"/>
  <c r="R161" i="52"/>
  <c r="Q161" i="52"/>
  <c r="P161" i="52"/>
  <c r="S160" i="52"/>
  <c r="U159" i="52"/>
  <c r="S159" i="52"/>
  <c r="R159" i="52"/>
  <c r="Q159" i="52"/>
  <c r="P159" i="52"/>
  <c r="Q157" i="52"/>
  <c r="W150" i="52"/>
  <c r="W145" i="52"/>
  <c r="W144" i="52"/>
  <c r="W136" i="52"/>
  <c r="W134" i="52"/>
  <c r="W133" i="52"/>
  <c r="N153" i="52"/>
  <c r="M153" i="52"/>
  <c r="L153" i="52"/>
  <c r="K153" i="52"/>
  <c r="J153" i="52"/>
  <c r="I153" i="52"/>
  <c r="H153" i="52"/>
  <c r="G153" i="52"/>
  <c r="F153" i="52"/>
  <c r="E153" i="52"/>
  <c r="D153" i="52"/>
  <c r="C153" i="52"/>
  <c r="U151" i="52"/>
  <c r="S151" i="52"/>
  <c r="R151" i="52"/>
  <c r="Q151" i="52"/>
  <c r="W151" i="52" s="1"/>
  <c r="P151" i="52"/>
  <c r="U150" i="52"/>
  <c r="S150" i="52"/>
  <c r="R150" i="52"/>
  <c r="Q150" i="52"/>
  <c r="P150" i="52"/>
  <c r="U149" i="52"/>
  <c r="S149" i="52"/>
  <c r="R149" i="52"/>
  <c r="Q149" i="52"/>
  <c r="P149" i="52"/>
  <c r="W149" i="52" s="1"/>
  <c r="U148" i="52"/>
  <c r="S148" i="52"/>
  <c r="R148" i="52"/>
  <c r="Q148" i="52"/>
  <c r="P148" i="52"/>
  <c r="W148" i="52" s="1"/>
  <c r="U147" i="52"/>
  <c r="S147" i="52"/>
  <c r="R147" i="52"/>
  <c r="Q147" i="52"/>
  <c r="P147" i="52"/>
  <c r="W147" i="52" s="1"/>
  <c r="U146" i="52"/>
  <c r="W146" i="52" s="1"/>
  <c r="S146" i="52"/>
  <c r="R146" i="52"/>
  <c r="Q146" i="52"/>
  <c r="P146" i="52"/>
  <c r="U145" i="52"/>
  <c r="S145" i="52"/>
  <c r="R145" i="52"/>
  <c r="Q145" i="52"/>
  <c r="P145" i="52"/>
  <c r="U144" i="52"/>
  <c r="S144" i="52"/>
  <c r="R144" i="52"/>
  <c r="Q144" i="52"/>
  <c r="P144" i="52"/>
  <c r="U143" i="52"/>
  <c r="S143" i="52"/>
  <c r="R143" i="52"/>
  <c r="Q143" i="52"/>
  <c r="P143" i="52"/>
  <c r="W143" i="52" s="1"/>
  <c r="U142" i="52"/>
  <c r="S142" i="52"/>
  <c r="S153" i="52" s="1"/>
  <c r="R142" i="52"/>
  <c r="R153" i="52" s="1"/>
  <c r="Q142" i="52"/>
  <c r="P142" i="52"/>
  <c r="N138" i="52"/>
  <c r="M138" i="52"/>
  <c r="L138" i="52"/>
  <c r="K138" i="52"/>
  <c r="J138" i="52"/>
  <c r="I138" i="52"/>
  <c r="H138" i="52"/>
  <c r="G138" i="52"/>
  <c r="F138" i="52"/>
  <c r="E138" i="52"/>
  <c r="D138" i="52"/>
  <c r="C138" i="52"/>
  <c r="U136" i="52"/>
  <c r="S136" i="52"/>
  <c r="R136" i="52"/>
  <c r="Q136" i="52"/>
  <c r="P136" i="52"/>
  <c r="U135" i="52"/>
  <c r="S135" i="52"/>
  <c r="R135" i="52"/>
  <c r="W135" i="52" s="1"/>
  <c r="Q135" i="52"/>
  <c r="P135" i="52"/>
  <c r="U134" i="52"/>
  <c r="S134" i="52"/>
  <c r="R134" i="52"/>
  <c r="Q134" i="52"/>
  <c r="P134" i="52"/>
  <c r="U133" i="52"/>
  <c r="S133" i="52"/>
  <c r="R133" i="52"/>
  <c r="Q133" i="52"/>
  <c r="P133" i="52"/>
  <c r="U132" i="52"/>
  <c r="S132" i="52"/>
  <c r="R132" i="52"/>
  <c r="Q132" i="52"/>
  <c r="P132" i="52"/>
  <c r="W132" i="52" s="1"/>
  <c r="U131" i="52"/>
  <c r="S131" i="52"/>
  <c r="R131" i="52"/>
  <c r="Q131" i="52"/>
  <c r="P131" i="52"/>
  <c r="W131" i="52" s="1"/>
  <c r="U130" i="52"/>
  <c r="S130" i="52"/>
  <c r="R130" i="52"/>
  <c r="Q130" i="52"/>
  <c r="P130" i="52"/>
  <c r="W130" i="52" s="1"/>
  <c r="U129" i="52"/>
  <c r="S129" i="52"/>
  <c r="R129" i="52"/>
  <c r="Q129" i="52"/>
  <c r="P129" i="52"/>
  <c r="W129" i="52" s="1"/>
  <c r="U128" i="52"/>
  <c r="S128" i="52"/>
  <c r="R128" i="52"/>
  <c r="Q128" i="52"/>
  <c r="P128" i="52"/>
  <c r="U127" i="52"/>
  <c r="S127" i="52"/>
  <c r="R127" i="52"/>
  <c r="Q127" i="52"/>
  <c r="P127" i="52"/>
  <c r="W127" i="52" s="1"/>
  <c r="N123" i="52"/>
  <c r="M123" i="52"/>
  <c r="L123" i="52"/>
  <c r="K123" i="52"/>
  <c r="J123" i="52"/>
  <c r="I123" i="52"/>
  <c r="H123" i="52"/>
  <c r="G123" i="52"/>
  <c r="F123" i="52"/>
  <c r="E123" i="52"/>
  <c r="D123" i="52"/>
  <c r="C123" i="52"/>
  <c r="U121" i="52"/>
  <c r="S121" i="52"/>
  <c r="R121" i="52"/>
  <c r="Q121" i="52"/>
  <c r="P121" i="52"/>
  <c r="U120" i="52"/>
  <c r="S120" i="52"/>
  <c r="R120" i="52"/>
  <c r="Q120" i="52"/>
  <c r="P120" i="52"/>
  <c r="U119" i="52"/>
  <c r="S119" i="52"/>
  <c r="R119" i="52"/>
  <c r="Q119" i="52"/>
  <c r="P119" i="52"/>
  <c r="U118" i="52"/>
  <c r="S118" i="52"/>
  <c r="R118" i="52"/>
  <c r="Q118" i="52"/>
  <c r="P118" i="52"/>
  <c r="U117" i="52"/>
  <c r="S117" i="52"/>
  <c r="R117" i="52"/>
  <c r="Q117" i="52"/>
  <c r="P117" i="52"/>
  <c r="U116" i="52"/>
  <c r="S116" i="52"/>
  <c r="R116" i="52"/>
  <c r="Q116" i="52"/>
  <c r="P116" i="52"/>
  <c r="W116" i="52" s="1"/>
  <c r="U115" i="52"/>
  <c r="S115" i="52"/>
  <c r="R115" i="52"/>
  <c r="Q115" i="52"/>
  <c r="P115" i="52"/>
  <c r="U114" i="52"/>
  <c r="S114" i="52"/>
  <c r="R114" i="52"/>
  <c r="Q114" i="52"/>
  <c r="P114" i="52"/>
  <c r="U113" i="52"/>
  <c r="S113" i="52"/>
  <c r="R113" i="52"/>
  <c r="Q113" i="52"/>
  <c r="P113" i="52"/>
  <c r="U112" i="52"/>
  <c r="S112" i="52"/>
  <c r="R112" i="52"/>
  <c r="Q112" i="52"/>
  <c r="P112" i="52"/>
  <c r="N108" i="52"/>
  <c r="M108" i="52"/>
  <c r="L108" i="52"/>
  <c r="K108" i="52"/>
  <c r="J108" i="52"/>
  <c r="I108" i="52"/>
  <c r="H108" i="52"/>
  <c r="G108" i="52"/>
  <c r="F108" i="52"/>
  <c r="E108" i="52"/>
  <c r="D108" i="52"/>
  <c r="C108" i="52"/>
  <c r="U106" i="52"/>
  <c r="S106" i="52"/>
  <c r="R106" i="52"/>
  <c r="Q106" i="52"/>
  <c r="P106" i="52"/>
  <c r="U105" i="52"/>
  <c r="S105" i="52"/>
  <c r="R105" i="52"/>
  <c r="Q105" i="52"/>
  <c r="P105" i="52"/>
  <c r="U104" i="52"/>
  <c r="S104" i="52"/>
  <c r="R104" i="52"/>
  <c r="Q104" i="52"/>
  <c r="P104" i="52"/>
  <c r="U103" i="52"/>
  <c r="S103" i="52"/>
  <c r="R103" i="52"/>
  <c r="Q103" i="52"/>
  <c r="P103" i="52"/>
  <c r="W103" i="52" s="1"/>
  <c r="U102" i="52"/>
  <c r="S102" i="52"/>
  <c r="R102" i="52"/>
  <c r="Q102" i="52"/>
  <c r="P102" i="52"/>
  <c r="U101" i="52"/>
  <c r="S101" i="52"/>
  <c r="R101" i="52"/>
  <c r="Q101" i="52"/>
  <c r="P101" i="52"/>
  <c r="U100" i="52"/>
  <c r="S100" i="52"/>
  <c r="R100" i="52"/>
  <c r="Q100" i="52"/>
  <c r="P100" i="52"/>
  <c r="U99" i="52"/>
  <c r="W99" i="52" s="1"/>
  <c r="S99" i="52"/>
  <c r="R99" i="52"/>
  <c r="Q99" i="52"/>
  <c r="P99" i="52"/>
  <c r="U98" i="52"/>
  <c r="S98" i="52"/>
  <c r="R98" i="52"/>
  <c r="Q98" i="52"/>
  <c r="P98" i="52"/>
  <c r="U97" i="52"/>
  <c r="S97" i="52"/>
  <c r="R97" i="52"/>
  <c r="Q97" i="52"/>
  <c r="P97" i="52"/>
  <c r="W91" i="52"/>
  <c r="W90" i="52"/>
  <c r="W87" i="52"/>
  <c r="W86" i="52"/>
  <c r="W85" i="52"/>
  <c r="W71" i="52"/>
  <c r="W67" i="52"/>
  <c r="N93" i="52"/>
  <c r="M93" i="52"/>
  <c r="L93" i="52"/>
  <c r="K93" i="52"/>
  <c r="J93" i="52"/>
  <c r="I93" i="52"/>
  <c r="H93" i="52"/>
  <c r="G93" i="52"/>
  <c r="F93" i="52"/>
  <c r="E93" i="52"/>
  <c r="D93" i="52"/>
  <c r="C93" i="52"/>
  <c r="U91" i="52"/>
  <c r="S91" i="52"/>
  <c r="R91" i="52"/>
  <c r="Q91" i="52"/>
  <c r="P91" i="52"/>
  <c r="U90" i="52"/>
  <c r="S90" i="52"/>
  <c r="R90" i="52"/>
  <c r="Q90" i="52"/>
  <c r="P90" i="52"/>
  <c r="U89" i="52"/>
  <c r="S89" i="52"/>
  <c r="R89" i="52"/>
  <c r="Q89" i="52"/>
  <c r="P89" i="52"/>
  <c r="W89" i="52" s="1"/>
  <c r="U88" i="52"/>
  <c r="S88" i="52"/>
  <c r="R88" i="52"/>
  <c r="W88" i="52" s="1"/>
  <c r="Q88" i="52"/>
  <c r="P88" i="52"/>
  <c r="U87" i="52"/>
  <c r="S87" i="52"/>
  <c r="R87" i="52"/>
  <c r="Q87" i="52"/>
  <c r="P87" i="52"/>
  <c r="U86" i="52"/>
  <c r="S86" i="52"/>
  <c r="R86" i="52"/>
  <c r="Q86" i="52"/>
  <c r="P86" i="52"/>
  <c r="U85" i="52"/>
  <c r="S85" i="52"/>
  <c r="R85" i="52"/>
  <c r="Q85" i="52"/>
  <c r="P85" i="52"/>
  <c r="U84" i="52"/>
  <c r="S84" i="52"/>
  <c r="R84" i="52"/>
  <c r="Q84" i="52"/>
  <c r="P84" i="52"/>
  <c r="W84" i="52" s="1"/>
  <c r="U83" i="52"/>
  <c r="S83" i="52"/>
  <c r="R83" i="52"/>
  <c r="Q83" i="52"/>
  <c r="P83" i="52"/>
  <c r="U82" i="52"/>
  <c r="S82" i="52"/>
  <c r="R82" i="52"/>
  <c r="Q82" i="52"/>
  <c r="P82" i="52"/>
  <c r="W82" i="52" s="1"/>
  <c r="N78" i="52"/>
  <c r="M78" i="52"/>
  <c r="L78" i="52"/>
  <c r="K78" i="52"/>
  <c r="J78" i="52"/>
  <c r="I78" i="52"/>
  <c r="H78" i="52"/>
  <c r="G78" i="52"/>
  <c r="F78" i="52"/>
  <c r="E78" i="52"/>
  <c r="D78" i="52"/>
  <c r="C78" i="52"/>
  <c r="U76" i="52"/>
  <c r="S76" i="52"/>
  <c r="R76" i="52"/>
  <c r="Q76" i="52"/>
  <c r="P76" i="52"/>
  <c r="W76" i="52" s="1"/>
  <c r="U75" i="52"/>
  <c r="S75" i="52"/>
  <c r="R75" i="52"/>
  <c r="Q75" i="52"/>
  <c r="P75" i="52"/>
  <c r="W75" i="52" s="1"/>
  <c r="U74" i="52"/>
  <c r="S74" i="52"/>
  <c r="R74" i="52"/>
  <c r="Q74" i="52"/>
  <c r="P74" i="52"/>
  <c r="W74" i="52" s="1"/>
  <c r="U73" i="52"/>
  <c r="S73" i="52"/>
  <c r="R73" i="52"/>
  <c r="Q73" i="52"/>
  <c r="P73" i="52"/>
  <c r="W73" i="52" s="1"/>
  <c r="U72" i="52"/>
  <c r="S72" i="52"/>
  <c r="W72" i="52" s="1"/>
  <c r="R72" i="52"/>
  <c r="Q72" i="52"/>
  <c r="P72" i="52"/>
  <c r="U71" i="52"/>
  <c r="S71" i="52"/>
  <c r="R71" i="52"/>
  <c r="Q71" i="52"/>
  <c r="P71" i="52"/>
  <c r="U70" i="52"/>
  <c r="S70" i="52"/>
  <c r="R70" i="52"/>
  <c r="Q70" i="52"/>
  <c r="P70" i="52"/>
  <c r="W70" i="52" s="1"/>
  <c r="U69" i="52"/>
  <c r="S69" i="52"/>
  <c r="R69" i="52"/>
  <c r="Q69" i="52"/>
  <c r="P69" i="52"/>
  <c r="W69" i="52" s="1"/>
  <c r="U68" i="52"/>
  <c r="S68" i="52"/>
  <c r="R68" i="52"/>
  <c r="Q68" i="52"/>
  <c r="Q78" i="52" s="1"/>
  <c r="P68" i="52"/>
  <c r="U67" i="52"/>
  <c r="S67" i="52"/>
  <c r="R67" i="52"/>
  <c r="Q67" i="52"/>
  <c r="P67" i="52"/>
  <c r="N63" i="52"/>
  <c r="M63" i="52"/>
  <c r="L63" i="52"/>
  <c r="K63" i="52"/>
  <c r="J63" i="52"/>
  <c r="I63" i="52"/>
  <c r="H63" i="52"/>
  <c r="G63" i="52"/>
  <c r="F63" i="52"/>
  <c r="E63" i="52"/>
  <c r="D63" i="52"/>
  <c r="C63" i="52"/>
  <c r="U61" i="52"/>
  <c r="S61" i="52"/>
  <c r="R61" i="52"/>
  <c r="Q61" i="52"/>
  <c r="P61" i="52"/>
  <c r="U60" i="52"/>
  <c r="S60" i="52"/>
  <c r="R60" i="52"/>
  <c r="Q60" i="52"/>
  <c r="P60" i="52"/>
  <c r="U59" i="52"/>
  <c r="S59" i="52"/>
  <c r="R59" i="52"/>
  <c r="Q59" i="52"/>
  <c r="P59" i="52"/>
  <c r="U58" i="52"/>
  <c r="S58" i="52"/>
  <c r="R58" i="52"/>
  <c r="Q58" i="52"/>
  <c r="P58" i="52"/>
  <c r="U57" i="52"/>
  <c r="S57" i="52"/>
  <c r="R57" i="52"/>
  <c r="Q57" i="52"/>
  <c r="P57" i="52"/>
  <c r="U56" i="52"/>
  <c r="W56" i="52" s="1"/>
  <c r="S56" i="52"/>
  <c r="R56" i="52"/>
  <c r="Q56" i="52"/>
  <c r="P56" i="52"/>
  <c r="U55" i="52"/>
  <c r="S55" i="52"/>
  <c r="R55" i="52"/>
  <c r="Q55" i="52"/>
  <c r="P55" i="52"/>
  <c r="U54" i="52"/>
  <c r="S54" i="52"/>
  <c r="R54" i="52"/>
  <c r="Q54" i="52"/>
  <c r="P54" i="52"/>
  <c r="U53" i="52"/>
  <c r="S53" i="52"/>
  <c r="R53" i="52"/>
  <c r="Q53" i="52"/>
  <c r="P53" i="52"/>
  <c r="U52" i="52"/>
  <c r="S52" i="52"/>
  <c r="S63" i="52" s="1"/>
  <c r="R52" i="52"/>
  <c r="R63" i="52" s="1"/>
  <c r="Q52" i="52"/>
  <c r="P52" i="52"/>
  <c r="U46" i="52"/>
  <c r="S46" i="52"/>
  <c r="R46" i="52"/>
  <c r="Q46" i="52"/>
  <c r="P46" i="52"/>
  <c r="U45" i="52"/>
  <c r="S45" i="52"/>
  <c r="R45" i="52"/>
  <c r="Q45" i="52"/>
  <c r="P45" i="52"/>
  <c r="U44" i="52"/>
  <c r="S44" i="52"/>
  <c r="R44" i="52"/>
  <c r="Q44" i="52"/>
  <c r="P44" i="52"/>
  <c r="U43" i="52"/>
  <c r="S43" i="52"/>
  <c r="R43" i="52"/>
  <c r="Q43" i="52"/>
  <c r="P43" i="52"/>
  <c r="U42" i="52"/>
  <c r="S42" i="52"/>
  <c r="R42" i="52"/>
  <c r="Q42" i="52"/>
  <c r="P42" i="52"/>
  <c r="U41" i="52"/>
  <c r="S41" i="52"/>
  <c r="R41" i="52"/>
  <c r="Q41" i="52"/>
  <c r="P41" i="52"/>
  <c r="U40" i="52"/>
  <c r="S40" i="52"/>
  <c r="R40" i="52"/>
  <c r="Q40" i="52"/>
  <c r="P40" i="52"/>
  <c r="U39" i="52"/>
  <c r="S39" i="52"/>
  <c r="R39" i="52"/>
  <c r="Q39" i="52"/>
  <c r="P39" i="52"/>
  <c r="U38" i="52"/>
  <c r="S38" i="52"/>
  <c r="R38" i="52"/>
  <c r="Q38" i="52"/>
  <c r="P38" i="52"/>
  <c r="N33" i="52"/>
  <c r="M33" i="52"/>
  <c r="L33" i="52"/>
  <c r="K33" i="52"/>
  <c r="J33" i="52"/>
  <c r="I33" i="52"/>
  <c r="H33" i="52"/>
  <c r="G33" i="52"/>
  <c r="F33" i="52"/>
  <c r="E33" i="52"/>
  <c r="D33" i="52"/>
  <c r="C33" i="52"/>
  <c r="U31" i="52"/>
  <c r="S31" i="52"/>
  <c r="R31" i="52"/>
  <c r="Q31" i="52"/>
  <c r="P31" i="52"/>
  <c r="U30" i="52"/>
  <c r="S30" i="52"/>
  <c r="R30" i="52"/>
  <c r="Q30" i="52"/>
  <c r="P30" i="52"/>
  <c r="U29" i="52"/>
  <c r="S29" i="52"/>
  <c r="R29" i="52"/>
  <c r="Q29" i="52"/>
  <c r="P29" i="52"/>
  <c r="U28" i="52"/>
  <c r="S28" i="52"/>
  <c r="R28" i="52"/>
  <c r="Q28" i="52"/>
  <c r="P28" i="52"/>
  <c r="U27" i="52"/>
  <c r="S27" i="52"/>
  <c r="R27" i="52"/>
  <c r="Q27" i="52"/>
  <c r="P27" i="52"/>
  <c r="U26" i="52"/>
  <c r="S26" i="52"/>
  <c r="R26" i="52"/>
  <c r="Q26" i="52"/>
  <c r="P26" i="52"/>
  <c r="U25" i="52"/>
  <c r="S25" i="52"/>
  <c r="R25" i="52"/>
  <c r="Q25" i="52"/>
  <c r="P25" i="52"/>
  <c r="U24" i="52"/>
  <c r="S24" i="52"/>
  <c r="R24" i="52"/>
  <c r="Q24" i="52"/>
  <c r="P24" i="52"/>
  <c r="U23" i="52"/>
  <c r="S23" i="52"/>
  <c r="R23" i="52"/>
  <c r="Q23" i="52"/>
  <c r="P23" i="52"/>
  <c r="U22" i="52"/>
  <c r="S22" i="52"/>
  <c r="R22" i="52"/>
  <c r="Q22" i="52"/>
  <c r="P22" i="52"/>
  <c r="U16" i="52"/>
  <c r="S16" i="52"/>
  <c r="R16" i="52"/>
  <c r="Q16" i="52"/>
  <c r="P16" i="52"/>
  <c r="U15" i="52"/>
  <c r="S15" i="52"/>
  <c r="R15" i="52"/>
  <c r="Q15" i="52"/>
  <c r="P15" i="52"/>
  <c r="U14" i="52"/>
  <c r="S14" i="52"/>
  <c r="R14" i="52"/>
  <c r="Q14" i="52"/>
  <c r="P14" i="52"/>
  <c r="U13" i="52"/>
  <c r="S13" i="52"/>
  <c r="R13" i="52"/>
  <c r="Q13" i="52"/>
  <c r="P13" i="52"/>
  <c r="U12" i="52"/>
  <c r="S12" i="52"/>
  <c r="R12" i="52"/>
  <c r="Q12" i="52"/>
  <c r="P12" i="52"/>
  <c r="U11" i="52"/>
  <c r="S11" i="52"/>
  <c r="R11" i="52"/>
  <c r="Q11" i="52"/>
  <c r="P11" i="52"/>
  <c r="U10" i="52"/>
  <c r="S10" i="52"/>
  <c r="R10" i="52"/>
  <c r="Q10" i="52"/>
  <c r="P10" i="52"/>
  <c r="U9" i="52"/>
  <c r="S9" i="52"/>
  <c r="R9" i="52"/>
  <c r="Q9" i="52"/>
  <c r="P9" i="52"/>
  <c r="D3" i="52"/>
  <c r="E3" i="52" s="1"/>
  <c r="F3" i="52" s="1"/>
  <c r="G3" i="52" s="1"/>
  <c r="H3" i="52" s="1"/>
  <c r="I3" i="52" s="1"/>
  <c r="J3" i="52" s="1"/>
  <c r="K3" i="52" s="1"/>
  <c r="L3" i="52" s="1"/>
  <c r="M3" i="52" s="1"/>
  <c r="N3" i="52" s="1"/>
  <c r="C39" i="51"/>
  <c r="C36" i="51"/>
  <c r="P36" i="51" s="1"/>
  <c r="B3" i="51"/>
  <c r="D2" i="51"/>
  <c r="E2" i="51" s="1"/>
  <c r="F2" i="51" s="1"/>
  <c r="G2" i="51" s="1"/>
  <c r="H2" i="51" s="1"/>
  <c r="I2" i="51" s="1"/>
  <c r="J2" i="51" s="1"/>
  <c r="K2" i="51" s="1"/>
  <c r="L2" i="51" s="1"/>
  <c r="M2" i="51" s="1"/>
  <c r="N2" i="51" s="1"/>
  <c r="U61" i="53" l="1"/>
  <c r="R61" i="53"/>
  <c r="S61" i="53"/>
  <c r="S52" i="53"/>
  <c r="R45" i="53"/>
  <c r="S45" i="53"/>
  <c r="U37" i="53"/>
  <c r="S54" i="53"/>
  <c r="R54" i="53"/>
  <c r="S38" i="53"/>
  <c r="R46" i="53"/>
  <c r="T45" i="53"/>
  <c r="T51" i="53"/>
  <c r="U51" i="53"/>
  <c r="T54" i="53"/>
  <c r="U54" i="53"/>
  <c r="R44" i="53"/>
  <c r="S43" i="53"/>
  <c r="R53" i="53"/>
  <c r="S53" i="53"/>
  <c r="T52" i="53"/>
  <c r="R39" i="53"/>
  <c r="T43" i="53"/>
  <c r="S46" i="53"/>
  <c r="U52" i="53"/>
  <c r="S41" i="53"/>
  <c r="U43" i="53"/>
  <c r="U45" i="53"/>
  <c r="S51" i="53"/>
  <c r="U38" i="53"/>
  <c r="E77" i="42"/>
  <c r="D77" i="42"/>
  <c r="U42" i="53"/>
  <c r="T42" i="53"/>
  <c r="S42" i="53"/>
  <c r="S55" i="53"/>
  <c r="T55" i="53"/>
  <c r="U55" i="53"/>
  <c r="T53" i="53"/>
  <c r="U53" i="53"/>
  <c r="W53" i="53"/>
  <c r="T39" i="53"/>
  <c r="U39" i="53"/>
  <c r="W39" i="53"/>
  <c r="G47" i="53"/>
  <c r="T40" i="53"/>
  <c r="S40" i="53"/>
  <c r="W40" i="53"/>
  <c r="R40" i="53"/>
  <c r="T41" i="53"/>
  <c r="W41" i="53"/>
  <c r="U41" i="53"/>
  <c r="R41" i="53"/>
  <c r="T46" i="53"/>
  <c r="W46" i="53"/>
  <c r="F47" i="53"/>
  <c r="U44" i="53"/>
  <c r="T44" i="53"/>
  <c r="W61" i="53"/>
  <c r="Y61" i="53" s="1"/>
  <c r="T38" i="53"/>
  <c r="W45" i="53"/>
  <c r="U40" i="53"/>
  <c r="U46" i="53"/>
  <c r="W58" i="53"/>
  <c r="R43" i="53"/>
  <c r="W43" i="53"/>
  <c r="W37" i="53"/>
  <c r="R37" i="53"/>
  <c r="W54" i="53"/>
  <c r="W55" i="53"/>
  <c r="R55" i="53"/>
  <c r="H47" i="53"/>
  <c r="S37" i="53"/>
  <c r="I47" i="53"/>
  <c r="J47" i="53"/>
  <c r="T37" i="53"/>
  <c r="K47" i="53"/>
  <c r="L47" i="53"/>
  <c r="R51" i="53"/>
  <c r="W51" i="53"/>
  <c r="M47" i="53"/>
  <c r="W42" i="53"/>
  <c r="R42" i="53"/>
  <c r="O47" i="53"/>
  <c r="P47" i="53"/>
  <c r="R38" i="53"/>
  <c r="W38" i="53"/>
  <c r="W44" i="53"/>
  <c r="S44" i="53"/>
  <c r="S39" i="53"/>
  <c r="E47" i="53"/>
  <c r="W52" i="53"/>
  <c r="N47" i="53"/>
  <c r="P157" i="52"/>
  <c r="P162" i="52"/>
  <c r="W162" i="52" s="1"/>
  <c r="U160" i="52"/>
  <c r="W160" i="52" s="1"/>
  <c r="P164" i="52"/>
  <c r="W165" i="52"/>
  <c r="U63" i="52"/>
  <c r="W115" i="52"/>
  <c r="W61" i="52"/>
  <c r="Q138" i="52"/>
  <c r="W41" i="52"/>
  <c r="R138" i="52"/>
  <c r="W57" i="52"/>
  <c r="W100" i="52"/>
  <c r="P123" i="52"/>
  <c r="U138" i="52"/>
  <c r="W53" i="52"/>
  <c r="W119" i="52"/>
  <c r="U153" i="52"/>
  <c r="W39" i="52"/>
  <c r="P78" i="52"/>
  <c r="U93" i="52"/>
  <c r="W164" i="52"/>
  <c r="W161" i="52"/>
  <c r="W45" i="52"/>
  <c r="W104" i="52"/>
  <c r="S138" i="52"/>
  <c r="W142" i="52"/>
  <c r="Q123" i="52"/>
  <c r="W120" i="52"/>
  <c r="W46" i="52"/>
  <c r="R123" i="52"/>
  <c r="P138" i="52"/>
  <c r="W138" i="52" s="1"/>
  <c r="S123" i="52"/>
  <c r="W42" i="52"/>
  <c r="W68" i="52"/>
  <c r="W105" i="52"/>
  <c r="U123" i="52"/>
  <c r="W123" i="52" s="1"/>
  <c r="W58" i="52"/>
  <c r="R108" i="52"/>
  <c r="W108" i="52" s="1"/>
  <c r="W101" i="52"/>
  <c r="W38" i="52"/>
  <c r="S108" i="52"/>
  <c r="W121" i="52"/>
  <c r="W163" i="52"/>
  <c r="W54" i="52"/>
  <c r="U108" i="52"/>
  <c r="Q93" i="52"/>
  <c r="P108" i="52"/>
  <c r="W43" i="52"/>
  <c r="R93" i="52"/>
  <c r="Q108" i="52"/>
  <c r="W106" i="52"/>
  <c r="W113" i="52"/>
  <c r="W59" i="52"/>
  <c r="S93" i="52"/>
  <c r="W102" i="52"/>
  <c r="P93" i="52"/>
  <c r="W98" i="52"/>
  <c r="R78" i="52"/>
  <c r="W118" i="52"/>
  <c r="W44" i="52"/>
  <c r="S78" i="52"/>
  <c r="W114" i="52"/>
  <c r="W159" i="52"/>
  <c r="W55" i="52"/>
  <c r="W128" i="52"/>
  <c r="P63" i="52"/>
  <c r="W63" i="52" s="1"/>
  <c r="W60" i="52"/>
  <c r="U78" i="52"/>
  <c r="W83" i="52"/>
  <c r="P153" i="52"/>
  <c r="W117" i="52"/>
  <c r="W40" i="52"/>
  <c r="Q63" i="52"/>
  <c r="Q153" i="52"/>
  <c r="W157" i="52"/>
  <c r="W112" i="52"/>
  <c r="W97" i="52"/>
  <c r="W52" i="52"/>
  <c r="W25" i="52"/>
  <c r="W30" i="52"/>
  <c r="R33" i="52"/>
  <c r="S33" i="52"/>
  <c r="W24" i="52"/>
  <c r="Q33" i="52"/>
  <c r="P33" i="52"/>
  <c r="W26" i="52"/>
  <c r="U33" i="52"/>
  <c r="W31" i="52"/>
  <c r="W27" i="52"/>
  <c r="W23" i="52"/>
  <c r="W28" i="52"/>
  <c r="W29" i="52"/>
  <c r="W22" i="52"/>
  <c r="W12" i="52"/>
  <c r="W9" i="52"/>
  <c r="W14" i="52"/>
  <c r="W10" i="52"/>
  <c r="W15" i="52"/>
  <c r="W13" i="52"/>
  <c r="W11" i="52"/>
  <c r="W16" i="52"/>
  <c r="U36" i="51"/>
  <c r="Y41" i="53" l="1"/>
  <c r="D286" i="42"/>
  <c r="D294" i="42"/>
  <c r="D296" i="42" s="1"/>
  <c r="Y39" i="53"/>
  <c r="Y54" i="53"/>
  <c r="Y52" i="53"/>
  <c r="Y46" i="53"/>
  <c r="Y40" i="53"/>
  <c r="U47" i="53"/>
  <c r="Y53" i="53"/>
  <c r="Y38" i="53"/>
  <c r="Y43" i="53"/>
  <c r="Y51" i="53"/>
  <c r="Y45" i="53"/>
  <c r="Y42" i="53"/>
  <c r="T47" i="53"/>
  <c r="S47" i="53"/>
  <c r="Y44" i="53"/>
  <c r="Y55" i="53"/>
  <c r="R47" i="53"/>
  <c r="Y37" i="53"/>
  <c r="W47" i="53"/>
  <c r="W93" i="52"/>
  <c r="W78" i="52"/>
  <c r="W33" i="52"/>
  <c r="W153" i="52"/>
  <c r="E286" i="42" l="1"/>
  <c r="E226" i="42"/>
  <c r="E225" i="42"/>
  <c r="F77" i="42"/>
  <c r="Y47" i="53"/>
  <c r="F286" i="42" l="1"/>
  <c r="F294" i="42"/>
  <c r="F296" i="42" s="1"/>
  <c r="E279" i="42"/>
  <c r="E278" i="42"/>
  <c r="G77" i="42"/>
  <c r="N31" i="45"/>
  <c r="K31" i="45"/>
  <c r="J31" i="45"/>
  <c r="I31" i="45"/>
  <c r="F31" i="45"/>
  <c r="E31" i="45"/>
  <c r="D31" i="45"/>
  <c r="C31" i="45"/>
  <c r="C26" i="45"/>
  <c r="C15" i="45"/>
  <c r="G286" i="42" l="1"/>
  <c r="G294" i="42"/>
  <c r="E121" i="42"/>
  <c r="E294" i="42" s="1"/>
  <c r="E296" i="42" s="1"/>
  <c r="E122" i="42"/>
  <c r="H77" i="42"/>
  <c r="H294" i="42" s="1"/>
  <c r="D3" i="38"/>
  <c r="E3" i="38" s="1"/>
  <c r="F3" i="38" s="1"/>
  <c r="G3" i="38" s="1"/>
  <c r="H3" i="38" s="1"/>
  <c r="I3" i="38" s="1"/>
  <c r="J3" i="38" s="1"/>
  <c r="K3" i="38" s="1"/>
  <c r="L3" i="38" s="1"/>
  <c r="M3" i="38" s="1"/>
  <c r="N3" i="38" s="1"/>
  <c r="P3" i="38" s="1"/>
  <c r="Q3" i="38" s="1"/>
  <c r="R3" i="38" s="1"/>
  <c r="S3" i="38" s="1"/>
  <c r="T3" i="38" s="1"/>
  <c r="U3" i="38" s="1"/>
  <c r="V3" i="38" s="1"/>
  <c r="W3" i="38" s="1"/>
  <c r="X3" i="38" s="1"/>
  <c r="Y3" i="38" s="1"/>
  <c r="Z3" i="38" s="1"/>
  <c r="AA3" i="38" s="1"/>
  <c r="B82" i="38"/>
  <c r="B81" i="38"/>
  <c r="B80" i="38"/>
  <c r="B79" i="38"/>
  <c r="B78" i="38"/>
  <c r="B77" i="38"/>
  <c r="B76" i="38"/>
  <c r="B75" i="38"/>
  <c r="B74" i="38"/>
  <c r="B67" i="38"/>
  <c r="B66" i="38"/>
  <c r="B65" i="38"/>
  <c r="B64" i="38"/>
  <c r="B63" i="38"/>
  <c r="B62" i="38"/>
  <c r="B55" i="38"/>
  <c r="B54" i="38"/>
  <c r="B53" i="38"/>
  <c r="B52" i="38"/>
  <c r="B51" i="38"/>
  <c r="B44" i="38"/>
  <c r="B43" i="38"/>
  <c r="B42" i="38"/>
  <c r="B41" i="38"/>
  <c r="B40" i="38"/>
  <c r="B33" i="38"/>
  <c r="B32" i="38"/>
  <c r="B31" i="38"/>
  <c r="B30" i="38"/>
  <c r="B29" i="38"/>
  <c r="B28" i="38"/>
  <c r="B27" i="38"/>
  <c r="B20" i="38"/>
  <c r="B19" i="38"/>
  <c r="B18" i="38"/>
  <c r="B17" i="38"/>
  <c r="B16" i="38"/>
  <c r="B15" i="38"/>
  <c r="B14" i="38"/>
  <c r="B13" i="38"/>
  <c r="B12" i="38"/>
  <c r="B11" i="38"/>
  <c r="B10" i="38"/>
  <c r="B9" i="38"/>
  <c r="B8" i="38"/>
  <c r="B7" i="38"/>
  <c r="C43" i="37"/>
  <c r="G296" i="42" l="1"/>
  <c r="H296" i="42"/>
  <c r="H286" i="42"/>
  <c r="E287" i="42"/>
  <c r="E298" i="42"/>
  <c r="E300" i="42" s="1"/>
  <c r="J16" i="38"/>
  <c r="I77" i="42"/>
  <c r="I294" i="42" s="1"/>
  <c r="I296" i="42" s="1"/>
  <c r="N59" i="35"/>
  <c r="N46" i="37" s="1"/>
  <c r="M59" i="35"/>
  <c r="M46" i="37" s="1"/>
  <c r="L59" i="35"/>
  <c r="L46" i="37" s="1"/>
  <c r="J59" i="35"/>
  <c r="J46" i="37" s="1"/>
  <c r="I59" i="35"/>
  <c r="I46" i="37" s="1"/>
  <c r="G59" i="35"/>
  <c r="G46" i="37" s="1"/>
  <c r="F46" i="37"/>
  <c r="E46" i="37"/>
  <c r="D59" i="35"/>
  <c r="D46" i="37" s="1"/>
  <c r="C48" i="35"/>
  <c r="AF18" i="45"/>
  <c r="AF29" i="45"/>
  <c r="AF31" i="45" s="1"/>
  <c r="AE29" i="45"/>
  <c r="AE31" i="45" s="1"/>
  <c r="AD29" i="45"/>
  <c r="AD31" i="45" s="1"/>
  <c r="AM29" i="45"/>
  <c r="AM31" i="45" s="1"/>
  <c r="AD18" i="45"/>
  <c r="J42" i="35"/>
  <c r="G42" i="35"/>
  <c r="D42" i="35"/>
  <c r="C42" i="35"/>
  <c r="J41" i="35"/>
  <c r="G41" i="35"/>
  <c r="D41" i="35"/>
  <c r="C41" i="35"/>
  <c r="J40" i="35"/>
  <c r="G40" i="35"/>
  <c r="D40" i="35"/>
  <c r="C40" i="35"/>
  <c r="J39" i="35"/>
  <c r="G39" i="35"/>
  <c r="D39" i="35"/>
  <c r="C39" i="35"/>
  <c r="J38" i="35"/>
  <c r="G38" i="35"/>
  <c r="D38" i="35"/>
  <c r="C38" i="35"/>
  <c r="J37" i="35"/>
  <c r="G37" i="35"/>
  <c r="D37" i="35"/>
  <c r="C37" i="35"/>
  <c r="C24" i="37" s="1"/>
  <c r="L23" i="37"/>
  <c r="J36" i="35"/>
  <c r="J23" i="37" s="1"/>
  <c r="I23" i="37"/>
  <c r="G36" i="35"/>
  <c r="G23" i="37" s="1"/>
  <c r="F23" i="37"/>
  <c r="E23" i="37"/>
  <c r="D36" i="35"/>
  <c r="D23" i="37" s="1"/>
  <c r="C36" i="35"/>
  <c r="C23" i="37" s="1"/>
  <c r="N22" i="37"/>
  <c r="L22" i="37"/>
  <c r="J35" i="35"/>
  <c r="J22" i="37" s="1"/>
  <c r="I22" i="37"/>
  <c r="G35" i="35"/>
  <c r="G22" i="37" s="1"/>
  <c r="F22" i="37"/>
  <c r="D35" i="35"/>
  <c r="D22" i="37" s="1"/>
  <c r="C35" i="35"/>
  <c r="C22" i="37" s="1"/>
  <c r="D2" i="35"/>
  <c r="E2" i="35" s="1"/>
  <c r="D2" i="37"/>
  <c r="E2" i="37" s="1"/>
  <c r="F2" i="37" s="1"/>
  <c r="G2" i="37" s="1"/>
  <c r="H2" i="37" s="1"/>
  <c r="I2" i="37" s="1"/>
  <c r="J2" i="37" s="1"/>
  <c r="K2" i="37" s="1"/>
  <c r="L2" i="37" s="1"/>
  <c r="M2" i="37" s="1"/>
  <c r="N2" i="37" s="1"/>
  <c r="B3" i="37"/>
  <c r="B3" i="35"/>
  <c r="L111" i="43"/>
  <c r="K111" i="43"/>
  <c r="K28" i="35" s="1"/>
  <c r="J111" i="43"/>
  <c r="I111" i="43"/>
  <c r="I28" i="35" s="1"/>
  <c r="H111" i="43"/>
  <c r="H28" i="35" s="1"/>
  <c r="G111" i="43"/>
  <c r="F111" i="43"/>
  <c r="F28" i="35" s="1"/>
  <c r="E111" i="43"/>
  <c r="E28" i="35" s="1"/>
  <c r="AD118" i="43"/>
  <c r="N129" i="43"/>
  <c r="M129" i="43"/>
  <c r="K129" i="43"/>
  <c r="K32" i="35" s="1"/>
  <c r="J129" i="43"/>
  <c r="H129" i="43"/>
  <c r="H32" i="35" s="1"/>
  <c r="G129" i="43"/>
  <c r="C129" i="43"/>
  <c r="AF127" i="43"/>
  <c r="AE127" i="43"/>
  <c r="AD127" i="43"/>
  <c r="AC127" i="43"/>
  <c r="AF126" i="43"/>
  <c r="AE126" i="43"/>
  <c r="AD126" i="43"/>
  <c r="AC126" i="43"/>
  <c r="AF125" i="43"/>
  <c r="AE125" i="43"/>
  <c r="AD125" i="43"/>
  <c r="AC125" i="43"/>
  <c r="AF124" i="43"/>
  <c r="AE124" i="43"/>
  <c r="AD124" i="43"/>
  <c r="AC124" i="43"/>
  <c r="AF123" i="43"/>
  <c r="AE123" i="43"/>
  <c r="AD123" i="43"/>
  <c r="AC123" i="43"/>
  <c r="AF122" i="43"/>
  <c r="AE122" i="43"/>
  <c r="AD122" i="43"/>
  <c r="AC122" i="43"/>
  <c r="AF121" i="43"/>
  <c r="AE121" i="43"/>
  <c r="AD121" i="43"/>
  <c r="AC121" i="43"/>
  <c r="AF119" i="43"/>
  <c r="AE119" i="43"/>
  <c r="AD119" i="43"/>
  <c r="AC119" i="43"/>
  <c r="AP119" i="43" s="1"/>
  <c r="AF118" i="43"/>
  <c r="AE118" i="43"/>
  <c r="N111" i="43"/>
  <c r="M111" i="43"/>
  <c r="C111" i="43"/>
  <c r="AF109" i="43"/>
  <c r="AE109" i="43"/>
  <c r="AD109" i="43"/>
  <c r="AC109" i="43"/>
  <c r="AF108" i="43"/>
  <c r="AE108" i="43"/>
  <c r="AD108" i="43"/>
  <c r="AC108" i="43"/>
  <c r="AF107" i="43"/>
  <c r="AE107" i="43"/>
  <c r="AD107" i="43"/>
  <c r="AC107" i="43"/>
  <c r="AF103" i="43"/>
  <c r="AE103" i="43"/>
  <c r="AD103" i="43"/>
  <c r="AC103" i="43"/>
  <c r="AF96" i="43"/>
  <c r="AE96" i="43"/>
  <c r="AD96" i="43"/>
  <c r="AC96" i="43"/>
  <c r="AF95" i="43"/>
  <c r="AE95" i="43"/>
  <c r="AD95" i="43"/>
  <c r="AC95" i="43"/>
  <c r="N89" i="43"/>
  <c r="M89" i="43"/>
  <c r="K89" i="43"/>
  <c r="K26" i="35" s="1"/>
  <c r="J89" i="43"/>
  <c r="I89" i="43"/>
  <c r="I26" i="35" s="1"/>
  <c r="H89" i="43"/>
  <c r="H26" i="35" s="1"/>
  <c r="G89" i="43"/>
  <c r="F89" i="43"/>
  <c r="F26" i="35" s="1"/>
  <c r="E89" i="43"/>
  <c r="E26" i="35" s="1"/>
  <c r="D89" i="43"/>
  <c r="E28" i="53"/>
  <c r="AF87" i="43"/>
  <c r="AE87" i="43"/>
  <c r="AD87" i="43"/>
  <c r="AC87" i="43"/>
  <c r="AF86" i="43"/>
  <c r="AE86" i="43"/>
  <c r="AD86" i="43"/>
  <c r="AC86" i="43"/>
  <c r="AF70" i="43"/>
  <c r="AE70" i="43"/>
  <c r="AD70" i="43"/>
  <c r="AC70" i="43"/>
  <c r="AF69" i="43"/>
  <c r="AE69" i="43"/>
  <c r="AD69" i="43"/>
  <c r="AC69" i="43"/>
  <c r="AE68" i="43"/>
  <c r="AD68" i="43"/>
  <c r="AC68" i="43"/>
  <c r="L89" i="43"/>
  <c r="N63" i="43"/>
  <c r="M63" i="43"/>
  <c r="L63" i="43"/>
  <c r="K63" i="43"/>
  <c r="K24" i="35" s="1"/>
  <c r="J63" i="43"/>
  <c r="I63" i="43"/>
  <c r="I24" i="35" s="1"/>
  <c r="H63" i="43"/>
  <c r="G63" i="43"/>
  <c r="F63" i="43"/>
  <c r="E63" i="43"/>
  <c r="D63" i="43"/>
  <c r="C63" i="43"/>
  <c r="E26" i="53" s="1"/>
  <c r="C46" i="43"/>
  <c r="E22" i="53" s="1"/>
  <c r="AM53" i="43"/>
  <c r="AF53" i="43"/>
  <c r="AE53" i="43"/>
  <c r="AD53" i="43"/>
  <c r="AC53" i="43"/>
  <c r="AM61" i="43"/>
  <c r="AF61" i="43"/>
  <c r="AE61" i="43"/>
  <c r="AD61" i="43"/>
  <c r="AC61" i="43"/>
  <c r="AM60" i="43"/>
  <c r="AF60" i="43"/>
  <c r="AE60" i="43"/>
  <c r="AD60" i="43"/>
  <c r="AC60" i="43"/>
  <c r="AM59" i="43"/>
  <c r="AF59" i="43"/>
  <c r="AE59" i="43"/>
  <c r="AD59" i="43"/>
  <c r="AC59" i="43"/>
  <c r="AM58" i="43"/>
  <c r="AF58" i="43"/>
  <c r="AE58" i="43"/>
  <c r="AD58" i="43"/>
  <c r="AC58" i="43"/>
  <c r="AM57" i="43"/>
  <c r="AF57" i="43"/>
  <c r="AE57" i="43"/>
  <c r="AD57" i="43"/>
  <c r="AC57" i="43"/>
  <c r="AM56" i="43"/>
  <c r="AF56" i="43"/>
  <c r="AE56" i="43"/>
  <c r="AD56" i="43"/>
  <c r="AC56" i="43"/>
  <c r="AM55" i="43"/>
  <c r="AF55" i="43"/>
  <c r="AE55" i="43"/>
  <c r="AD55" i="43"/>
  <c r="AC55" i="43"/>
  <c r="AM54" i="43"/>
  <c r="AF54" i="43"/>
  <c r="AE54" i="43"/>
  <c r="AD54" i="43"/>
  <c r="AC54" i="43"/>
  <c r="AM52" i="43"/>
  <c r="AF52" i="43"/>
  <c r="AE52" i="43"/>
  <c r="AD52" i="43"/>
  <c r="AC52" i="43"/>
  <c r="AM51" i="43"/>
  <c r="AF51" i="43"/>
  <c r="AE51" i="43"/>
  <c r="AD51" i="43"/>
  <c r="AC51" i="43"/>
  <c r="N46" i="43"/>
  <c r="M46" i="43"/>
  <c r="L46" i="43"/>
  <c r="K46" i="43"/>
  <c r="K20" i="35" s="1"/>
  <c r="J46" i="43"/>
  <c r="I46" i="43"/>
  <c r="I20" i="35" s="1"/>
  <c r="H46" i="43"/>
  <c r="H20" i="35" s="1"/>
  <c r="G46" i="43"/>
  <c r="F46" i="43"/>
  <c r="F20" i="35" s="1"/>
  <c r="E46" i="43"/>
  <c r="E20" i="35" s="1"/>
  <c r="D46" i="43"/>
  <c r="AF43" i="43"/>
  <c r="AE43" i="43"/>
  <c r="AD43" i="43"/>
  <c r="AC43" i="43"/>
  <c r="AF42" i="43"/>
  <c r="AE42" i="43"/>
  <c r="AD42" i="43"/>
  <c r="AC42" i="43"/>
  <c r="AF41" i="43"/>
  <c r="AE41" i="43"/>
  <c r="AD41" i="43"/>
  <c r="AC41" i="43"/>
  <c r="AF40" i="43"/>
  <c r="AE40" i="43"/>
  <c r="AD40" i="43"/>
  <c r="AC40" i="43"/>
  <c r="AF39" i="43"/>
  <c r="AE39" i="43"/>
  <c r="AD39" i="43"/>
  <c r="AC39" i="43"/>
  <c r="AF38" i="43"/>
  <c r="AE38" i="43"/>
  <c r="AD38" i="43"/>
  <c r="AC38" i="43"/>
  <c r="N29" i="43"/>
  <c r="M29" i="43"/>
  <c r="L29" i="43"/>
  <c r="K29" i="43"/>
  <c r="K18" i="35" s="1"/>
  <c r="J29" i="43"/>
  <c r="I29" i="43"/>
  <c r="H29" i="43"/>
  <c r="H18" i="35" s="1"/>
  <c r="G29" i="43"/>
  <c r="F29" i="43"/>
  <c r="F18" i="35" s="1"/>
  <c r="E29" i="43"/>
  <c r="E18" i="35" s="1"/>
  <c r="D29" i="43"/>
  <c r="C29" i="43"/>
  <c r="AM25" i="43"/>
  <c r="AF25" i="43"/>
  <c r="AE25" i="43"/>
  <c r="AD25" i="43"/>
  <c r="AC25" i="43"/>
  <c r="AM24" i="43"/>
  <c r="AF24" i="43"/>
  <c r="AE24" i="43"/>
  <c r="AD24" i="43"/>
  <c r="AC24" i="43"/>
  <c r="AM23" i="43"/>
  <c r="AF23" i="43"/>
  <c r="AE23" i="43"/>
  <c r="AD23" i="43"/>
  <c r="AC23" i="43"/>
  <c r="AM22" i="43"/>
  <c r="AF22" i="43"/>
  <c r="AE22" i="43"/>
  <c r="AD22" i="43"/>
  <c r="AC22" i="43"/>
  <c r="AM21" i="43"/>
  <c r="AF21" i="43"/>
  <c r="AE21" i="43"/>
  <c r="AD21" i="43"/>
  <c r="AC21" i="43"/>
  <c r="AM20" i="43"/>
  <c r="AF20" i="43"/>
  <c r="AE20" i="43"/>
  <c r="AD20" i="43"/>
  <c r="AC20" i="43"/>
  <c r="AM19" i="43"/>
  <c r="AF19" i="43"/>
  <c r="AE19" i="43"/>
  <c r="AD19" i="43"/>
  <c r="AC19" i="43"/>
  <c r="AM18" i="43"/>
  <c r="AF18" i="43"/>
  <c r="AE18" i="43"/>
  <c r="AD18" i="43"/>
  <c r="AC18" i="43"/>
  <c r="D3" i="43"/>
  <c r="E3" i="43" s="1"/>
  <c r="N270" i="42"/>
  <c r="N81" i="38" s="1"/>
  <c r="M270" i="42"/>
  <c r="M81" i="38" s="1"/>
  <c r="L270" i="42"/>
  <c r="L81" i="38" s="1"/>
  <c r="K270" i="42"/>
  <c r="K81" i="38" s="1"/>
  <c r="AE81" i="38" s="1"/>
  <c r="J270" i="42"/>
  <c r="J81" i="38" s="1"/>
  <c r="I270" i="42"/>
  <c r="I81" i="38" s="1"/>
  <c r="H270" i="42"/>
  <c r="H81" i="38" s="1"/>
  <c r="AD81" i="38" s="1"/>
  <c r="G270" i="42"/>
  <c r="G81" i="38" s="1"/>
  <c r="F270" i="42"/>
  <c r="F81" i="38" s="1"/>
  <c r="E270" i="42"/>
  <c r="E81" i="38" s="1"/>
  <c r="AC81" i="38" s="1"/>
  <c r="D270" i="42"/>
  <c r="D81" i="38" s="1"/>
  <c r="C270" i="42"/>
  <c r="C81" i="38" s="1"/>
  <c r="AF269" i="42"/>
  <c r="AE269" i="42"/>
  <c r="AD269" i="42"/>
  <c r="AC269" i="42"/>
  <c r="AF268" i="42"/>
  <c r="AE268" i="42"/>
  <c r="AD268" i="42"/>
  <c r="AC268" i="42"/>
  <c r="AF267" i="42"/>
  <c r="AE267" i="42"/>
  <c r="AD267" i="42"/>
  <c r="AC267" i="42"/>
  <c r="N265" i="42"/>
  <c r="N80" i="38" s="1"/>
  <c r="M265" i="42"/>
  <c r="M80" i="38" s="1"/>
  <c r="L265" i="42"/>
  <c r="L80" i="38" s="1"/>
  <c r="K265" i="42"/>
  <c r="K80" i="38" s="1"/>
  <c r="AE80" i="38" s="1"/>
  <c r="J265" i="42"/>
  <c r="J80" i="38" s="1"/>
  <c r="I265" i="42"/>
  <c r="I80" i="38" s="1"/>
  <c r="H265" i="42"/>
  <c r="H80" i="38" s="1"/>
  <c r="AD80" i="38" s="1"/>
  <c r="G265" i="42"/>
  <c r="G80" i="38" s="1"/>
  <c r="F265" i="42"/>
  <c r="F80" i="38" s="1"/>
  <c r="E265" i="42"/>
  <c r="E80" i="38" s="1"/>
  <c r="AC80" i="38" s="1"/>
  <c r="D265" i="42"/>
  <c r="D80" i="38" s="1"/>
  <c r="C265" i="42"/>
  <c r="C80" i="38" s="1"/>
  <c r="AF264" i="42"/>
  <c r="AE264" i="42"/>
  <c r="AD264" i="42"/>
  <c r="AC264" i="42"/>
  <c r="AF263" i="42"/>
  <c r="AE263" i="42"/>
  <c r="AD263" i="42"/>
  <c r="AC263" i="42"/>
  <c r="AF262" i="42"/>
  <c r="AE262" i="42"/>
  <c r="AD262" i="42"/>
  <c r="AC262" i="42"/>
  <c r="N260" i="42"/>
  <c r="N79" i="38" s="1"/>
  <c r="M260" i="42"/>
  <c r="M79" i="38" s="1"/>
  <c r="L260" i="42"/>
  <c r="L79" i="38" s="1"/>
  <c r="K260" i="42"/>
  <c r="K79" i="38" s="1"/>
  <c r="AE79" i="38" s="1"/>
  <c r="J260" i="42"/>
  <c r="J79" i="38" s="1"/>
  <c r="I260" i="42"/>
  <c r="I79" i="38" s="1"/>
  <c r="H260" i="42"/>
  <c r="H79" i="38" s="1"/>
  <c r="AD79" i="38" s="1"/>
  <c r="G260" i="42"/>
  <c r="G79" i="38" s="1"/>
  <c r="F260" i="42"/>
  <c r="F79" i="38" s="1"/>
  <c r="E260" i="42"/>
  <c r="E79" i="38" s="1"/>
  <c r="AC79" i="38" s="1"/>
  <c r="D260" i="42"/>
  <c r="D79" i="38" s="1"/>
  <c r="C260" i="42"/>
  <c r="C79" i="38" s="1"/>
  <c r="AF259" i="42"/>
  <c r="AE259" i="42"/>
  <c r="AD259" i="42"/>
  <c r="AC259" i="42"/>
  <c r="AF258" i="42"/>
  <c r="AE258" i="42"/>
  <c r="AD258" i="42"/>
  <c r="AC258" i="42"/>
  <c r="AF257" i="42"/>
  <c r="AE257" i="42"/>
  <c r="AD257" i="42"/>
  <c r="AC257" i="42"/>
  <c r="N275" i="42"/>
  <c r="N82" i="38" s="1"/>
  <c r="M275" i="42"/>
  <c r="M82" i="38" s="1"/>
  <c r="L275" i="42"/>
  <c r="L82" i="38" s="1"/>
  <c r="K275" i="42"/>
  <c r="K82" i="38" s="1"/>
  <c r="AE82" i="38" s="1"/>
  <c r="J275" i="42"/>
  <c r="J82" i="38" s="1"/>
  <c r="I275" i="42"/>
  <c r="I82" i="38" s="1"/>
  <c r="H275" i="42"/>
  <c r="H82" i="38" s="1"/>
  <c r="AD82" i="38" s="1"/>
  <c r="G275" i="42"/>
  <c r="G82" i="38" s="1"/>
  <c r="F275" i="42"/>
  <c r="F82" i="38" s="1"/>
  <c r="E275" i="42"/>
  <c r="E82" i="38" s="1"/>
  <c r="AC82" i="38" s="1"/>
  <c r="D275" i="42"/>
  <c r="D82" i="38" s="1"/>
  <c r="C275" i="42"/>
  <c r="C82" i="38" s="1"/>
  <c r="AF274" i="42"/>
  <c r="AE274" i="42"/>
  <c r="AD274" i="42"/>
  <c r="AC274" i="42"/>
  <c r="AF273" i="42"/>
  <c r="AE273" i="42"/>
  <c r="AD273" i="42"/>
  <c r="AC273" i="42"/>
  <c r="AF272" i="42"/>
  <c r="AE272" i="42"/>
  <c r="AD272" i="42"/>
  <c r="AC272" i="42"/>
  <c r="N255" i="42"/>
  <c r="N78" i="38" s="1"/>
  <c r="M255" i="42"/>
  <c r="M78" i="38" s="1"/>
  <c r="L255" i="42"/>
  <c r="L78" i="38" s="1"/>
  <c r="K255" i="42"/>
  <c r="K78" i="38" s="1"/>
  <c r="AE78" i="38" s="1"/>
  <c r="J255" i="42"/>
  <c r="J78" i="38" s="1"/>
  <c r="I255" i="42"/>
  <c r="I78" i="38" s="1"/>
  <c r="H255" i="42"/>
  <c r="H78" i="38" s="1"/>
  <c r="AD78" i="38" s="1"/>
  <c r="G255" i="42"/>
  <c r="G78" i="38" s="1"/>
  <c r="F255" i="42"/>
  <c r="E255" i="42"/>
  <c r="E78" i="38" s="1"/>
  <c r="AC78" i="38" s="1"/>
  <c r="D255" i="42"/>
  <c r="D78" i="38" s="1"/>
  <c r="C255" i="42"/>
  <c r="C78" i="38" s="1"/>
  <c r="AF254" i="42"/>
  <c r="AE254" i="42"/>
  <c r="AD254" i="42"/>
  <c r="AC254" i="42"/>
  <c r="AF253" i="42"/>
  <c r="AE253" i="42"/>
  <c r="AD253" i="42"/>
  <c r="AC253" i="42"/>
  <c r="AF252" i="42"/>
  <c r="AE252" i="42"/>
  <c r="AD252" i="42"/>
  <c r="AC252" i="42"/>
  <c r="N250" i="42"/>
  <c r="N77" i="38" s="1"/>
  <c r="M250" i="42"/>
  <c r="M77" i="38" s="1"/>
  <c r="L250" i="42"/>
  <c r="L77" i="38" s="1"/>
  <c r="K250" i="42"/>
  <c r="K77" i="38" s="1"/>
  <c r="AE77" i="38" s="1"/>
  <c r="J250" i="42"/>
  <c r="J77" i="38" s="1"/>
  <c r="I250" i="42"/>
  <c r="I77" i="38" s="1"/>
  <c r="H250" i="42"/>
  <c r="H77" i="38" s="1"/>
  <c r="AD77" i="38" s="1"/>
  <c r="G250" i="42"/>
  <c r="G77" i="38" s="1"/>
  <c r="F250" i="42"/>
  <c r="F77" i="38" s="1"/>
  <c r="E250" i="42"/>
  <c r="E77" i="38" s="1"/>
  <c r="AC77" i="38" s="1"/>
  <c r="D250" i="42"/>
  <c r="D77" i="38" s="1"/>
  <c r="C250" i="42"/>
  <c r="C77" i="38" s="1"/>
  <c r="AF249" i="42"/>
  <c r="AE249" i="42"/>
  <c r="AD249" i="42"/>
  <c r="AC249" i="42"/>
  <c r="AF248" i="42"/>
  <c r="AE248" i="42"/>
  <c r="AD248" i="42"/>
  <c r="AC248" i="42"/>
  <c r="AF247" i="42"/>
  <c r="AE247" i="42"/>
  <c r="AD247" i="42"/>
  <c r="AC247" i="42"/>
  <c r="N245" i="42"/>
  <c r="N76" i="38" s="1"/>
  <c r="M245" i="42"/>
  <c r="M76" i="38" s="1"/>
  <c r="L245" i="42"/>
  <c r="L76" i="38" s="1"/>
  <c r="K245" i="42"/>
  <c r="K76" i="38" s="1"/>
  <c r="AE76" i="38" s="1"/>
  <c r="J245" i="42"/>
  <c r="J76" i="38" s="1"/>
  <c r="I245" i="42"/>
  <c r="I76" i="38" s="1"/>
  <c r="H245" i="42"/>
  <c r="H76" i="38" s="1"/>
  <c r="AD76" i="38" s="1"/>
  <c r="G245" i="42"/>
  <c r="G76" i="38" s="1"/>
  <c r="F245" i="42"/>
  <c r="F76" i="38" s="1"/>
  <c r="E245" i="42"/>
  <c r="E76" i="38" s="1"/>
  <c r="AC76" i="38" s="1"/>
  <c r="D245" i="42"/>
  <c r="D76" i="38" s="1"/>
  <c r="C245" i="42"/>
  <c r="C76" i="38" s="1"/>
  <c r="AF244" i="42"/>
  <c r="AE244" i="42"/>
  <c r="AD244" i="42"/>
  <c r="AC244" i="42"/>
  <c r="AF243" i="42"/>
  <c r="AE243" i="42"/>
  <c r="AD243" i="42"/>
  <c r="AC243" i="42"/>
  <c r="AF242" i="42"/>
  <c r="AE242" i="42"/>
  <c r="AD242" i="42"/>
  <c r="AC242" i="42"/>
  <c r="N240" i="42"/>
  <c r="N75" i="38" s="1"/>
  <c r="M240" i="42"/>
  <c r="M75" i="38" s="1"/>
  <c r="L240" i="42"/>
  <c r="L75" i="38" s="1"/>
  <c r="K240" i="42"/>
  <c r="K75" i="38" s="1"/>
  <c r="AE75" i="38" s="1"/>
  <c r="J240" i="42"/>
  <c r="J75" i="38" s="1"/>
  <c r="I240" i="42"/>
  <c r="I75" i="38" s="1"/>
  <c r="H240" i="42"/>
  <c r="H75" i="38" s="1"/>
  <c r="AD75" i="38" s="1"/>
  <c r="G240" i="42"/>
  <c r="G75" i="38" s="1"/>
  <c r="F240" i="42"/>
  <c r="F75" i="38" s="1"/>
  <c r="E240" i="42"/>
  <c r="E75" i="38" s="1"/>
  <c r="AC75" i="38" s="1"/>
  <c r="D240" i="42"/>
  <c r="C240" i="42"/>
  <c r="C75" i="38" s="1"/>
  <c r="AF239" i="42"/>
  <c r="AE239" i="42"/>
  <c r="AD239" i="42"/>
  <c r="AC239" i="42"/>
  <c r="AF238" i="42"/>
  <c r="AE238" i="42"/>
  <c r="AD238" i="42"/>
  <c r="AC238" i="42"/>
  <c r="AF237" i="42"/>
  <c r="AE237" i="42"/>
  <c r="AD237" i="42"/>
  <c r="AC237" i="42"/>
  <c r="N74" i="38"/>
  <c r="M74" i="38"/>
  <c r="L74" i="38"/>
  <c r="K74" i="38"/>
  <c r="AE74" i="38" s="1"/>
  <c r="J74" i="38"/>
  <c r="I74" i="38"/>
  <c r="H74" i="38"/>
  <c r="AD74" i="38" s="1"/>
  <c r="G74" i="38"/>
  <c r="C74" i="38"/>
  <c r="N217" i="42"/>
  <c r="N66" i="38" s="1"/>
  <c r="M217" i="42"/>
  <c r="M66" i="38" s="1"/>
  <c r="L217" i="42"/>
  <c r="L66" i="38" s="1"/>
  <c r="K217" i="42"/>
  <c r="K66" i="38" s="1"/>
  <c r="AE66" i="38" s="1"/>
  <c r="J66" i="38"/>
  <c r="I217" i="42"/>
  <c r="I66" i="38" s="1"/>
  <c r="H217" i="42"/>
  <c r="H66" i="38" s="1"/>
  <c r="AD66" i="38" s="1"/>
  <c r="G217" i="42"/>
  <c r="G66" i="38" s="1"/>
  <c r="F217" i="42"/>
  <c r="E217" i="42"/>
  <c r="E66" i="38" s="1"/>
  <c r="AC66" i="38" s="1"/>
  <c r="D217" i="42"/>
  <c r="D66" i="38" s="1"/>
  <c r="C217" i="42"/>
  <c r="C66" i="38" s="1"/>
  <c r="AF216" i="42"/>
  <c r="AE216" i="42"/>
  <c r="AD216" i="42"/>
  <c r="AC216" i="42"/>
  <c r="AF215" i="42"/>
  <c r="AE215" i="42"/>
  <c r="AD215" i="42"/>
  <c r="AC215" i="42"/>
  <c r="AF214" i="42"/>
  <c r="AE214" i="42"/>
  <c r="AD214" i="42"/>
  <c r="AC214" i="42"/>
  <c r="N222" i="42"/>
  <c r="N67" i="38" s="1"/>
  <c r="M222" i="42"/>
  <c r="M67" i="38" s="1"/>
  <c r="L222" i="42"/>
  <c r="L67" i="38" s="1"/>
  <c r="K222" i="42"/>
  <c r="K67" i="38" s="1"/>
  <c r="AE67" i="38" s="1"/>
  <c r="J67" i="38"/>
  <c r="I222" i="42"/>
  <c r="I67" i="38" s="1"/>
  <c r="H222" i="42"/>
  <c r="H67" i="38" s="1"/>
  <c r="AD67" i="38" s="1"/>
  <c r="G222" i="42"/>
  <c r="G67" i="38" s="1"/>
  <c r="F222" i="42"/>
  <c r="F67" i="38" s="1"/>
  <c r="E222" i="42"/>
  <c r="E67" i="38" s="1"/>
  <c r="AC67" i="38" s="1"/>
  <c r="D222" i="42"/>
  <c r="D67" i="38" s="1"/>
  <c r="C222" i="42"/>
  <c r="C67" i="38" s="1"/>
  <c r="AF221" i="42"/>
  <c r="AE221" i="42"/>
  <c r="AD221" i="42"/>
  <c r="AC221" i="42"/>
  <c r="AF220" i="42"/>
  <c r="AE220" i="42"/>
  <c r="AD220" i="42"/>
  <c r="AC220" i="42"/>
  <c r="AF219" i="42"/>
  <c r="AE219" i="42"/>
  <c r="AD219" i="42"/>
  <c r="AC219" i="42"/>
  <c r="N65" i="38"/>
  <c r="M65" i="38"/>
  <c r="L65" i="38"/>
  <c r="K65" i="38"/>
  <c r="AE65" i="38" s="1"/>
  <c r="J65" i="38"/>
  <c r="I65" i="38"/>
  <c r="H65" i="38"/>
  <c r="AD65" i="38" s="1"/>
  <c r="F65" i="38"/>
  <c r="E65" i="38"/>
  <c r="AC65" i="38" s="1"/>
  <c r="D65" i="38"/>
  <c r="C65" i="38"/>
  <c r="AF211" i="42"/>
  <c r="AE211" i="42"/>
  <c r="AD211" i="42"/>
  <c r="AC211" i="42"/>
  <c r="AF210" i="42"/>
  <c r="AE210" i="42"/>
  <c r="AD210" i="42"/>
  <c r="AC210" i="42"/>
  <c r="AF209" i="42"/>
  <c r="AE209" i="42"/>
  <c r="AD209" i="42"/>
  <c r="AC209" i="42"/>
  <c r="N64" i="38"/>
  <c r="M64" i="38"/>
  <c r="L64" i="38"/>
  <c r="K64" i="38"/>
  <c r="AE64" i="38" s="1"/>
  <c r="J64" i="38"/>
  <c r="I64" i="38"/>
  <c r="H64" i="38"/>
  <c r="AD64" i="38" s="1"/>
  <c r="G64" i="38"/>
  <c r="F64" i="38"/>
  <c r="E64" i="38"/>
  <c r="AC64" i="38" s="1"/>
  <c r="D64" i="38"/>
  <c r="C64" i="38"/>
  <c r="AF206" i="42"/>
  <c r="AE206" i="42"/>
  <c r="AD206" i="42"/>
  <c r="AC206" i="42"/>
  <c r="AF205" i="42"/>
  <c r="AE205" i="42"/>
  <c r="AD205" i="42"/>
  <c r="AC205" i="42"/>
  <c r="AF204" i="42"/>
  <c r="AE204" i="42"/>
  <c r="AD204" i="42"/>
  <c r="AC204" i="42"/>
  <c r="N63" i="38"/>
  <c r="M63" i="38"/>
  <c r="L63" i="38"/>
  <c r="K63" i="38"/>
  <c r="AE63" i="38" s="1"/>
  <c r="J63" i="38"/>
  <c r="I63" i="38"/>
  <c r="H63" i="38"/>
  <c r="AD63" i="38" s="1"/>
  <c r="G63" i="38"/>
  <c r="F63" i="38"/>
  <c r="E63" i="38"/>
  <c r="AC63" i="38" s="1"/>
  <c r="D63" i="38"/>
  <c r="C63" i="38"/>
  <c r="AF201" i="42"/>
  <c r="AE201" i="42"/>
  <c r="AD201" i="42"/>
  <c r="AC201" i="42"/>
  <c r="AF200" i="42"/>
  <c r="AE200" i="42"/>
  <c r="AD200" i="42"/>
  <c r="AC200" i="42"/>
  <c r="AF199" i="42"/>
  <c r="AE199" i="42"/>
  <c r="AD199" i="42"/>
  <c r="AC199" i="42"/>
  <c r="N197" i="42"/>
  <c r="N62" i="38" s="1"/>
  <c r="M197" i="42"/>
  <c r="M62" i="38" s="1"/>
  <c r="L197" i="42"/>
  <c r="L62" i="38" s="1"/>
  <c r="K197" i="42"/>
  <c r="K62" i="38" s="1"/>
  <c r="AE62" i="38" s="1"/>
  <c r="J62" i="38"/>
  <c r="I197" i="42"/>
  <c r="I62" i="38" s="1"/>
  <c r="H197" i="42"/>
  <c r="H62" i="38" s="1"/>
  <c r="AD62" i="38" s="1"/>
  <c r="G62" i="38"/>
  <c r="F62" i="38"/>
  <c r="E197" i="42"/>
  <c r="E62" i="38" s="1"/>
  <c r="AC62" i="38" s="1"/>
  <c r="D197" i="42"/>
  <c r="D62" i="38" s="1"/>
  <c r="C197" i="42"/>
  <c r="C62" i="38" s="1"/>
  <c r="AF196" i="42"/>
  <c r="AE196" i="42"/>
  <c r="AD196" i="42"/>
  <c r="AC196" i="42"/>
  <c r="AF195" i="42"/>
  <c r="AE195" i="42"/>
  <c r="AD195" i="42"/>
  <c r="AC195" i="42"/>
  <c r="N184" i="42"/>
  <c r="N55" i="38" s="1"/>
  <c r="M184" i="42"/>
  <c r="M55" i="38" s="1"/>
  <c r="L184" i="42"/>
  <c r="L55" i="38" s="1"/>
  <c r="K184" i="42"/>
  <c r="K55" i="38" s="1"/>
  <c r="AE55" i="38" s="1"/>
  <c r="J184" i="42"/>
  <c r="J55" i="38" s="1"/>
  <c r="I184" i="42"/>
  <c r="I55" i="38" s="1"/>
  <c r="H184" i="42"/>
  <c r="H55" i="38" s="1"/>
  <c r="AD55" i="38" s="1"/>
  <c r="G184" i="42"/>
  <c r="G55" i="38" s="1"/>
  <c r="F184" i="42"/>
  <c r="F55" i="38" s="1"/>
  <c r="E184" i="42"/>
  <c r="E55" i="38" s="1"/>
  <c r="AC55" i="38" s="1"/>
  <c r="D184" i="42"/>
  <c r="D55" i="38" s="1"/>
  <c r="C184" i="42"/>
  <c r="C55" i="38" s="1"/>
  <c r="AF183" i="42"/>
  <c r="AE183" i="42"/>
  <c r="AD183" i="42"/>
  <c r="AC183" i="42"/>
  <c r="AF182" i="42"/>
  <c r="AE182" i="42"/>
  <c r="AD182" i="42"/>
  <c r="AC182" i="42"/>
  <c r="AF181" i="42"/>
  <c r="AE181" i="42"/>
  <c r="AD181" i="42"/>
  <c r="AC181" i="42"/>
  <c r="N179" i="42"/>
  <c r="N54" i="38" s="1"/>
  <c r="M179" i="42"/>
  <c r="M54" i="38" s="1"/>
  <c r="L179" i="42"/>
  <c r="L54" i="38" s="1"/>
  <c r="K179" i="42"/>
  <c r="K54" i="38" s="1"/>
  <c r="AE54" i="38" s="1"/>
  <c r="J179" i="42"/>
  <c r="J54" i="38" s="1"/>
  <c r="I179" i="42"/>
  <c r="I54" i="38" s="1"/>
  <c r="H179" i="42"/>
  <c r="H54" i="38" s="1"/>
  <c r="AD54" i="38" s="1"/>
  <c r="G179" i="42"/>
  <c r="G54" i="38" s="1"/>
  <c r="F179" i="42"/>
  <c r="F54" i="38" s="1"/>
  <c r="E179" i="42"/>
  <c r="E54" i="38" s="1"/>
  <c r="AC54" i="38" s="1"/>
  <c r="D179" i="42"/>
  <c r="D54" i="38" s="1"/>
  <c r="C179" i="42"/>
  <c r="C54" i="38" s="1"/>
  <c r="AF178" i="42"/>
  <c r="AE178" i="42"/>
  <c r="AD178" i="42"/>
  <c r="AC178" i="42"/>
  <c r="AF177" i="42"/>
  <c r="AE177" i="42"/>
  <c r="AD177" i="42"/>
  <c r="AC177" i="42"/>
  <c r="AF176" i="42"/>
  <c r="AE176" i="42"/>
  <c r="AD176" i="42"/>
  <c r="AC176" i="42"/>
  <c r="N174" i="42"/>
  <c r="N53" i="38" s="1"/>
  <c r="M174" i="42"/>
  <c r="M53" i="38" s="1"/>
  <c r="L174" i="42"/>
  <c r="L53" i="38" s="1"/>
  <c r="K174" i="42"/>
  <c r="K53" i="38" s="1"/>
  <c r="AE53" i="38" s="1"/>
  <c r="J174" i="42"/>
  <c r="J53" i="38" s="1"/>
  <c r="I174" i="42"/>
  <c r="I53" i="38" s="1"/>
  <c r="H174" i="42"/>
  <c r="H53" i="38" s="1"/>
  <c r="AD53" i="38" s="1"/>
  <c r="G174" i="42"/>
  <c r="G53" i="38" s="1"/>
  <c r="F174" i="42"/>
  <c r="F53" i="38" s="1"/>
  <c r="E174" i="42"/>
  <c r="E53" i="38" s="1"/>
  <c r="AC53" i="38" s="1"/>
  <c r="D174" i="42"/>
  <c r="D53" i="38" s="1"/>
  <c r="C174" i="42"/>
  <c r="C53" i="38" s="1"/>
  <c r="AF173" i="42"/>
  <c r="AE173" i="42"/>
  <c r="AD173" i="42"/>
  <c r="AC173" i="42"/>
  <c r="AF172" i="42"/>
  <c r="AE172" i="42"/>
  <c r="AD172" i="42"/>
  <c r="AC172" i="42"/>
  <c r="AF171" i="42"/>
  <c r="AE171" i="42"/>
  <c r="AD171" i="42"/>
  <c r="AC171" i="42"/>
  <c r="N169" i="42"/>
  <c r="N52" i="38" s="1"/>
  <c r="M169" i="42"/>
  <c r="M52" i="38" s="1"/>
  <c r="L169" i="42"/>
  <c r="L52" i="38" s="1"/>
  <c r="K169" i="42"/>
  <c r="K52" i="38" s="1"/>
  <c r="AE52" i="38" s="1"/>
  <c r="J169" i="42"/>
  <c r="J52" i="38" s="1"/>
  <c r="I169" i="42"/>
  <c r="I52" i="38" s="1"/>
  <c r="H169" i="42"/>
  <c r="H52" i="38" s="1"/>
  <c r="AD52" i="38" s="1"/>
  <c r="G169" i="42"/>
  <c r="G52" i="38" s="1"/>
  <c r="F169" i="42"/>
  <c r="F52" i="38" s="1"/>
  <c r="E169" i="42"/>
  <c r="E52" i="38" s="1"/>
  <c r="AC52" i="38" s="1"/>
  <c r="D169" i="42"/>
  <c r="D52" i="38" s="1"/>
  <c r="C169" i="42"/>
  <c r="C52" i="38" s="1"/>
  <c r="AF168" i="42"/>
  <c r="AE168" i="42"/>
  <c r="AD168" i="42"/>
  <c r="AC168" i="42"/>
  <c r="AF167" i="42"/>
  <c r="AE167" i="42"/>
  <c r="AD167" i="42"/>
  <c r="AC167" i="42"/>
  <c r="AF166" i="42"/>
  <c r="AE166" i="42"/>
  <c r="AD166" i="42"/>
  <c r="AC166" i="42"/>
  <c r="N164" i="42"/>
  <c r="N51" i="38" s="1"/>
  <c r="M164" i="42"/>
  <c r="M51" i="38" s="1"/>
  <c r="L164" i="42"/>
  <c r="L51" i="38" s="1"/>
  <c r="K164" i="42"/>
  <c r="K51" i="38" s="1"/>
  <c r="AE51" i="38" s="1"/>
  <c r="J164" i="42"/>
  <c r="J51" i="38" s="1"/>
  <c r="I164" i="42"/>
  <c r="I51" i="38" s="1"/>
  <c r="H164" i="42"/>
  <c r="H51" i="38" s="1"/>
  <c r="AD51" i="38" s="1"/>
  <c r="G164" i="42"/>
  <c r="G51" i="38" s="1"/>
  <c r="F164" i="42"/>
  <c r="F51" i="38" s="1"/>
  <c r="E164" i="42"/>
  <c r="E51" i="38" s="1"/>
  <c r="AC51" i="38" s="1"/>
  <c r="D164" i="42"/>
  <c r="D51" i="38" s="1"/>
  <c r="C164" i="42"/>
  <c r="C51" i="38" s="1"/>
  <c r="AF163" i="42"/>
  <c r="AE163" i="42"/>
  <c r="AD163" i="42"/>
  <c r="AC163" i="42"/>
  <c r="AF162" i="42"/>
  <c r="AE162" i="42"/>
  <c r="AD162" i="42"/>
  <c r="AC162" i="42"/>
  <c r="AF161" i="42"/>
  <c r="AE161" i="42"/>
  <c r="AD161" i="42"/>
  <c r="AC161" i="42"/>
  <c r="N151" i="42"/>
  <c r="N44" i="38" s="1"/>
  <c r="M44" i="38"/>
  <c r="L44" i="38"/>
  <c r="K151" i="42"/>
  <c r="K44" i="38" s="1"/>
  <c r="AE44" i="38" s="1"/>
  <c r="J151" i="42"/>
  <c r="J44" i="38" s="1"/>
  <c r="I151" i="42"/>
  <c r="I44" i="38" s="1"/>
  <c r="H44" i="38"/>
  <c r="AD44" i="38" s="1"/>
  <c r="G151" i="42"/>
  <c r="G44" i="38" s="1"/>
  <c r="F151" i="42"/>
  <c r="F44" i="38" s="1"/>
  <c r="E151" i="42"/>
  <c r="E44" i="38" s="1"/>
  <c r="AC44" i="38" s="1"/>
  <c r="D151" i="42"/>
  <c r="D44" i="38" s="1"/>
  <c r="C151" i="42"/>
  <c r="C44" i="38" s="1"/>
  <c r="AF150" i="42"/>
  <c r="AE150" i="42"/>
  <c r="AD150" i="42"/>
  <c r="AC150" i="42"/>
  <c r="AF149" i="42"/>
  <c r="AE149" i="42"/>
  <c r="AD149" i="42"/>
  <c r="AC149" i="42"/>
  <c r="AF148" i="42"/>
  <c r="AE148" i="42"/>
  <c r="AD148" i="42"/>
  <c r="AC148" i="42"/>
  <c r="N146" i="42"/>
  <c r="N43" i="38" s="1"/>
  <c r="M43" i="38"/>
  <c r="L43" i="38"/>
  <c r="K43" i="38"/>
  <c r="AE43" i="38" s="1"/>
  <c r="J146" i="42"/>
  <c r="J43" i="38" s="1"/>
  <c r="I146" i="42"/>
  <c r="I43" i="38" s="1"/>
  <c r="H43" i="38"/>
  <c r="AD43" i="38" s="1"/>
  <c r="G146" i="42"/>
  <c r="G43" i="38" s="1"/>
  <c r="F146" i="42"/>
  <c r="F43" i="38" s="1"/>
  <c r="E146" i="42"/>
  <c r="E43" i="38" s="1"/>
  <c r="AC43" i="38" s="1"/>
  <c r="D146" i="42"/>
  <c r="D43" i="38" s="1"/>
  <c r="C146" i="42"/>
  <c r="C43" i="38" s="1"/>
  <c r="AF145" i="42"/>
  <c r="AE145" i="42"/>
  <c r="AD145" i="42"/>
  <c r="AC145" i="42"/>
  <c r="AF144" i="42"/>
  <c r="AE144" i="42"/>
  <c r="AD144" i="42"/>
  <c r="AC144" i="42"/>
  <c r="AF143" i="42"/>
  <c r="AE143" i="42"/>
  <c r="AD143" i="42"/>
  <c r="AC143" i="42"/>
  <c r="N141" i="42"/>
  <c r="N42" i="38" s="1"/>
  <c r="M42" i="38"/>
  <c r="L42" i="38"/>
  <c r="K42" i="38"/>
  <c r="AE42" i="38" s="1"/>
  <c r="J141" i="42"/>
  <c r="J42" i="38" s="1"/>
  <c r="I141" i="42"/>
  <c r="I42" i="38" s="1"/>
  <c r="H42" i="38"/>
  <c r="AD42" i="38" s="1"/>
  <c r="G141" i="42"/>
  <c r="G42" i="38" s="1"/>
  <c r="F141" i="42"/>
  <c r="F42" i="38" s="1"/>
  <c r="E141" i="42"/>
  <c r="E42" i="38" s="1"/>
  <c r="AC42" i="38" s="1"/>
  <c r="D141" i="42"/>
  <c r="D42" i="38" s="1"/>
  <c r="C141" i="42"/>
  <c r="C42" i="38" s="1"/>
  <c r="AF140" i="42"/>
  <c r="AE140" i="42"/>
  <c r="AD140" i="42"/>
  <c r="AC140" i="42"/>
  <c r="AF139" i="42"/>
  <c r="AE139" i="42"/>
  <c r="AD139" i="42"/>
  <c r="AC139" i="42"/>
  <c r="AF138" i="42"/>
  <c r="AE138" i="42"/>
  <c r="AD138" i="42"/>
  <c r="AC138" i="42"/>
  <c r="N136" i="42"/>
  <c r="N41" i="38" s="1"/>
  <c r="M41" i="38"/>
  <c r="L41" i="38"/>
  <c r="K41" i="38"/>
  <c r="AE41" i="38" s="1"/>
  <c r="J136" i="42"/>
  <c r="J41" i="38" s="1"/>
  <c r="I136" i="42"/>
  <c r="I41" i="38" s="1"/>
  <c r="H41" i="38"/>
  <c r="AD41" i="38" s="1"/>
  <c r="G136" i="42"/>
  <c r="G41" i="38" s="1"/>
  <c r="F136" i="42"/>
  <c r="F41" i="38" s="1"/>
  <c r="E136" i="42"/>
  <c r="E41" i="38" s="1"/>
  <c r="AC41" i="38" s="1"/>
  <c r="D136" i="42"/>
  <c r="D41" i="38" s="1"/>
  <c r="C136" i="42"/>
  <c r="C41" i="38" s="1"/>
  <c r="AF135" i="42"/>
  <c r="AE135" i="42"/>
  <c r="AD135" i="42"/>
  <c r="AC135" i="42"/>
  <c r="AF134" i="42"/>
  <c r="AE134" i="42"/>
  <c r="AD134" i="42"/>
  <c r="AC134" i="42"/>
  <c r="AF133" i="42"/>
  <c r="AE133" i="42"/>
  <c r="AD133" i="42"/>
  <c r="AC133" i="42"/>
  <c r="N131" i="42"/>
  <c r="N40" i="38" s="1"/>
  <c r="M40" i="38"/>
  <c r="L40" i="38"/>
  <c r="K40" i="38"/>
  <c r="AE40" i="38" s="1"/>
  <c r="J131" i="42"/>
  <c r="J40" i="38" s="1"/>
  <c r="I131" i="42"/>
  <c r="I40" i="38" s="1"/>
  <c r="H40" i="38"/>
  <c r="AD40" i="38" s="1"/>
  <c r="G131" i="42"/>
  <c r="G40" i="38" s="1"/>
  <c r="F131" i="42"/>
  <c r="F40" i="38" s="1"/>
  <c r="E131" i="42"/>
  <c r="E40" i="38" s="1"/>
  <c r="AC40" i="38" s="1"/>
  <c r="D131" i="42"/>
  <c r="D40" i="38" s="1"/>
  <c r="C131" i="42"/>
  <c r="C40" i="38" s="1"/>
  <c r="AF130" i="42"/>
  <c r="AE130" i="42"/>
  <c r="AD130" i="42"/>
  <c r="AC130" i="42"/>
  <c r="AF129" i="42"/>
  <c r="AE129" i="42"/>
  <c r="AD129" i="42"/>
  <c r="AC129" i="42"/>
  <c r="AF128" i="42"/>
  <c r="AE128" i="42"/>
  <c r="AD128" i="42"/>
  <c r="AC128" i="42"/>
  <c r="N118" i="42"/>
  <c r="N33" i="38" s="1"/>
  <c r="M118" i="42"/>
  <c r="M33" i="38" s="1"/>
  <c r="L118" i="42"/>
  <c r="L33" i="38" s="1"/>
  <c r="K33" i="38"/>
  <c r="AE33" i="38" s="1"/>
  <c r="J118" i="42"/>
  <c r="J33" i="38" s="1"/>
  <c r="I118" i="42"/>
  <c r="I33" i="38" s="1"/>
  <c r="H118" i="42"/>
  <c r="H33" i="38" s="1"/>
  <c r="AD33" i="38" s="1"/>
  <c r="G118" i="42"/>
  <c r="G33" i="38" s="1"/>
  <c r="F118" i="42"/>
  <c r="F33" i="38" s="1"/>
  <c r="E118" i="42"/>
  <c r="E33" i="38" s="1"/>
  <c r="AC33" i="38" s="1"/>
  <c r="D118" i="42"/>
  <c r="D33" i="38" s="1"/>
  <c r="C118" i="42"/>
  <c r="C33" i="38" s="1"/>
  <c r="AF117" i="42"/>
  <c r="AE117" i="42"/>
  <c r="AD117" i="42"/>
  <c r="AC117" i="42"/>
  <c r="AF116" i="42"/>
  <c r="AE116" i="42"/>
  <c r="AD116" i="42"/>
  <c r="AC116" i="42"/>
  <c r="AF115" i="42"/>
  <c r="AE115" i="42"/>
  <c r="AD115" i="42"/>
  <c r="AC115" i="42"/>
  <c r="N113" i="42"/>
  <c r="N32" i="38" s="1"/>
  <c r="M113" i="42"/>
  <c r="M32" i="38" s="1"/>
  <c r="L113" i="42"/>
  <c r="L32" i="38" s="1"/>
  <c r="K32" i="38"/>
  <c r="AE32" i="38" s="1"/>
  <c r="J113" i="42"/>
  <c r="J32" i="38" s="1"/>
  <c r="I113" i="42"/>
  <c r="I32" i="38" s="1"/>
  <c r="H113" i="42"/>
  <c r="H32" i="38" s="1"/>
  <c r="AD32" i="38" s="1"/>
  <c r="G113" i="42"/>
  <c r="G32" i="38" s="1"/>
  <c r="F113" i="42"/>
  <c r="F32" i="38" s="1"/>
  <c r="E113" i="42"/>
  <c r="E32" i="38" s="1"/>
  <c r="AC32" i="38" s="1"/>
  <c r="D113" i="42"/>
  <c r="D32" i="38" s="1"/>
  <c r="C113" i="42"/>
  <c r="C32" i="38" s="1"/>
  <c r="AF112" i="42"/>
  <c r="AE112" i="42"/>
  <c r="AD112" i="42"/>
  <c r="AC112" i="42"/>
  <c r="AF111" i="42"/>
  <c r="AE111" i="42"/>
  <c r="AD111" i="42"/>
  <c r="AC111" i="42"/>
  <c r="AF110" i="42"/>
  <c r="AE110" i="42"/>
  <c r="AD110" i="42"/>
  <c r="AC110" i="42"/>
  <c r="N108" i="42"/>
  <c r="N31" i="38" s="1"/>
  <c r="M108" i="42"/>
  <c r="M31" i="38" s="1"/>
  <c r="L108" i="42"/>
  <c r="L31" i="38" s="1"/>
  <c r="K31" i="38"/>
  <c r="AE31" i="38" s="1"/>
  <c r="J108" i="42"/>
  <c r="J31" i="38" s="1"/>
  <c r="I108" i="42"/>
  <c r="I31" i="38" s="1"/>
  <c r="H108" i="42"/>
  <c r="H31" i="38" s="1"/>
  <c r="AD31" i="38" s="1"/>
  <c r="G108" i="42"/>
  <c r="G31" i="38" s="1"/>
  <c r="F108" i="42"/>
  <c r="F31" i="38" s="1"/>
  <c r="E108" i="42"/>
  <c r="E31" i="38" s="1"/>
  <c r="AC31" i="38" s="1"/>
  <c r="D108" i="42"/>
  <c r="D31" i="38" s="1"/>
  <c r="C108" i="42"/>
  <c r="C31" i="38" s="1"/>
  <c r="AF107" i="42"/>
  <c r="AE107" i="42"/>
  <c r="AD107" i="42"/>
  <c r="AC107" i="42"/>
  <c r="AF106" i="42"/>
  <c r="AE106" i="42"/>
  <c r="AD106" i="42"/>
  <c r="AC106" i="42"/>
  <c r="AF105" i="42"/>
  <c r="AE105" i="42"/>
  <c r="AD105" i="42"/>
  <c r="AC105" i="42"/>
  <c r="N30" i="38"/>
  <c r="M30" i="38"/>
  <c r="L30" i="38"/>
  <c r="K30" i="38"/>
  <c r="AE30" i="38" s="1"/>
  <c r="J30" i="38"/>
  <c r="I30" i="38"/>
  <c r="H30" i="38"/>
  <c r="AD30" i="38" s="1"/>
  <c r="G30" i="38"/>
  <c r="F30" i="38"/>
  <c r="E30" i="38"/>
  <c r="AC30" i="38" s="1"/>
  <c r="D30" i="38"/>
  <c r="C30" i="38"/>
  <c r="N29" i="38"/>
  <c r="M29" i="38"/>
  <c r="L29" i="38"/>
  <c r="K29" i="38"/>
  <c r="AE29" i="38" s="1"/>
  <c r="J29" i="38"/>
  <c r="I29" i="38"/>
  <c r="H29" i="38"/>
  <c r="AD29" i="38" s="1"/>
  <c r="G29" i="38"/>
  <c r="F29" i="38"/>
  <c r="E29" i="38"/>
  <c r="AC29" i="38" s="1"/>
  <c r="D29" i="38"/>
  <c r="C29" i="38"/>
  <c r="N88" i="42"/>
  <c r="N27" i="38" s="1"/>
  <c r="M88" i="42"/>
  <c r="M27" i="38" s="1"/>
  <c r="L88" i="42"/>
  <c r="L27" i="38" s="1"/>
  <c r="K88" i="42"/>
  <c r="K27" i="38" s="1"/>
  <c r="AE27" i="38" s="1"/>
  <c r="J88" i="42"/>
  <c r="J27" i="38" s="1"/>
  <c r="I88" i="42"/>
  <c r="I27" i="38" s="1"/>
  <c r="H88" i="42"/>
  <c r="H27" i="38" s="1"/>
  <c r="AD27" i="38" s="1"/>
  <c r="G88" i="42"/>
  <c r="G27" i="38" s="1"/>
  <c r="F88" i="42"/>
  <c r="F27" i="38" s="1"/>
  <c r="E88" i="42"/>
  <c r="E27" i="38" s="1"/>
  <c r="AC27" i="38" s="1"/>
  <c r="D88" i="42"/>
  <c r="D27" i="38" s="1"/>
  <c r="C88" i="42"/>
  <c r="C27" i="38" s="1"/>
  <c r="AF87" i="42"/>
  <c r="AE87" i="42"/>
  <c r="AD87" i="42"/>
  <c r="AC87" i="42"/>
  <c r="AF86" i="42"/>
  <c r="AE86" i="42"/>
  <c r="AD86" i="42"/>
  <c r="AC86" i="42"/>
  <c r="AD85" i="42"/>
  <c r="N75" i="42"/>
  <c r="N20" i="38" s="1"/>
  <c r="M75" i="42"/>
  <c r="M20" i="38" s="1"/>
  <c r="L75" i="42"/>
  <c r="L20" i="38" s="1"/>
  <c r="K75" i="42"/>
  <c r="K20" i="38" s="1"/>
  <c r="AE20" i="38" s="1"/>
  <c r="J75" i="42"/>
  <c r="J20" i="38" s="1"/>
  <c r="I20" i="38"/>
  <c r="H75" i="42"/>
  <c r="H20" i="38" s="1"/>
  <c r="AD20" i="38" s="1"/>
  <c r="G75" i="42"/>
  <c r="G20" i="38" s="1"/>
  <c r="F75" i="42"/>
  <c r="F20" i="38" s="1"/>
  <c r="E75" i="42"/>
  <c r="E20" i="38" s="1"/>
  <c r="AC20" i="38" s="1"/>
  <c r="D75" i="42"/>
  <c r="D20" i="38" s="1"/>
  <c r="C75" i="42"/>
  <c r="C20" i="38" s="1"/>
  <c r="AM74" i="42"/>
  <c r="AF74" i="42"/>
  <c r="AE74" i="42"/>
  <c r="AD74" i="42"/>
  <c r="AC74" i="42"/>
  <c r="AM73" i="42"/>
  <c r="AF73" i="42"/>
  <c r="AE73" i="42"/>
  <c r="AD73" i="42"/>
  <c r="AC73" i="42"/>
  <c r="AM72" i="42"/>
  <c r="AF72" i="42"/>
  <c r="AE72" i="42"/>
  <c r="AD72" i="42"/>
  <c r="AC72" i="42"/>
  <c r="N70" i="42"/>
  <c r="N19" i="38" s="1"/>
  <c r="M70" i="42"/>
  <c r="M19" i="38" s="1"/>
  <c r="L70" i="42"/>
  <c r="L19" i="38" s="1"/>
  <c r="K70" i="42"/>
  <c r="K19" i="38" s="1"/>
  <c r="AE19" i="38" s="1"/>
  <c r="J70" i="42"/>
  <c r="J19" i="38" s="1"/>
  <c r="I19" i="38"/>
  <c r="H70" i="42"/>
  <c r="H19" i="38" s="1"/>
  <c r="AD19" i="38" s="1"/>
  <c r="G70" i="42"/>
  <c r="G19" i="38" s="1"/>
  <c r="F70" i="42"/>
  <c r="F19" i="38" s="1"/>
  <c r="E70" i="42"/>
  <c r="E19" i="38" s="1"/>
  <c r="AC19" i="38" s="1"/>
  <c r="D70" i="42"/>
  <c r="D19" i="38" s="1"/>
  <c r="C70" i="42"/>
  <c r="C19" i="38" s="1"/>
  <c r="AM69" i="42"/>
  <c r="AF69" i="42"/>
  <c r="AE69" i="42"/>
  <c r="AD69" i="42"/>
  <c r="AC69" i="42"/>
  <c r="AM68" i="42"/>
  <c r="AF68" i="42"/>
  <c r="AE68" i="42"/>
  <c r="AD68" i="42"/>
  <c r="AC68" i="42"/>
  <c r="AM67" i="42"/>
  <c r="AF67" i="42"/>
  <c r="AE67" i="42"/>
  <c r="AD67" i="42"/>
  <c r="AC67" i="42"/>
  <c r="N65" i="42"/>
  <c r="N18" i="38" s="1"/>
  <c r="M65" i="42"/>
  <c r="M18" i="38" s="1"/>
  <c r="L65" i="42"/>
  <c r="L18" i="38" s="1"/>
  <c r="K65" i="42"/>
  <c r="K18" i="38" s="1"/>
  <c r="AE18" i="38" s="1"/>
  <c r="J65" i="42"/>
  <c r="J18" i="38" s="1"/>
  <c r="I18" i="38"/>
  <c r="H65" i="42"/>
  <c r="H18" i="38" s="1"/>
  <c r="AD18" i="38" s="1"/>
  <c r="G65" i="42"/>
  <c r="G18" i="38" s="1"/>
  <c r="F65" i="42"/>
  <c r="F18" i="38" s="1"/>
  <c r="E65" i="42"/>
  <c r="E18" i="38" s="1"/>
  <c r="AC18" i="38" s="1"/>
  <c r="D65" i="42"/>
  <c r="D18" i="38" s="1"/>
  <c r="C65" i="42"/>
  <c r="C18" i="38" s="1"/>
  <c r="AM64" i="42"/>
  <c r="AF64" i="42"/>
  <c r="AE64" i="42"/>
  <c r="AD64" i="42"/>
  <c r="AC64" i="42"/>
  <c r="AM63" i="42"/>
  <c r="AF63" i="42"/>
  <c r="AE63" i="42"/>
  <c r="AD63" i="42"/>
  <c r="AC63" i="42"/>
  <c r="AM62" i="42"/>
  <c r="AF62" i="42"/>
  <c r="AE62" i="42"/>
  <c r="AD62" i="42"/>
  <c r="AC62" i="42"/>
  <c r="N60" i="42"/>
  <c r="N17" i="38" s="1"/>
  <c r="M60" i="42"/>
  <c r="M17" i="38" s="1"/>
  <c r="L60" i="42"/>
  <c r="L17" i="38" s="1"/>
  <c r="K60" i="42"/>
  <c r="K17" i="38" s="1"/>
  <c r="AE17" i="38" s="1"/>
  <c r="J60" i="42"/>
  <c r="J17" i="38" s="1"/>
  <c r="I17" i="38"/>
  <c r="H60" i="42"/>
  <c r="H17" i="38" s="1"/>
  <c r="AD17" i="38" s="1"/>
  <c r="G60" i="42"/>
  <c r="G17" i="38" s="1"/>
  <c r="F60" i="42"/>
  <c r="F17" i="38" s="1"/>
  <c r="E60" i="42"/>
  <c r="E17" i="38" s="1"/>
  <c r="AC17" i="38" s="1"/>
  <c r="D60" i="42"/>
  <c r="D17" i="38" s="1"/>
  <c r="C60" i="42"/>
  <c r="C17" i="38" s="1"/>
  <c r="AM59" i="42"/>
  <c r="AF59" i="42"/>
  <c r="AE59" i="42"/>
  <c r="AD59" i="42"/>
  <c r="AC59" i="42"/>
  <c r="AM58" i="42"/>
  <c r="AF58" i="42"/>
  <c r="AE58" i="42"/>
  <c r="AD58" i="42"/>
  <c r="AC58" i="42"/>
  <c r="AM57" i="42"/>
  <c r="AF57" i="42"/>
  <c r="AE57" i="42"/>
  <c r="AD57" i="42"/>
  <c r="AC57" i="42"/>
  <c r="I16" i="38"/>
  <c r="H16" i="38"/>
  <c r="AD16" i="38" s="1"/>
  <c r="G16" i="38"/>
  <c r="F16" i="38"/>
  <c r="E16" i="38"/>
  <c r="AC16" i="38" s="1"/>
  <c r="D16" i="38"/>
  <c r="C16" i="38"/>
  <c r="AM54" i="42"/>
  <c r="AF54" i="42"/>
  <c r="AE54" i="42"/>
  <c r="AD54" i="42"/>
  <c r="AC54" i="42"/>
  <c r="AM53" i="42"/>
  <c r="AF53" i="42"/>
  <c r="AE53" i="42"/>
  <c r="AD53" i="42"/>
  <c r="AC53" i="42"/>
  <c r="AD52" i="42"/>
  <c r="AC52" i="42"/>
  <c r="N50" i="42"/>
  <c r="N15" i="38" s="1"/>
  <c r="M50" i="42"/>
  <c r="M15" i="38" s="1"/>
  <c r="L50" i="42"/>
  <c r="L15" i="38" s="1"/>
  <c r="K50" i="42"/>
  <c r="K15" i="38" s="1"/>
  <c r="AE15" i="38" s="1"/>
  <c r="J50" i="42"/>
  <c r="J15" i="38" s="1"/>
  <c r="I15" i="38"/>
  <c r="H50" i="42"/>
  <c r="H15" i="38" s="1"/>
  <c r="AD15" i="38" s="1"/>
  <c r="G50" i="42"/>
  <c r="G15" i="38" s="1"/>
  <c r="F50" i="42"/>
  <c r="F15" i="38" s="1"/>
  <c r="E50" i="42"/>
  <c r="E15" i="38" s="1"/>
  <c r="AC15" i="38" s="1"/>
  <c r="D50" i="42"/>
  <c r="D15" i="38" s="1"/>
  <c r="C50" i="42"/>
  <c r="C15" i="38" s="1"/>
  <c r="AM49" i="42"/>
  <c r="AF49" i="42"/>
  <c r="AE49" i="42"/>
  <c r="AD49" i="42"/>
  <c r="AT49" i="42" s="1"/>
  <c r="AC49" i="42"/>
  <c r="AM48" i="42"/>
  <c r="AF48" i="42"/>
  <c r="AE48" i="42"/>
  <c r="AD48" i="42"/>
  <c r="AT48" i="42" s="1"/>
  <c r="AC48" i="42"/>
  <c r="AM47" i="42"/>
  <c r="AF47" i="42"/>
  <c r="AE47" i="42"/>
  <c r="AD47" i="42"/>
  <c r="AT47" i="42" s="1"/>
  <c r="AC47" i="42"/>
  <c r="N45" i="42"/>
  <c r="N14" i="38" s="1"/>
  <c r="M45" i="42"/>
  <c r="M14" i="38" s="1"/>
  <c r="L45" i="42"/>
  <c r="L14" i="38" s="1"/>
  <c r="K45" i="42"/>
  <c r="K14" i="38" s="1"/>
  <c r="AE14" i="38" s="1"/>
  <c r="J45" i="42"/>
  <c r="J14" i="38" s="1"/>
  <c r="I14" i="38"/>
  <c r="H45" i="42"/>
  <c r="H14" i="38" s="1"/>
  <c r="AD14" i="38" s="1"/>
  <c r="G45" i="42"/>
  <c r="G14" i="38" s="1"/>
  <c r="F45" i="42"/>
  <c r="F14" i="38" s="1"/>
  <c r="E45" i="42"/>
  <c r="E14" i="38" s="1"/>
  <c r="AC14" i="38" s="1"/>
  <c r="D45" i="42"/>
  <c r="D14" i="38" s="1"/>
  <c r="C45" i="42"/>
  <c r="C14" i="38" s="1"/>
  <c r="AM44" i="42"/>
  <c r="AF44" i="42"/>
  <c r="AE44" i="42"/>
  <c r="AD44" i="42"/>
  <c r="AT44" i="42" s="1"/>
  <c r="AC44" i="42"/>
  <c r="AM43" i="42"/>
  <c r="AF43" i="42"/>
  <c r="AE43" i="42"/>
  <c r="AD43" i="42"/>
  <c r="AT43" i="42" s="1"/>
  <c r="AC43" i="42"/>
  <c r="AM42" i="42"/>
  <c r="AF42" i="42"/>
  <c r="AE42" i="42"/>
  <c r="AD42" i="42"/>
  <c r="AT42" i="42" s="1"/>
  <c r="AC42" i="42"/>
  <c r="N40" i="42"/>
  <c r="N13" i="38" s="1"/>
  <c r="M40" i="42"/>
  <c r="M13" i="38" s="1"/>
  <c r="L40" i="42"/>
  <c r="L13" i="38" s="1"/>
  <c r="K40" i="42"/>
  <c r="K13" i="38" s="1"/>
  <c r="AE13" i="38" s="1"/>
  <c r="J40" i="42"/>
  <c r="J13" i="38" s="1"/>
  <c r="I13" i="38"/>
  <c r="H40" i="42"/>
  <c r="H13" i="38" s="1"/>
  <c r="AD13" i="38" s="1"/>
  <c r="G40" i="42"/>
  <c r="G13" i="38" s="1"/>
  <c r="F40" i="42"/>
  <c r="F13" i="38" s="1"/>
  <c r="E40" i="42"/>
  <c r="E13" i="38" s="1"/>
  <c r="AC13" i="38" s="1"/>
  <c r="D40" i="42"/>
  <c r="D13" i="38" s="1"/>
  <c r="C40" i="42"/>
  <c r="C13" i="38" s="1"/>
  <c r="AM39" i="42"/>
  <c r="AF39" i="42"/>
  <c r="AE39" i="42"/>
  <c r="AD39" i="42"/>
  <c r="AT39" i="42" s="1"/>
  <c r="AC39" i="42"/>
  <c r="AM38" i="42"/>
  <c r="AF38" i="42"/>
  <c r="AE38" i="42"/>
  <c r="AD38" i="42"/>
  <c r="AT38" i="42" s="1"/>
  <c r="AC38" i="42"/>
  <c r="AM37" i="42"/>
  <c r="AF37" i="42"/>
  <c r="AE37" i="42"/>
  <c r="AD37" i="42"/>
  <c r="AT37" i="42" s="1"/>
  <c r="AC37" i="42"/>
  <c r="N35" i="42"/>
  <c r="M35" i="42"/>
  <c r="L35" i="42"/>
  <c r="K35" i="42"/>
  <c r="J35" i="42"/>
  <c r="H35" i="42"/>
  <c r="G35" i="42"/>
  <c r="F35" i="42"/>
  <c r="E35" i="42"/>
  <c r="D35" i="42"/>
  <c r="C35" i="42"/>
  <c r="AM34" i="42"/>
  <c r="AF34" i="42"/>
  <c r="AE34" i="42"/>
  <c r="AD34" i="42"/>
  <c r="AT34" i="42" s="1"/>
  <c r="AC34" i="42"/>
  <c r="AM33" i="42"/>
  <c r="AF33" i="42"/>
  <c r="AE33" i="42"/>
  <c r="AD33" i="42"/>
  <c r="AT33" i="42" s="1"/>
  <c r="AC33" i="42"/>
  <c r="AM32" i="42"/>
  <c r="AF32" i="42"/>
  <c r="AE32" i="42"/>
  <c r="AD32" i="42"/>
  <c r="AT32" i="42" s="1"/>
  <c r="AC32" i="42"/>
  <c r="N30" i="42"/>
  <c r="N11" i="38" s="1"/>
  <c r="M30" i="42"/>
  <c r="M11" i="38" s="1"/>
  <c r="L30" i="42"/>
  <c r="L11" i="38" s="1"/>
  <c r="K30" i="42"/>
  <c r="K11" i="38" s="1"/>
  <c r="AE11" i="38" s="1"/>
  <c r="J30" i="42"/>
  <c r="J11" i="38" s="1"/>
  <c r="I11" i="38"/>
  <c r="H30" i="42"/>
  <c r="H11" i="38" s="1"/>
  <c r="AD11" i="38" s="1"/>
  <c r="G30" i="42"/>
  <c r="G11" i="38" s="1"/>
  <c r="F30" i="42"/>
  <c r="F11" i="38" s="1"/>
  <c r="E30" i="42"/>
  <c r="E11" i="38" s="1"/>
  <c r="AC11" i="38" s="1"/>
  <c r="D30" i="42"/>
  <c r="D11" i="38" s="1"/>
  <c r="C30" i="42"/>
  <c r="C11" i="38" s="1"/>
  <c r="AM29" i="42"/>
  <c r="AF29" i="42"/>
  <c r="AE29" i="42"/>
  <c r="AD29" i="42"/>
  <c r="AT29" i="42" s="1"/>
  <c r="AC29" i="42"/>
  <c r="AM28" i="42"/>
  <c r="AF28" i="42"/>
  <c r="AE28" i="42"/>
  <c r="AD28" i="42"/>
  <c r="AT28" i="42" s="1"/>
  <c r="AC28" i="42"/>
  <c r="AM27" i="42"/>
  <c r="AF27" i="42"/>
  <c r="AE27" i="42"/>
  <c r="AD27" i="42"/>
  <c r="AT27" i="42" s="1"/>
  <c r="AC27" i="42"/>
  <c r="N25" i="42"/>
  <c r="N10" i="38" s="1"/>
  <c r="M25" i="42"/>
  <c r="M10" i="38" s="1"/>
  <c r="L25" i="42"/>
  <c r="L10" i="38" s="1"/>
  <c r="K25" i="42"/>
  <c r="K10" i="38" s="1"/>
  <c r="AE10" i="38" s="1"/>
  <c r="J25" i="42"/>
  <c r="J10" i="38" s="1"/>
  <c r="I10" i="38"/>
  <c r="H25" i="42"/>
  <c r="H10" i="38" s="1"/>
  <c r="AD10" i="38" s="1"/>
  <c r="G25" i="42"/>
  <c r="G10" i="38" s="1"/>
  <c r="F25" i="42"/>
  <c r="F10" i="38" s="1"/>
  <c r="E25" i="42"/>
  <c r="E10" i="38" s="1"/>
  <c r="AC10" i="38" s="1"/>
  <c r="D25" i="42"/>
  <c r="D10" i="38" s="1"/>
  <c r="C25" i="42"/>
  <c r="C10" i="38" s="1"/>
  <c r="AM24" i="42"/>
  <c r="AF24" i="42"/>
  <c r="AE24" i="42"/>
  <c r="AD24" i="42"/>
  <c r="AT24" i="42" s="1"/>
  <c r="AC24" i="42"/>
  <c r="AM23" i="42"/>
  <c r="AF23" i="42"/>
  <c r="AE23" i="42"/>
  <c r="AD23" i="42"/>
  <c r="AT23" i="42" s="1"/>
  <c r="AC23" i="42"/>
  <c r="AM22" i="42"/>
  <c r="AF22" i="42"/>
  <c r="AE22" i="42"/>
  <c r="AD22" i="42"/>
  <c r="AT22" i="42" s="1"/>
  <c r="AC22" i="42"/>
  <c r="N20" i="42"/>
  <c r="N9" i="38" s="1"/>
  <c r="M20" i="42"/>
  <c r="M9" i="38" s="1"/>
  <c r="L20" i="42"/>
  <c r="L9" i="38" s="1"/>
  <c r="K20" i="42"/>
  <c r="K9" i="38" s="1"/>
  <c r="AE9" i="38" s="1"/>
  <c r="J20" i="42"/>
  <c r="J9" i="38" s="1"/>
  <c r="I9" i="38"/>
  <c r="H20" i="42"/>
  <c r="H9" i="38" s="1"/>
  <c r="AD9" i="38" s="1"/>
  <c r="G20" i="42"/>
  <c r="G9" i="38" s="1"/>
  <c r="F20" i="42"/>
  <c r="F9" i="38" s="1"/>
  <c r="E20" i="42"/>
  <c r="E9" i="38" s="1"/>
  <c r="AC9" i="38" s="1"/>
  <c r="D20" i="42"/>
  <c r="D9" i="38" s="1"/>
  <c r="C20" i="42"/>
  <c r="C9" i="38" s="1"/>
  <c r="AM19" i="42"/>
  <c r="AF19" i="42"/>
  <c r="AE19" i="42"/>
  <c r="AD19" i="42"/>
  <c r="AT19" i="42" s="1"/>
  <c r="AC19" i="42"/>
  <c r="AM18" i="42"/>
  <c r="AF18" i="42"/>
  <c r="AE18" i="42"/>
  <c r="AD18" i="42"/>
  <c r="AT18" i="42" s="1"/>
  <c r="AC18" i="42"/>
  <c r="AM17" i="42"/>
  <c r="AF17" i="42"/>
  <c r="AE17" i="42"/>
  <c r="AD17" i="42"/>
  <c r="AT17" i="42" s="1"/>
  <c r="AC17" i="42"/>
  <c r="N15" i="42"/>
  <c r="N8" i="38" s="1"/>
  <c r="M15" i="42"/>
  <c r="M8" i="38" s="1"/>
  <c r="L15" i="42"/>
  <c r="L8" i="38" s="1"/>
  <c r="K15" i="42"/>
  <c r="K8" i="38" s="1"/>
  <c r="AE8" i="38" s="1"/>
  <c r="J15" i="42"/>
  <c r="J8" i="38" s="1"/>
  <c r="I8" i="38"/>
  <c r="H15" i="42"/>
  <c r="H8" i="38" s="1"/>
  <c r="AD8" i="38" s="1"/>
  <c r="G15" i="42"/>
  <c r="G8" i="38" s="1"/>
  <c r="F15" i="42"/>
  <c r="F8" i="38" s="1"/>
  <c r="E15" i="42"/>
  <c r="E8" i="38" s="1"/>
  <c r="AC8" i="38" s="1"/>
  <c r="D15" i="42"/>
  <c r="D8" i="38" s="1"/>
  <c r="C15" i="42"/>
  <c r="C8" i="38" s="1"/>
  <c r="AM14" i="42"/>
  <c r="AF14" i="42"/>
  <c r="AE14" i="42"/>
  <c r="AD14" i="42"/>
  <c r="AT14" i="42" s="1"/>
  <c r="AC14" i="42"/>
  <c r="AM13" i="42"/>
  <c r="AF13" i="42"/>
  <c r="AE13" i="42"/>
  <c r="AD13" i="42"/>
  <c r="AT13" i="42" s="1"/>
  <c r="AC13" i="42"/>
  <c r="AM12" i="42"/>
  <c r="AF12" i="42"/>
  <c r="AE12" i="42"/>
  <c r="AD12" i="42"/>
  <c r="AT12" i="42" s="1"/>
  <c r="AC12" i="42"/>
  <c r="AF7" i="42"/>
  <c r="AE7" i="42"/>
  <c r="AD7" i="42"/>
  <c r="AT7" i="42" s="1"/>
  <c r="AC7" i="42"/>
  <c r="N10" i="42"/>
  <c r="M10" i="42"/>
  <c r="L10" i="42"/>
  <c r="K10" i="42"/>
  <c r="J10" i="42"/>
  <c r="H10" i="42"/>
  <c r="G10" i="42"/>
  <c r="F10" i="42"/>
  <c r="E10" i="42"/>
  <c r="D10" i="42"/>
  <c r="C10" i="42"/>
  <c r="AM9" i="42"/>
  <c r="AF9" i="42"/>
  <c r="AE9" i="42"/>
  <c r="AD9" i="42"/>
  <c r="AT9" i="42" s="1"/>
  <c r="AC9" i="42"/>
  <c r="AM8" i="42"/>
  <c r="AF8" i="42"/>
  <c r="AE8" i="42"/>
  <c r="AD8" i="42"/>
  <c r="AT8" i="42" s="1"/>
  <c r="AC8" i="42"/>
  <c r="D3" i="42"/>
  <c r="E3" i="42" s="1"/>
  <c r="F3" i="42" s="1"/>
  <c r="G3" i="42" s="1"/>
  <c r="H3" i="42" s="1"/>
  <c r="I3" i="42" s="1"/>
  <c r="J3" i="42" s="1"/>
  <c r="K3" i="42" s="1"/>
  <c r="L3" i="42" s="1"/>
  <c r="M3" i="42" s="1"/>
  <c r="N3" i="42" s="1"/>
  <c r="P3" i="42" s="1"/>
  <c r="Q3" i="42" s="1"/>
  <c r="R3" i="42" s="1"/>
  <c r="S3" i="42" s="1"/>
  <c r="T3" i="42" s="1"/>
  <c r="U3" i="42" s="1"/>
  <c r="V3" i="42" s="1"/>
  <c r="W3" i="42" s="1"/>
  <c r="X3" i="42" s="1"/>
  <c r="Y3" i="42" s="1"/>
  <c r="Z3" i="42" s="1"/>
  <c r="AA3" i="42" s="1"/>
  <c r="N15" i="45"/>
  <c r="M15" i="45"/>
  <c r="K15" i="45"/>
  <c r="J15" i="45"/>
  <c r="I15" i="45"/>
  <c r="F15" i="45"/>
  <c r="E15" i="45"/>
  <c r="D15" i="45"/>
  <c r="D3" i="45"/>
  <c r="E3" i="45" s="1"/>
  <c r="F3" i="45" s="1"/>
  <c r="G3" i="45" s="1"/>
  <c r="H3" i="45" s="1"/>
  <c r="I3" i="45" s="1"/>
  <c r="J3" i="45" s="1"/>
  <c r="K3" i="45" s="1"/>
  <c r="AE12" i="45"/>
  <c r="AD12" i="45"/>
  <c r="AC12" i="45"/>
  <c r="AF10" i="45"/>
  <c r="AE10" i="45"/>
  <c r="AM10" i="45"/>
  <c r="AC9" i="45"/>
  <c r="AC8" i="45"/>
  <c r="AD7" i="45"/>
  <c r="AM7" i="45"/>
  <c r="AF6" i="45"/>
  <c r="AE6" i="45"/>
  <c r="AD6" i="45"/>
  <c r="AM6" i="45"/>
  <c r="AD5" i="45"/>
  <c r="AC5" i="45"/>
  <c r="AD11" i="45"/>
  <c r="AC11" i="45"/>
  <c r="AF11" i="45"/>
  <c r="AM11" i="45"/>
  <c r="AF9" i="45"/>
  <c r="AE9" i="45"/>
  <c r="AD9" i="45"/>
  <c r="AM9" i="45"/>
  <c r="AF8" i="45"/>
  <c r="AE8" i="45"/>
  <c r="AD8" i="45"/>
  <c r="AF7" i="45"/>
  <c r="AE7" i="45"/>
  <c r="AF5" i="45"/>
  <c r="AE5" i="45"/>
  <c r="AF44" i="43"/>
  <c r="AE44" i="43"/>
  <c r="AD44" i="43"/>
  <c r="AC44" i="43"/>
  <c r="AF37" i="43"/>
  <c r="AE37" i="43"/>
  <c r="AD37" i="43"/>
  <c r="AC37" i="43"/>
  <c r="AF34" i="43"/>
  <c r="AE34" i="43"/>
  <c r="AD34" i="43"/>
  <c r="AM27" i="43"/>
  <c r="AF27" i="43"/>
  <c r="AE27" i="43"/>
  <c r="AD27" i="43"/>
  <c r="AC27" i="43"/>
  <c r="AM26" i="43"/>
  <c r="AF26" i="43"/>
  <c r="AE26" i="43"/>
  <c r="AD26" i="43"/>
  <c r="AC26" i="43"/>
  <c r="AM9" i="43"/>
  <c r="AF9" i="43"/>
  <c r="AE9" i="43"/>
  <c r="AD9" i="43"/>
  <c r="AC9" i="43"/>
  <c r="AM17" i="43"/>
  <c r="AF17" i="43"/>
  <c r="AE17" i="43"/>
  <c r="AD17" i="43"/>
  <c r="AC17" i="43"/>
  <c r="AF16" i="43"/>
  <c r="AD16" i="43"/>
  <c r="AC16" i="43"/>
  <c r="AM16" i="43"/>
  <c r="AM15" i="43"/>
  <c r="AF15" i="43"/>
  <c r="AE15" i="43"/>
  <c r="AD15" i="43"/>
  <c r="AC15" i="43"/>
  <c r="AM14" i="43"/>
  <c r="AF14" i="43"/>
  <c r="AE14" i="43"/>
  <c r="AD14" i="43"/>
  <c r="AC14" i="43"/>
  <c r="AM13" i="43"/>
  <c r="AF13" i="43"/>
  <c r="AE13" i="43"/>
  <c r="AD13" i="43"/>
  <c r="AC13" i="43"/>
  <c r="AM12" i="43"/>
  <c r="AF12" i="43"/>
  <c r="AE12" i="43"/>
  <c r="AD12" i="43"/>
  <c r="AC12" i="43"/>
  <c r="AM11" i="43"/>
  <c r="AF11" i="43"/>
  <c r="AE11" i="43"/>
  <c r="AD11" i="43"/>
  <c r="AC11" i="43"/>
  <c r="AM10" i="43"/>
  <c r="AF10" i="43"/>
  <c r="AE10" i="43"/>
  <c r="AD10" i="43"/>
  <c r="AC10" i="43"/>
  <c r="AF8" i="43"/>
  <c r="AD8" i="43"/>
  <c r="AC8" i="43"/>
  <c r="AE8" i="43"/>
  <c r="AP108" i="43" l="1"/>
  <c r="AP125" i="43"/>
  <c r="AP41" i="43"/>
  <c r="AP121" i="43"/>
  <c r="AP95" i="43"/>
  <c r="AP107" i="43"/>
  <c r="AP109" i="43"/>
  <c r="AP51" i="43"/>
  <c r="AP56" i="43"/>
  <c r="AP60" i="43"/>
  <c r="AP39" i="43"/>
  <c r="AP40" i="43"/>
  <c r="AP27" i="43"/>
  <c r="AP70" i="43"/>
  <c r="AF122" i="42"/>
  <c r="AC122" i="42"/>
  <c r="AD122" i="42"/>
  <c r="AF120" i="42"/>
  <c r="AF155" i="42"/>
  <c r="AF188" i="42"/>
  <c r="AQ68" i="42"/>
  <c r="AQ74" i="42"/>
  <c r="AQ64" i="42"/>
  <c r="AP106" i="42"/>
  <c r="AP274" i="42"/>
  <c r="AP258" i="42"/>
  <c r="AP262" i="42"/>
  <c r="AP110" i="42"/>
  <c r="AD46" i="38"/>
  <c r="AD93" i="38" s="1"/>
  <c r="AD57" i="38"/>
  <c r="AD94" i="38" s="1"/>
  <c r="AP107" i="42"/>
  <c r="AP111" i="42"/>
  <c r="AP115" i="42"/>
  <c r="AP140" i="42"/>
  <c r="AP144" i="42"/>
  <c r="AP148" i="42"/>
  <c r="AP211" i="42"/>
  <c r="AP243" i="42"/>
  <c r="AP247" i="42"/>
  <c r="AQ58" i="42"/>
  <c r="AP112" i="42"/>
  <c r="AP116" i="42"/>
  <c r="AP145" i="42"/>
  <c r="AP149" i="42"/>
  <c r="AP178" i="42"/>
  <c r="AP182" i="42"/>
  <c r="AP244" i="42"/>
  <c r="AP248" i="42"/>
  <c r="AP252" i="42"/>
  <c r="AP264" i="42"/>
  <c r="AP268" i="42"/>
  <c r="AP168" i="42"/>
  <c r="AC120" i="42"/>
  <c r="AC155" i="42"/>
  <c r="AC188" i="42"/>
  <c r="AC277" i="42"/>
  <c r="AD155" i="42"/>
  <c r="AD188" i="42"/>
  <c r="AD277" i="42"/>
  <c r="AC69" i="38"/>
  <c r="AC95" i="38" s="1"/>
  <c r="AC278" i="42"/>
  <c r="AD69" i="38"/>
  <c r="AD95" i="38" s="1"/>
  <c r="AP219" i="42"/>
  <c r="AD278" i="42"/>
  <c r="AM31" i="38"/>
  <c r="AF31" i="38"/>
  <c r="AM9" i="38"/>
  <c r="AF9" i="38"/>
  <c r="AC46" i="38"/>
  <c r="AC93" i="38" s="1"/>
  <c r="AP135" i="42"/>
  <c r="AP139" i="42"/>
  <c r="AP143" i="42"/>
  <c r="AC57" i="38"/>
  <c r="AC94" i="38" s="1"/>
  <c r="AP172" i="42"/>
  <c r="AP176" i="42"/>
  <c r="AP206" i="42"/>
  <c r="AP210" i="42"/>
  <c r="AM67" i="38"/>
  <c r="AF67" i="38"/>
  <c r="AP242" i="42"/>
  <c r="AF15" i="38"/>
  <c r="AM15" i="38"/>
  <c r="AM19" i="38"/>
  <c r="AF19" i="38"/>
  <c r="AM29" i="38"/>
  <c r="AF29" i="38"/>
  <c r="AF32" i="38"/>
  <c r="AM32" i="38"/>
  <c r="AM43" i="38"/>
  <c r="AF43" i="38"/>
  <c r="AM54" i="38"/>
  <c r="AF54" i="38"/>
  <c r="AF278" i="42"/>
  <c r="AF277" i="42"/>
  <c r="AF76" i="38"/>
  <c r="AM76" i="38"/>
  <c r="AM80" i="38"/>
  <c r="AF80" i="38"/>
  <c r="AM11" i="38"/>
  <c r="AF11" i="38"/>
  <c r="AM14" i="38"/>
  <c r="AF14" i="38"/>
  <c r="AC77" i="42"/>
  <c r="AC279" i="42"/>
  <c r="AD77" i="42"/>
  <c r="AT77" i="42" s="1"/>
  <c r="AP220" i="42"/>
  <c r="AD279" i="42"/>
  <c r="AP173" i="42"/>
  <c r="AP177" i="42"/>
  <c r="AP181" i="42"/>
  <c r="AF224" i="42"/>
  <c r="AP259" i="42"/>
  <c r="AP263" i="42"/>
  <c r="AP267" i="42"/>
  <c r="AD78" i="42"/>
  <c r="AM33" i="38"/>
  <c r="AF33" i="38"/>
  <c r="AF44" i="38"/>
  <c r="AM44" i="38"/>
  <c r="AM55" i="38"/>
  <c r="AF55" i="38"/>
  <c r="AM62" i="38"/>
  <c r="AF62" i="38"/>
  <c r="AM77" i="38"/>
  <c r="AF77" i="38"/>
  <c r="AF81" i="38"/>
  <c r="AM81" i="38"/>
  <c r="AC153" i="42"/>
  <c r="AC186" i="42"/>
  <c r="AC225" i="42"/>
  <c r="AC224" i="42"/>
  <c r="AM13" i="38"/>
  <c r="AF13" i="38"/>
  <c r="AF78" i="42"/>
  <c r="AM17" i="38"/>
  <c r="AF17" i="38"/>
  <c r="AQ69" i="42"/>
  <c r="AD153" i="42"/>
  <c r="AD186" i="42"/>
  <c r="AD225" i="42"/>
  <c r="AD224" i="42"/>
  <c r="AP221" i="42"/>
  <c r="AP215" i="42"/>
  <c r="AD84" i="38"/>
  <c r="AD98" i="38" s="1"/>
  <c r="AD99" i="38" s="1"/>
  <c r="AM18" i="38"/>
  <c r="AF18" i="38"/>
  <c r="AC78" i="42"/>
  <c r="AC79" i="42"/>
  <c r="AQ73" i="42"/>
  <c r="AD120" i="42"/>
  <c r="AP85" i="42"/>
  <c r="AM27" i="38"/>
  <c r="AF27" i="38"/>
  <c r="AF153" i="42"/>
  <c r="AF40" i="38"/>
  <c r="AM40" i="38"/>
  <c r="AF186" i="42"/>
  <c r="AF51" i="38"/>
  <c r="AM51" i="38"/>
  <c r="AF225" i="42"/>
  <c r="AF63" i="38"/>
  <c r="AM63" i="38"/>
  <c r="AF279" i="42"/>
  <c r="AF78" i="38"/>
  <c r="AM78" i="38"/>
  <c r="AM79" i="38"/>
  <c r="AF79" i="38"/>
  <c r="AF10" i="38"/>
  <c r="AM10" i="38"/>
  <c r="AF20" i="38"/>
  <c r="AM20" i="38"/>
  <c r="AD79" i="42"/>
  <c r="AC226" i="42"/>
  <c r="AD187" i="42"/>
  <c r="AD226" i="42"/>
  <c r="AP216" i="42"/>
  <c r="AM42" i="38"/>
  <c r="AF42" i="38"/>
  <c r="AM53" i="38"/>
  <c r="AF53" i="38"/>
  <c r="AD121" i="42"/>
  <c r="AD154" i="42"/>
  <c r="AF79" i="42"/>
  <c r="AP117" i="42"/>
  <c r="AP133" i="42"/>
  <c r="AP150" i="42"/>
  <c r="AP166" i="42"/>
  <c r="AP183" i="42"/>
  <c r="AP200" i="42"/>
  <c r="AP204" i="42"/>
  <c r="AF226" i="42"/>
  <c r="AP249" i="42"/>
  <c r="AP253" i="42"/>
  <c r="AP272" i="42"/>
  <c r="AP269" i="42"/>
  <c r="AM75" i="38"/>
  <c r="AF75" i="38"/>
  <c r="AC121" i="42"/>
  <c r="AC154" i="42"/>
  <c r="AC187" i="42"/>
  <c r="AF8" i="38"/>
  <c r="AM8" i="38"/>
  <c r="AQ59" i="42"/>
  <c r="AF88" i="42"/>
  <c r="AF121" i="42"/>
  <c r="AF30" i="38"/>
  <c r="AM30" i="38"/>
  <c r="AF154" i="42"/>
  <c r="AM41" i="38"/>
  <c r="AF41" i="38"/>
  <c r="AF187" i="42"/>
  <c r="AM52" i="38"/>
  <c r="AF52" i="38"/>
  <c r="AM64" i="38"/>
  <c r="AF64" i="38"/>
  <c r="AF74" i="38"/>
  <c r="AM74" i="38"/>
  <c r="AM82" i="38"/>
  <c r="AF82" i="38"/>
  <c r="AQ63" i="42"/>
  <c r="AP134" i="42"/>
  <c r="AP138" i="42"/>
  <c r="AP167" i="42"/>
  <c r="AP171" i="42"/>
  <c r="AP201" i="42"/>
  <c r="AP205" i="42"/>
  <c r="AP209" i="42"/>
  <c r="AF65" i="38"/>
  <c r="AM65" i="38"/>
  <c r="AP254" i="42"/>
  <c r="AP273" i="42"/>
  <c r="AP257" i="42"/>
  <c r="AP238" i="42"/>
  <c r="AE278" i="42"/>
  <c r="AP239" i="42"/>
  <c r="AE279" i="42"/>
  <c r="AE84" i="38"/>
  <c r="AE98" i="38" s="1"/>
  <c r="AE99" i="38" s="1"/>
  <c r="AP237" i="42"/>
  <c r="AE277" i="42"/>
  <c r="AE69" i="38"/>
  <c r="AE95" i="38" s="1"/>
  <c r="AP214" i="42"/>
  <c r="AM66" i="38"/>
  <c r="AF66" i="38"/>
  <c r="AE225" i="42"/>
  <c r="AP195" i="42"/>
  <c r="AE224" i="42"/>
  <c r="AP199" i="42"/>
  <c r="AE226" i="42"/>
  <c r="AP196" i="42"/>
  <c r="AE57" i="38"/>
  <c r="AE94" i="38" s="1"/>
  <c r="AE186" i="42"/>
  <c r="AP161" i="42"/>
  <c r="AE187" i="42"/>
  <c r="AP162" i="42"/>
  <c r="AE188" i="42"/>
  <c r="AP163" i="42"/>
  <c r="AE46" i="38"/>
  <c r="AE93" i="38" s="1"/>
  <c r="AE153" i="42"/>
  <c r="AP128" i="42"/>
  <c r="AE154" i="42"/>
  <c r="AP129" i="42"/>
  <c r="AE155" i="42"/>
  <c r="AP130" i="42"/>
  <c r="AP105" i="42"/>
  <c r="AE120" i="42"/>
  <c r="AE121" i="42"/>
  <c r="AP86" i="42"/>
  <c r="AE122" i="42"/>
  <c r="AP87" i="42"/>
  <c r="AE78" i="42"/>
  <c r="AM78" i="42"/>
  <c r="AM287" i="42" s="1"/>
  <c r="AE79" i="42"/>
  <c r="AM79" i="42"/>
  <c r="AM288" i="42" s="1"/>
  <c r="AP37" i="43"/>
  <c r="AP12" i="43"/>
  <c r="C131" i="43"/>
  <c r="C152" i="43" s="1"/>
  <c r="AP96" i="43"/>
  <c r="AP9" i="43"/>
  <c r="AP87" i="43"/>
  <c r="AP124" i="43"/>
  <c r="AP38" i="43"/>
  <c r="AP43" i="43"/>
  <c r="AP26" i="43"/>
  <c r="AP20" i="43"/>
  <c r="AP24" i="43"/>
  <c r="AP103" i="43"/>
  <c r="AP57" i="43"/>
  <c r="AP21" i="43"/>
  <c r="AP25" i="43"/>
  <c r="AP69" i="43"/>
  <c r="AP126" i="43"/>
  <c r="AP58" i="43"/>
  <c r="AP61" i="43"/>
  <c r="AP34" i="43"/>
  <c r="AP122" i="43"/>
  <c r="AP127" i="43"/>
  <c r="AP18" i="43"/>
  <c r="AP22" i="43"/>
  <c r="AP17" i="43"/>
  <c r="AP55" i="43"/>
  <c r="AP59" i="43"/>
  <c r="AP13" i="43"/>
  <c r="AP86" i="43"/>
  <c r="AP123" i="43"/>
  <c r="AP42" i="43"/>
  <c r="AP44" i="43"/>
  <c r="AP19" i="43"/>
  <c r="AP23" i="43"/>
  <c r="AP52" i="43"/>
  <c r="AP54" i="43"/>
  <c r="AP53" i="43"/>
  <c r="AP10" i="43"/>
  <c r="AP15" i="43"/>
  <c r="AP11" i="43"/>
  <c r="AP14" i="43"/>
  <c r="F66" i="38"/>
  <c r="F69" i="38" s="1"/>
  <c r="F95" i="38" s="1"/>
  <c r="F110" i="38" s="1"/>
  <c r="F227" i="42"/>
  <c r="F228" i="42" s="1"/>
  <c r="I18" i="35"/>
  <c r="I140" i="43"/>
  <c r="G131" i="43"/>
  <c r="F24" i="35"/>
  <c r="E24" i="35"/>
  <c r="H24" i="35"/>
  <c r="H131" i="43"/>
  <c r="K131" i="43"/>
  <c r="M131" i="43"/>
  <c r="N131" i="43"/>
  <c r="J131" i="43"/>
  <c r="I131" i="43"/>
  <c r="G65" i="38"/>
  <c r="G69" i="38" s="1"/>
  <c r="G95" i="38" s="1"/>
  <c r="G110" i="38" s="1"/>
  <c r="G227" i="42"/>
  <c r="G228" i="42" s="1"/>
  <c r="I286" i="42"/>
  <c r="I289" i="42" s="1"/>
  <c r="P25" i="61"/>
  <c r="N145" i="43"/>
  <c r="N147" i="43" s="1"/>
  <c r="M145" i="43"/>
  <c r="M147" i="43" s="1"/>
  <c r="J26" i="61"/>
  <c r="H150" i="43" s="1"/>
  <c r="H145" i="43"/>
  <c r="H147" i="43" s="1"/>
  <c r="J145" i="43"/>
  <c r="J147" i="43" s="1"/>
  <c r="K145" i="43"/>
  <c r="K147" i="43" s="1"/>
  <c r="G145" i="43"/>
  <c r="G147" i="43" s="1"/>
  <c r="AC89" i="43"/>
  <c r="AD89" i="43"/>
  <c r="AE89" i="43"/>
  <c r="P24" i="61"/>
  <c r="R24" i="61"/>
  <c r="G140" i="43"/>
  <c r="H140" i="43"/>
  <c r="J140" i="43"/>
  <c r="K140" i="43"/>
  <c r="L140" i="43"/>
  <c r="M140" i="43"/>
  <c r="N140" i="43"/>
  <c r="AM129" i="43"/>
  <c r="E30" i="53"/>
  <c r="C145" i="43"/>
  <c r="C147" i="43" s="1"/>
  <c r="AE129" i="43"/>
  <c r="H20" i="53"/>
  <c r="F140" i="43"/>
  <c r="F20" i="53"/>
  <c r="D18" i="35"/>
  <c r="D140" i="43"/>
  <c r="C140" i="43"/>
  <c r="C18" i="35"/>
  <c r="F26" i="53"/>
  <c r="D24" i="35"/>
  <c r="G26" i="53"/>
  <c r="H26" i="53"/>
  <c r="P26" i="53"/>
  <c r="N24" i="35"/>
  <c r="I26" i="53"/>
  <c r="G24" i="35"/>
  <c r="J26" i="53"/>
  <c r="I145" i="43"/>
  <c r="I147" i="43" s="1"/>
  <c r="K26" i="53"/>
  <c r="L26" i="53"/>
  <c r="J24" i="35"/>
  <c r="M26" i="53"/>
  <c r="L129" i="43"/>
  <c r="L145" i="43" s="1"/>
  <c r="L147" i="43" s="1"/>
  <c r="N26" i="53"/>
  <c r="L24" i="35"/>
  <c r="O26" i="53"/>
  <c r="M24" i="35"/>
  <c r="C24" i="35"/>
  <c r="C20" i="35"/>
  <c r="C26" i="35"/>
  <c r="H22" i="53"/>
  <c r="G20" i="35"/>
  <c r="I22" i="53"/>
  <c r="J22" i="53"/>
  <c r="K22" i="53"/>
  <c r="J20" i="35"/>
  <c r="L22" i="53"/>
  <c r="M22" i="53"/>
  <c r="L20" i="35"/>
  <c r="N22" i="53"/>
  <c r="M20" i="35"/>
  <c r="O22" i="53"/>
  <c r="N20" i="35"/>
  <c r="P22" i="53"/>
  <c r="D20" i="35"/>
  <c r="F22" i="53"/>
  <c r="G22" i="53"/>
  <c r="C32" i="35"/>
  <c r="E34" i="53"/>
  <c r="M17" i="51"/>
  <c r="M23" i="37"/>
  <c r="I19" i="51"/>
  <c r="I25" i="37"/>
  <c r="E21" i="51"/>
  <c r="E27" i="37"/>
  <c r="M22" i="51"/>
  <c r="M28" i="37"/>
  <c r="I24" i="51"/>
  <c r="I30" i="37"/>
  <c r="K29" i="51"/>
  <c r="N17" i="51"/>
  <c r="N23" i="37"/>
  <c r="J19" i="51"/>
  <c r="J25" i="37"/>
  <c r="F21" i="51"/>
  <c r="F27" i="37"/>
  <c r="N22" i="51"/>
  <c r="N28" i="37"/>
  <c r="J24" i="51"/>
  <c r="J30" i="37"/>
  <c r="L29" i="51"/>
  <c r="C23" i="51"/>
  <c r="C29" i="37"/>
  <c r="D18" i="51"/>
  <c r="D24" i="37"/>
  <c r="L19" i="51"/>
  <c r="L25" i="37"/>
  <c r="H21" i="51"/>
  <c r="D23" i="51"/>
  <c r="D29" i="37"/>
  <c r="L24" i="51"/>
  <c r="L30" i="37"/>
  <c r="N29" i="51"/>
  <c r="K19" i="51"/>
  <c r="G21" i="51"/>
  <c r="G27" i="37"/>
  <c r="K24" i="51"/>
  <c r="M29" i="51"/>
  <c r="E18" i="51"/>
  <c r="E24" i="37"/>
  <c r="M19" i="51"/>
  <c r="M25" i="37"/>
  <c r="I21" i="51"/>
  <c r="I27" i="37"/>
  <c r="E23" i="51"/>
  <c r="E29" i="37"/>
  <c r="M24" i="51"/>
  <c r="M30" i="37"/>
  <c r="C30" i="51"/>
  <c r="C36" i="37"/>
  <c r="F18" i="51"/>
  <c r="F24" i="37"/>
  <c r="N19" i="51"/>
  <c r="N25" i="37"/>
  <c r="J21" i="51"/>
  <c r="J27" i="37"/>
  <c r="F23" i="51"/>
  <c r="F29" i="37"/>
  <c r="N24" i="51"/>
  <c r="N30" i="37"/>
  <c r="D30" i="51"/>
  <c r="G23" i="51"/>
  <c r="G29" i="37"/>
  <c r="H18" i="51"/>
  <c r="D20" i="51"/>
  <c r="D26" i="37"/>
  <c r="L21" i="51"/>
  <c r="L27" i="37"/>
  <c r="H23" i="51"/>
  <c r="F30" i="51"/>
  <c r="C20" i="51"/>
  <c r="C26" i="37"/>
  <c r="E16" i="51"/>
  <c r="E22" i="37"/>
  <c r="I18" i="51"/>
  <c r="I24" i="37"/>
  <c r="E20" i="51"/>
  <c r="E26" i="37"/>
  <c r="M21" i="51"/>
  <c r="M27" i="37"/>
  <c r="I23" i="51"/>
  <c r="I29" i="37"/>
  <c r="G30" i="51"/>
  <c r="E30" i="51"/>
  <c r="J18" i="51"/>
  <c r="J24" i="37"/>
  <c r="F20" i="51"/>
  <c r="F26" i="37"/>
  <c r="N21" i="51"/>
  <c r="N27" i="37"/>
  <c r="J23" i="51"/>
  <c r="J29" i="37"/>
  <c r="H30" i="51"/>
  <c r="K18" i="51"/>
  <c r="G20" i="51"/>
  <c r="G26" i="37"/>
  <c r="C22" i="51"/>
  <c r="C28" i="37"/>
  <c r="K23" i="51"/>
  <c r="I30" i="51"/>
  <c r="L18" i="51"/>
  <c r="L24" i="37"/>
  <c r="H20" i="51"/>
  <c r="D22" i="51"/>
  <c r="D28" i="37"/>
  <c r="L23" i="51"/>
  <c r="L29" i="37"/>
  <c r="J30" i="51"/>
  <c r="M18" i="51"/>
  <c r="M24" i="37"/>
  <c r="I20" i="51"/>
  <c r="I26" i="37"/>
  <c r="E22" i="51"/>
  <c r="E28" i="37"/>
  <c r="M23" i="51"/>
  <c r="M29" i="37"/>
  <c r="C29" i="51"/>
  <c r="C35" i="37"/>
  <c r="K30" i="51"/>
  <c r="N18" i="51"/>
  <c r="N24" i="37"/>
  <c r="J20" i="51"/>
  <c r="J26" i="37"/>
  <c r="F22" i="51"/>
  <c r="F28" i="37"/>
  <c r="N23" i="51"/>
  <c r="N29" i="37"/>
  <c r="D29" i="51"/>
  <c r="L30" i="51"/>
  <c r="C19" i="51"/>
  <c r="C25" i="37"/>
  <c r="K20" i="51"/>
  <c r="G22" i="51"/>
  <c r="G28" i="37"/>
  <c r="C24" i="51"/>
  <c r="C30" i="37"/>
  <c r="E29" i="51"/>
  <c r="M30" i="51"/>
  <c r="D19" i="51"/>
  <c r="D25" i="37"/>
  <c r="L20" i="51"/>
  <c r="L26" i="37"/>
  <c r="H22" i="51"/>
  <c r="D24" i="51"/>
  <c r="D30" i="37"/>
  <c r="F29" i="51"/>
  <c r="N30" i="51"/>
  <c r="M16" i="51"/>
  <c r="M22" i="37"/>
  <c r="E19" i="51"/>
  <c r="E25" i="37"/>
  <c r="M20" i="51"/>
  <c r="M26" i="37"/>
  <c r="I22" i="51"/>
  <c r="I28" i="37"/>
  <c r="E24" i="51"/>
  <c r="E30" i="37"/>
  <c r="G29" i="51"/>
  <c r="E31" i="51"/>
  <c r="G18" i="51"/>
  <c r="G24" i="37"/>
  <c r="F19" i="51"/>
  <c r="F25" i="37"/>
  <c r="N20" i="51"/>
  <c r="N26" i="37"/>
  <c r="J22" i="51"/>
  <c r="J28" i="37"/>
  <c r="F24" i="51"/>
  <c r="F30" i="37"/>
  <c r="H29" i="51"/>
  <c r="J32" i="51"/>
  <c r="K21" i="51"/>
  <c r="G19" i="51"/>
  <c r="G25" i="37"/>
  <c r="C21" i="51"/>
  <c r="C27" i="37"/>
  <c r="K22" i="51"/>
  <c r="G24" i="51"/>
  <c r="G30" i="37"/>
  <c r="I29" i="51"/>
  <c r="K32" i="51"/>
  <c r="H19" i="51"/>
  <c r="D21" i="51"/>
  <c r="D27" i="37"/>
  <c r="L22" i="51"/>
  <c r="L28" i="37"/>
  <c r="H24" i="51"/>
  <c r="J29" i="51"/>
  <c r="F5" i="53"/>
  <c r="G20" i="53"/>
  <c r="E140" i="43"/>
  <c r="E288" i="42"/>
  <c r="E20" i="53"/>
  <c r="J20" i="53"/>
  <c r="K20" i="53"/>
  <c r="M20" i="53"/>
  <c r="O20" i="53"/>
  <c r="L20" i="53"/>
  <c r="N20" i="53"/>
  <c r="P20" i="53"/>
  <c r="I20" i="53"/>
  <c r="G32" i="35"/>
  <c r="I34" i="53"/>
  <c r="J34" i="53"/>
  <c r="J32" i="35"/>
  <c r="L34" i="53"/>
  <c r="M34" i="53"/>
  <c r="M32" i="35"/>
  <c r="O34" i="53"/>
  <c r="N32" i="35"/>
  <c r="P34" i="53"/>
  <c r="L26" i="35"/>
  <c r="N28" i="53"/>
  <c r="G28" i="53"/>
  <c r="J28" i="53"/>
  <c r="K28" i="53"/>
  <c r="J26" i="35"/>
  <c r="L28" i="53"/>
  <c r="M28" i="53"/>
  <c r="M26" i="35"/>
  <c r="O28" i="53"/>
  <c r="N26" i="35"/>
  <c r="P28" i="53"/>
  <c r="H28" i="53"/>
  <c r="G26" i="35"/>
  <c r="I28" i="53"/>
  <c r="D26" i="35"/>
  <c r="F28" i="53"/>
  <c r="G30" i="53"/>
  <c r="K30" i="53"/>
  <c r="J28" i="35"/>
  <c r="L30" i="53"/>
  <c r="L28" i="35"/>
  <c r="N30" i="53"/>
  <c r="M28" i="35"/>
  <c r="O30" i="53"/>
  <c r="N28" i="35"/>
  <c r="P30" i="53"/>
  <c r="AF111" i="43"/>
  <c r="H30" i="53"/>
  <c r="G28" i="35"/>
  <c r="I30" i="53"/>
  <c r="J30" i="53"/>
  <c r="M30" i="53"/>
  <c r="AE111" i="43"/>
  <c r="C28" i="35"/>
  <c r="D39" i="51"/>
  <c r="C16" i="51"/>
  <c r="E39" i="51"/>
  <c r="D16" i="51"/>
  <c r="F39" i="51"/>
  <c r="G39" i="51"/>
  <c r="F16" i="51"/>
  <c r="H39" i="51"/>
  <c r="G16" i="51"/>
  <c r="I39" i="51"/>
  <c r="H16" i="51"/>
  <c r="J39" i="51"/>
  <c r="I16" i="51"/>
  <c r="K39" i="51"/>
  <c r="J16" i="51"/>
  <c r="L39" i="51"/>
  <c r="K16" i="51"/>
  <c r="M39" i="51"/>
  <c r="L16" i="51"/>
  <c r="N39" i="51"/>
  <c r="N16" i="51"/>
  <c r="G46" i="38"/>
  <c r="G93" i="38" s="1"/>
  <c r="G108" i="38" s="1"/>
  <c r="H46" i="38"/>
  <c r="H93" i="38" s="1"/>
  <c r="H108" i="38" s="1"/>
  <c r="I46" i="38"/>
  <c r="I93" i="38" s="1"/>
  <c r="I108" i="38" s="1"/>
  <c r="G57" i="38"/>
  <c r="G94" i="38" s="1"/>
  <c r="G109" i="38" s="1"/>
  <c r="F46" i="38"/>
  <c r="F93" i="38" s="1"/>
  <c r="F108" i="38" s="1"/>
  <c r="L57" i="38"/>
  <c r="L94" i="38" s="1"/>
  <c r="L109" i="38" s="1"/>
  <c r="C57" i="38"/>
  <c r="C94" i="38" s="1"/>
  <c r="C109" i="38" s="1"/>
  <c r="K46" i="38"/>
  <c r="K93" i="38" s="1"/>
  <c r="K108" i="38" s="1"/>
  <c r="J57" i="38"/>
  <c r="J94" i="38" s="1"/>
  <c r="J109" i="38" s="1"/>
  <c r="K57" i="38"/>
  <c r="K94" i="38" s="1"/>
  <c r="K109" i="38" s="1"/>
  <c r="N46" i="38"/>
  <c r="N93" i="38" s="1"/>
  <c r="N108" i="38" s="1"/>
  <c r="E57" i="38"/>
  <c r="E94" i="38" s="1"/>
  <c r="E109" i="38" s="1"/>
  <c r="C46" i="38"/>
  <c r="C93" i="38" s="1"/>
  <c r="C108" i="38" s="1"/>
  <c r="D46" i="38"/>
  <c r="D93" i="38" s="1"/>
  <c r="D108" i="38" s="1"/>
  <c r="E46" i="38"/>
  <c r="E93" i="38" s="1"/>
  <c r="E108" i="38" s="1"/>
  <c r="J46" i="38"/>
  <c r="J93" i="38" s="1"/>
  <c r="J108" i="38" s="1"/>
  <c r="H57" i="38"/>
  <c r="H94" i="38" s="1"/>
  <c r="H109" i="38" s="1"/>
  <c r="L46" i="38"/>
  <c r="L93" i="38" s="1"/>
  <c r="L108" i="38" s="1"/>
  <c r="I57" i="38"/>
  <c r="I94" i="38" s="1"/>
  <c r="I109" i="38" s="1"/>
  <c r="D57" i="38"/>
  <c r="D94" i="38" s="1"/>
  <c r="D109" i="38" s="1"/>
  <c r="I69" i="38"/>
  <c r="I95" i="38" s="1"/>
  <c r="I110" i="38" s="1"/>
  <c r="M57" i="38"/>
  <c r="M94" i="38" s="1"/>
  <c r="M109" i="38" s="1"/>
  <c r="N57" i="38"/>
  <c r="N94" i="38" s="1"/>
  <c r="N109" i="38" s="1"/>
  <c r="M69" i="38"/>
  <c r="M95" i="38" s="1"/>
  <c r="M110" i="38" s="1"/>
  <c r="M46" i="38"/>
  <c r="M93" i="38" s="1"/>
  <c r="J77" i="42"/>
  <c r="J294" i="42" s="1"/>
  <c r="J296" i="42" s="1"/>
  <c r="F57" i="38"/>
  <c r="F94" i="38" s="1"/>
  <c r="F109" i="38" s="1"/>
  <c r="J28" i="38"/>
  <c r="J35" i="38" s="1"/>
  <c r="J90" i="38" s="1"/>
  <c r="J105" i="38" s="1"/>
  <c r="J37" i="52"/>
  <c r="J48" i="52" s="1"/>
  <c r="J158" i="52" s="1"/>
  <c r="C7" i="38"/>
  <c r="C7" i="52"/>
  <c r="K28" i="38"/>
  <c r="K37" i="52"/>
  <c r="K48" i="52" s="1"/>
  <c r="K158" i="52" s="1"/>
  <c r="H7" i="38"/>
  <c r="AD7" i="38" s="1"/>
  <c r="H7" i="52"/>
  <c r="L28" i="38"/>
  <c r="L35" i="38" s="1"/>
  <c r="L90" i="38" s="1"/>
  <c r="L105" i="38" s="1"/>
  <c r="L37" i="52"/>
  <c r="F7" i="38"/>
  <c r="F7" i="52"/>
  <c r="I7" i="38"/>
  <c r="I7" i="52"/>
  <c r="C69" i="38"/>
  <c r="C95" i="38" s="1"/>
  <c r="C110" i="38" s="1"/>
  <c r="D7" i="38"/>
  <c r="D7" i="52"/>
  <c r="E7" i="38"/>
  <c r="AC7" i="38" s="1"/>
  <c r="E7" i="52"/>
  <c r="N28" i="38"/>
  <c r="N37" i="52"/>
  <c r="N48" i="52" s="1"/>
  <c r="N158" i="52" s="1"/>
  <c r="G7" i="38"/>
  <c r="G7" i="52"/>
  <c r="J7" i="38"/>
  <c r="J7" i="52"/>
  <c r="H28" i="38"/>
  <c r="H37" i="52"/>
  <c r="H48" i="52" s="1"/>
  <c r="H158" i="52" s="1"/>
  <c r="D69" i="38"/>
  <c r="D95" i="38" s="1"/>
  <c r="D110" i="38" s="1"/>
  <c r="K7" i="38"/>
  <c r="AE7" i="38" s="1"/>
  <c r="K7" i="52"/>
  <c r="C12" i="38"/>
  <c r="C8" i="52"/>
  <c r="E69" i="38"/>
  <c r="E95" i="38" s="1"/>
  <c r="E110" i="38" s="1"/>
  <c r="N12" i="38"/>
  <c r="N8" i="52"/>
  <c r="I28" i="38"/>
  <c r="I35" i="38" s="1"/>
  <c r="I90" i="38" s="1"/>
  <c r="I105" i="38" s="1"/>
  <c r="I37" i="52"/>
  <c r="M28" i="38"/>
  <c r="M35" i="38" s="1"/>
  <c r="M90" i="38" s="1"/>
  <c r="M105" i="38" s="1"/>
  <c r="M37" i="52"/>
  <c r="M48" i="52" s="1"/>
  <c r="M158" i="52" s="1"/>
  <c r="O27" i="53" s="1"/>
  <c r="L7" i="38"/>
  <c r="L7" i="52"/>
  <c r="D12" i="38"/>
  <c r="D8" i="52"/>
  <c r="M7" i="38"/>
  <c r="M7" i="52"/>
  <c r="E12" i="38"/>
  <c r="AC12" i="38" s="1"/>
  <c r="E8" i="52"/>
  <c r="N7" i="38"/>
  <c r="N7" i="52"/>
  <c r="F12" i="38"/>
  <c r="F8" i="52"/>
  <c r="H69" i="38"/>
  <c r="H95" i="38" s="1"/>
  <c r="H110" i="38" s="1"/>
  <c r="G12" i="38"/>
  <c r="G8" i="52"/>
  <c r="H12" i="38"/>
  <c r="AD12" i="38" s="1"/>
  <c r="H8" i="52"/>
  <c r="K69" i="38"/>
  <c r="K95" i="38" s="1"/>
  <c r="K110" i="38" s="1"/>
  <c r="J69" i="38"/>
  <c r="J95" i="38" s="1"/>
  <c r="J110" i="38" s="1"/>
  <c r="C28" i="38"/>
  <c r="C35" i="38" s="1"/>
  <c r="C90" i="38" s="1"/>
  <c r="C105" i="38" s="1"/>
  <c r="C37" i="52"/>
  <c r="D28" i="38"/>
  <c r="D35" i="38" s="1"/>
  <c r="D90" i="38" s="1"/>
  <c r="D105" i="38" s="1"/>
  <c r="D37" i="52"/>
  <c r="D48" i="52" s="1"/>
  <c r="D158" i="52" s="1"/>
  <c r="L69" i="38"/>
  <c r="L95" i="38" s="1"/>
  <c r="L110" i="38" s="1"/>
  <c r="E28" i="38"/>
  <c r="E37" i="52"/>
  <c r="E48" i="52" s="1"/>
  <c r="E158" i="52" s="1"/>
  <c r="L12" i="38"/>
  <c r="L8" i="52"/>
  <c r="F28" i="38"/>
  <c r="F35" i="38" s="1"/>
  <c r="F90" i="38" s="1"/>
  <c r="F105" i="38" s="1"/>
  <c r="F37" i="52"/>
  <c r="N69" i="38"/>
  <c r="N95" i="38" s="1"/>
  <c r="N110" i="38" s="1"/>
  <c r="M12" i="38"/>
  <c r="M8" i="52"/>
  <c r="G28" i="38"/>
  <c r="G35" i="38" s="1"/>
  <c r="G90" i="38" s="1"/>
  <c r="G105" i="38" s="1"/>
  <c r="G37" i="52"/>
  <c r="G48" i="52" s="1"/>
  <c r="G158" i="52" s="1"/>
  <c r="I17" i="51"/>
  <c r="J17" i="51"/>
  <c r="H17" i="51"/>
  <c r="K17" i="51"/>
  <c r="D17" i="51"/>
  <c r="E17" i="51"/>
  <c r="F17" i="51"/>
  <c r="G17" i="51"/>
  <c r="L17" i="51"/>
  <c r="C17" i="51"/>
  <c r="C18" i="51"/>
  <c r="N13" i="35"/>
  <c r="N6" i="37" s="1"/>
  <c r="H13" i="35"/>
  <c r="H6" i="37" s="1"/>
  <c r="F8" i="35"/>
  <c r="F5" i="37" s="1"/>
  <c r="E8" i="35"/>
  <c r="E5" i="37" s="1"/>
  <c r="C8" i="35"/>
  <c r="C5" i="37" s="1"/>
  <c r="J12" i="38"/>
  <c r="J8" i="52"/>
  <c r="K12" i="38"/>
  <c r="AE12" i="38" s="1"/>
  <c r="K8" i="52"/>
  <c r="I12" i="38"/>
  <c r="I8" i="52"/>
  <c r="G84" i="38"/>
  <c r="G98" i="38" s="1"/>
  <c r="G99" i="38" s="1"/>
  <c r="I84" i="38"/>
  <c r="I98" i="38" s="1"/>
  <c r="I99" i="38" s="1"/>
  <c r="AD111" i="43"/>
  <c r="H84" i="38"/>
  <c r="H98" i="38" s="1"/>
  <c r="H113" i="38" s="1"/>
  <c r="N84" i="38"/>
  <c r="N98" i="38" s="1"/>
  <c r="N99" i="38" s="1"/>
  <c r="J84" i="38"/>
  <c r="J98" i="38" s="1"/>
  <c r="J99" i="38" s="1"/>
  <c r="K84" i="38"/>
  <c r="K98" i="38" s="1"/>
  <c r="K99" i="38" s="1"/>
  <c r="L84" i="38"/>
  <c r="L98" i="38" s="1"/>
  <c r="L99" i="38" s="1"/>
  <c r="M84" i="38"/>
  <c r="M98" i="38" s="1"/>
  <c r="M113" i="38" s="1"/>
  <c r="M114" i="38" s="1"/>
  <c r="C84" i="38"/>
  <c r="C98" i="38" s="1"/>
  <c r="C99" i="38" s="1"/>
  <c r="D280" i="42"/>
  <c r="D281" i="42" s="1"/>
  <c r="D74" i="38"/>
  <c r="D84" i="38" s="1"/>
  <c r="D98" i="38" s="1"/>
  <c r="D99" i="38" s="1"/>
  <c r="E280" i="42"/>
  <c r="E74" i="38"/>
  <c r="F280" i="42"/>
  <c r="F281" i="42" s="1"/>
  <c r="F74" i="38"/>
  <c r="F84" i="38" s="1"/>
  <c r="F98" i="38" s="1"/>
  <c r="F99" i="38" s="1"/>
  <c r="AE21" i="45"/>
  <c r="AD20" i="45"/>
  <c r="AE23" i="45"/>
  <c r="AD21" i="45"/>
  <c r="AC23" i="45"/>
  <c r="AC19" i="45"/>
  <c r="AM21" i="45"/>
  <c r="AC21" i="45"/>
  <c r="AE20" i="45"/>
  <c r="AD19" i="45"/>
  <c r="AE19" i="45"/>
  <c r="AC20" i="45"/>
  <c r="AD23" i="45"/>
  <c r="AM18" i="45"/>
  <c r="AC18" i="45"/>
  <c r="AM19" i="45"/>
  <c r="AC29" i="45"/>
  <c r="AC31" i="45" s="1"/>
  <c r="AF19" i="45"/>
  <c r="AE18" i="45"/>
  <c r="F2" i="35"/>
  <c r="D111" i="43"/>
  <c r="AC111" i="43"/>
  <c r="AM111" i="43"/>
  <c r="AC118" i="43"/>
  <c r="AP118" i="43" s="1"/>
  <c r="D129" i="43"/>
  <c r="E129" i="43"/>
  <c r="E131" i="43" s="1"/>
  <c r="F129" i="43"/>
  <c r="F32" i="35" s="1"/>
  <c r="AD129" i="43"/>
  <c r="AF129" i="43"/>
  <c r="AF68" i="43"/>
  <c r="AF89" i="43" s="1"/>
  <c r="AC63" i="43"/>
  <c r="AD63" i="43"/>
  <c r="AE63" i="43"/>
  <c r="AF63" i="43"/>
  <c r="AM63" i="43"/>
  <c r="AC29" i="43"/>
  <c r="AD29" i="43"/>
  <c r="AD46" i="43"/>
  <c r="F3" i="43"/>
  <c r="AC46" i="43"/>
  <c r="AF46" i="43"/>
  <c r="AE46" i="43"/>
  <c r="I123" i="42"/>
  <c r="AC108" i="42"/>
  <c r="G156" i="42"/>
  <c r="G157" i="42" s="1"/>
  <c r="AC141" i="42"/>
  <c r="L189" i="42"/>
  <c r="AF179" i="42"/>
  <c r="AE202" i="42"/>
  <c r="J227" i="42"/>
  <c r="J228" i="42" s="1"/>
  <c r="AC240" i="42"/>
  <c r="H280" i="42"/>
  <c r="H281" i="42" s="1"/>
  <c r="AD250" i="42"/>
  <c r="G280" i="42"/>
  <c r="G281" i="42" s="1"/>
  <c r="C123" i="42"/>
  <c r="C124" i="42" s="1"/>
  <c r="AD108" i="42"/>
  <c r="AC131" i="42"/>
  <c r="H156" i="42"/>
  <c r="H157" i="42" s="1"/>
  <c r="M189" i="42"/>
  <c r="M190" i="42" s="1"/>
  <c r="K227" i="42"/>
  <c r="K228" i="42" s="1"/>
  <c r="AD240" i="42"/>
  <c r="I280" i="42"/>
  <c r="AC255" i="42"/>
  <c r="AE108" i="42"/>
  <c r="AD131" i="42"/>
  <c r="AE240" i="42"/>
  <c r="J280" i="42"/>
  <c r="J281" i="42" s="1"/>
  <c r="AD255" i="42"/>
  <c r="AC265" i="42"/>
  <c r="AF108" i="42"/>
  <c r="AE131" i="42"/>
  <c r="AD146" i="42"/>
  <c r="AF240" i="42"/>
  <c r="K280" i="42"/>
  <c r="K281" i="42" s="1"/>
  <c r="AE255" i="42"/>
  <c r="AD265" i="42"/>
  <c r="AF131" i="42"/>
  <c r="AE146" i="42"/>
  <c r="L280" i="42"/>
  <c r="L281" i="42" s="1"/>
  <c r="AF255" i="42"/>
  <c r="AE265" i="42"/>
  <c r="AF146" i="42"/>
  <c r="AE169" i="42"/>
  <c r="M280" i="42"/>
  <c r="M281" i="42" s="1"/>
  <c r="AF265" i="42"/>
  <c r="N280" i="42"/>
  <c r="N281" i="42" s="1"/>
  <c r="C280" i="42"/>
  <c r="C281" i="42" s="1"/>
  <c r="G289" i="42"/>
  <c r="H289" i="42"/>
  <c r="AD260" i="42"/>
  <c r="AE260" i="42"/>
  <c r="AE164" i="42"/>
  <c r="J189" i="42"/>
  <c r="AF174" i="42"/>
  <c r="AD179" i="42"/>
  <c r="H227" i="42"/>
  <c r="H228" i="42" s="1"/>
  <c r="AF260" i="42"/>
  <c r="F156" i="42"/>
  <c r="F157" i="42" s="1"/>
  <c r="AF164" i="42"/>
  <c r="AE179" i="42"/>
  <c r="I227" i="42"/>
  <c r="D289" i="42"/>
  <c r="F289" i="42"/>
  <c r="E156" i="42"/>
  <c r="K189" i="42"/>
  <c r="K190" i="42" s="1"/>
  <c r="AD141" i="42"/>
  <c r="AE250" i="42"/>
  <c r="I156" i="42"/>
  <c r="I157" i="42" s="1"/>
  <c r="AE141" i="42"/>
  <c r="L227" i="42"/>
  <c r="L228" i="42" s="1"/>
  <c r="AF250" i="42"/>
  <c r="E123" i="42"/>
  <c r="J156" i="42"/>
  <c r="J157" i="42" s="1"/>
  <c r="C156" i="42"/>
  <c r="C157" i="42" s="1"/>
  <c r="AF141" i="42"/>
  <c r="M227" i="42"/>
  <c r="M228" i="42" s="1"/>
  <c r="F123" i="42"/>
  <c r="F124" i="42" s="1"/>
  <c r="K156" i="42"/>
  <c r="K157" i="42" s="1"/>
  <c r="N227" i="42"/>
  <c r="N228" i="42" s="1"/>
  <c r="C227" i="42"/>
  <c r="C228" i="42" s="1"/>
  <c r="AC217" i="42"/>
  <c r="D227" i="42"/>
  <c r="D228" i="42" s="1"/>
  <c r="AD217" i="42"/>
  <c r="E227" i="42"/>
  <c r="AE245" i="42"/>
  <c r="AC270" i="42"/>
  <c r="AD270" i="42"/>
  <c r="AE270" i="42"/>
  <c r="AF270" i="42"/>
  <c r="AC260" i="42"/>
  <c r="L156" i="42"/>
  <c r="L157" i="42" s="1"/>
  <c r="M156" i="42"/>
  <c r="M157" i="42" s="1"/>
  <c r="D123" i="42"/>
  <c r="D124" i="42" s="1"/>
  <c r="N156" i="42"/>
  <c r="N157" i="42" s="1"/>
  <c r="AE217" i="42"/>
  <c r="AF245" i="42"/>
  <c r="AF217" i="42"/>
  <c r="AC245" i="42"/>
  <c r="AC275" i="42"/>
  <c r="AC197" i="42"/>
  <c r="AD207" i="42"/>
  <c r="AD245" i="42"/>
  <c r="AD275" i="42"/>
  <c r="J123" i="42"/>
  <c r="J124" i="42" s="1"/>
  <c r="AD197" i="42"/>
  <c r="AE207" i="42"/>
  <c r="AC212" i="42"/>
  <c r="AE275" i="42"/>
  <c r="K123" i="42"/>
  <c r="K124" i="42" s="1"/>
  <c r="AE197" i="42"/>
  <c r="AF207" i="42"/>
  <c r="AD212" i="42"/>
  <c r="AF275" i="42"/>
  <c r="L123" i="42"/>
  <c r="L124" i="42" s="1"/>
  <c r="AF197" i="42"/>
  <c r="AE212" i="42"/>
  <c r="M123" i="42"/>
  <c r="M124" i="42" s="1"/>
  <c r="AF212" i="42"/>
  <c r="AD55" i="42"/>
  <c r="AC70" i="42"/>
  <c r="N123" i="42"/>
  <c r="N124" i="42" s="1"/>
  <c r="G123" i="42"/>
  <c r="G124" i="42" s="1"/>
  <c r="AF118" i="42"/>
  <c r="AC164" i="42"/>
  <c r="H189" i="42"/>
  <c r="H190" i="42" s="1"/>
  <c r="AD174" i="42"/>
  <c r="H123" i="42"/>
  <c r="H124" i="42" s="1"/>
  <c r="D156" i="42"/>
  <c r="AD164" i="42"/>
  <c r="I189" i="42"/>
  <c r="AE174" i="42"/>
  <c r="AC179" i="42"/>
  <c r="AC250" i="42"/>
  <c r="N189" i="42"/>
  <c r="AC113" i="42"/>
  <c r="AD113" i="42"/>
  <c r="AF169" i="42"/>
  <c r="AF202" i="42"/>
  <c r="AE113" i="42"/>
  <c r="AE136" i="42"/>
  <c r="AC146" i="42"/>
  <c r="AF113" i="42"/>
  <c r="AF136" i="42"/>
  <c r="AC169" i="42"/>
  <c r="AC184" i="42"/>
  <c r="AC202" i="42"/>
  <c r="AC222" i="42"/>
  <c r="AD169" i="42"/>
  <c r="AD184" i="42"/>
  <c r="AD202" i="42"/>
  <c r="AD222" i="42"/>
  <c r="AC136" i="42"/>
  <c r="AE184" i="42"/>
  <c r="AE222" i="42"/>
  <c r="AE65" i="42"/>
  <c r="AD136" i="42"/>
  <c r="AC151" i="42"/>
  <c r="C189" i="42"/>
  <c r="C190" i="42" s="1"/>
  <c r="AF184" i="42"/>
  <c r="AF222" i="42"/>
  <c r="AF65" i="42"/>
  <c r="AD151" i="42"/>
  <c r="D189" i="42"/>
  <c r="D190" i="42" s="1"/>
  <c r="AM65" i="42"/>
  <c r="AC118" i="42"/>
  <c r="AE151" i="42"/>
  <c r="E189" i="42"/>
  <c r="AD118" i="42"/>
  <c r="AF151" i="42"/>
  <c r="F189" i="42"/>
  <c r="F190" i="42" s="1"/>
  <c r="AC55" i="42"/>
  <c r="AE118" i="42"/>
  <c r="G189" i="42"/>
  <c r="G190" i="42" s="1"/>
  <c r="AC174" i="42"/>
  <c r="AC207" i="42"/>
  <c r="E80" i="42"/>
  <c r="E81" i="42" s="1"/>
  <c r="AD65" i="42"/>
  <c r="AC88" i="42"/>
  <c r="AD88" i="42"/>
  <c r="AE88" i="42"/>
  <c r="G80" i="42"/>
  <c r="G81" i="42" s="1"/>
  <c r="F80" i="42"/>
  <c r="F81" i="42" s="1"/>
  <c r="H80" i="42"/>
  <c r="H81" i="42" s="1"/>
  <c r="AM75" i="42"/>
  <c r="I80" i="42"/>
  <c r="C80" i="42"/>
  <c r="C81" i="42" s="1"/>
  <c r="J80" i="42"/>
  <c r="D80" i="42"/>
  <c r="D81" i="42" s="1"/>
  <c r="AC65" i="42"/>
  <c r="AP73" i="42"/>
  <c r="AP74" i="42"/>
  <c r="AC75" i="42"/>
  <c r="AD75" i="42"/>
  <c r="AE75" i="42"/>
  <c r="AF75" i="42"/>
  <c r="AD70" i="42"/>
  <c r="AE70" i="42"/>
  <c r="AF70" i="42"/>
  <c r="AM70" i="42"/>
  <c r="AP69" i="42"/>
  <c r="AP68" i="42"/>
  <c r="AP63" i="42"/>
  <c r="AP64" i="42"/>
  <c r="AP58" i="42"/>
  <c r="AP59" i="42"/>
  <c r="AC60" i="42"/>
  <c r="AD60" i="42"/>
  <c r="AE60" i="42"/>
  <c r="AF60" i="42"/>
  <c r="AM60" i="42"/>
  <c r="AP54" i="42"/>
  <c r="AP53" i="42"/>
  <c r="AP72" i="42"/>
  <c r="AP67" i="42"/>
  <c r="AP62" i="42"/>
  <c r="AP57" i="42"/>
  <c r="AP49" i="42"/>
  <c r="AC50" i="42"/>
  <c r="AD50" i="42"/>
  <c r="AP48" i="42"/>
  <c r="AE50" i="42"/>
  <c r="AF50" i="42"/>
  <c r="AM50" i="42"/>
  <c r="AP47" i="42"/>
  <c r="AD10" i="42"/>
  <c r="AP44" i="42"/>
  <c r="AC45" i="42"/>
  <c r="AD45" i="42"/>
  <c r="AP43" i="42"/>
  <c r="AE45" i="42"/>
  <c r="AF45" i="42"/>
  <c r="AM45" i="42"/>
  <c r="AP42" i="42"/>
  <c r="AP38" i="42"/>
  <c r="AP39" i="42"/>
  <c r="AC40" i="42"/>
  <c r="AD40" i="42"/>
  <c r="AE40" i="42"/>
  <c r="AF40" i="42"/>
  <c r="AM40" i="42"/>
  <c r="AP37" i="42"/>
  <c r="AP34" i="42"/>
  <c r="AC35" i="42"/>
  <c r="AD35" i="42"/>
  <c r="AP33" i="42"/>
  <c r="AE35" i="42"/>
  <c r="AF35" i="42"/>
  <c r="AM35" i="42"/>
  <c r="AP32" i="42"/>
  <c r="AP29" i="42"/>
  <c r="AC30" i="42"/>
  <c r="AD30" i="42"/>
  <c r="AP28" i="42"/>
  <c r="AE30" i="42"/>
  <c r="AF30" i="42"/>
  <c r="AM30" i="42"/>
  <c r="AP27" i="42"/>
  <c r="AP24" i="42"/>
  <c r="AC25" i="42"/>
  <c r="AD25" i="42"/>
  <c r="AP23" i="42"/>
  <c r="AE25" i="42"/>
  <c r="AF25" i="42"/>
  <c r="AM25" i="42"/>
  <c r="AP22" i="42"/>
  <c r="AP18" i="42"/>
  <c r="AP19" i="42"/>
  <c r="AC20" i="42"/>
  <c r="AD20" i="42"/>
  <c r="AE20" i="42"/>
  <c r="AF20" i="42"/>
  <c r="AM20" i="42"/>
  <c r="AP17" i="42"/>
  <c r="AP14" i="42"/>
  <c r="AC15" i="42"/>
  <c r="AD15" i="42"/>
  <c r="AP13" i="42"/>
  <c r="AE15" i="42"/>
  <c r="AF15" i="42"/>
  <c r="AM15" i="42"/>
  <c r="AP12" i="42"/>
  <c r="AC10" i="42"/>
  <c r="AP7" i="42"/>
  <c r="AE10" i="42"/>
  <c r="AF10" i="42"/>
  <c r="AP8" i="42"/>
  <c r="AM10" i="42"/>
  <c r="AP9" i="42"/>
  <c r="AC10" i="45"/>
  <c r="AM8" i="45"/>
  <c r="AM12" i="45"/>
  <c r="AP9" i="45"/>
  <c r="AF12" i="45"/>
  <c r="AE11" i="45"/>
  <c r="AP11" i="45" s="1"/>
  <c r="AD10" i="45"/>
  <c r="AD15" i="45" s="1"/>
  <c r="AC7" i="45"/>
  <c r="AP7" i="45" s="1"/>
  <c r="AC6" i="45"/>
  <c r="AM8" i="43"/>
  <c r="AP8" i="43" s="1"/>
  <c r="AE16" i="43"/>
  <c r="AE29" i="43" s="1"/>
  <c r="AP122" i="42" l="1"/>
  <c r="AP68" i="43"/>
  <c r="E23" i="35"/>
  <c r="AQ70" i="42"/>
  <c r="AD22" i="38"/>
  <c r="AD89" i="38" s="1"/>
  <c r="AC96" i="38"/>
  <c r="AQ75" i="42"/>
  <c r="AM84" i="38"/>
  <c r="AM98" i="38" s="1"/>
  <c r="AM99" i="38" s="1"/>
  <c r="AF46" i="38"/>
  <c r="AF93" i="38" s="1"/>
  <c r="AD123" i="42"/>
  <c r="AP120" i="42"/>
  <c r="AD96" i="38"/>
  <c r="AC110" i="38"/>
  <c r="AP154" i="42"/>
  <c r="AP118" i="42"/>
  <c r="AP188" i="42"/>
  <c r="AP278" i="42"/>
  <c r="AD287" i="42"/>
  <c r="AF287" i="42"/>
  <c r="AP108" i="42"/>
  <c r="AC108" i="38"/>
  <c r="AD288" i="42"/>
  <c r="AP265" i="42"/>
  <c r="AP136" i="42"/>
  <c r="AC227" i="42"/>
  <c r="AP179" i="42"/>
  <c r="AP121" i="42"/>
  <c r="AC287" i="42"/>
  <c r="AP224" i="42"/>
  <c r="AD109" i="38"/>
  <c r="AP225" i="42"/>
  <c r="AC22" i="38"/>
  <c r="AC89" i="38" s="1"/>
  <c r="AP155" i="42"/>
  <c r="AD280" i="42"/>
  <c r="AF84" i="38"/>
  <c r="AF98" i="38" s="1"/>
  <c r="AF99" i="38" s="1"/>
  <c r="AM46" i="38"/>
  <c r="AM93" i="38" s="1"/>
  <c r="AP187" i="42"/>
  <c r="AD80" i="42"/>
  <c r="AF189" i="42"/>
  <c r="AC123" i="42"/>
  <c r="AP146" i="42"/>
  <c r="N35" i="38"/>
  <c r="N90" i="38" s="1"/>
  <c r="N105" i="38" s="1"/>
  <c r="P21" i="53" s="1"/>
  <c r="AF28" i="38"/>
  <c r="AF35" i="38" s="1"/>
  <c r="AF90" i="38" s="1"/>
  <c r="AM28" i="38"/>
  <c r="AM35" i="38" s="1"/>
  <c r="AM90" i="38" s="1"/>
  <c r="AC109" i="38"/>
  <c r="AP186" i="42"/>
  <c r="AP113" i="42"/>
  <c r="AF227" i="42"/>
  <c r="AF109" i="38"/>
  <c r="AP212" i="42"/>
  <c r="AF280" i="42"/>
  <c r="AD108" i="38"/>
  <c r="AF156" i="42"/>
  <c r="AC156" i="42"/>
  <c r="AQ65" i="42"/>
  <c r="AP255" i="42"/>
  <c r="AP226" i="42"/>
  <c r="AC288" i="42"/>
  <c r="AC280" i="42"/>
  <c r="AP78" i="42"/>
  <c r="AF69" i="38"/>
  <c r="AF95" i="38" s="1"/>
  <c r="AP184" i="42"/>
  <c r="E84" i="38"/>
  <c r="E98" i="38" s="1"/>
  <c r="E99" i="38" s="1"/>
  <c r="AC74" i="38"/>
  <c r="AC84" i="38" s="1"/>
  <c r="AC98" i="38" s="1"/>
  <c r="AC99" i="38" s="1"/>
  <c r="AM12" i="38"/>
  <c r="AF12" i="38"/>
  <c r="AC80" i="42"/>
  <c r="AD189" i="42"/>
  <c r="AP141" i="42"/>
  <c r="AP202" i="42"/>
  <c r="AT78" i="42"/>
  <c r="AM69" i="38"/>
  <c r="AM95" i="38" s="1"/>
  <c r="AF123" i="42"/>
  <c r="AD286" i="42"/>
  <c r="AP174" i="42"/>
  <c r="AP260" i="42"/>
  <c r="AQ60" i="42"/>
  <c r="AP275" i="42"/>
  <c r="AP270" i="42"/>
  <c r="AF288" i="42"/>
  <c r="AP250" i="42"/>
  <c r="AM7" i="38"/>
  <c r="AF7" i="38"/>
  <c r="AC286" i="42"/>
  <c r="AP151" i="42"/>
  <c r="AP207" i="42"/>
  <c r="AP277" i="42"/>
  <c r="AD227" i="42"/>
  <c r="AD156" i="42"/>
  <c r="AT79" i="42"/>
  <c r="AP153" i="42"/>
  <c r="AE96" i="38"/>
  <c r="AM57" i="38"/>
  <c r="AM94" i="38" s="1"/>
  <c r="F27" i="35"/>
  <c r="AD110" i="38"/>
  <c r="AP222" i="42"/>
  <c r="AC189" i="42"/>
  <c r="H35" i="38"/>
  <c r="H90" i="38" s="1"/>
  <c r="H105" i="38" s="1"/>
  <c r="H19" i="35" s="1"/>
  <c r="H11" i="37" s="1"/>
  <c r="AD28" i="38"/>
  <c r="AD35" i="38" s="1"/>
  <c r="AD90" i="38" s="1"/>
  <c r="AD91" i="38" s="1"/>
  <c r="AP169" i="42"/>
  <c r="E35" i="38"/>
  <c r="E90" i="38" s="1"/>
  <c r="E105" i="38" s="1"/>
  <c r="AC105" i="38" s="1"/>
  <c r="AC28" i="38"/>
  <c r="AC35" i="38" s="1"/>
  <c r="AC90" i="38" s="1"/>
  <c r="AP279" i="42"/>
  <c r="AF57" i="38"/>
  <c r="AF94" i="38" s="1"/>
  <c r="AP240" i="42"/>
  <c r="AE280" i="42"/>
  <c r="AP245" i="42"/>
  <c r="AP217" i="42"/>
  <c r="AE227" i="42"/>
  <c r="AP197" i="42"/>
  <c r="AE288" i="42"/>
  <c r="AE189" i="42"/>
  <c r="AP164" i="42"/>
  <c r="AE287" i="42"/>
  <c r="AE156" i="42"/>
  <c r="AP131" i="42"/>
  <c r="K35" i="38"/>
  <c r="K90" i="38" s="1"/>
  <c r="K105" i="38" s="1"/>
  <c r="K19" i="35" s="1"/>
  <c r="K11" i="37" s="1"/>
  <c r="AE28" i="38"/>
  <c r="AE35" i="38" s="1"/>
  <c r="AE90" i="38" s="1"/>
  <c r="AE123" i="42"/>
  <c r="AP88" i="42"/>
  <c r="AF110" i="38"/>
  <c r="U18" i="61"/>
  <c r="K25" i="35"/>
  <c r="K15" i="37" s="1"/>
  <c r="AM109" i="38"/>
  <c r="AE109" i="38"/>
  <c r="K23" i="35"/>
  <c r="K14" i="37" s="1"/>
  <c r="AE108" i="38"/>
  <c r="K27" i="35"/>
  <c r="K16" i="37" s="1"/>
  <c r="AM110" i="38"/>
  <c r="AE110" i="38"/>
  <c r="AD131" i="43"/>
  <c r="AP63" i="43"/>
  <c r="AP46" i="43"/>
  <c r="AP111" i="43"/>
  <c r="AE131" i="43"/>
  <c r="AP16" i="43"/>
  <c r="H27" i="35"/>
  <c r="H16" i="37" s="1"/>
  <c r="H23" i="35"/>
  <c r="H14" i="37" s="1"/>
  <c r="AT45" i="42"/>
  <c r="H25" i="35"/>
  <c r="H15" i="37" s="1"/>
  <c r="AT30" i="42"/>
  <c r="AT20" i="42"/>
  <c r="AT35" i="42"/>
  <c r="AT10" i="42"/>
  <c r="AT50" i="42"/>
  <c r="AT25" i="42"/>
  <c r="AT40" i="42"/>
  <c r="AT15" i="42"/>
  <c r="F23" i="35"/>
  <c r="F14" i="37" s="1"/>
  <c r="I23" i="35"/>
  <c r="I14" i="37" s="1"/>
  <c r="D131" i="43"/>
  <c r="D152" i="43" s="1"/>
  <c r="F131" i="43"/>
  <c r="E281" i="42"/>
  <c r="E289" i="42"/>
  <c r="E291" i="42" s="1"/>
  <c r="E124" i="42"/>
  <c r="I281" i="42"/>
  <c r="I228" i="42"/>
  <c r="I27" i="35"/>
  <c r="I190" i="42"/>
  <c r="I25" i="35"/>
  <c r="I15" i="37" s="1"/>
  <c r="I19" i="35"/>
  <c r="I11" i="37" s="1"/>
  <c r="I124" i="42"/>
  <c r="I81" i="42"/>
  <c r="AM89" i="43"/>
  <c r="AP89" i="43" s="1"/>
  <c r="H152" i="43"/>
  <c r="L131" i="43"/>
  <c r="C10" i="66" s="1"/>
  <c r="H114" i="38"/>
  <c r="H31" i="35"/>
  <c r="H13" i="51" s="1"/>
  <c r="F25" i="35"/>
  <c r="F15" i="37" s="1"/>
  <c r="E190" i="42"/>
  <c r="E25" i="35"/>
  <c r="E15" i="37" s="1"/>
  <c r="E228" i="42"/>
  <c r="E27" i="35"/>
  <c r="G22" i="38"/>
  <c r="G89" i="38" s="1"/>
  <c r="G104" i="38" s="1"/>
  <c r="G17" i="35" s="1"/>
  <c r="S25" i="61"/>
  <c r="S18" i="61"/>
  <c r="F19" i="35"/>
  <c r="F11" i="37" s="1"/>
  <c r="F22" i="38"/>
  <c r="F89" i="38" s="1"/>
  <c r="F104" i="38" s="1"/>
  <c r="J286" i="42"/>
  <c r="J81" i="42"/>
  <c r="E145" i="43"/>
  <c r="E147" i="43" s="1"/>
  <c r="E32" i="35"/>
  <c r="T24" i="61"/>
  <c r="W24" i="61"/>
  <c r="I26" i="61"/>
  <c r="F145" i="43"/>
  <c r="F147" i="43" s="1"/>
  <c r="U24" i="61"/>
  <c r="G26" i="61"/>
  <c r="E150" i="43" s="1"/>
  <c r="H26" i="61"/>
  <c r="R25" i="61"/>
  <c r="R23" i="61"/>
  <c r="T25" i="61"/>
  <c r="S24" i="61"/>
  <c r="L32" i="35"/>
  <c r="U25" i="61"/>
  <c r="S23" i="61"/>
  <c r="T18" i="61"/>
  <c r="R18" i="61"/>
  <c r="W18" i="61"/>
  <c r="D145" i="43"/>
  <c r="D147" i="43" s="1"/>
  <c r="P30" i="51"/>
  <c r="R24" i="51"/>
  <c r="N34" i="53"/>
  <c r="U34" i="53" s="1"/>
  <c r="K34" i="53"/>
  <c r="T34" i="53" s="1"/>
  <c r="W26" i="53"/>
  <c r="S26" i="53"/>
  <c r="U26" i="53"/>
  <c r="R26" i="53"/>
  <c r="T26" i="53"/>
  <c r="Q24" i="51"/>
  <c r="P19" i="51"/>
  <c r="Q23" i="51"/>
  <c r="U29" i="51"/>
  <c r="AP8" i="45"/>
  <c r="R22" i="51"/>
  <c r="Q18" i="51"/>
  <c r="P24" i="51"/>
  <c r="Q30" i="51"/>
  <c r="S21" i="51"/>
  <c r="R19" i="51"/>
  <c r="S22" i="51"/>
  <c r="Q22" i="51"/>
  <c r="S30" i="51"/>
  <c r="R20" i="51"/>
  <c r="R23" i="51"/>
  <c r="U20" i="51"/>
  <c r="Q21" i="51"/>
  <c r="R29" i="51"/>
  <c r="Q19" i="51"/>
  <c r="Q29" i="51"/>
  <c r="S20" i="51"/>
  <c r="P29" i="51"/>
  <c r="S18" i="51"/>
  <c r="S24" i="51"/>
  <c r="U22" i="53"/>
  <c r="T22" i="53"/>
  <c r="S22" i="53"/>
  <c r="R22" i="53"/>
  <c r="W22" i="53"/>
  <c r="D32" i="35"/>
  <c r="F34" i="53"/>
  <c r="P22" i="51"/>
  <c r="U21" i="51"/>
  <c r="P21" i="51"/>
  <c r="U22" i="51"/>
  <c r="F13" i="35"/>
  <c r="F6" i="37" s="1"/>
  <c r="P23" i="51"/>
  <c r="N25" i="51"/>
  <c r="S23" i="51"/>
  <c r="R21" i="51"/>
  <c r="U24" i="51"/>
  <c r="S19" i="51"/>
  <c r="M25" i="51"/>
  <c r="Q20" i="51"/>
  <c r="H8" i="35"/>
  <c r="H5" i="37" s="1"/>
  <c r="G8" i="35"/>
  <c r="G5" i="37" s="1"/>
  <c r="U23" i="51"/>
  <c r="P20" i="51"/>
  <c r="I13" i="35"/>
  <c r="I6" i="37" s="1"/>
  <c r="C32" i="51"/>
  <c r="C38" i="37"/>
  <c r="D8" i="35"/>
  <c r="D5" i="37" s="1"/>
  <c r="F33" i="51"/>
  <c r="K8" i="35"/>
  <c r="K5" i="37" s="1"/>
  <c r="J31" i="51"/>
  <c r="D31" i="51"/>
  <c r="E33" i="51"/>
  <c r="H32" i="51"/>
  <c r="I8" i="35"/>
  <c r="I5" i="37" s="1"/>
  <c r="L8" i="35"/>
  <c r="L5" i="37" s="1"/>
  <c r="U30" i="51"/>
  <c r="N32" i="51"/>
  <c r="D33" i="51"/>
  <c r="C31" i="51"/>
  <c r="C37" i="37"/>
  <c r="M32" i="51"/>
  <c r="J8" i="35"/>
  <c r="J5" i="37" s="1"/>
  <c r="N33" i="51"/>
  <c r="U19" i="51"/>
  <c r="N31" i="51"/>
  <c r="L32" i="51"/>
  <c r="R18" i="51"/>
  <c r="M13" i="35"/>
  <c r="M6" i="37" s="1"/>
  <c r="H33" i="51"/>
  <c r="I31" i="51"/>
  <c r="K33" i="51"/>
  <c r="L13" i="35"/>
  <c r="L6" i="37" s="1"/>
  <c r="J25" i="51"/>
  <c r="G32" i="51"/>
  <c r="J33" i="51"/>
  <c r="E32" i="51"/>
  <c r="K13" i="35"/>
  <c r="K6" i="37" s="1"/>
  <c r="J13" i="35"/>
  <c r="J6" i="37" s="1"/>
  <c r="H31" i="51"/>
  <c r="F32" i="51"/>
  <c r="L31" i="51"/>
  <c r="C34" i="51"/>
  <c r="C41" i="37"/>
  <c r="I32" i="51"/>
  <c r="R32" i="51" s="1"/>
  <c r="G31" i="51"/>
  <c r="G13" i="35"/>
  <c r="G6" i="37" s="1"/>
  <c r="C33" i="51"/>
  <c r="C40" i="37"/>
  <c r="E13" i="35"/>
  <c r="E6" i="37" s="1"/>
  <c r="S17" i="51"/>
  <c r="R30" i="51"/>
  <c r="L33" i="51"/>
  <c r="D32" i="51"/>
  <c r="S29" i="51"/>
  <c r="I33" i="51"/>
  <c r="D13" i="35"/>
  <c r="D6" i="37" s="1"/>
  <c r="C13" i="35"/>
  <c r="C6" i="37" s="1"/>
  <c r="K31" i="51"/>
  <c r="F31" i="51"/>
  <c r="G33" i="51"/>
  <c r="R5" i="53"/>
  <c r="R9" i="53" s="1"/>
  <c r="F9" i="53"/>
  <c r="W5" i="53"/>
  <c r="H25" i="51"/>
  <c r="AP79" i="42"/>
  <c r="N96" i="38"/>
  <c r="W20" i="53"/>
  <c r="R20" i="53"/>
  <c r="S20" i="53"/>
  <c r="U20" i="53"/>
  <c r="T20" i="53"/>
  <c r="H34" i="53"/>
  <c r="S34" i="53" s="1"/>
  <c r="G34" i="53"/>
  <c r="S28" i="53"/>
  <c r="T28" i="53"/>
  <c r="U28" i="53"/>
  <c r="W28" i="53"/>
  <c r="R28" i="53"/>
  <c r="S30" i="53"/>
  <c r="U30" i="53"/>
  <c r="T30" i="53"/>
  <c r="D28" i="35"/>
  <c r="F30" i="53"/>
  <c r="E25" i="51"/>
  <c r="I25" i="51"/>
  <c r="K25" i="51"/>
  <c r="R39" i="51"/>
  <c r="R16" i="51"/>
  <c r="U16" i="51"/>
  <c r="P16" i="51"/>
  <c r="Q16" i="51"/>
  <c r="Q39" i="51"/>
  <c r="F25" i="51"/>
  <c r="P39" i="51"/>
  <c r="U39" i="51"/>
  <c r="S39" i="51"/>
  <c r="C25" i="51"/>
  <c r="G25" i="51"/>
  <c r="D25" i="51"/>
  <c r="S16" i="51"/>
  <c r="F291" i="42"/>
  <c r="F292" i="42"/>
  <c r="G291" i="42"/>
  <c r="G292" i="42"/>
  <c r="H291" i="42"/>
  <c r="H292" i="42"/>
  <c r="I291" i="42"/>
  <c r="I292" i="42"/>
  <c r="D291" i="42"/>
  <c r="D292" i="42"/>
  <c r="L25" i="35"/>
  <c r="L15" i="37" s="1"/>
  <c r="L190" i="42"/>
  <c r="J25" i="35"/>
  <c r="J15" i="37" s="1"/>
  <c r="J190" i="42"/>
  <c r="N25" i="35"/>
  <c r="N15" i="37" s="1"/>
  <c r="N190" i="42"/>
  <c r="J33" i="53"/>
  <c r="J35" i="53" s="1"/>
  <c r="G113" i="38"/>
  <c r="G114" i="38" s="1"/>
  <c r="H99" i="38"/>
  <c r="E14" i="37"/>
  <c r="E157" i="42"/>
  <c r="D23" i="35"/>
  <c r="D14" i="37" s="1"/>
  <c r="D157" i="42"/>
  <c r="I113" i="38"/>
  <c r="I114" i="38" s="1"/>
  <c r="I22" i="38"/>
  <c r="I89" i="38" s="1"/>
  <c r="I91" i="38" s="1"/>
  <c r="H96" i="38"/>
  <c r="J22" i="38"/>
  <c r="J89" i="38" s="1"/>
  <c r="J91" i="38" s="1"/>
  <c r="O33" i="53"/>
  <c r="O35" i="53" s="1"/>
  <c r="M96" i="38"/>
  <c r="M25" i="35"/>
  <c r="M15" i="37" s="1"/>
  <c r="C25" i="35"/>
  <c r="C15" i="37" s="1"/>
  <c r="K96" i="38"/>
  <c r="E96" i="38"/>
  <c r="D22" i="38"/>
  <c r="D89" i="38" s="1"/>
  <c r="D104" i="38" s="1"/>
  <c r="D106" i="38" s="1"/>
  <c r="I96" i="38"/>
  <c r="K77" i="42"/>
  <c r="K294" i="42" s="1"/>
  <c r="K296" i="42" s="1"/>
  <c r="AE52" i="42"/>
  <c r="AE77" i="42" s="1"/>
  <c r="AE286" i="42" s="1"/>
  <c r="AE289" i="42" s="1"/>
  <c r="C22" i="38"/>
  <c r="C89" i="38" s="1"/>
  <c r="C104" i="38" s="1"/>
  <c r="H18" i="52"/>
  <c r="H156" i="52" s="1"/>
  <c r="J25" i="53" s="1"/>
  <c r="D113" i="38"/>
  <c r="D114" i="38" s="1"/>
  <c r="N18" i="52"/>
  <c r="N156" i="52" s="1"/>
  <c r="P25" i="53" s="1"/>
  <c r="H22" i="38"/>
  <c r="H89" i="38" s="1"/>
  <c r="H104" i="38" s="1"/>
  <c r="H17" i="35" s="1"/>
  <c r="H10" i="37" s="1"/>
  <c r="L23" i="35"/>
  <c r="L14" i="37" s="1"/>
  <c r="E22" i="38"/>
  <c r="E89" i="38" s="1"/>
  <c r="E104" i="38" s="1"/>
  <c r="E17" i="35" s="1"/>
  <c r="M108" i="38"/>
  <c r="AF108" i="38" s="1"/>
  <c r="M18" i="52"/>
  <c r="M156" i="52" s="1"/>
  <c r="G19" i="35"/>
  <c r="G11" i="37" s="1"/>
  <c r="C96" i="38"/>
  <c r="G18" i="52"/>
  <c r="G156" i="52" s="1"/>
  <c r="M27" i="35"/>
  <c r="O29" i="53"/>
  <c r="K29" i="53"/>
  <c r="G27" i="53"/>
  <c r="J27" i="35"/>
  <c r="L29" i="53"/>
  <c r="J21" i="53"/>
  <c r="J27" i="53"/>
  <c r="G27" i="35"/>
  <c r="I29" i="53"/>
  <c r="C18" i="52"/>
  <c r="C156" i="52" s="1"/>
  <c r="E25" i="53" s="1"/>
  <c r="U7" i="52"/>
  <c r="P7" i="52"/>
  <c r="C23" i="35"/>
  <c r="C14" i="37" s="1"/>
  <c r="F96" i="38"/>
  <c r="L21" i="53"/>
  <c r="L27" i="53"/>
  <c r="K18" i="52"/>
  <c r="K156" i="52" s="1"/>
  <c r="P27" i="53"/>
  <c r="G25" i="35"/>
  <c r="G15" i="37" s="1"/>
  <c r="J19" i="35"/>
  <c r="G96" i="38"/>
  <c r="J18" i="52"/>
  <c r="J156" i="52" s="1"/>
  <c r="L25" i="53" s="1"/>
  <c r="N23" i="35"/>
  <c r="N14" i="37" s="1"/>
  <c r="C27" i="35"/>
  <c r="E29" i="53"/>
  <c r="I48" i="52"/>
  <c r="I158" i="52" s="1"/>
  <c r="K21" i="53" s="1"/>
  <c r="R37" i="52"/>
  <c r="R48" i="52" s="1"/>
  <c r="J29" i="53"/>
  <c r="R7" i="52"/>
  <c r="L96" i="38"/>
  <c r="G29" i="53"/>
  <c r="I21" i="53"/>
  <c r="I27" i="53"/>
  <c r="E18" i="52"/>
  <c r="E156" i="52" s="1"/>
  <c r="D27" i="35"/>
  <c r="F29" i="53"/>
  <c r="M29" i="53"/>
  <c r="J23" i="35"/>
  <c r="J14" i="37" s="1"/>
  <c r="N27" i="35"/>
  <c r="P29" i="53"/>
  <c r="J96" i="38"/>
  <c r="F48" i="52"/>
  <c r="F158" i="52" s="1"/>
  <c r="Q37" i="52"/>
  <c r="Q48" i="52" s="1"/>
  <c r="F21" i="53"/>
  <c r="F27" i="53"/>
  <c r="L27" i="35"/>
  <c r="N29" i="53"/>
  <c r="D19" i="35"/>
  <c r="D11" i="37" s="1"/>
  <c r="H29" i="53"/>
  <c r="F18" i="52"/>
  <c r="F156" i="52" s="1"/>
  <c r="Q7" i="52"/>
  <c r="L19" i="35"/>
  <c r="L11" i="37" s="1"/>
  <c r="D96" i="38"/>
  <c r="Q8" i="52"/>
  <c r="M27" i="53"/>
  <c r="C48" i="52"/>
  <c r="C158" i="52" s="1"/>
  <c r="U37" i="52"/>
  <c r="P37" i="52"/>
  <c r="P48" i="52" s="1"/>
  <c r="G111" i="38"/>
  <c r="L18" i="52"/>
  <c r="L156" i="52" s="1"/>
  <c r="S7" i="52"/>
  <c r="M19" i="35"/>
  <c r="M11" i="37" s="1"/>
  <c r="O21" i="53"/>
  <c r="D18" i="52"/>
  <c r="D156" i="52" s="1"/>
  <c r="C19" i="35"/>
  <c r="C11" i="37" s="1"/>
  <c r="G23" i="35"/>
  <c r="G14" i="37" s="1"/>
  <c r="S8" i="52"/>
  <c r="P8" i="52"/>
  <c r="L48" i="52"/>
  <c r="L158" i="52" s="1"/>
  <c r="S37" i="52"/>
  <c r="S48" i="52" s="1"/>
  <c r="L25" i="51"/>
  <c r="R17" i="51"/>
  <c r="Q17" i="51"/>
  <c r="P17" i="51"/>
  <c r="U17" i="51"/>
  <c r="P18" i="51"/>
  <c r="U18" i="51"/>
  <c r="AC15" i="45"/>
  <c r="AF15" i="45"/>
  <c r="F17" i="53"/>
  <c r="R8" i="52"/>
  <c r="I18" i="52"/>
  <c r="I156" i="52" s="1"/>
  <c r="U8" i="52"/>
  <c r="AC129" i="43"/>
  <c r="AC131" i="43" s="1"/>
  <c r="E111" i="38"/>
  <c r="L111" i="38"/>
  <c r="L113" i="38"/>
  <c r="M99" i="38"/>
  <c r="N113" i="38"/>
  <c r="N114" i="38" s="1"/>
  <c r="K113" i="38"/>
  <c r="J113" i="38"/>
  <c r="J114" i="38" s="1"/>
  <c r="C113" i="38"/>
  <c r="N111" i="38"/>
  <c r="H111" i="38"/>
  <c r="I111" i="38"/>
  <c r="F111" i="38"/>
  <c r="J111" i="38"/>
  <c r="D111" i="38"/>
  <c r="D25" i="35"/>
  <c r="D15" i="37" s="1"/>
  <c r="K111" i="38"/>
  <c r="M31" i="35"/>
  <c r="M13" i="51" s="1"/>
  <c r="F113" i="38"/>
  <c r="AF20" i="45"/>
  <c r="AM23" i="45"/>
  <c r="P59" i="35"/>
  <c r="AF23" i="45"/>
  <c r="AM20" i="45"/>
  <c r="AP20" i="45" s="1"/>
  <c r="AF21" i="45"/>
  <c r="AP21" i="45" s="1"/>
  <c r="AP18" i="45"/>
  <c r="AP19" i="45"/>
  <c r="AP29" i="45"/>
  <c r="G2" i="35"/>
  <c r="AF29" i="43"/>
  <c r="AM29" i="43"/>
  <c r="G3" i="43"/>
  <c r="AP65" i="42"/>
  <c r="AP75" i="42"/>
  <c r="AP45" i="42"/>
  <c r="AP70" i="42"/>
  <c r="AP60" i="42"/>
  <c r="AP40" i="42"/>
  <c r="AP35" i="42"/>
  <c r="AT80" i="42"/>
  <c r="AP50" i="42"/>
  <c r="AP20" i="42"/>
  <c r="AP30" i="42"/>
  <c r="AP25" i="42"/>
  <c r="AP15" i="42"/>
  <c r="AP10" i="42"/>
  <c r="AP5" i="45"/>
  <c r="AM15" i="45"/>
  <c r="AE15" i="45"/>
  <c r="AP10" i="45"/>
  <c r="AP12" i="45"/>
  <c r="AP6" i="45"/>
  <c r="C59" i="70" l="1"/>
  <c r="C30" i="71"/>
  <c r="G21" i="53"/>
  <c r="AD113" i="38"/>
  <c r="N19" i="35"/>
  <c r="N11" i="37" s="1"/>
  <c r="AF105" i="38"/>
  <c r="AD101" i="38"/>
  <c r="E19" i="35"/>
  <c r="E11" i="37" s="1"/>
  <c r="AP287" i="42"/>
  <c r="E113" i="38"/>
  <c r="E114" i="38" s="1"/>
  <c r="AC289" i="42"/>
  <c r="AC291" i="42" s="1"/>
  <c r="AC111" i="38"/>
  <c r="AD105" i="38"/>
  <c r="AP227" i="42"/>
  <c r="AC91" i="38"/>
  <c r="AC101" i="38" s="1"/>
  <c r="AF96" i="38"/>
  <c r="AP123" i="42"/>
  <c r="AP156" i="42"/>
  <c r="AD289" i="42"/>
  <c r="AD291" i="42" s="1"/>
  <c r="AC292" i="42"/>
  <c r="AM105" i="38"/>
  <c r="AP189" i="42"/>
  <c r="AP288" i="42"/>
  <c r="AM96" i="38"/>
  <c r="C114" i="38"/>
  <c r="AP280" i="42"/>
  <c r="M21" i="53"/>
  <c r="T21" i="53" s="1"/>
  <c r="AE105" i="38"/>
  <c r="AM108" i="38"/>
  <c r="AM111" i="38" s="1"/>
  <c r="L114" i="38"/>
  <c r="AF113" i="38"/>
  <c r="AP110" i="38"/>
  <c r="AP109" i="38"/>
  <c r="K114" i="38"/>
  <c r="K31" i="35"/>
  <c r="K13" i="51" s="1"/>
  <c r="AM113" i="38"/>
  <c r="AE113" i="38"/>
  <c r="B10" i="66"/>
  <c r="B26" i="66" s="1"/>
  <c r="AP129" i="43"/>
  <c r="AF131" i="43"/>
  <c r="AM131" i="43"/>
  <c r="AP29" i="43"/>
  <c r="C106" i="38"/>
  <c r="AC104" i="38"/>
  <c r="AC106" i="38" s="1"/>
  <c r="F17" i="35"/>
  <c r="F139" i="43" s="1"/>
  <c r="F141" i="43" s="1"/>
  <c r="AD104" i="38"/>
  <c r="AE291" i="42"/>
  <c r="AE292" i="42"/>
  <c r="G106" i="38"/>
  <c r="I19" i="53"/>
  <c r="I23" i="53" s="1"/>
  <c r="E292" i="42"/>
  <c r="F106" i="38"/>
  <c r="F91" i="38"/>
  <c r="F101" i="38" s="1"/>
  <c r="G91" i="38"/>
  <c r="G101" i="38" s="1"/>
  <c r="F150" i="43"/>
  <c r="F152" i="43" s="1"/>
  <c r="G150" i="43"/>
  <c r="G152" i="43" s="1"/>
  <c r="E31" i="35"/>
  <c r="E13" i="51" s="1"/>
  <c r="J289" i="42"/>
  <c r="J292" i="42" s="1"/>
  <c r="I31" i="35"/>
  <c r="I13" i="51" s="1"/>
  <c r="E152" i="43"/>
  <c r="B25" i="66"/>
  <c r="F114" i="38"/>
  <c r="F31" i="35"/>
  <c r="F13" i="51" s="1"/>
  <c r="Y18" i="61"/>
  <c r="Y24" i="61"/>
  <c r="S26" i="61"/>
  <c r="R26" i="61"/>
  <c r="W25" i="61"/>
  <c r="Y25" i="61" s="1"/>
  <c r="H106" i="38"/>
  <c r="H116" i="38" s="1"/>
  <c r="R17" i="61"/>
  <c r="E106" i="38"/>
  <c r="E116" i="38" s="1"/>
  <c r="E122" i="38" s="1"/>
  <c r="E124" i="38" s="1"/>
  <c r="E10" i="37"/>
  <c r="E51" i="37" s="1"/>
  <c r="S156" i="52"/>
  <c r="O25" i="53"/>
  <c r="O31" i="53" s="1"/>
  <c r="R31" i="51"/>
  <c r="R33" i="51"/>
  <c r="W22" i="51"/>
  <c r="K286" i="42"/>
  <c r="Y22" i="53"/>
  <c r="Y26" i="53"/>
  <c r="Y28" i="53"/>
  <c r="S32" i="51"/>
  <c r="W24" i="51"/>
  <c r="W21" i="51"/>
  <c r="Q32" i="51"/>
  <c r="W19" i="51"/>
  <c r="W20" i="51"/>
  <c r="P33" i="51"/>
  <c r="W23" i="51"/>
  <c r="W30" i="51"/>
  <c r="W29" i="51"/>
  <c r="Q31" i="51"/>
  <c r="P32" i="51"/>
  <c r="P31" i="51"/>
  <c r="Q33" i="51"/>
  <c r="F12" i="51"/>
  <c r="F16" i="37"/>
  <c r="U32" i="51"/>
  <c r="M12" i="51"/>
  <c r="M16" i="37"/>
  <c r="W18" i="51"/>
  <c r="L12" i="51"/>
  <c r="L16" i="37"/>
  <c r="E12" i="51"/>
  <c r="E16" i="37"/>
  <c r="I12" i="51"/>
  <c r="I16" i="37"/>
  <c r="Q25" i="51"/>
  <c r="R25" i="51"/>
  <c r="H12" i="51"/>
  <c r="S25" i="51"/>
  <c r="M33" i="51"/>
  <c r="S33" i="51" s="1"/>
  <c r="C12" i="51"/>
  <c r="C16" i="37"/>
  <c r="M8" i="35"/>
  <c r="M5" i="37" s="1"/>
  <c r="M31" i="51"/>
  <c r="U31" i="51" s="1"/>
  <c r="N8" i="35"/>
  <c r="N5" i="37" s="1"/>
  <c r="J12" i="51"/>
  <c r="J16" i="37"/>
  <c r="K12" i="51"/>
  <c r="D16" i="37"/>
  <c r="N12" i="51"/>
  <c r="N16" i="37"/>
  <c r="G12" i="51"/>
  <c r="G16" i="37"/>
  <c r="G139" i="43"/>
  <c r="G141" i="43" s="1"/>
  <c r="J11" i="51"/>
  <c r="J11" i="37"/>
  <c r="W9" i="53"/>
  <c r="Y9" i="53" s="1"/>
  <c r="Y5" i="53"/>
  <c r="I101" i="38"/>
  <c r="D12" i="51"/>
  <c r="Y20" i="53"/>
  <c r="R34" i="53"/>
  <c r="W34" i="53"/>
  <c r="W30" i="53"/>
  <c r="R30" i="53"/>
  <c r="G17" i="53"/>
  <c r="W39" i="51"/>
  <c r="G11" i="51"/>
  <c r="P25" i="51"/>
  <c r="L11" i="51"/>
  <c r="W16" i="51"/>
  <c r="U25" i="51"/>
  <c r="L17" i="53"/>
  <c r="M17" i="53"/>
  <c r="S17" i="53"/>
  <c r="I17" i="53"/>
  <c r="N11" i="51"/>
  <c r="F19" i="53"/>
  <c r="M111" i="38"/>
  <c r="H91" i="38"/>
  <c r="H101" i="38" s="1"/>
  <c r="I104" i="38"/>
  <c r="D31" i="35"/>
  <c r="D13" i="51" s="1"/>
  <c r="M11" i="51"/>
  <c r="K11" i="51"/>
  <c r="J104" i="38"/>
  <c r="G31" i="35"/>
  <c r="G13" i="51" s="1"/>
  <c r="I33" i="53"/>
  <c r="I35" i="53" s="1"/>
  <c r="U18" i="52"/>
  <c r="K33" i="53"/>
  <c r="K35" i="53" s="1"/>
  <c r="I25" i="53"/>
  <c r="M23" i="35"/>
  <c r="M14" i="37" s="1"/>
  <c r="E33" i="53"/>
  <c r="G19" i="53"/>
  <c r="I11" i="51"/>
  <c r="C11" i="51"/>
  <c r="G116" i="38"/>
  <c r="G122" i="38" s="1"/>
  <c r="G124" i="38" s="1"/>
  <c r="J101" i="38"/>
  <c r="D91" i="38"/>
  <c r="D101" i="38" s="1"/>
  <c r="F25" i="53"/>
  <c r="F31" i="53" s="1"/>
  <c r="C17" i="35"/>
  <c r="C139" i="43" s="1"/>
  <c r="C141" i="43" s="1"/>
  <c r="D17" i="35"/>
  <c r="E11" i="51"/>
  <c r="C91" i="38"/>
  <c r="C101" i="38" s="1"/>
  <c r="F11" i="51"/>
  <c r="L31" i="35"/>
  <c r="L13" i="51" s="1"/>
  <c r="L33" i="53"/>
  <c r="L35" i="53" s="1"/>
  <c r="E91" i="38"/>
  <c r="E101" i="38" s="1"/>
  <c r="F33" i="53"/>
  <c r="F35" i="53" s="1"/>
  <c r="J19" i="53"/>
  <c r="H11" i="51"/>
  <c r="Q156" i="52"/>
  <c r="K16" i="38"/>
  <c r="K80" i="42"/>
  <c r="K81" i="42" s="1"/>
  <c r="D116" i="38"/>
  <c r="AE55" i="42"/>
  <c r="AE80" i="42" s="1"/>
  <c r="H25" i="53"/>
  <c r="G25" i="53"/>
  <c r="L77" i="42"/>
  <c r="N33" i="53"/>
  <c r="N35" i="53" s="1"/>
  <c r="L31" i="53"/>
  <c r="N27" i="53"/>
  <c r="S158" i="52"/>
  <c r="Q18" i="52"/>
  <c r="S18" i="52"/>
  <c r="R158" i="52"/>
  <c r="K27" i="53"/>
  <c r="W7" i="52"/>
  <c r="H19" i="53"/>
  <c r="H33" i="53"/>
  <c r="Q158" i="52"/>
  <c r="H27" i="53"/>
  <c r="G33" i="53"/>
  <c r="G35" i="53" s="1"/>
  <c r="E21" i="53"/>
  <c r="E27" i="53"/>
  <c r="P158" i="52"/>
  <c r="U158" i="52"/>
  <c r="M33" i="53"/>
  <c r="M35" i="53" s="1"/>
  <c r="P18" i="52"/>
  <c r="N31" i="35"/>
  <c r="N13" i="51" s="1"/>
  <c r="E19" i="53"/>
  <c r="P156" i="52"/>
  <c r="P33" i="53"/>
  <c r="P35" i="53" s="1"/>
  <c r="H21" i="53"/>
  <c r="N21" i="53"/>
  <c r="T29" i="53"/>
  <c r="M25" i="53"/>
  <c r="S29" i="53"/>
  <c r="D11" i="51"/>
  <c r="U29" i="53"/>
  <c r="J31" i="53"/>
  <c r="P31" i="53"/>
  <c r="W29" i="53"/>
  <c r="R29" i="53"/>
  <c r="U48" i="52"/>
  <c r="W48" i="52" s="1"/>
  <c r="W37" i="52"/>
  <c r="N25" i="53"/>
  <c r="AP23" i="45"/>
  <c r="W17" i="51"/>
  <c r="J17" i="53"/>
  <c r="O17" i="53"/>
  <c r="P17" i="53"/>
  <c r="K17" i="53"/>
  <c r="H17" i="53"/>
  <c r="N17" i="53"/>
  <c r="E17" i="53"/>
  <c r="K25" i="53"/>
  <c r="U156" i="52"/>
  <c r="R156" i="52"/>
  <c r="R18" i="52"/>
  <c r="W8" i="52"/>
  <c r="C31" i="35"/>
  <c r="C13" i="51" s="1"/>
  <c r="J31" i="35"/>
  <c r="J13" i="51" s="1"/>
  <c r="H2" i="35"/>
  <c r="Q59" i="35" s="1"/>
  <c r="H3" i="43"/>
  <c r="AP15" i="45"/>
  <c r="D59" i="70" l="1"/>
  <c r="D30" i="71"/>
  <c r="E10" i="66"/>
  <c r="AD292" i="42"/>
  <c r="AP105" i="38"/>
  <c r="AC113" i="38"/>
  <c r="AC114" i="38" s="1"/>
  <c r="AC116" i="38" s="1"/>
  <c r="AC120" i="38" s="1"/>
  <c r="AP108" i="38"/>
  <c r="AM114" i="38"/>
  <c r="AP113" i="38"/>
  <c r="AP131" i="43"/>
  <c r="I17" i="35"/>
  <c r="I139" i="43" s="1"/>
  <c r="I141" i="43" s="1"/>
  <c r="K22" i="38"/>
  <c r="K89" i="38" s="1"/>
  <c r="K91" i="38" s="1"/>
  <c r="K101" i="38" s="1"/>
  <c r="AE16" i="38"/>
  <c r="AE22" i="38" s="1"/>
  <c r="AE89" i="38" s="1"/>
  <c r="AE91" i="38" s="1"/>
  <c r="AE101" i="38" s="1"/>
  <c r="F116" i="38"/>
  <c r="F122" i="38" s="1"/>
  <c r="F124" i="38" s="1"/>
  <c r="J291" i="42"/>
  <c r="B28" i="66"/>
  <c r="H122" i="38"/>
  <c r="H124" i="38" s="1"/>
  <c r="L286" i="42"/>
  <c r="K289" i="42"/>
  <c r="K291" i="42" s="1"/>
  <c r="I106" i="38"/>
  <c r="I116" i="38" s="1"/>
  <c r="I122" i="38" s="1"/>
  <c r="I124" i="38" s="1"/>
  <c r="H120" i="38"/>
  <c r="G120" i="38"/>
  <c r="I21" i="61"/>
  <c r="I40" i="61" s="1"/>
  <c r="I68" i="61" s="1"/>
  <c r="I69" i="61" s="1"/>
  <c r="J21" i="61"/>
  <c r="J40" i="61" s="1"/>
  <c r="S17" i="61"/>
  <c r="J106" i="38"/>
  <c r="J116" i="38" s="1"/>
  <c r="J122" i="38" s="1"/>
  <c r="J124" i="38" s="1"/>
  <c r="E120" i="38"/>
  <c r="W32" i="51"/>
  <c r="D120" i="38"/>
  <c r="D122" i="38"/>
  <c r="D124" i="38" s="1"/>
  <c r="R33" i="53"/>
  <c r="R35" i="53" s="1"/>
  <c r="S31" i="51"/>
  <c r="W31" i="51" s="1"/>
  <c r="U33" i="51"/>
  <c r="W33" i="51" s="1"/>
  <c r="R12" i="51"/>
  <c r="P12" i="51"/>
  <c r="S12" i="51"/>
  <c r="Q12" i="51"/>
  <c r="C10" i="51"/>
  <c r="C44" i="51" s="1"/>
  <c r="C10" i="37"/>
  <c r="C51" i="37" s="1"/>
  <c r="C64" i="35"/>
  <c r="U12" i="51"/>
  <c r="H139" i="43"/>
  <c r="H141" i="43" s="1"/>
  <c r="D10" i="51"/>
  <c r="D44" i="51" s="1"/>
  <c r="D139" i="43"/>
  <c r="D141" i="43" s="1"/>
  <c r="D10" i="37"/>
  <c r="D51" i="37" s="1"/>
  <c r="D64" i="35"/>
  <c r="E10" i="51"/>
  <c r="E44" i="51" s="1"/>
  <c r="E139" i="43"/>
  <c r="E141" i="43" s="1"/>
  <c r="E64" i="35"/>
  <c r="Y30" i="53"/>
  <c r="Y34" i="53"/>
  <c r="W25" i="51"/>
  <c r="R17" i="53"/>
  <c r="F23" i="53"/>
  <c r="F49" i="53" s="1"/>
  <c r="U17" i="53"/>
  <c r="S11" i="51"/>
  <c r="T17" i="53"/>
  <c r="Q13" i="51"/>
  <c r="R11" i="51"/>
  <c r="J17" i="35"/>
  <c r="I31" i="53"/>
  <c r="I49" i="53" s="1"/>
  <c r="Q11" i="51"/>
  <c r="K19" i="53"/>
  <c r="G23" i="53"/>
  <c r="E35" i="53"/>
  <c r="L19" i="53"/>
  <c r="L23" i="53" s="1"/>
  <c r="L49" i="53" s="1"/>
  <c r="R25" i="53"/>
  <c r="P11" i="51"/>
  <c r="G31" i="53"/>
  <c r="R13" i="51"/>
  <c r="S13" i="51"/>
  <c r="W33" i="53"/>
  <c r="W35" i="53" s="1"/>
  <c r="W18" i="52"/>
  <c r="U11" i="51"/>
  <c r="H31" i="53"/>
  <c r="W156" i="52"/>
  <c r="J23" i="53"/>
  <c r="J49" i="53" s="1"/>
  <c r="L16" i="38"/>
  <c r="L22" i="38" s="1"/>
  <c r="L89" i="38" s="1"/>
  <c r="L80" i="42"/>
  <c r="L81" i="42" s="1"/>
  <c r="S25" i="53"/>
  <c r="K104" i="38"/>
  <c r="M77" i="42"/>
  <c r="AM52" i="42"/>
  <c r="M31" i="53"/>
  <c r="S27" i="53"/>
  <c r="Y29" i="53"/>
  <c r="W158" i="52"/>
  <c r="U27" i="53"/>
  <c r="H35" i="53"/>
  <c r="S33" i="53"/>
  <c r="S35" i="53" s="1"/>
  <c r="H23" i="53"/>
  <c r="S19" i="53"/>
  <c r="U21" i="53"/>
  <c r="S21" i="53"/>
  <c r="R27" i="53"/>
  <c r="W27" i="53"/>
  <c r="R21" i="53"/>
  <c r="W21" i="53"/>
  <c r="E23" i="53"/>
  <c r="R19" i="53"/>
  <c r="T27" i="53"/>
  <c r="T33" i="53"/>
  <c r="T35" i="53" s="1"/>
  <c r="E31" i="53"/>
  <c r="U25" i="53"/>
  <c r="N31" i="53"/>
  <c r="U13" i="51"/>
  <c r="P13" i="51"/>
  <c r="U33" i="53"/>
  <c r="U35" i="53" s="1"/>
  <c r="T25" i="53"/>
  <c r="K31" i="53"/>
  <c r="W25" i="53"/>
  <c r="I2" i="35"/>
  <c r="I3" i="43"/>
  <c r="N31" i="37"/>
  <c r="M31" i="37"/>
  <c r="P43" i="37"/>
  <c r="U43" i="37" s="1"/>
  <c r="F120" i="38" l="1"/>
  <c r="AE104" i="38"/>
  <c r="K17" i="35"/>
  <c r="K10" i="37" s="1"/>
  <c r="AM55" i="42"/>
  <c r="AM80" i="42" s="1"/>
  <c r="AM77" i="42"/>
  <c r="AM286" i="42" s="1"/>
  <c r="L289" i="42"/>
  <c r="L292" i="42" s="1"/>
  <c r="K292" i="42"/>
  <c r="J68" i="61"/>
  <c r="J69" i="61" s="1"/>
  <c r="J52" i="61"/>
  <c r="M286" i="42"/>
  <c r="I152" i="43"/>
  <c r="M19" i="53"/>
  <c r="T19" i="53" s="1"/>
  <c r="T23" i="53" s="1"/>
  <c r="J120" i="38"/>
  <c r="L21" i="61"/>
  <c r="T17" i="61"/>
  <c r="I120" i="38"/>
  <c r="S19" i="61"/>
  <c r="S21" i="61" s="1"/>
  <c r="S40" i="61" s="1"/>
  <c r="H21" i="61"/>
  <c r="H40" i="61" s="1"/>
  <c r="H68" i="61" s="1"/>
  <c r="H69" i="61" s="1"/>
  <c r="R19" i="61"/>
  <c r="R21" i="61" s="1"/>
  <c r="G21" i="61"/>
  <c r="W12" i="51"/>
  <c r="E14" i="51"/>
  <c r="E27" i="51" s="1"/>
  <c r="C14" i="51"/>
  <c r="C27" i="51" s="1"/>
  <c r="J139" i="43"/>
  <c r="J141" i="43" s="1"/>
  <c r="D14" i="51"/>
  <c r="D27" i="51" s="1"/>
  <c r="P10" i="51"/>
  <c r="P44" i="51" s="1"/>
  <c r="K23" i="53"/>
  <c r="K49" i="53" s="1"/>
  <c r="G49" i="53"/>
  <c r="R31" i="53"/>
  <c r="W11" i="51"/>
  <c r="R23" i="53"/>
  <c r="Y21" i="53"/>
  <c r="S31" i="53"/>
  <c r="L104" i="38"/>
  <c r="L91" i="38"/>
  <c r="L101" i="38" s="1"/>
  <c r="W31" i="53"/>
  <c r="N77" i="42"/>
  <c r="M16" i="38"/>
  <c r="M22" i="38" s="1"/>
  <c r="M89" i="38" s="1"/>
  <c r="M80" i="42"/>
  <c r="M81" i="42" s="1"/>
  <c r="S23" i="53"/>
  <c r="H49" i="53"/>
  <c r="K106" i="38"/>
  <c r="K116" i="38" s="1"/>
  <c r="K122" i="38" s="1"/>
  <c r="K124" i="38" s="1"/>
  <c r="AF52" i="42"/>
  <c r="AF77" i="42" s="1"/>
  <c r="AF286" i="42" s="1"/>
  <c r="AF289" i="42" s="1"/>
  <c r="Y27" i="53"/>
  <c r="E49" i="53"/>
  <c r="E60" i="53" s="1"/>
  <c r="E63" i="53" s="1"/>
  <c r="F58" i="53" s="1"/>
  <c r="W13" i="51"/>
  <c r="U31" i="53"/>
  <c r="Y33" i="53"/>
  <c r="Y35" i="53"/>
  <c r="W17" i="53"/>
  <c r="Y17" i="53" s="1"/>
  <c r="T31" i="53"/>
  <c r="Y25" i="53"/>
  <c r="J2" i="35"/>
  <c r="J3" i="43"/>
  <c r="Q28" i="35"/>
  <c r="D28" i="70" s="1"/>
  <c r="S28" i="35"/>
  <c r="F28" i="70" s="1"/>
  <c r="P26" i="35"/>
  <c r="C26" i="70" s="1"/>
  <c r="Q26" i="35"/>
  <c r="D26" i="70" s="1"/>
  <c r="S26" i="35"/>
  <c r="F26" i="70" s="1"/>
  <c r="R28" i="35"/>
  <c r="E28" i="70" s="1"/>
  <c r="U28" i="35"/>
  <c r="R26" i="35"/>
  <c r="E26" i="70" s="1"/>
  <c r="P28" i="35"/>
  <c r="C28" i="70" s="1"/>
  <c r="L291" i="42" l="1"/>
  <c r="M28" i="70"/>
  <c r="M26" i="70"/>
  <c r="P26" i="70" s="1"/>
  <c r="Q26" i="70" s="1"/>
  <c r="AF291" i="42"/>
  <c r="AF292" i="42"/>
  <c r="AM289" i="42"/>
  <c r="AP286" i="42"/>
  <c r="M289" i="42"/>
  <c r="M292" i="42" s="1"/>
  <c r="M23" i="53"/>
  <c r="M49" i="53" s="1"/>
  <c r="G40" i="61"/>
  <c r="B24" i="66"/>
  <c r="N286" i="42"/>
  <c r="P17" i="61" s="1"/>
  <c r="L106" i="38"/>
  <c r="L116" i="38" s="1"/>
  <c r="L122" i="38" s="1"/>
  <c r="L124" i="38" s="1"/>
  <c r="K120" i="38"/>
  <c r="M21" i="61"/>
  <c r="R40" i="61"/>
  <c r="P14" i="51"/>
  <c r="P27" i="51" s="1"/>
  <c r="K139" i="43"/>
  <c r="K141" i="43" s="1"/>
  <c r="R49" i="53"/>
  <c r="S49" i="53"/>
  <c r="M91" i="38"/>
  <c r="M101" i="38" s="1"/>
  <c r="M104" i="38"/>
  <c r="AF55" i="42"/>
  <c r="AF80" i="42" s="1"/>
  <c r="AP52" i="42"/>
  <c r="N19" i="53"/>
  <c r="N16" i="38"/>
  <c r="N80" i="42"/>
  <c r="N81" i="42" s="1"/>
  <c r="L17" i="35"/>
  <c r="Y31" i="53"/>
  <c r="T49" i="53"/>
  <c r="K2" i="35"/>
  <c r="R59" i="35" s="1"/>
  <c r="K3" i="43"/>
  <c r="U26" i="35"/>
  <c r="W26" i="35" s="1"/>
  <c r="W28" i="35"/>
  <c r="P56" i="35"/>
  <c r="U56" i="35" s="1"/>
  <c r="N44" i="35"/>
  <c r="M44" i="35"/>
  <c r="E59" i="70" l="1"/>
  <c r="E30" i="71"/>
  <c r="S28" i="70"/>
  <c r="P28" i="70"/>
  <c r="Q28" i="70" s="1"/>
  <c r="M291" i="42"/>
  <c r="S26" i="70"/>
  <c r="N22" i="38"/>
  <c r="N89" i="38" s="1"/>
  <c r="N91" i="38" s="1"/>
  <c r="N101" i="38" s="1"/>
  <c r="AF16" i="38"/>
  <c r="AF22" i="38" s="1"/>
  <c r="AF89" i="38" s="1"/>
  <c r="AF91" i="38" s="1"/>
  <c r="AF101" i="38" s="1"/>
  <c r="AM16" i="38"/>
  <c r="AM22" i="38" s="1"/>
  <c r="AM89" i="38" s="1"/>
  <c r="AM91" i="38" s="1"/>
  <c r="AM101" i="38" s="1"/>
  <c r="AM291" i="42"/>
  <c r="AP289" i="42"/>
  <c r="AM292" i="42"/>
  <c r="N289" i="42"/>
  <c r="N291" i="42" s="1"/>
  <c r="M106" i="38"/>
  <c r="M116" i="38" s="1"/>
  <c r="M122" i="38" s="1"/>
  <c r="M124" i="38" s="1"/>
  <c r="L120" i="38"/>
  <c r="T19" i="61"/>
  <c r="M17" i="35"/>
  <c r="M139" i="43" s="1"/>
  <c r="M141" i="43" s="1"/>
  <c r="O19" i="53"/>
  <c r="O23" i="53" s="1"/>
  <c r="O49" i="53" s="1"/>
  <c r="L139" i="43"/>
  <c r="L141" i="43" s="1"/>
  <c r="N23" i="53"/>
  <c r="N49" i="53" s="1"/>
  <c r="AP77" i="42"/>
  <c r="N104" i="38"/>
  <c r="AM104" i="38" s="1"/>
  <c r="AP80" i="42"/>
  <c r="AP55" i="42"/>
  <c r="L2" i="35"/>
  <c r="L3" i="43"/>
  <c r="G5" i="51"/>
  <c r="Q5" i="35"/>
  <c r="D5" i="70" s="1"/>
  <c r="E5" i="51"/>
  <c r="J6" i="51"/>
  <c r="R5" i="35"/>
  <c r="E5" i="70" s="1"/>
  <c r="S7" i="35"/>
  <c r="F7" i="70" s="1"/>
  <c r="R12" i="35"/>
  <c r="E12" i="70" s="1"/>
  <c r="S10" i="35"/>
  <c r="F10" i="70" s="1"/>
  <c r="N6" i="51"/>
  <c r="P11" i="35"/>
  <c r="C11" i="70" s="1"/>
  <c r="F6" i="51"/>
  <c r="P12" i="35"/>
  <c r="C12" i="70" s="1"/>
  <c r="K6" i="51"/>
  <c r="D6" i="51"/>
  <c r="Q10" i="35"/>
  <c r="D10" i="70" s="1"/>
  <c r="R10" i="35"/>
  <c r="E10" i="70" s="1"/>
  <c r="R11" i="35"/>
  <c r="E11" i="70" s="1"/>
  <c r="G6" i="51"/>
  <c r="Q12" i="35"/>
  <c r="D12" i="70" s="1"/>
  <c r="N292" i="42" l="1"/>
  <c r="E13" i="70"/>
  <c r="AM106" i="38"/>
  <c r="AF104" i="38"/>
  <c r="AP104" i="38" s="1"/>
  <c r="N21" i="61"/>
  <c r="M120" i="38"/>
  <c r="T21" i="61"/>
  <c r="N106" i="38"/>
  <c r="N116" i="38" s="1"/>
  <c r="P19" i="61" s="1"/>
  <c r="U17" i="61"/>
  <c r="R13" i="35"/>
  <c r="E6" i="71" s="1"/>
  <c r="N17" i="35"/>
  <c r="P19" i="53"/>
  <c r="G8" i="51"/>
  <c r="G43" i="51" s="1"/>
  <c r="S59" i="35"/>
  <c r="U59" i="35"/>
  <c r="M2" i="35"/>
  <c r="N2" i="35" s="1"/>
  <c r="G8" i="37"/>
  <c r="M3" i="43"/>
  <c r="N3" i="43" s="1"/>
  <c r="P3" i="43" s="1"/>
  <c r="Q3" i="43" s="1"/>
  <c r="R3" i="43" s="1"/>
  <c r="S3" i="43" s="1"/>
  <c r="T3" i="43" s="1"/>
  <c r="U3" i="43" s="1"/>
  <c r="V3" i="43" s="1"/>
  <c r="W3" i="43" s="1"/>
  <c r="X3" i="43" s="1"/>
  <c r="Y3" i="43" s="1"/>
  <c r="Z3" i="43" s="1"/>
  <c r="AA3" i="43" s="1"/>
  <c r="S5" i="35"/>
  <c r="F5" i="70" s="1"/>
  <c r="S32" i="35"/>
  <c r="F32" i="70" s="1"/>
  <c r="Q24" i="35"/>
  <c r="D24" i="70" s="1"/>
  <c r="S12" i="35"/>
  <c r="F12" i="70" s="1"/>
  <c r="M12" i="70" s="1"/>
  <c r="P12" i="70" s="1"/>
  <c r="Q12" i="70" s="1"/>
  <c r="C6" i="51"/>
  <c r="M6" i="51"/>
  <c r="P10" i="35"/>
  <c r="H6" i="51"/>
  <c r="Q6" i="51" s="1"/>
  <c r="P7" i="35"/>
  <c r="C7" i="70" s="1"/>
  <c r="U10" i="35"/>
  <c r="Q7" i="35"/>
  <c r="D7" i="70" s="1"/>
  <c r="Q11" i="35"/>
  <c r="D5" i="51"/>
  <c r="D8" i="51" s="1"/>
  <c r="D43" i="51" s="1"/>
  <c r="D45" i="51" s="1"/>
  <c r="D46" i="51" s="1"/>
  <c r="L5" i="51"/>
  <c r="P6" i="35"/>
  <c r="C6" i="70" s="1"/>
  <c r="U7" i="35"/>
  <c r="U6" i="35"/>
  <c r="K5" i="51"/>
  <c r="K8" i="51" s="1"/>
  <c r="K43" i="51" s="1"/>
  <c r="R6" i="35"/>
  <c r="E6" i="70" s="1"/>
  <c r="J5" i="51"/>
  <c r="J8" i="51" s="1"/>
  <c r="J43" i="51" s="1"/>
  <c r="M5" i="51"/>
  <c r="H5" i="51"/>
  <c r="S6" i="35"/>
  <c r="F6" i="70" s="1"/>
  <c r="F5" i="51"/>
  <c r="Q6" i="35"/>
  <c r="D6" i="70" s="1"/>
  <c r="I5" i="51"/>
  <c r="C5" i="51"/>
  <c r="N5" i="51"/>
  <c r="N8" i="51" s="1"/>
  <c r="N43" i="51" s="1"/>
  <c r="P5" i="35"/>
  <c r="C5" i="70" s="1"/>
  <c r="R7" i="35"/>
  <c r="E7" i="70" s="1"/>
  <c r="S11" i="35"/>
  <c r="F11" i="70" s="1"/>
  <c r="L6" i="51"/>
  <c r="E6" i="51"/>
  <c r="E8" i="51" s="1"/>
  <c r="E43" i="51" s="1"/>
  <c r="E45" i="51" s="1"/>
  <c r="E46" i="51" s="1"/>
  <c r="U11" i="35"/>
  <c r="U12" i="35"/>
  <c r="I6" i="51"/>
  <c r="R6" i="51" s="1"/>
  <c r="G15" i="35"/>
  <c r="F59" i="70" l="1"/>
  <c r="M59" i="70" s="1"/>
  <c r="P59" i="70" s="1"/>
  <c r="Q59" i="70" s="1"/>
  <c r="F30" i="71"/>
  <c r="M30" i="71" s="1"/>
  <c r="F8" i="70"/>
  <c r="D8" i="70"/>
  <c r="Q13" i="35"/>
  <c r="D6" i="71" s="1"/>
  <c r="D11" i="70"/>
  <c r="D13" i="70" s="1"/>
  <c r="D15" i="70" s="1"/>
  <c r="D63" i="70" s="1"/>
  <c r="P13" i="35"/>
  <c r="C6" i="71" s="1"/>
  <c r="C10" i="70"/>
  <c r="M7" i="70"/>
  <c r="P7" i="70" s="1"/>
  <c r="Q7" i="70" s="1"/>
  <c r="M6" i="70"/>
  <c r="P6" i="70" s="1"/>
  <c r="Q6" i="70" s="1"/>
  <c r="C8" i="70"/>
  <c r="S12" i="70"/>
  <c r="F13" i="70"/>
  <c r="F15" i="70" s="1"/>
  <c r="F63" i="70" s="1"/>
  <c r="M5" i="70"/>
  <c r="P5" i="70" s="1"/>
  <c r="Q5" i="70" s="1"/>
  <c r="S7" i="70"/>
  <c r="E8" i="70"/>
  <c r="E15" i="70" s="1"/>
  <c r="E63" i="70" s="1"/>
  <c r="AM116" i="38"/>
  <c r="C9" i="66"/>
  <c r="G50" i="37"/>
  <c r="G66" i="37"/>
  <c r="W17" i="61"/>
  <c r="Y17" i="61" s="1"/>
  <c r="O21" i="61"/>
  <c r="N120" i="38"/>
  <c r="W19" i="61"/>
  <c r="S13" i="35"/>
  <c r="F6" i="71" s="1"/>
  <c r="G63" i="35"/>
  <c r="G138" i="43"/>
  <c r="G18" i="35" s="1"/>
  <c r="U13" i="35"/>
  <c r="Q8" i="35"/>
  <c r="U8" i="35"/>
  <c r="R8" i="35"/>
  <c r="N139" i="43"/>
  <c r="N141" i="43" s="1"/>
  <c r="P8" i="35"/>
  <c r="S8" i="35"/>
  <c r="F5" i="71" s="1"/>
  <c r="S6" i="51"/>
  <c r="P23" i="53"/>
  <c r="P49" i="53" s="1"/>
  <c r="W19" i="53"/>
  <c r="W23" i="53" s="1"/>
  <c r="W49" i="53" s="1"/>
  <c r="U19" i="53"/>
  <c r="U6" i="51"/>
  <c r="P6" i="51"/>
  <c r="H8" i="51"/>
  <c r="H43" i="51" s="1"/>
  <c r="M8" i="51"/>
  <c r="M43" i="51" s="1"/>
  <c r="S5" i="51"/>
  <c r="L8" i="51"/>
  <c r="L43" i="51" s="1"/>
  <c r="F8" i="51"/>
  <c r="F43" i="51" s="1"/>
  <c r="Q5" i="51"/>
  <c r="Q8" i="51" s="1"/>
  <c r="Q43" i="51" s="1"/>
  <c r="I8" i="51"/>
  <c r="I43" i="51" s="1"/>
  <c r="R5" i="51"/>
  <c r="R8" i="51" s="1"/>
  <c r="R43" i="51" s="1"/>
  <c r="P5" i="51"/>
  <c r="U5" i="51"/>
  <c r="C8" i="51"/>
  <c r="W59" i="35"/>
  <c r="H8" i="37"/>
  <c r="S23" i="37"/>
  <c r="S36" i="35"/>
  <c r="F36" i="70" s="1"/>
  <c r="S29" i="37"/>
  <c r="S42" i="35"/>
  <c r="F42" i="70" s="1"/>
  <c r="S38" i="37"/>
  <c r="S51" i="35"/>
  <c r="F51" i="70" s="1"/>
  <c r="S27" i="37"/>
  <c r="S40" i="35"/>
  <c r="F40" i="70" s="1"/>
  <c r="S46" i="37"/>
  <c r="S36" i="37"/>
  <c r="S49" i="35"/>
  <c r="F49" i="70" s="1"/>
  <c r="S26" i="37"/>
  <c r="S39" i="35"/>
  <c r="F39" i="70" s="1"/>
  <c r="S24" i="37"/>
  <c r="S37" i="35"/>
  <c r="F37" i="70" s="1"/>
  <c r="S30" i="37"/>
  <c r="S43" i="35"/>
  <c r="F43" i="70" s="1"/>
  <c r="S40" i="37"/>
  <c r="S53" i="35"/>
  <c r="F53" i="70" s="1"/>
  <c r="S37" i="37"/>
  <c r="S50" i="35"/>
  <c r="F50" i="70" s="1"/>
  <c r="S25" i="37"/>
  <c r="S38" i="35"/>
  <c r="F38" i="70" s="1"/>
  <c r="S35" i="37"/>
  <c r="S48" i="35"/>
  <c r="F48" i="70" s="1"/>
  <c r="S28" i="37"/>
  <c r="S41" i="35"/>
  <c r="F41" i="70" s="1"/>
  <c r="I8" i="37"/>
  <c r="F15" i="35"/>
  <c r="K15" i="35"/>
  <c r="K8" i="37"/>
  <c r="J15" i="35"/>
  <c r="J8" i="37"/>
  <c r="M8" i="37"/>
  <c r="E15" i="35"/>
  <c r="E8" i="37"/>
  <c r="L8" i="37"/>
  <c r="D15" i="35"/>
  <c r="D8" i="37"/>
  <c r="N15" i="35"/>
  <c r="N8" i="37"/>
  <c r="C8" i="37"/>
  <c r="C15" i="35"/>
  <c r="W10" i="35"/>
  <c r="H15" i="35"/>
  <c r="I15" i="35"/>
  <c r="M15" i="35"/>
  <c r="W12" i="35"/>
  <c r="W11" i="35"/>
  <c r="L15" i="35"/>
  <c r="P24" i="35"/>
  <c r="C24" i="70" s="1"/>
  <c r="U24" i="35"/>
  <c r="N33" i="35"/>
  <c r="W5" i="35"/>
  <c r="W7" i="35"/>
  <c r="W6" i="35"/>
  <c r="S24" i="35"/>
  <c r="F24" i="70" s="1"/>
  <c r="S59" i="70" l="1"/>
  <c r="S6" i="70"/>
  <c r="Q15" i="35"/>
  <c r="D5" i="71"/>
  <c r="P15" i="35"/>
  <c r="C5" i="71"/>
  <c r="F7" i="71"/>
  <c r="F9" i="71" s="1"/>
  <c r="R15" i="35"/>
  <c r="E5" i="71"/>
  <c r="M6" i="71"/>
  <c r="C13" i="70"/>
  <c r="C15" i="70" s="1"/>
  <c r="C63" i="70" s="1"/>
  <c r="M10" i="70"/>
  <c r="P10" i="70" s="1"/>
  <c r="Q10" i="70" s="1"/>
  <c r="M11" i="70"/>
  <c r="P11" i="70" s="1"/>
  <c r="Q11" i="70" s="1"/>
  <c r="S5" i="70"/>
  <c r="M8" i="70"/>
  <c r="P8" i="70" s="1"/>
  <c r="Q8" i="70" s="1"/>
  <c r="AM120" i="38"/>
  <c r="M50" i="37"/>
  <c r="M66" i="37"/>
  <c r="N50" i="37"/>
  <c r="N66" i="37"/>
  <c r="H50" i="37"/>
  <c r="H66" i="37"/>
  <c r="D50" i="37"/>
  <c r="D52" i="37" s="1"/>
  <c r="D53" i="37" s="1"/>
  <c r="D66" i="37"/>
  <c r="L50" i="37"/>
  <c r="L66" i="37"/>
  <c r="J50" i="37"/>
  <c r="J66" i="37"/>
  <c r="E50" i="37"/>
  <c r="E52" i="37" s="1"/>
  <c r="E53" i="37" s="1"/>
  <c r="E66" i="37"/>
  <c r="G67" i="37"/>
  <c r="C50" i="37"/>
  <c r="C52" i="37" s="1"/>
  <c r="C53" i="37" s="1"/>
  <c r="C66" i="37"/>
  <c r="K50" i="37"/>
  <c r="K66" i="37"/>
  <c r="I50" i="37"/>
  <c r="I66" i="37"/>
  <c r="W13" i="35"/>
  <c r="W21" i="61"/>
  <c r="P21" i="61"/>
  <c r="U19" i="61"/>
  <c r="C63" i="35"/>
  <c r="C65" i="35" s="1"/>
  <c r="C66" i="35" s="1"/>
  <c r="E63" i="35"/>
  <c r="E65" i="35" s="1"/>
  <c r="E66" i="35" s="1"/>
  <c r="E138" i="43"/>
  <c r="K63" i="35"/>
  <c r="K138" i="43"/>
  <c r="D63" i="35"/>
  <c r="D65" i="35" s="1"/>
  <c r="D66" i="35" s="1"/>
  <c r="D138" i="43"/>
  <c r="J63" i="35"/>
  <c r="J138" i="43"/>
  <c r="G64" i="35"/>
  <c r="G65" i="35" s="1"/>
  <c r="G66" i="35" s="1"/>
  <c r="G10" i="51"/>
  <c r="G10" i="37"/>
  <c r="G51" i="37" s="1"/>
  <c r="G52" i="37" s="1"/>
  <c r="G53" i="37" s="1"/>
  <c r="F63" i="35"/>
  <c r="F138" i="43"/>
  <c r="I63" i="35"/>
  <c r="H63" i="35"/>
  <c r="H138" i="43"/>
  <c r="L63" i="35"/>
  <c r="L138" i="43"/>
  <c r="N63" i="35"/>
  <c r="N138" i="43"/>
  <c r="M63" i="35"/>
  <c r="M138" i="43"/>
  <c r="C38" i="51"/>
  <c r="C41" i="51" s="1"/>
  <c r="C43" i="51"/>
  <c r="C45" i="51" s="1"/>
  <c r="C46" i="51" s="1"/>
  <c r="S8" i="51"/>
  <c r="S43" i="51" s="1"/>
  <c r="N19" i="37"/>
  <c r="N20" i="37" s="1"/>
  <c r="P8" i="51"/>
  <c r="P43" i="51" s="1"/>
  <c r="P45" i="51" s="1"/>
  <c r="P46" i="51" s="1"/>
  <c r="W6" i="51"/>
  <c r="U23" i="53"/>
  <c r="Y19" i="53"/>
  <c r="S15" i="35"/>
  <c r="U8" i="51"/>
  <c r="W5" i="51"/>
  <c r="P6" i="37"/>
  <c r="S5" i="37"/>
  <c r="U5" i="37"/>
  <c r="Q5" i="37"/>
  <c r="F8" i="37"/>
  <c r="P5" i="37"/>
  <c r="R5" i="37"/>
  <c r="S6" i="37"/>
  <c r="Q6" i="37"/>
  <c r="U15" i="35"/>
  <c r="R6" i="37"/>
  <c r="U6" i="37"/>
  <c r="R24" i="35"/>
  <c r="M33" i="35"/>
  <c r="W8" i="35"/>
  <c r="U63" i="35" l="1"/>
  <c r="R63" i="35"/>
  <c r="P6" i="71"/>
  <c r="Q6" i="71" s="1"/>
  <c r="F10" i="71"/>
  <c r="S63" i="35"/>
  <c r="C7" i="71"/>
  <c r="C9" i="71" s="1"/>
  <c r="M5" i="71"/>
  <c r="P5" i="71" s="1"/>
  <c r="Q5" i="71" s="1"/>
  <c r="P63" i="35"/>
  <c r="D7" i="71"/>
  <c r="D9" i="71" s="1"/>
  <c r="E7" i="71"/>
  <c r="E9" i="71" s="1"/>
  <c r="Q63" i="35"/>
  <c r="W24" i="35"/>
  <c r="E24" i="70"/>
  <c r="M24" i="70" s="1"/>
  <c r="P24" i="70" s="1"/>
  <c r="Q24" i="70" s="1"/>
  <c r="S11" i="70"/>
  <c r="M13" i="70"/>
  <c r="S10" i="70"/>
  <c r="S8" i="70"/>
  <c r="J18" i="35"/>
  <c r="J10" i="51" s="1"/>
  <c r="N18" i="35"/>
  <c r="N10" i="51" s="1"/>
  <c r="P23" i="61"/>
  <c r="P26" i="61" s="1"/>
  <c r="N150" i="43" s="1"/>
  <c r="K10" i="51"/>
  <c r="M26" i="61"/>
  <c r="K150" i="43" s="1"/>
  <c r="M18" i="35"/>
  <c r="M10" i="37" s="1"/>
  <c r="M51" i="37" s="1"/>
  <c r="M52" i="37" s="1"/>
  <c r="M53" i="37" s="1"/>
  <c r="O26" i="61"/>
  <c r="M150" i="43" s="1"/>
  <c r="L18" i="35"/>
  <c r="L64" i="35" s="1"/>
  <c r="L65" i="35" s="1"/>
  <c r="L66" i="35" s="1"/>
  <c r="K67" i="37"/>
  <c r="P66" i="37"/>
  <c r="C67" i="37"/>
  <c r="E67" i="37"/>
  <c r="D67" i="37"/>
  <c r="J67" i="37"/>
  <c r="F50" i="37"/>
  <c r="F66" i="37"/>
  <c r="H67" i="37"/>
  <c r="R66" i="37"/>
  <c r="I67" i="37"/>
  <c r="M67" i="37"/>
  <c r="S66" i="37"/>
  <c r="L67" i="37"/>
  <c r="N67" i="37"/>
  <c r="Y19" i="61"/>
  <c r="U21" i="61"/>
  <c r="I10" i="51"/>
  <c r="I64" i="35"/>
  <c r="I65" i="35" s="1"/>
  <c r="I66" i="35" s="1"/>
  <c r="I10" i="37"/>
  <c r="I51" i="37" s="1"/>
  <c r="I52" i="37" s="1"/>
  <c r="I53" i="37" s="1"/>
  <c r="G44" i="51"/>
  <c r="G45" i="51" s="1"/>
  <c r="G46" i="51" s="1"/>
  <c r="G14" i="51"/>
  <c r="G27" i="51" s="1"/>
  <c r="H51" i="37"/>
  <c r="H52" i="37" s="1"/>
  <c r="H53" i="37" s="1"/>
  <c r="H64" i="35"/>
  <c r="H65" i="35" s="1"/>
  <c r="H66" i="35" s="1"/>
  <c r="H10" i="51"/>
  <c r="F64" i="35"/>
  <c r="F65" i="35" s="1"/>
  <c r="F66" i="35" s="1"/>
  <c r="F10" i="51"/>
  <c r="F10" i="37"/>
  <c r="F51" i="37" s="1"/>
  <c r="M19" i="37"/>
  <c r="M20" i="37" s="1"/>
  <c r="W8" i="51"/>
  <c r="U43" i="51"/>
  <c r="W15" i="35"/>
  <c r="P8" i="37"/>
  <c r="P50" i="37" s="1"/>
  <c r="Y23" i="53"/>
  <c r="U49" i="53"/>
  <c r="Y49" i="53" s="1"/>
  <c r="R8" i="37"/>
  <c r="R50" i="37" s="1"/>
  <c r="D36" i="51"/>
  <c r="U8" i="37"/>
  <c r="U50" i="37" s="1"/>
  <c r="S8" i="37"/>
  <c r="S50" i="37" s="1"/>
  <c r="Q8" i="37"/>
  <c r="Q50" i="37" s="1"/>
  <c r="W5" i="37"/>
  <c r="W6" i="37"/>
  <c r="S13" i="70" l="1"/>
  <c r="P13" i="70"/>
  <c r="Q13" i="70" s="1"/>
  <c r="C10" i="71"/>
  <c r="M15" i="70"/>
  <c r="M63" i="70" s="1"/>
  <c r="M7" i="71"/>
  <c r="M9" i="71" s="1"/>
  <c r="P7" i="71"/>
  <c r="E10" i="71"/>
  <c r="D10" i="71"/>
  <c r="J64" i="35"/>
  <c r="J65" i="35" s="1"/>
  <c r="J66" i="35" s="1"/>
  <c r="J10" i="37"/>
  <c r="J51" i="37" s="1"/>
  <c r="J52" i="37" s="1"/>
  <c r="J53" i="37" s="1"/>
  <c r="S24" i="70"/>
  <c r="K64" i="35"/>
  <c r="K65" i="35" s="1"/>
  <c r="K66" i="35" s="1"/>
  <c r="K51" i="37"/>
  <c r="K52" i="37" s="1"/>
  <c r="K53" i="37" s="1"/>
  <c r="P40" i="61"/>
  <c r="N152" i="43"/>
  <c r="O40" i="61"/>
  <c r="M152" i="43"/>
  <c r="M40" i="61"/>
  <c r="K152" i="43"/>
  <c r="N64" i="35"/>
  <c r="N65" i="35" s="1"/>
  <c r="N66" i="35" s="1"/>
  <c r="N10" i="37"/>
  <c r="N51" i="37" s="1"/>
  <c r="N52" i="37" s="1"/>
  <c r="N53" i="37" s="1"/>
  <c r="E68" i="37"/>
  <c r="M64" i="35"/>
  <c r="M65" i="35" s="1"/>
  <c r="M66" i="35" s="1"/>
  <c r="M10" i="51"/>
  <c r="M14" i="51" s="1"/>
  <c r="M27" i="51" s="1"/>
  <c r="L10" i="51"/>
  <c r="L14" i="51" s="1"/>
  <c r="L27" i="51" s="1"/>
  <c r="U23" i="61"/>
  <c r="U26" i="61" s="1"/>
  <c r="U40" i="61" s="1"/>
  <c r="N26" i="61"/>
  <c r="L150" i="43" s="1"/>
  <c r="L10" i="37"/>
  <c r="L51" i="37" s="1"/>
  <c r="L52" i="37" s="1"/>
  <c r="L53" i="37" s="1"/>
  <c r="L26" i="61"/>
  <c r="J150" i="43" s="1"/>
  <c r="T23" i="61"/>
  <c r="T26" i="61" s="1"/>
  <c r="T40" i="61" s="1"/>
  <c r="W23" i="61"/>
  <c r="R67" i="37"/>
  <c r="K68" i="37"/>
  <c r="Q66" i="37"/>
  <c r="U66" i="37" s="1"/>
  <c r="F67" i="37"/>
  <c r="F52" i="37"/>
  <c r="F53" i="37" s="1"/>
  <c r="P67" i="37"/>
  <c r="S67" i="37"/>
  <c r="N68" i="37"/>
  <c r="Y21" i="61"/>
  <c r="J14" i="51"/>
  <c r="J27" i="51" s="1"/>
  <c r="J44" i="51"/>
  <c r="J45" i="51" s="1"/>
  <c r="J46" i="51" s="1"/>
  <c r="H44" i="51"/>
  <c r="H45" i="51" s="1"/>
  <c r="H46" i="51" s="1"/>
  <c r="H14" i="51"/>
  <c r="H27" i="51" s="1"/>
  <c r="I44" i="51"/>
  <c r="I45" i="51" s="1"/>
  <c r="I46" i="51" s="1"/>
  <c r="I14" i="51"/>
  <c r="I27" i="51" s="1"/>
  <c r="R10" i="51"/>
  <c r="K14" i="51"/>
  <c r="K27" i="51" s="1"/>
  <c r="K44" i="51"/>
  <c r="K45" i="51" s="1"/>
  <c r="K46" i="51" s="1"/>
  <c r="F44" i="51"/>
  <c r="F45" i="51" s="1"/>
  <c r="F46" i="51" s="1"/>
  <c r="F14" i="51"/>
  <c r="F27" i="51" s="1"/>
  <c r="Q10" i="51"/>
  <c r="N14" i="51"/>
  <c r="N27" i="51" s="1"/>
  <c r="N44" i="51"/>
  <c r="N45" i="51" s="1"/>
  <c r="N46" i="51" s="1"/>
  <c r="W8" i="37"/>
  <c r="Q7" i="71" l="1"/>
  <c r="M68" i="61"/>
  <c r="M69" i="61" s="1"/>
  <c r="P15" i="70"/>
  <c r="Q15" i="70" s="1"/>
  <c r="S15" i="70"/>
  <c r="M10" i="71"/>
  <c r="L44" i="51"/>
  <c r="L45" i="51" s="1"/>
  <c r="L46" i="51" s="1"/>
  <c r="M44" i="51"/>
  <c r="M45" i="51" s="1"/>
  <c r="M46" i="51" s="1"/>
  <c r="N40" i="61"/>
  <c r="L152" i="43"/>
  <c r="L40" i="61"/>
  <c r="J152" i="43"/>
  <c r="U10" i="51"/>
  <c r="U44" i="51" s="1"/>
  <c r="U45" i="51" s="1"/>
  <c r="U46" i="51" s="1"/>
  <c r="S10" i="51"/>
  <c r="S14" i="51" s="1"/>
  <c r="Y23" i="61"/>
  <c r="W26" i="61"/>
  <c r="Q67" i="37"/>
  <c r="U67" i="37" s="1"/>
  <c r="H68" i="37"/>
  <c r="Q14" i="51"/>
  <c r="Q27" i="51" s="1"/>
  <c r="Q44" i="51"/>
  <c r="Q45" i="51" s="1"/>
  <c r="Q46" i="51" s="1"/>
  <c r="R44" i="51"/>
  <c r="R45" i="51" s="1"/>
  <c r="R46" i="51" s="1"/>
  <c r="R14" i="51"/>
  <c r="R27" i="51" s="1"/>
  <c r="N29" i="35"/>
  <c r="N17" i="37"/>
  <c r="M29" i="35"/>
  <c r="M17" i="37"/>
  <c r="S20" i="35"/>
  <c r="F20" i="70" s="1"/>
  <c r="P20" i="35"/>
  <c r="C20" i="70" s="1"/>
  <c r="Q20" i="35"/>
  <c r="D20" i="70" s="1"/>
  <c r="N68" i="61" l="1"/>
  <c r="N69" i="61" s="1"/>
  <c r="L68" i="61"/>
  <c r="L69" i="61" s="1"/>
  <c r="L52" i="61"/>
  <c r="U14" i="51"/>
  <c r="U27" i="51" s="1"/>
  <c r="S44" i="51"/>
  <c r="S45" i="51" s="1"/>
  <c r="S46" i="51" s="1"/>
  <c r="W10" i="51"/>
  <c r="Y26" i="61"/>
  <c r="W40" i="61"/>
  <c r="Y40" i="61" s="1"/>
  <c r="S27" i="51"/>
  <c r="M12" i="37"/>
  <c r="M33" i="37" s="1"/>
  <c r="N12" i="37"/>
  <c r="N33" i="37" s="1"/>
  <c r="Q18" i="35"/>
  <c r="D18" i="70" s="1"/>
  <c r="P18" i="35"/>
  <c r="C18" i="70" s="1"/>
  <c r="M21" i="35"/>
  <c r="M46" i="35" s="1"/>
  <c r="N21" i="35"/>
  <c r="N46" i="35" s="1"/>
  <c r="U20" i="35"/>
  <c r="R20" i="35"/>
  <c r="E20" i="70" s="1"/>
  <c r="M20" i="70" s="1"/>
  <c r="P20" i="70" s="1"/>
  <c r="Q20" i="70" s="1"/>
  <c r="U18" i="35"/>
  <c r="S18" i="35"/>
  <c r="F18" i="70" s="1"/>
  <c r="W14" i="51" l="1"/>
  <c r="W27" i="51"/>
  <c r="S20" i="70"/>
  <c r="W20" i="35"/>
  <c r="R18" i="35"/>
  <c r="E18" i="70" s="1"/>
  <c r="M18" i="70" s="1"/>
  <c r="P18" i="70" s="1"/>
  <c r="Q18" i="70" s="1"/>
  <c r="S18" i="70" l="1"/>
  <c r="W18" i="35"/>
  <c r="G40" i="15"/>
  <c r="H40" i="15" s="1"/>
  <c r="H28" i="15"/>
  <c r="H14" i="15"/>
  <c r="H7" i="15"/>
  <c r="H30" i="15" l="1"/>
  <c r="H42" i="15"/>
  <c r="H44" i="15" s="1"/>
  <c r="I40" i="15"/>
  <c r="C7" i="15" l="1"/>
  <c r="C14" i="15"/>
  <c r="C28" i="15"/>
  <c r="C30" i="15" l="1"/>
  <c r="C42" i="15"/>
  <c r="D37" i="15" l="1"/>
  <c r="D11" i="15"/>
  <c r="D5" i="15"/>
  <c r="R32" i="35"/>
  <c r="E32" i="70" s="1"/>
  <c r="R36" i="35" l="1"/>
  <c r="E36" i="70" s="1"/>
  <c r="R43" i="35"/>
  <c r="E43" i="70" s="1"/>
  <c r="R29" i="37"/>
  <c r="R27" i="37"/>
  <c r="R37" i="37"/>
  <c r="R23" i="37"/>
  <c r="R30" i="37"/>
  <c r="R26" i="37"/>
  <c r="R36" i="37"/>
  <c r="R46" i="37"/>
  <c r="R28" i="37"/>
  <c r="R40" i="37"/>
  <c r="R39" i="35"/>
  <c r="E39" i="70" s="1"/>
  <c r="R35" i="37"/>
  <c r="R38" i="37"/>
  <c r="R24" i="37"/>
  <c r="R48" i="35"/>
  <c r="E48" i="70" s="1"/>
  <c r="K31" i="37"/>
  <c r="J31" i="37"/>
  <c r="R38" i="35"/>
  <c r="E38" i="70" s="1"/>
  <c r="R25" i="37"/>
  <c r="R50" i="35"/>
  <c r="E50" i="70" s="1"/>
  <c r="R40" i="35"/>
  <c r="E40" i="70" s="1"/>
  <c r="R42" i="35"/>
  <c r="E42" i="70" s="1"/>
  <c r="R51" i="35"/>
  <c r="E51" i="70" s="1"/>
  <c r="R37" i="35"/>
  <c r="E37" i="70" s="1"/>
  <c r="R49" i="35"/>
  <c r="E49" i="70" s="1"/>
  <c r="R41" i="35"/>
  <c r="E41" i="70" s="1"/>
  <c r="R53" i="35"/>
  <c r="E53" i="70" s="1"/>
  <c r="J44" i="35"/>
  <c r="Q25" i="37"/>
  <c r="Q29" i="37"/>
  <c r="Q24" i="37"/>
  <c r="Q27" i="37"/>
  <c r="Q35" i="37"/>
  <c r="P29" i="37"/>
  <c r="U29" i="37"/>
  <c r="P25" i="37"/>
  <c r="P26" i="37"/>
  <c r="U26" i="37"/>
  <c r="Q36" i="37"/>
  <c r="Q30" i="37"/>
  <c r="U40" i="37"/>
  <c r="P40" i="37"/>
  <c r="Q38" i="37"/>
  <c r="P28" i="37"/>
  <c r="U28" i="37"/>
  <c r="U30" i="37"/>
  <c r="P30" i="37"/>
  <c r="Q26" i="37"/>
  <c r="H31" i="37"/>
  <c r="D31" i="37"/>
  <c r="U36" i="37"/>
  <c r="P36" i="37"/>
  <c r="P23" i="37"/>
  <c r="U23" i="37"/>
  <c r="Q37" i="37"/>
  <c r="Q28" i="37"/>
  <c r="U37" i="37"/>
  <c r="P37" i="37"/>
  <c r="C31" i="37"/>
  <c r="P22" i="37"/>
  <c r="P27" i="37"/>
  <c r="U27" i="37"/>
  <c r="P35" i="37"/>
  <c r="U35" i="37"/>
  <c r="Q23" i="37"/>
  <c r="E31" i="37"/>
  <c r="Q22" i="37"/>
  <c r="F31" i="37"/>
  <c r="Q46" i="37"/>
  <c r="U38" i="37"/>
  <c r="P38" i="37"/>
  <c r="U46" i="37"/>
  <c r="P46" i="37"/>
  <c r="G31" i="37"/>
  <c r="Q40" i="37"/>
  <c r="U24" i="37"/>
  <c r="P24" i="37"/>
  <c r="Q36" i="35"/>
  <c r="D36" i="70" s="1"/>
  <c r="C44" i="35"/>
  <c r="E37" i="15"/>
  <c r="Q51" i="35"/>
  <c r="D51" i="70" s="1"/>
  <c r="Q49" i="35"/>
  <c r="D49" i="70" s="1"/>
  <c r="Q39" i="35"/>
  <c r="D39" i="70" s="1"/>
  <c r="Q38" i="35"/>
  <c r="D38" i="70" s="1"/>
  <c r="Q48" i="35"/>
  <c r="D48" i="70" s="1"/>
  <c r="U36" i="35"/>
  <c r="P36" i="35"/>
  <c r="C36" i="70" s="1"/>
  <c r="F44" i="35"/>
  <c r="Q35" i="35"/>
  <c r="D35" i="70" s="1"/>
  <c r="R35" i="35"/>
  <c r="E35" i="70" s="1"/>
  <c r="I44" i="35"/>
  <c r="U38" i="35"/>
  <c r="P38" i="35"/>
  <c r="C38" i="70" s="1"/>
  <c r="P41" i="35"/>
  <c r="C41" i="70" s="1"/>
  <c r="U41" i="35"/>
  <c r="D44" i="35"/>
  <c r="P43" i="35"/>
  <c r="C43" i="70" s="1"/>
  <c r="U43" i="35"/>
  <c r="Q50" i="35"/>
  <c r="D50" i="70" s="1"/>
  <c r="P49" i="35"/>
  <c r="C49" i="70" s="1"/>
  <c r="U49" i="35"/>
  <c r="P40" i="35"/>
  <c r="C40" i="70" s="1"/>
  <c r="U40" i="35"/>
  <c r="Q40" i="35"/>
  <c r="D40" i="70" s="1"/>
  <c r="H44" i="35"/>
  <c r="U37" i="35"/>
  <c r="P37" i="35"/>
  <c r="C37" i="70" s="1"/>
  <c r="Q53" i="35"/>
  <c r="D53" i="70" s="1"/>
  <c r="Q43" i="35"/>
  <c r="D43" i="70" s="1"/>
  <c r="P32" i="35"/>
  <c r="C32" i="70" s="1"/>
  <c r="U32" i="35"/>
  <c r="U50" i="35"/>
  <c r="P50" i="35"/>
  <c r="C50" i="70" s="1"/>
  <c r="Q41" i="35"/>
  <c r="D41" i="70" s="1"/>
  <c r="Q37" i="35"/>
  <c r="D37" i="70" s="1"/>
  <c r="U51" i="35"/>
  <c r="P51" i="35"/>
  <c r="C51" i="70" s="1"/>
  <c r="U35" i="35"/>
  <c r="P35" i="35"/>
  <c r="C35" i="70" s="1"/>
  <c r="Q42" i="35"/>
  <c r="D42" i="70" s="1"/>
  <c r="Q32" i="35"/>
  <c r="D32" i="70" s="1"/>
  <c r="P53" i="35"/>
  <c r="C53" i="70" s="1"/>
  <c r="U53" i="35"/>
  <c r="P42" i="35"/>
  <c r="C42" i="70" s="1"/>
  <c r="U42" i="35"/>
  <c r="P39" i="35"/>
  <c r="C39" i="70" s="1"/>
  <c r="U39" i="35"/>
  <c r="U48" i="35"/>
  <c r="P48" i="35"/>
  <c r="C48" i="70" s="1"/>
  <c r="E44" i="35"/>
  <c r="G44" i="35"/>
  <c r="E11" i="15"/>
  <c r="D16" i="15"/>
  <c r="E16" i="15" s="1"/>
  <c r="D23" i="15"/>
  <c r="E23" i="15" s="1"/>
  <c r="D24" i="15"/>
  <c r="E24" i="15" s="1"/>
  <c r="D25" i="15"/>
  <c r="E25" i="15" s="1"/>
  <c r="D26" i="15"/>
  <c r="E26" i="15" s="1"/>
  <c r="D27" i="15"/>
  <c r="E27" i="15" s="1"/>
  <c r="D32" i="15"/>
  <c r="E32" i="15" s="1"/>
  <c r="D33" i="15"/>
  <c r="E33" i="15" s="1"/>
  <c r="D34" i="15"/>
  <c r="E34" i="15" s="1"/>
  <c r="D35" i="15"/>
  <c r="E35" i="15" s="1"/>
  <c r="D36" i="15"/>
  <c r="E36" i="15" s="1"/>
  <c r="D38" i="15"/>
  <c r="E38" i="15" s="1"/>
  <c r="D12" i="15"/>
  <c r="E12" i="15" s="1"/>
  <c r="D9" i="15"/>
  <c r="E9" i="15" s="1"/>
  <c r="D10" i="15"/>
  <c r="E10" i="15" s="1"/>
  <c r="D18" i="15"/>
  <c r="E18" i="15" s="1"/>
  <c r="D13" i="15"/>
  <c r="E13" i="15" s="1"/>
  <c r="D20" i="15"/>
  <c r="E20" i="15" s="1"/>
  <c r="D21" i="15"/>
  <c r="E21" i="15" s="1"/>
  <c r="D19" i="15"/>
  <c r="E19" i="15" s="1"/>
  <c r="D22" i="15"/>
  <c r="E22" i="15" s="1"/>
  <c r="E5" i="15"/>
  <c r="E7" i="15" s="1"/>
  <c r="D7" i="15"/>
  <c r="I4" i="12"/>
  <c r="G26" i="12"/>
  <c r="F34" i="12"/>
  <c r="B23" i="12"/>
  <c r="M32" i="70" l="1"/>
  <c r="P32" i="70" s="1"/>
  <c r="Q32" i="70" s="1"/>
  <c r="M39" i="70"/>
  <c r="M37" i="70"/>
  <c r="P37" i="70" s="1"/>
  <c r="Q37" i="70" s="1"/>
  <c r="C44" i="70"/>
  <c r="M48" i="70"/>
  <c r="P48" i="70" s="1"/>
  <c r="Q48" i="70" s="1"/>
  <c r="D44" i="70"/>
  <c r="M53" i="70"/>
  <c r="P53" i="70" s="1"/>
  <c r="Q53" i="70" s="1"/>
  <c r="M41" i="70"/>
  <c r="M49" i="70"/>
  <c r="P49" i="70" s="1"/>
  <c r="Q49" i="70" s="1"/>
  <c r="M51" i="70"/>
  <c r="M42" i="70"/>
  <c r="P42" i="70" s="1"/>
  <c r="Q42" i="70" s="1"/>
  <c r="M40" i="70"/>
  <c r="P40" i="70" s="1"/>
  <c r="Q40" i="70" s="1"/>
  <c r="M50" i="70"/>
  <c r="M43" i="70"/>
  <c r="M36" i="70"/>
  <c r="P36" i="70" s="1"/>
  <c r="Q36" i="70" s="1"/>
  <c r="M38" i="70"/>
  <c r="S49" i="70"/>
  <c r="S48" i="70"/>
  <c r="E44" i="70"/>
  <c r="S37" i="70"/>
  <c r="AF114" i="38"/>
  <c r="I31" i="37"/>
  <c r="R22" i="37"/>
  <c r="R31" i="37" s="1"/>
  <c r="J15" i="12"/>
  <c r="K33" i="35"/>
  <c r="K19" i="37" s="1"/>
  <c r="J33" i="35"/>
  <c r="U25" i="37"/>
  <c r="W25" i="37" s="1"/>
  <c r="S35" i="35"/>
  <c r="L44" i="35"/>
  <c r="R44" i="35"/>
  <c r="W37" i="37"/>
  <c r="W24" i="37"/>
  <c r="Q31" i="37"/>
  <c r="AD114" i="38"/>
  <c r="C111" i="38"/>
  <c r="AE114" i="38"/>
  <c r="W40" i="37"/>
  <c r="W35" i="37"/>
  <c r="W30" i="37"/>
  <c r="W26" i="37"/>
  <c r="W38" i="37"/>
  <c r="W46" i="37"/>
  <c r="W27" i="37"/>
  <c r="W23" i="37"/>
  <c r="W28" i="37"/>
  <c r="W36" i="37"/>
  <c r="P31" i="37"/>
  <c r="W29" i="37"/>
  <c r="W38" i="35"/>
  <c r="C15" i="12"/>
  <c r="W48" i="35"/>
  <c r="H33" i="35"/>
  <c r="H19" i="37" s="1"/>
  <c r="E33" i="35"/>
  <c r="G33" i="35"/>
  <c r="W53" i="35"/>
  <c r="W49" i="35"/>
  <c r="W32" i="35"/>
  <c r="W51" i="35"/>
  <c r="W36" i="35"/>
  <c r="W50" i="35"/>
  <c r="W39" i="35"/>
  <c r="W42" i="35"/>
  <c r="W40" i="35"/>
  <c r="E15" i="12"/>
  <c r="Q44" i="35"/>
  <c r="P44" i="35"/>
  <c r="U44" i="35"/>
  <c r="W37" i="35"/>
  <c r="W43" i="35"/>
  <c r="W41" i="35"/>
  <c r="G16" i="15"/>
  <c r="I16" i="15" s="1"/>
  <c r="D28" i="15"/>
  <c r="E14" i="15"/>
  <c r="E28" i="15"/>
  <c r="G18" i="15"/>
  <c r="I18" i="15" s="1"/>
  <c r="G9" i="15"/>
  <c r="I9" i="15" s="1"/>
  <c r="G20" i="15"/>
  <c r="I20" i="15" s="1"/>
  <c r="G25" i="15"/>
  <c r="I25" i="15" s="1"/>
  <c r="G27" i="15"/>
  <c r="I27" i="15" s="1"/>
  <c r="D14" i="15"/>
  <c r="G26" i="15"/>
  <c r="I26" i="15" s="1"/>
  <c r="G12" i="15"/>
  <c r="I12" i="15" s="1"/>
  <c r="G35" i="15"/>
  <c r="I35" i="15" s="1"/>
  <c r="G24" i="15"/>
  <c r="I24" i="15" s="1"/>
  <c r="G37" i="15"/>
  <c r="I37" i="15" s="1"/>
  <c r="G23" i="15"/>
  <c r="I23" i="15" s="1"/>
  <c r="G19" i="15"/>
  <c r="I19" i="15" s="1"/>
  <c r="G34" i="15"/>
  <c r="I34" i="15" s="1"/>
  <c r="G22" i="15"/>
  <c r="I22" i="15" s="1"/>
  <c r="G36" i="15"/>
  <c r="I36" i="15" s="1"/>
  <c r="G10" i="15"/>
  <c r="I10" i="15" s="1"/>
  <c r="G38" i="15"/>
  <c r="I38" i="15" s="1"/>
  <c r="G13" i="15"/>
  <c r="I13" i="15" s="1"/>
  <c r="G32" i="15"/>
  <c r="I32" i="15" s="1"/>
  <c r="G21" i="15"/>
  <c r="I21" i="15" s="1"/>
  <c r="G33" i="12"/>
  <c r="C23" i="12"/>
  <c r="E21" i="12"/>
  <c r="G21" i="12"/>
  <c r="G36" i="12"/>
  <c r="G20" i="12"/>
  <c r="G15" i="12"/>
  <c r="G33" i="15"/>
  <c r="I33" i="15" s="1"/>
  <c r="G34" i="12"/>
  <c r="G31" i="12"/>
  <c r="G22" i="12"/>
  <c r="H13" i="12"/>
  <c r="G24" i="12"/>
  <c r="G27" i="12"/>
  <c r="I31" i="12"/>
  <c r="I27" i="12"/>
  <c r="I21" i="12"/>
  <c r="I6" i="12"/>
  <c r="I26" i="12"/>
  <c r="I35" i="12"/>
  <c r="I32" i="12"/>
  <c r="I20" i="12"/>
  <c r="I9" i="12"/>
  <c r="I34" i="12"/>
  <c r="I19" i="12"/>
  <c r="I24" i="12"/>
  <c r="I18" i="12"/>
  <c r="I15" i="12"/>
  <c r="I36" i="12"/>
  <c r="I12" i="12"/>
  <c r="I17" i="12"/>
  <c r="I11" i="12"/>
  <c r="I22" i="12"/>
  <c r="I25" i="12"/>
  <c r="I23" i="12"/>
  <c r="I33" i="12"/>
  <c r="I8" i="12"/>
  <c r="H10" i="12"/>
  <c r="H27" i="12"/>
  <c r="H20" i="12"/>
  <c r="H6" i="12"/>
  <c r="H8" i="12"/>
  <c r="H21" i="12"/>
  <c r="H33" i="12"/>
  <c r="H17" i="12"/>
  <c r="H18" i="12"/>
  <c r="H35" i="12"/>
  <c r="H34" i="12"/>
  <c r="H12" i="12"/>
  <c r="H36" i="12"/>
  <c r="H19" i="12"/>
  <c r="H22" i="12"/>
  <c r="H32" i="12"/>
  <c r="H25" i="12"/>
  <c r="H31" i="12"/>
  <c r="H24" i="12"/>
  <c r="H11" i="12"/>
  <c r="H23" i="12"/>
  <c r="H26" i="12"/>
  <c r="H9" i="12"/>
  <c r="H4" i="12"/>
  <c r="H15" i="12"/>
  <c r="G18" i="12"/>
  <c r="G25" i="12"/>
  <c r="G23" i="12"/>
  <c r="B10" i="12"/>
  <c r="C8" i="12"/>
  <c r="B17" i="12"/>
  <c r="G32" i="12"/>
  <c r="G17" i="12"/>
  <c r="C17" i="12"/>
  <c r="G9" i="12"/>
  <c r="G13" i="12"/>
  <c r="F23" i="12"/>
  <c r="G6" i="12"/>
  <c r="G10" i="12"/>
  <c r="G12" i="12"/>
  <c r="G11" i="12"/>
  <c r="G4" i="12"/>
  <c r="G35" i="12"/>
  <c r="F25" i="12"/>
  <c r="F26" i="12"/>
  <c r="F9" i="12"/>
  <c r="G8" i="12"/>
  <c r="F8" i="12"/>
  <c r="J33" i="12"/>
  <c r="J24" i="12"/>
  <c r="J22" i="12"/>
  <c r="J35" i="12"/>
  <c r="J17" i="12"/>
  <c r="J9" i="12"/>
  <c r="J26" i="12"/>
  <c r="J12" i="12"/>
  <c r="J19" i="12"/>
  <c r="J21" i="12"/>
  <c r="J8" i="12"/>
  <c r="J6" i="12"/>
  <c r="J32" i="12"/>
  <c r="J31" i="12"/>
  <c r="J23" i="12"/>
  <c r="J11" i="12"/>
  <c r="J34" i="12"/>
  <c r="J25" i="12"/>
  <c r="J36" i="12"/>
  <c r="J18" i="12"/>
  <c r="J4" i="12"/>
  <c r="J20" i="12"/>
  <c r="J27" i="12"/>
  <c r="F35" i="12"/>
  <c r="G19" i="12"/>
  <c r="F36" i="12"/>
  <c r="E32" i="12"/>
  <c r="B21" i="12"/>
  <c r="F12" i="12"/>
  <c r="F15" i="12"/>
  <c r="F32" i="12"/>
  <c r="C33" i="12"/>
  <c r="C18" i="12"/>
  <c r="B18" i="12"/>
  <c r="C4" i="12"/>
  <c r="E11" i="12"/>
  <c r="F4" i="12"/>
  <c r="B33" i="12"/>
  <c r="F20" i="12"/>
  <c r="C36" i="12"/>
  <c r="F17" i="12"/>
  <c r="B34" i="12"/>
  <c r="F18" i="12"/>
  <c r="E22" i="12"/>
  <c r="E31" i="12"/>
  <c r="C26" i="12"/>
  <c r="B31" i="12"/>
  <c r="B19" i="12"/>
  <c r="C22" i="12"/>
  <c r="B20" i="12"/>
  <c r="C24" i="12"/>
  <c r="B35" i="12"/>
  <c r="F22" i="12"/>
  <c r="B26" i="12"/>
  <c r="E12" i="12"/>
  <c r="F33" i="12"/>
  <c r="C20" i="12"/>
  <c r="B4" i="12"/>
  <c r="F24" i="12"/>
  <c r="B32" i="12"/>
  <c r="F11" i="12"/>
  <c r="C34" i="12"/>
  <c r="F10" i="12"/>
  <c r="C10" i="12"/>
  <c r="E9" i="12"/>
  <c r="B36" i="12"/>
  <c r="F19" i="12"/>
  <c r="F21" i="12"/>
  <c r="C21" i="12"/>
  <c r="C19" i="12"/>
  <c r="E4" i="12"/>
  <c r="B12" i="12"/>
  <c r="C35" i="12"/>
  <c r="D6" i="12"/>
  <c r="D11" i="12"/>
  <c r="D9" i="12"/>
  <c r="D36" i="12"/>
  <c r="D24" i="12"/>
  <c r="C27" i="12"/>
  <c r="D32" i="12"/>
  <c r="F13" i="12"/>
  <c r="B27" i="12"/>
  <c r="D21" i="12"/>
  <c r="E34" i="12"/>
  <c r="E24" i="12"/>
  <c r="E33" i="12"/>
  <c r="D19" i="12"/>
  <c r="E23" i="12"/>
  <c r="D31" i="12"/>
  <c r="D33" i="12"/>
  <c r="D23" i="12"/>
  <c r="E18" i="12"/>
  <c r="D10" i="12"/>
  <c r="E35" i="12"/>
  <c r="D22" i="12"/>
  <c r="D17" i="12"/>
  <c r="B25" i="12"/>
  <c r="C32" i="12"/>
  <c r="D8" i="12"/>
  <c r="E19" i="12"/>
  <c r="E26" i="12"/>
  <c r="D15" i="12"/>
  <c r="E25" i="12"/>
  <c r="D18" i="12"/>
  <c r="C13" i="12"/>
  <c r="B24" i="12"/>
  <c r="D35" i="12"/>
  <c r="D27" i="12"/>
  <c r="E27" i="12"/>
  <c r="E6" i="12"/>
  <c r="D20" i="12"/>
  <c r="B8" i="12"/>
  <c r="D34" i="12"/>
  <c r="E20" i="12"/>
  <c r="B11" i="12"/>
  <c r="E13" i="12"/>
  <c r="B22" i="12"/>
  <c r="C31" i="12"/>
  <c r="D4" i="12"/>
  <c r="E36" i="12"/>
  <c r="D12" i="12"/>
  <c r="B13" i="12"/>
  <c r="F27" i="12"/>
  <c r="D13" i="12"/>
  <c r="B6" i="12"/>
  <c r="C6" i="12"/>
  <c r="E17" i="12"/>
  <c r="E10" i="12"/>
  <c r="C12" i="12"/>
  <c r="B9" i="12"/>
  <c r="C25" i="12"/>
  <c r="E8" i="12"/>
  <c r="P20" i="12"/>
  <c r="F6" i="12"/>
  <c r="C11" i="12"/>
  <c r="C9" i="12"/>
  <c r="D25" i="12"/>
  <c r="F31" i="12"/>
  <c r="B15" i="12"/>
  <c r="D26" i="12"/>
  <c r="E8" i="14"/>
  <c r="D26" i="14"/>
  <c r="S50" i="70" l="1"/>
  <c r="P50" i="70"/>
  <c r="Q50" i="70" s="1"/>
  <c r="S38" i="70"/>
  <c r="P38" i="70"/>
  <c r="Q38" i="70" s="1"/>
  <c r="S43" i="70"/>
  <c r="P43" i="70"/>
  <c r="Q43" i="70" s="1"/>
  <c r="S51" i="70"/>
  <c r="P51" i="70"/>
  <c r="Q51" i="70" s="1"/>
  <c r="S39" i="70"/>
  <c r="P39" i="70"/>
  <c r="Q39" i="70" s="1"/>
  <c r="S41" i="70"/>
  <c r="P41" i="70"/>
  <c r="Q41" i="70" s="1"/>
  <c r="S53" i="70"/>
  <c r="AP114" i="38"/>
  <c r="S32" i="70"/>
  <c r="S36" i="70"/>
  <c r="S40" i="70"/>
  <c r="S42" i="70"/>
  <c r="S44" i="35"/>
  <c r="W44" i="35" s="1"/>
  <c r="F35" i="70"/>
  <c r="J19" i="37"/>
  <c r="J20" i="37" s="1"/>
  <c r="K20" i="37"/>
  <c r="H20" i="37"/>
  <c r="G19" i="37"/>
  <c r="G20" i="37" s="1"/>
  <c r="E19" i="37"/>
  <c r="E20" i="37" s="1"/>
  <c r="C116" i="38"/>
  <c r="B9" i="66" s="1"/>
  <c r="E12" i="37"/>
  <c r="C17" i="37"/>
  <c r="H17" i="37"/>
  <c r="C12" i="37"/>
  <c r="D17" i="37"/>
  <c r="E17" i="37"/>
  <c r="H12" i="37"/>
  <c r="S15" i="37"/>
  <c r="S25" i="35"/>
  <c r="F25" i="70" s="1"/>
  <c r="S16" i="37"/>
  <c r="S27" i="35"/>
  <c r="L29" i="35"/>
  <c r="S23" i="35"/>
  <c r="F23" i="70" s="1"/>
  <c r="AF111" i="38"/>
  <c r="S11" i="37"/>
  <c r="S19" i="35"/>
  <c r="L33" i="35"/>
  <c r="S31" i="35"/>
  <c r="AF106" i="38"/>
  <c r="S17" i="35"/>
  <c r="L21" i="35"/>
  <c r="S22" i="37"/>
  <c r="S31" i="37" s="1"/>
  <c r="L31" i="37"/>
  <c r="U22" i="37"/>
  <c r="J12" i="37"/>
  <c r="J21" i="35"/>
  <c r="W35" i="35"/>
  <c r="J17" i="37"/>
  <c r="J29" i="35"/>
  <c r="K12" i="37"/>
  <c r="K21" i="35"/>
  <c r="K17" i="37"/>
  <c r="K29" i="35"/>
  <c r="C29" i="35"/>
  <c r="E21" i="35"/>
  <c r="D29" i="35"/>
  <c r="H29" i="35"/>
  <c r="G29" i="35"/>
  <c r="F29" i="35"/>
  <c r="I21" i="35"/>
  <c r="D33" i="35"/>
  <c r="P23" i="35"/>
  <c r="C23" i="70" s="1"/>
  <c r="U23" i="35"/>
  <c r="U17" i="35"/>
  <c r="P17" i="35"/>
  <c r="R11" i="37"/>
  <c r="R19" i="35"/>
  <c r="G12" i="37"/>
  <c r="G21" i="35"/>
  <c r="U25" i="35"/>
  <c r="P25" i="35"/>
  <c r="C25" i="70" s="1"/>
  <c r="Q27" i="35"/>
  <c r="Q16" i="37"/>
  <c r="P19" i="35"/>
  <c r="R31" i="35"/>
  <c r="H21" i="35"/>
  <c r="U27" i="35"/>
  <c r="P27" i="35"/>
  <c r="Q23" i="35"/>
  <c r="D23" i="70" s="1"/>
  <c r="AD111" i="38"/>
  <c r="R27" i="35"/>
  <c r="R16" i="37"/>
  <c r="E29" i="35"/>
  <c r="AE106" i="38"/>
  <c r="R17" i="35"/>
  <c r="Q11" i="37"/>
  <c r="Q19" i="35"/>
  <c r="AD106" i="38"/>
  <c r="Q15" i="37"/>
  <c r="Q25" i="35"/>
  <c r="D25" i="70" s="1"/>
  <c r="R23" i="35"/>
  <c r="E23" i="70" s="1"/>
  <c r="Q17" i="35"/>
  <c r="R15" i="37"/>
  <c r="R25" i="35"/>
  <c r="E25" i="70" s="1"/>
  <c r="U19" i="35"/>
  <c r="AE111" i="38"/>
  <c r="Q31" i="35"/>
  <c r="C21" i="35"/>
  <c r="D21" i="35"/>
  <c r="I29" i="35"/>
  <c r="F21" i="35"/>
  <c r="I33" i="35"/>
  <c r="F33" i="35"/>
  <c r="O15" i="12"/>
  <c r="Q15" i="12"/>
  <c r="D30" i="15"/>
  <c r="D42" i="15" s="1"/>
  <c r="E42" i="15" s="1"/>
  <c r="E30" i="15"/>
  <c r="I28" i="15"/>
  <c r="G28" i="15"/>
  <c r="G25" i="14"/>
  <c r="G11" i="14"/>
  <c r="G27" i="14"/>
  <c r="D18" i="14"/>
  <c r="G9" i="14"/>
  <c r="D34" i="14"/>
  <c r="G34" i="14"/>
  <c r="G17" i="14"/>
  <c r="G18" i="14"/>
  <c r="G26" i="14"/>
  <c r="G19" i="14"/>
  <c r="G21" i="14"/>
  <c r="H25" i="14"/>
  <c r="D17" i="14"/>
  <c r="G31" i="14"/>
  <c r="I10" i="12"/>
  <c r="Q4" i="12"/>
  <c r="G6" i="14"/>
  <c r="G20" i="14"/>
  <c r="E17" i="14"/>
  <c r="B36" i="14"/>
  <c r="C35" i="14"/>
  <c r="D6" i="14"/>
  <c r="K33" i="12"/>
  <c r="K24" i="12"/>
  <c r="K35" i="12"/>
  <c r="K17" i="12"/>
  <c r="K9" i="12"/>
  <c r="K26" i="12"/>
  <c r="K12" i="12"/>
  <c r="K19" i="12"/>
  <c r="K21" i="12"/>
  <c r="K8" i="12"/>
  <c r="K6" i="12"/>
  <c r="K32" i="12"/>
  <c r="K22" i="12"/>
  <c r="K23" i="12"/>
  <c r="K11" i="12"/>
  <c r="K34" i="12"/>
  <c r="K25" i="12"/>
  <c r="K36" i="12"/>
  <c r="K18" i="12"/>
  <c r="K31" i="12"/>
  <c r="K20" i="12"/>
  <c r="K4" i="12"/>
  <c r="K27" i="12"/>
  <c r="K15" i="12"/>
  <c r="Q24" i="12"/>
  <c r="Q17" i="12"/>
  <c r="Q6" i="12"/>
  <c r="Q25" i="12"/>
  <c r="Q20" i="12"/>
  <c r="Q31" i="12"/>
  <c r="Q22" i="12"/>
  <c r="Q35" i="12"/>
  <c r="Q33" i="12"/>
  <c r="Q9" i="12"/>
  <c r="Q12" i="12"/>
  <c r="Q34" i="12"/>
  <c r="Q32" i="12"/>
  <c r="Q21" i="12"/>
  <c r="Q36" i="12"/>
  <c r="Q8" i="12"/>
  <c r="Q23" i="12"/>
  <c r="Q26" i="12"/>
  <c r="Q19" i="12"/>
  <c r="Q18" i="12"/>
  <c r="Q11" i="12"/>
  <c r="Q27" i="12"/>
  <c r="G32" i="14"/>
  <c r="G29" i="14"/>
  <c r="G15" i="14"/>
  <c r="G10" i="14"/>
  <c r="G13" i="14"/>
  <c r="G29" i="12"/>
  <c r="G12" i="14"/>
  <c r="G33" i="14"/>
  <c r="G24" i="14"/>
  <c r="G36" i="14"/>
  <c r="G35" i="14"/>
  <c r="G4" i="14"/>
  <c r="G22" i="14"/>
  <c r="G23" i="14"/>
  <c r="G8" i="14"/>
  <c r="C18" i="14"/>
  <c r="P33" i="12"/>
  <c r="P19" i="12"/>
  <c r="C13" i="14"/>
  <c r="P9" i="12"/>
  <c r="P4" i="12"/>
  <c r="P15" i="12"/>
  <c r="P8" i="12"/>
  <c r="P34" i="12"/>
  <c r="P26" i="12"/>
  <c r="P31" i="12"/>
  <c r="P12" i="12"/>
  <c r="P24" i="12"/>
  <c r="P17" i="12"/>
  <c r="P32" i="12"/>
  <c r="P36" i="12"/>
  <c r="P10" i="12"/>
  <c r="P23" i="12"/>
  <c r="D27" i="14"/>
  <c r="P25" i="12"/>
  <c r="E25" i="14"/>
  <c r="D25" i="14"/>
  <c r="E13" i="14"/>
  <c r="O21" i="12"/>
  <c r="E20" i="14"/>
  <c r="E10" i="14"/>
  <c r="C6" i="14"/>
  <c r="E31" i="14"/>
  <c r="C10" i="14"/>
  <c r="D13" i="14"/>
  <c r="C25" i="14"/>
  <c r="C15" i="14"/>
  <c r="C24" i="14"/>
  <c r="C12" i="14"/>
  <c r="O4" i="12"/>
  <c r="E21" i="14"/>
  <c r="E6" i="14"/>
  <c r="E27" i="14"/>
  <c r="F29" i="12"/>
  <c r="F29" i="14"/>
  <c r="F12" i="14"/>
  <c r="F18" i="14"/>
  <c r="B6" i="14"/>
  <c r="F19" i="14"/>
  <c r="F17" i="14"/>
  <c r="O10" i="12"/>
  <c r="O33" i="12"/>
  <c r="B25" i="14"/>
  <c r="B29" i="12"/>
  <c r="B29" i="14"/>
  <c r="B31" i="14"/>
  <c r="B32" i="14"/>
  <c r="B19" i="14"/>
  <c r="B34" i="14"/>
  <c r="B10" i="14"/>
  <c r="B26" i="14"/>
  <c r="B4" i="14"/>
  <c r="B21" i="14"/>
  <c r="B20" i="14"/>
  <c r="B17" i="14"/>
  <c r="O4" i="14"/>
  <c r="O27" i="12"/>
  <c r="B15" i="14"/>
  <c r="F36" i="14"/>
  <c r="C33" i="14"/>
  <c r="O13" i="12"/>
  <c r="O18" i="12"/>
  <c r="O20" i="12"/>
  <c r="B35" i="14"/>
  <c r="C19" i="14"/>
  <c r="F15" i="14"/>
  <c r="C21" i="14"/>
  <c r="F33" i="14"/>
  <c r="F6" i="14"/>
  <c r="F27" i="14"/>
  <c r="C31" i="14"/>
  <c r="F21" i="14"/>
  <c r="B27" i="14"/>
  <c r="C22" i="14"/>
  <c r="F9" i="14"/>
  <c r="O19" i="12"/>
  <c r="F32" i="14"/>
  <c r="P35" i="12"/>
  <c r="O35" i="12"/>
  <c r="F24" i="14"/>
  <c r="F8" i="14"/>
  <c r="F4" i="14"/>
  <c r="F13" i="14"/>
  <c r="O31" i="12"/>
  <c r="C26" i="14"/>
  <c r="O26" i="12"/>
  <c r="F22" i="14"/>
  <c r="O6" i="12"/>
  <c r="O25" i="12"/>
  <c r="B33" i="14"/>
  <c r="F31" i="14"/>
  <c r="C29" i="12"/>
  <c r="C29" i="14"/>
  <c r="C23" i="14"/>
  <c r="C34" i="14"/>
  <c r="C17" i="14"/>
  <c r="C8" i="14"/>
  <c r="C36" i="14"/>
  <c r="C11" i="14"/>
  <c r="C9" i="14"/>
  <c r="B24" i="14"/>
  <c r="B9" i="14"/>
  <c r="P6" i="12"/>
  <c r="O32" i="12"/>
  <c r="B8" i="14"/>
  <c r="P22" i="12"/>
  <c r="F34" i="14"/>
  <c r="P21" i="12"/>
  <c r="F25" i="14"/>
  <c r="B18" i="14"/>
  <c r="P13" i="12"/>
  <c r="B23" i="14"/>
  <c r="B22" i="14"/>
  <c r="O17" i="12"/>
  <c r="C4" i="14"/>
  <c r="D29" i="12"/>
  <c r="D29" i="14"/>
  <c r="D20" i="14"/>
  <c r="D22" i="14"/>
  <c r="D35" i="14"/>
  <c r="D23" i="14"/>
  <c r="D12" i="14"/>
  <c r="D10" i="14"/>
  <c r="D15" i="14"/>
  <c r="D33" i="14"/>
  <c r="D8" i="14"/>
  <c r="D31" i="14"/>
  <c r="D19" i="14"/>
  <c r="D21" i="14"/>
  <c r="D24" i="14"/>
  <c r="D36" i="14"/>
  <c r="D11" i="14"/>
  <c r="D32" i="14"/>
  <c r="D9" i="14"/>
  <c r="E29" i="12"/>
  <c r="E29" i="14"/>
  <c r="E15" i="14"/>
  <c r="E19" i="14"/>
  <c r="E12" i="14"/>
  <c r="E18" i="14"/>
  <c r="E26" i="14"/>
  <c r="E23" i="14"/>
  <c r="E4" i="14"/>
  <c r="E22" i="14"/>
  <c r="E33" i="14"/>
  <c r="E24" i="14"/>
  <c r="E34" i="14"/>
  <c r="E9" i="14"/>
  <c r="E32" i="14"/>
  <c r="B13" i="14"/>
  <c r="O34" i="12"/>
  <c r="F23" i="14"/>
  <c r="F11" i="14"/>
  <c r="O23" i="12"/>
  <c r="D4" i="14"/>
  <c r="B12" i="14"/>
  <c r="P27" i="12"/>
  <c r="O22" i="12"/>
  <c r="O36" i="12"/>
  <c r="O9" i="12"/>
  <c r="F26" i="14"/>
  <c r="F35" i="14"/>
  <c r="E11" i="14"/>
  <c r="F10" i="14"/>
  <c r="O8" i="12"/>
  <c r="O24" i="12"/>
  <c r="C32" i="14"/>
  <c r="E35" i="14"/>
  <c r="E36" i="14"/>
  <c r="O12" i="12"/>
  <c r="O11" i="12"/>
  <c r="F20" i="14"/>
  <c r="P11" i="12"/>
  <c r="C20" i="14"/>
  <c r="C27" i="14"/>
  <c r="P18" i="12"/>
  <c r="B11" i="14"/>
  <c r="P17" i="14"/>
  <c r="F17" i="70" l="1"/>
  <c r="F12" i="71"/>
  <c r="F14" i="71" s="1"/>
  <c r="F15" i="71" s="1"/>
  <c r="F19" i="70"/>
  <c r="F18" i="71"/>
  <c r="F24" i="71" s="1"/>
  <c r="Q33" i="35"/>
  <c r="D31" i="70"/>
  <c r="D33" i="70" s="1"/>
  <c r="E27" i="70"/>
  <c r="E29" i="70" s="1"/>
  <c r="E17" i="71"/>
  <c r="C27" i="70"/>
  <c r="C17" i="71"/>
  <c r="D17" i="70"/>
  <c r="D64" i="70" s="1"/>
  <c r="D65" i="70" s="1"/>
  <c r="D66" i="70" s="1"/>
  <c r="D12" i="71"/>
  <c r="D19" i="70"/>
  <c r="D18" i="71"/>
  <c r="D24" i="71" s="1"/>
  <c r="E19" i="70"/>
  <c r="E18" i="71"/>
  <c r="E24" i="71" s="1"/>
  <c r="AP111" i="38"/>
  <c r="C19" i="70"/>
  <c r="C18" i="71"/>
  <c r="E17" i="70"/>
  <c r="E12" i="71"/>
  <c r="C17" i="70"/>
  <c r="C12" i="71"/>
  <c r="D27" i="70"/>
  <c r="D29" i="70" s="1"/>
  <c r="D17" i="71"/>
  <c r="F27" i="70"/>
  <c r="F29" i="70" s="1"/>
  <c r="F17" i="71"/>
  <c r="F23" i="71" s="1"/>
  <c r="S33" i="35"/>
  <c r="F31" i="70"/>
  <c r="F33" i="70" s="1"/>
  <c r="AP106" i="38"/>
  <c r="M25" i="70"/>
  <c r="P25" i="70" s="1"/>
  <c r="Q25" i="70" s="1"/>
  <c r="F44" i="70"/>
  <c r="M35" i="70"/>
  <c r="P35" i="70" s="1"/>
  <c r="Q35" i="70" s="1"/>
  <c r="R33" i="35"/>
  <c r="E31" i="70"/>
  <c r="M23" i="70"/>
  <c r="P23" i="70" s="1"/>
  <c r="F64" i="70"/>
  <c r="F65" i="70" s="1"/>
  <c r="F66" i="70" s="1"/>
  <c r="F21" i="70"/>
  <c r="E9" i="66"/>
  <c r="P64" i="35"/>
  <c r="P65" i="35" s="1"/>
  <c r="P66" i="35" s="1"/>
  <c r="C120" i="38"/>
  <c r="C122" i="38"/>
  <c r="C124" i="38" s="1"/>
  <c r="U64" i="35"/>
  <c r="U65" i="35" s="1"/>
  <c r="U66" i="35" s="1"/>
  <c r="S64" i="35"/>
  <c r="S65" i="35" s="1"/>
  <c r="S66" i="35" s="1"/>
  <c r="D19" i="37"/>
  <c r="D20" i="37" s="1"/>
  <c r="L19" i="37"/>
  <c r="L20" i="37" s="1"/>
  <c r="I19" i="37"/>
  <c r="I20" i="37" s="1"/>
  <c r="R64" i="35"/>
  <c r="R65" i="35" s="1"/>
  <c r="R66" i="35" s="1"/>
  <c r="Q64" i="35"/>
  <c r="Q65" i="35" s="1"/>
  <c r="Q66" i="35" s="1"/>
  <c r="F19" i="37"/>
  <c r="F20" i="37" s="1"/>
  <c r="S29" i="35"/>
  <c r="H33" i="37"/>
  <c r="H45" i="37" s="1"/>
  <c r="AF116" i="38"/>
  <c r="AF120" i="38" s="1"/>
  <c r="Q14" i="37"/>
  <c r="Q17" i="37" s="1"/>
  <c r="E33" i="37"/>
  <c r="G17" i="37"/>
  <c r="G33" i="37" s="1"/>
  <c r="S21" i="35"/>
  <c r="L46" i="35"/>
  <c r="S10" i="37"/>
  <c r="L12" i="37"/>
  <c r="L17" i="37"/>
  <c r="S14" i="37"/>
  <c r="S17" i="37" s="1"/>
  <c r="R14" i="37"/>
  <c r="R17" i="37" s="1"/>
  <c r="K33" i="37"/>
  <c r="K46" i="35"/>
  <c r="J46" i="35"/>
  <c r="J33" i="37"/>
  <c r="E46" i="35"/>
  <c r="W22" i="37"/>
  <c r="U31" i="37"/>
  <c r="W31" i="37" s="1"/>
  <c r="H46" i="35"/>
  <c r="H58" i="35" s="1"/>
  <c r="U29" i="35"/>
  <c r="P21" i="35"/>
  <c r="D12" i="37"/>
  <c r="U21" i="35"/>
  <c r="D46" i="35"/>
  <c r="Q29" i="35"/>
  <c r="G46" i="35"/>
  <c r="F12" i="37"/>
  <c r="AE116" i="38"/>
  <c r="AE120" i="38" s="1"/>
  <c r="Q21" i="35"/>
  <c r="Q10" i="37"/>
  <c r="W25" i="35"/>
  <c r="P15" i="37"/>
  <c r="U15" i="37"/>
  <c r="R29" i="35"/>
  <c r="AD116" i="38"/>
  <c r="I17" i="37"/>
  <c r="W27" i="35"/>
  <c r="P16" i="37"/>
  <c r="U16" i="37"/>
  <c r="P29" i="35"/>
  <c r="W17" i="35"/>
  <c r="P31" i="35"/>
  <c r="C31" i="70" s="1"/>
  <c r="C33" i="70" s="1"/>
  <c r="U31" i="35"/>
  <c r="U33" i="35" s="1"/>
  <c r="C33" i="35"/>
  <c r="C19" i="37" s="1"/>
  <c r="U10" i="37"/>
  <c r="P10" i="37"/>
  <c r="R21" i="35"/>
  <c r="R10" i="37"/>
  <c r="I12" i="37"/>
  <c r="W19" i="35"/>
  <c r="W23" i="35"/>
  <c r="F17" i="37"/>
  <c r="P11" i="37"/>
  <c r="U11" i="37"/>
  <c r="U14" i="37"/>
  <c r="P14" i="37"/>
  <c r="F46" i="35"/>
  <c r="I46" i="35"/>
  <c r="G5" i="15"/>
  <c r="I5" i="15" s="1"/>
  <c r="I7" i="15" s="1"/>
  <c r="H32" i="14"/>
  <c r="H22" i="14"/>
  <c r="H34" i="14"/>
  <c r="H8" i="14"/>
  <c r="H33" i="14"/>
  <c r="H17" i="14"/>
  <c r="I6" i="14"/>
  <c r="I13" i="12"/>
  <c r="J10" i="12"/>
  <c r="H11" i="14"/>
  <c r="H29" i="14"/>
  <c r="H18" i="14"/>
  <c r="H27" i="14"/>
  <c r="H23" i="14"/>
  <c r="H6" i="14"/>
  <c r="H21" i="14"/>
  <c r="H10" i="14"/>
  <c r="H13" i="14"/>
  <c r="H4" i="14"/>
  <c r="H24" i="14"/>
  <c r="H9" i="14"/>
  <c r="H12" i="14"/>
  <c r="H35" i="14"/>
  <c r="H15" i="14"/>
  <c r="H29" i="12"/>
  <c r="H31" i="14"/>
  <c r="H36" i="14"/>
  <c r="H26" i="14"/>
  <c r="H20" i="14"/>
  <c r="H19" i="14"/>
  <c r="L24" i="12"/>
  <c r="L35" i="12"/>
  <c r="L17" i="12"/>
  <c r="L9" i="12"/>
  <c r="L26" i="12"/>
  <c r="L12" i="12"/>
  <c r="L19" i="12"/>
  <c r="L21" i="12"/>
  <c r="L33" i="12"/>
  <c r="L8" i="12"/>
  <c r="L6" i="12"/>
  <c r="L32" i="12"/>
  <c r="L23" i="12"/>
  <c r="L11" i="12"/>
  <c r="L34" i="12"/>
  <c r="L25" i="12"/>
  <c r="L36" i="12"/>
  <c r="L18" i="12"/>
  <c r="L20" i="12"/>
  <c r="L31" i="12"/>
  <c r="L22" i="12"/>
  <c r="L27" i="12"/>
  <c r="L4" i="12"/>
  <c r="L15" i="12"/>
  <c r="G38" i="12"/>
  <c r="G38" i="14"/>
  <c r="O17" i="14"/>
  <c r="P15" i="14"/>
  <c r="O32" i="14"/>
  <c r="P12" i="14"/>
  <c r="O15" i="14"/>
  <c r="P24" i="14"/>
  <c r="P19" i="14"/>
  <c r="O10" i="14"/>
  <c r="O35" i="14"/>
  <c r="P32" i="14"/>
  <c r="P27" i="14"/>
  <c r="P6" i="14"/>
  <c r="P26" i="14"/>
  <c r="P36" i="14"/>
  <c r="P25" i="14"/>
  <c r="O18" i="14"/>
  <c r="P22" i="14"/>
  <c r="P13" i="14"/>
  <c r="O31" i="14"/>
  <c r="P34" i="14"/>
  <c r="O6" i="14"/>
  <c r="O27" i="14"/>
  <c r="O21" i="14"/>
  <c r="P33" i="14"/>
  <c r="P21" i="14"/>
  <c r="P23" i="14"/>
  <c r="B38" i="12"/>
  <c r="B38" i="14"/>
  <c r="O29" i="14"/>
  <c r="O29" i="12"/>
  <c r="O11" i="14"/>
  <c r="O12" i="14"/>
  <c r="O33" i="14"/>
  <c r="O36" i="14"/>
  <c r="O22" i="14"/>
  <c r="O9" i="14"/>
  <c r="D38" i="12"/>
  <c r="D38" i="14"/>
  <c r="P35" i="14"/>
  <c r="O19" i="14"/>
  <c r="P10" i="14"/>
  <c r="O23" i="14"/>
  <c r="P20" i="14"/>
  <c r="P31" i="14"/>
  <c r="P18" i="14"/>
  <c r="O26" i="14"/>
  <c r="O25" i="14"/>
  <c r="F38" i="12"/>
  <c r="F38" i="14"/>
  <c r="E38" i="12"/>
  <c r="E38" i="14"/>
  <c r="O24" i="14"/>
  <c r="C38" i="12"/>
  <c r="C38" i="14"/>
  <c r="O13" i="14"/>
  <c r="O20" i="14"/>
  <c r="P29" i="12"/>
  <c r="P29" i="14"/>
  <c r="P8" i="14"/>
  <c r="O8" i="14"/>
  <c r="P11" i="14"/>
  <c r="O34" i="14"/>
  <c r="P9" i="14"/>
  <c r="P4" i="14"/>
  <c r="S25" i="70" l="1"/>
  <c r="E21" i="70"/>
  <c r="M19" i="70"/>
  <c r="P19" i="70" s="1"/>
  <c r="Q19" i="70" s="1"/>
  <c r="E64" i="70"/>
  <c r="E65" i="70" s="1"/>
  <c r="E66" i="70" s="1"/>
  <c r="M27" i="70"/>
  <c r="P27" i="70" s="1"/>
  <c r="Q27" i="70" s="1"/>
  <c r="M17" i="70"/>
  <c r="P17" i="70" s="1"/>
  <c r="Q17" i="70" s="1"/>
  <c r="S19" i="70"/>
  <c r="D14" i="71"/>
  <c r="D15" i="71" s="1"/>
  <c r="D23" i="71"/>
  <c r="M12" i="71"/>
  <c r="C14" i="71"/>
  <c r="C15" i="71" s="1"/>
  <c r="M17" i="71"/>
  <c r="C23" i="71"/>
  <c r="E23" i="71"/>
  <c r="E14" i="71"/>
  <c r="E15" i="71" s="1"/>
  <c r="C29" i="70"/>
  <c r="F19" i="71"/>
  <c r="C64" i="70"/>
  <c r="C65" i="70" s="1"/>
  <c r="C66" i="70" s="1"/>
  <c r="M18" i="71"/>
  <c r="C24" i="71"/>
  <c r="D19" i="71"/>
  <c r="C21" i="70"/>
  <c r="D21" i="70"/>
  <c r="D46" i="70" s="1"/>
  <c r="E19" i="71"/>
  <c r="F46" i="70"/>
  <c r="S35" i="70"/>
  <c r="M44" i="70"/>
  <c r="M31" i="70"/>
  <c r="P31" i="70" s="1"/>
  <c r="Q31" i="70" s="1"/>
  <c r="E33" i="70"/>
  <c r="E46" i="70" s="1"/>
  <c r="S23" i="70"/>
  <c r="M29" i="70"/>
  <c r="AD120" i="38"/>
  <c r="AP116" i="38"/>
  <c r="S17" i="70"/>
  <c r="M64" i="70"/>
  <c r="M65" i="70" s="1"/>
  <c r="M66" i="70" s="1"/>
  <c r="M21" i="70"/>
  <c r="P21" i="70" s="1"/>
  <c r="Q21" i="70" s="1"/>
  <c r="S46" i="35"/>
  <c r="R19" i="37"/>
  <c r="R20" i="37" s="1"/>
  <c r="Q19" i="37"/>
  <c r="Q20" i="37" s="1"/>
  <c r="D33" i="37"/>
  <c r="R12" i="37"/>
  <c r="R51" i="37"/>
  <c r="R52" i="37" s="1"/>
  <c r="R53" i="37" s="1"/>
  <c r="P51" i="37"/>
  <c r="P52" i="37" s="1"/>
  <c r="P53" i="37" s="1"/>
  <c r="S19" i="37"/>
  <c r="S20" i="37" s="1"/>
  <c r="Q12" i="37"/>
  <c r="Q51" i="37"/>
  <c r="Q52" i="37" s="1"/>
  <c r="Q53" i="37" s="1"/>
  <c r="U51" i="37"/>
  <c r="U52" i="37" s="1"/>
  <c r="U53" i="37" s="1"/>
  <c r="S12" i="37"/>
  <c r="S51" i="37"/>
  <c r="S52" i="37" s="1"/>
  <c r="S53" i="37" s="1"/>
  <c r="L33" i="37"/>
  <c r="C46" i="35"/>
  <c r="C58" i="35" s="1"/>
  <c r="C20" i="37"/>
  <c r="C33" i="37" s="1"/>
  <c r="C61" i="37" s="1"/>
  <c r="F33" i="37"/>
  <c r="Q46" i="35"/>
  <c r="U46" i="35"/>
  <c r="W14" i="37"/>
  <c r="W29" i="35"/>
  <c r="U12" i="37"/>
  <c r="R46" i="35"/>
  <c r="P12" i="37"/>
  <c r="W21" i="35"/>
  <c r="I33" i="37"/>
  <c r="W16" i="37"/>
  <c r="W10" i="37"/>
  <c r="W31" i="35"/>
  <c r="P33" i="35"/>
  <c r="P17" i="37"/>
  <c r="W15" i="37"/>
  <c r="U17" i="37"/>
  <c r="W11" i="37"/>
  <c r="G7" i="15"/>
  <c r="I4" i="14"/>
  <c r="I33" i="14"/>
  <c r="I20" i="14"/>
  <c r="I31" i="14"/>
  <c r="I22" i="14"/>
  <c r="I17" i="14"/>
  <c r="I19" i="14"/>
  <c r="I36" i="14"/>
  <c r="I23" i="14"/>
  <c r="I32" i="14"/>
  <c r="I25" i="14"/>
  <c r="I24" i="14"/>
  <c r="H38" i="14"/>
  <c r="H38" i="12"/>
  <c r="Q10" i="12"/>
  <c r="I8" i="14"/>
  <c r="I29" i="14"/>
  <c r="I29" i="12"/>
  <c r="I10" i="14"/>
  <c r="I27" i="14"/>
  <c r="I15" i="14"/>
  <c r="I12" i="14"/>
  <c r="I34" i="14"/>
  <c r="I21" i="14"/>
  <c r="J36" i="14"/>
  <c r="J13" i="12"/>
  <c r="I26" i="14"/>
  <c r="I9" i="14"/>
  <c r="K10" i="12"/>
  <c r="I13" i="14"/>
  <c r="I11" i="14"/>
  <c r="I35" i="14"/>
  <c r="I18" i="14"/>
  <c r="M35" i="12"/>
  <c r="M17" i="12"/>
  <c r="M9" i="12"/>
  <c r="M26" i="12"/>
  <c r="M12" i="12"/>
  <c r="M19" i="12"/>
  <c r="M33" i="12"/>
  <c r="M21" i="12"/>
  <c r="M8" i="12"/>
  <c r="M6" i="12"/>
  <c r="M32" i="12"/>
  <c r="M23" i="12"/>
  <c r="M11" i="12"/>
  <c r="M34" i="12"/>
  <c r="M15" i="12"/>
  <c r="M25" i="12"/>
  <c r="M36" i="12"/>
  <c r="M18" i="12"/>
  <c r="M20" i="12"/>
  <c r="M4" i="12"/>
  <c r="M31" i="12"/>
  <c r="M22" i="12"/>
  <c r="M24" i="12"/>
  <c r="M27" i="12"/>
  <c r="O38" i="12"/>
  <c r="O38" i="14"/>
  <c r="T6" i="12"/>
  <c r="T33" i="12"/>
  <c r="T19" i="12"/>
  <c r="T18" i="12"/>
  <c r="T26" i="12"/>
  <c r="T36" i="12"/>
  <c r="T23" i="12"/>
  <c r="T32" i="12"/>
  <c r="T31" i="12"/>
  <c r="T25" i="12"/>
  <c r="T11" i="12"/>
  <c r="T24" i="12"/>
  <c r="T15" i="12"/>
  <c r="T20" i="12"/>
  <c r="T12" i="12"/>
  <c r="T17" i="12"/>
  <c r="T9" i="12"/>
  <c r="T34" i="12"/>
  <c r="T35" i="12"/>
  <c r="T22" i="12"/>
  <c r="T8" i="12"/>
  <c r="T21" i="12"/>
  <c r="T27" i="12"/>
  <c r="T4" i="12"/>
  <c r="P38" i="12"/>
  <c r="P38" i="14"/>
  <c r="R4" i="12"/>
  <c r="S27" i="70" l="1"/>
  <c r="S44" i="70"/>
  <c r="P44" i="70"/>
  <c r="Q44" i="70" s="1"/>
  <c r="S29" i="70"/>
  <c r="P29" i="70"/>
  <c r="Q29" i="70" s="1"/>
  <c r="C46" i="70"/>
  <c r="P18" i="71"/>
  <c r="Q18" i="71" s="1"/>
  <c r="M24" i="71"/>
  <c r="P17" i="71"/>
  <c r="Q17" i="71" s="1"/>
  <c r="M23" i="71"/>
  <c r="P12" i="71"/>
  <c r="Q12" i="71" s="1"/>
  <c r="M14" i="71"/>
  <c r="C19" i="71"/>
  <c r="Q33" i="37"/>
  <c r="S31" i="70"/>
  <c r="M33" i="70"/>
  <c r="S21" i="70"/>
  <c r="R33" i="37"/>
  <c r="C61" i="35"/>
  <c r="C45" i="37"/>
  <c r="C48" i="37" s="1"/>
  <c r="S33" i="37"/>
  <c r="U19" i="37"/>
  <c r="U20" i="37" s="1"/>
  <c r="U33" i="37" s="1"/>
  <c r="P19" i="37"/>
  <c r="P20" i="37" s="1"/>
  <c r="W12" i="37"/>
  <c r="W17" i="37"/>
  <c r="P46" i="35"/>
  <c r="W46" i="35" s="1"/>
  <c r="W33" i="35"/>
  <c r="J21" i="14"/>
  <c r="J15" i="14"/>
  <c r="J26" i="14"/>
  <c r="J32" i="14"/>
  <c r="J11" i="14"/>
  <c r="J29" i="14"/>
  <c r="J29" i="12"/>
  <c r="J10" i="14"/>
  <c r="J4" i="14"/>
  <c r="J22" i="14"/>
  <c r="J8" i="14"/>
  <c r="I38" i="14"/>
  <c r="I38" i="12"/>
  <c r="J31" i="14"/>
  <c r="Q24" i="14"/>
  <c r="Q13" i="12"/>
  <c r="J27" i="14"/>
  <c r="J20" i="14"/>
  <c r="J18" i="14"/>
  <c r="K9" i="14"/>
  <c r="K13" i="12"/>
  <c r="J12" i="14"/>
  <c r="J13" i="14"/>
  <c r="J23" i="14"/>
  <c r="J9" i="14"/>
  <c r="J17" i="14"/>
  <c r="J35" i="14"/>
  <c r="J33" i="14"/>
  <c r="J24" i="14"/>
  <c r="L10" i="12"/>
  <c r="J6" i="14"/>
  <c r="J25" i="14"/>
  <c r="J19" i="14"/>
  <c r="J34" i="14"/>
  <c r="R26" i="12"/>
  <c r="R6" i="12"/>
  <c r="R35" i="12"/>
  <c r="R17" i="12"/>
  <c r="R12" i="12"/>
  <c r="R24" i="12"/>
  <c r="R33" i="12"/>
  <c r="R9" i="12"/>
  <c r="R19" i="12"/>
  <c r="R22" i="12"/>
  <c r="R23" i="12"/>
  <c r="R18" i="12"/>
  <c r="R31" i="12"/>
  <c r="R20" i="12"/>
  <c r="R36" i="12"/>
  <c r="R21" i="12"/>
  <c r="R8" i="12"/>
  <c r="R11" i="12"/>
  <c r="R25" i="12"/>
  <c r="R34" i="12"/>
  <c r="R32" i="12"/>
  <c r="R27" i="12"/>
  <c r="R15" i="12"/>
  <c r="S33" i="70" l="1"/>
  <c r="P33" i="70"/>
  <c r="Q33" i="70" s="1"/>
  <c r="M46" i="70"/>
  <c r="P46" i="70" s="1"/>
  <c r="Q46" i="70" s="1"/>
  <c r="M15" i="71"/>
  <c r="P14" i="71"/>
  <c r="Q14" i="71" s="1"/>
  <c r="M19" i="71"/>
  <c r="P19" i="71" s="1"/>
  <c r="Q19" i="71" s="1"/>
  <c r="C73" i="35"/>
  <c r="S46" i="70"/>
  <c r="C48" i="51"/>
  <c r="D56" i="35"/>
  <c r="E65" i="53"/>
  <c r="C55" i="37"/>
  <c r="C62" i="37"/>
  <c r="C71" i="37"/>
  <c r="F56" i="53"/>
  <c r="F60" i="53" s="1"/>
  <c r="W20" i="37"/>
  <c r="W19" i="37"/>
  <c r="P33" i="37"/>
  <c r="W33" i="37" s="1"/>
  <c r="D43" i="37"/>
  <c r="K4" i="14"/>
  <c r="K13" i="14"/>
  <c r="K33" i="14"/>
  <c r="K35" i="14"/>
  <c r="K15" i="14"/>
  <c r="K19" i="14"/>
  <c r="K25" i="14"/>
  <c r="K32" i="14"/>
  <c r="K20" i="14"/>
  <c r="K8" i="14"/>
  <c r="K24" i="14"/>
  <c r="K23" i="14"/>
  <c r="K22" i="14"/>
  <c r="Q21" i="14"/>
  <c r="Q17" i="14"/>
  <c r="Q9" i="14"/>
  <c r="Q34" i="14"/>
  <c r="Q8" i="14"/>
  <c r="K18" i="14"/>
  <c r="K26" i="14"/>
  <c r="K21" i="14"/>
  <c r="Q6" i="14"/>
  <c r="K11" i="14"/>
  <c r="Q32" i="14"/>
  <c r="Q36" i="14"/>
  <c r="K17" i="14"/>
  <c r="K34" i="14"/>
  <c r="Q22" i="14"/>
  <c r="Q13" i="14"/>
  <c r="K6" i="14"/>
  <c r="Q20" i="14"/>
  <c r="K12" i="14"/>
  <c r="Q31" i="14"/>
  <c r="M10" i="12"/>
  <c r="Q33" i="14"/>
  <c r="Q29" i="14"/>
  <c r="Q29" i="12"/>
  <c r="Q10" i="14"/>
  <c r="Q27" i="14"/>
  <c r="Q15" i="14"/>
  <c r="Q11" i="14"/>
  <c r="Q23" i="14"/>
  <c r="Q18" i="14"/>
  <c r="J38" i="14"/>
  <c r="J38" i="12"/>
  <c r="K29" i="12"/>
  <c r="K29" i="14"/>
  <c r="K10" i="14"/>
  <c r="K36" i="14"/>
  <c r="Q19" i="14"/>
  <c r="K31" i="14"/>
  <c r="Q25" i="14"/>
  <c r="L13" i="12"/>
  <c r="L12" i="14"/>
  <c r="Q26" i="14"/>
  <c r="Q12" i="14"/>
  <c r="Q35" i="14"/>
  <c r="K27" i="14"/>
  <c r="Q4" i="14"/>
  <c r="C72" i="37" l="1"/>
  <c r="D34" i="51"/>
  <c r="D38" i="51" s="1"/>
  <c r="D41" i="51" s="1"/>
  <c r="D58" i="35"/>
  <c r="F63" i="53"/>
  <c r="L17" i="14"/>
  <c r="L23" i="14"/>
  <c r="L33" i="14"/>
  <c r="L22" i="14"/>
  <c r="L20" i="14"/>
  <c r="L18" i="14"/>
  <c r="L27" i="14"/>
  <c r="K38" i="14"/>
  <c r="K38" i="12"/>
  <c r="L29" i="12"/>
  <c r="L29" i="14"/>
  <c r="L11" i="14"/>
  <c r="L31" i="14"/>
  <c r="G11" i="15"/>
  <c r="T10" i="12"/>
  <c r="L32" i="14"/>
  <c r="L6" i="14"/>
  <c r="L26" i="14"/>
  <c r="L4" i="14"/>
  <c r="L21" i="14"/>
  <c r="L36" i="14"/>
  <c r="Q38" i="12"/>
  <c r="Q38" i="14"/>
  <c r="L35" i="14"/>
  <c r="L24" i="14"/>
  <c r="L9" i="14"/>
  <c r="M15" i="14"/>
  <c r="M13" i="12"/>
  <c r="R10" i="12"/>
  <c r="L19" i="14"/>
  <c r="L15" i="14"/>
  <c r="L34" i="14"/>
  <c r="L8" i="14"/>
  <c r="L13" i="14"/>
  <c r="L25" i="14"/>
  <c r="L10" i="14"/>
  <c r="D61" i="35" l="1"/>
  <c r="D73" i="35" s="1"/>
  <c r="D45" i="37"/>
  <c r="D48" i="37" s="1"/>
  <c r="E43" i="37" s="1"/>
  <c r="D61" i="37"/>
  <c r="E36" i="51"/>
  <c r="D48" i="51"/>
  <c r="G58" i="53"/>
  <c r="F65" i="53"/>
  <c r="M32" i="14"/>
  <c r="M18" i="14"/>
  <c r="M33" i="14"/>
  <c r="M26" i="14"/>
  <c r="M8" i="14"/>
  <c r="M34" i="14"/>
  <c r="M36" i="14"/>
  <c r="M19" i="14"/>
  <c r="M22" i="14"/>
  <c r="M6" i="14"/>
  <c r="M23" i="14"/>
  <c r="M12" i="14"/>
  <c r="M25" i="14"/>
  <c r="M24" i="14"/>
  <c r="M27" i="14"/>
  <c r="M17" i="14"/>
  <c r="M4" i="14"/>
  <c r="M29" i="14"/>
  <c r="M29" i="12"/>
  <c r="M10" i="14"/>
  <c r="T13" i="12"/>
  <c r="I11" i="15"/>
  <c r="I14" i="15" s="1"/>
  <c r="I30" i="15" s="1"/>
  <c r="G14" i="15"/>
  <c r="G30" i="15" s="1"/>
  <c r="G42" i="15" s="1"/>
  <c r="M9" i="14"/>
  <c r="L38" i="14"/>
  <c r="L38" i="12"/>
  <c r="M35" i="14"/>
  <c r="M11" i="14"/>
  <c r="R13" i="12"/>
  <c r="R8" i="14"/>
  <c r="M13" i="14"/>
  <c r="M20" i="14"/>
  <c r="M31" i="14"/>
  <c r="M21" i="14"/>
  <c r="D62" i="37" l="1"/>
  <c r="D71" i="37"/>
  <c r="D55" i="37"/>
  <c r="E56" i="35"/>
  <c r="T12" i="14"/>
  <c r="R27" i="14"/>
  <c r="R15" i="14"/>
  <c r="R36" i="14"/>
  <c r="R20" i="14"/>
  <c r="T20" i="14"/>
  <c r="T27" i="14"/>
  <c r="T23" i="14"/>
  <c r="T21" i="14"/>
  <c r="T31" i="14"/>
  <c r="T33" i="14"/>
  <c r="R22" i="14"/>
  <c r="T35" i="14"/>
  <c r="T11" i="14"/>
  <c r="R6" i="14"/>
  <c r="T36" i="14"/>
  <c r="T25" i="14"/>
  <c r="T4" i="14"/>
  <c r="R35" i="14"/>
  <c r="T18" i="14"/>
  <c r="R25" i="14"/>
  <c r="R19" i="14"/>
  <c r="R24" i="14"/>
  <c r="R12" i="14"/>
  <c r="R11" i="14"/>
  <c r="R17" i="14"/>
  <c r="R33" i="14"/>
  <c r="T32" i="14"/>
  <c r="R31" i="14"/>
  <c r="R32" i="14"/>
  <c r="R23" i="14"/>
  <c r="R26" i="14"/>
  <c r="R9" i="14"/>
  <c r="T6" i="14"/>
  <c r="T17" i="14"/>
  <c r="R34" i="14"/>
  <c r="T15" i="14"/>
  <c r="R10" i="14"/>
  <c r="R21" i="14"/>
  <c r="T34" i="14"/>
  <c r="M38" i="12"/>
  <c r="M38" i="14"/>
  <c r="T13" i="14"/>
  <c r="G44" i="15"/>
  <c r="I44" i="15" s="1"/>
  <c r="I42" i="15"/>
  <c r="T8" i="14"/>
  <c r="T26" i="14"/>
  <c r="T19" i="14"/>
  <c r="T29" i="14"/>
  <c r="T29" i="12"/>
  <c r="T9" i="14"/>
  <c r="T24" i="14"/>
  <c r="R4" i="14"/>
  <c r="R29" i="14"/>
  <c r="R29" i="12"/>
  <c r="R18" i="14"/>
  <c r="R13" i="14"/>
  <c r="T22" i="14"/>
  <c r="T10" i="14"/>
  <c r="D72" i="37" l="1"/>
  <c r="G46" i="15"/>
  <c r="T38" i="12"/>
  <c r="T38" i="14"/>
  <c r="R38" i="14"/>
  <c r="R38" i="12"/>
  <c r="E26" i="45" l="1"/>
  <c r="AC24" i="45"/>
  <c r="AC26" i="45" s="1"/>
  <c r="E34" i="51"/>
  <c r="E38" i="51" s="1"/>
  <c r="E41" i="51" s="1"/>
  <c r="F36" i="51" s="1"/>
  <c r="P54" i="35"/>
  <c r="E58" i="35"/>
  <c r="G56" i="53"/>
  <c r="C54" i="70" l="1"/>
  <c r="C58" i="70" s="1"/>
  <c r="C61" i="70" s="1"/>
  <c r="D56" i="70" s="1"/>
  <c r="C20" i="71"/>
  <c r="P58" i="35"/>
  <c r="P61" i="35" s="1"/>
  <c r="P41" i="37"/>
  <c r="E61" i="37"/>
  <c r="E45" i="37"/>
  <c r="E48" i="37" s="1"/>
  <c r="F43" i="37" s="1"/>
  <c r="P34" i="51"/>
  <c r="P38" i="51"/>
  <c r="P41" i="51" s="1"/>
  <c r="Q36" i="51" s="1"/>
  <c r="E61" i="35"/>
  <c r="R48" i="61"/>
  <c r="G52" i="61"/>
  <c r="G55" i="61" s="1"/>
  <c r="G61" i="61" s="1"/>
  <c r="G60" i="53"/>
  <c r="R56" i="53"/>
  <c r="C25" i="71" l="1"/>
  <c r="C21" i="71"/>
  <c r="C29" i="71" s="1"/>
  <c r="C32" i="71" s="1"/>
  <c r="D27" i="71" s="1"/>
  <c r="Q56" i="35"/>
  <c r="E73" i="35"/>
  <c r="E62" i="37"/>
  <c r="E71" i="37"/>
  <c r="P71" i="37" s="1"/>
  <c r="P61" i="37"/>
  <c r="E48" i="51"/>
  <c r="P45" i="37"/>
  <c r="P48" i="37" s="1"/>
  <c r="Q43" i="37" s="1"/>
  <c r="F56" i="35"/>
  <c r="E55" i="37"/>
  <c r="R52" i="61"/>
  <c r="R55" i="61" s="1"/>
  <c r="S50" i="61" s="1"/>
  <c r="H50" i="61"/>
  <c r="R60" i="53"/>
  <c r="R63" i="53" s="1"/>
  <c r="S58" i="53" s="1"/>
  <c r="G63" i="53"/>
  <c r="C40" i="15"/>
  <c r="C34" i="71" l="1"/>
  <c r="E72" i="37"/>
  <c r="P72" i="37" s="1"/>
  <c r="P62" i="37"/>
  <c r="E63" i="37"/>
  <c r="H52" i="61"/>
  <c r="H55" i="61" s="1"/>
  <c r="H61" i="61" s="1"/>
  <c r="H58" i="53"/>
  <c r="G65" i="53"/>
  <c r="D40" i="15"/>
  <c r="C44" i="15"/>
  <c r="H72" i="61" l="1"/>
  <c r="H73" i="61" s="1"/>
  <c r="E73" i="37"/>
  <c r="H56" i="53"/>
  <c r="H60" i="53" s="1"/>
  <c r="H63" i="53" s="1"/>
  <c r="I58" i="53" s="1"/>
  <c r="F26" i="45"/>
  <c r="I50" i="61"/>
  <c r="E40" i="15"/>
  <c r="D44" i="15"/>
  <c r="F58" i="35" l="1"/>
  <c r="F61" i="35" s="1"/>
  <c r="F34" i="51"/>
  <c r="F38" i="51" s="1"/>
  <c r="F41" i="51" s="1"/>
  <c r="D46" i="15"/>
  <c r="E44" i="15"/>
  <c r="F73" i="35" l="1"/>
  <c r="G56" i="35"/>
  <c r="H65" i="53"/>
  <c r="I52" i="61"/>
  <c r="I55" i="61" s="1"/>
  <c r="I61" i="61" s="1"/>
  <c r="F45" i="37"/>
  <c r="F48" i="37" s="1"/>
  <c r="G43" i="37" s="1"/>
  <c r="F61" i="37"/>
  <c r="F48" i="51"/>
  <c r="G36" i="51"/>
  <c r="G26" i="45" l="1"/>
  <c r="B11" i="66" s="1"/>
  <c r="B12" i="66" s="1"/>
  <c r="B16" i="66" s="1"/>
  <c r="B19" i="66" s="1"/>
  <c r="C14" i="66" s="1"/>
  <c r="J50" i="61"/>
  <c r="J55" i="61" s="1"/>
  <c r="I72" i="61"/>
  <c r="I73" i="61" s="1"/>
  <c r="I56" i="53"/>
  <c r="I60" i="53" s="1"/>
  <c r="I63" i="53" s="1"/>
  <c r="J58" i="53" s="1"/>
  <c r="G34" i="51"/>
  <c r="G38" i="51" s="1"/>
  <c r="G41" i="51" s="1"/>
  <c r="F55" i="37"/>
  <c r="F62" i="37"/>
  <c r="F71" i="37"/>
  <c r="K50" i="61" l="1"/>
  <c r="K55" i="61" s="1"/>
  <c r="K61" i="61" s="1"/>
  <c r="J61" i="61"/>
  <c r="G58" i="35"/>
  <c r="G61" i="35" s="1"/>
  <c r="H56" i="35" s="1"/>
  <c r="G45" i="37"/>
  <c r="G48" i="37" s="1"/>
  <c r="G61" i="37"/>
  <c r="F72" i="37"/>
  <c r="H36" i="51"/>
  <c r="G48" i="51" l="1"/>
  <c r="G73" i="35"/>
  <c r="I65" i="53"/>
  <c r="G62" i="37"/>
  <c r="G71" i="37"/>
  <c r="H43" i="37"/>
  <c r="G55" i="37"/>
  <c r="J72" i="61" l="1"/>
  <c r="J73" i="61" s="1"/>
  <c r="G72" i="37"/>
  <c r="AD24" i="45"/>
  <c r="AD26" i="45" s="1"/>
  <c r="J56" i="53"/>
  <c r="J60" i="53" s="1"/>
  <c r="S48" i="61"/>
  <c r="S52" i="61"/>
  <c r="H61" i="35"/>
  <c r="Q54" i="35"/>
  <c r="D54" i="70" l="1"/>
  <c r="D58" i="70" s="1"/>
  <c r="D61" i="70" s="1"/>
  <c r="E56" i="70" s="1"/>
  <c r="D20" i="71"/>
  <c r="H73" i="35"/>
  <c r="B21" i="66"/>
  <c r="H61" i="37"/>
  <c r="H62" i="37" s="1"/>
  <c r="S56" i="53"/>
  <c r="H34" i="51"/>
  <c r="H38" i="51" s="1"/>
  <c r="H41" i="51" s="1"/>
  <c r="S55" i="61"/>
  <c r="T50" i="61" s="1"/>
  <c r="S60" i="53"/>
  <c r="S63" i="53" s="1"/>
  <c r="T58" i="53" s="1"/>
  <c r="J63" i="53"/>
  <c r="Q58" i="35"/>
  <c r="H48" i="37"/>
  <c r="Q41" i="37"/>
  <c r="D25" i="71" l="1"/>
  <c r="D21" i="71"/>
  <c r="D29" i="71" s="1"/>
  <c r="D32" i="71" s="1"/>
  <c r="E27" i="71" s="1"/>
  <c r="Q61" i="37"/>
  <c r="H71" i="37"/>
  <c r="Q71" i="37" s="1"/>
  <c r="Q38" i="51"/>
  <c r="Q41" i="51" s="1"/>
  <c r="R36" i="51" s="1"/>
  <c r="H72" i="37"/>
  <c r="Q72" i="37" s="1"/>
  <c r="Q62" i="37"/>
  <c r="H63" i="37"/>
  <c r="Q34" i="51"/>
  <c r="I36" i="51"/>
  <c r="H48" i="51"/>
  <c r="K58" i="53"/>
  <c r="J65" i="53"/>
  <c r="Q45" i="37"/>
  <c r="I56" i="35"/>
  <c r="Q61" i="35"/>
  <c r="R56" i="35" l="1"/>
  <c r="D34" i="71"/>
  <c r="I54" i="35"/>
  <c r="I58" i="35" s="1"/>
  <c r="I61" i="35" s="1"/>
  <c r="I73" i="35" s="1"/>
  <c r="H73" i="37"/>
  <c r="I43" i="37"/>
  <c r="H55" i="37"/>
  <c r="Q48" i="37"/>
  <c r="R43" i="37" s="1"/>
  <c r="I26" i="45" l="1"/>
  <c r="K72" i="61"/>
  <c r="K73" i="61" s="1"/>
  <c r="I41" i="37"/>
  <c r="I61" i="37" s="1"/>
  <c r="K56" i="53"/>
  <c r="K60" i="53" s="1"/>
  <c r="K63" i="53" s="1"/>
  <c r="L58" i="53" s="1"/>
  <c r="L50" i="61"/>
  <c r="I62" i="37" l="1"/>
  <c r="I71" i="37"/>
  <c r="I34" i="51"/>
  <c r="I38" i="51" s="1"/>
  <c r="I41" i="51" s="1"/>
  <c r="J36" i="51" s="1"/>
  <c r="I45" i="37"/>
  <c r="I48" i="37" s="1"/>
  <c r="I72" i="37" l="1"/>
  <c r="I48" i="51"/>
  <c r="K65" i="53"/>
  <c r="J56" i="35"/>
  <c r="J54" i="35" l="1"/>
  <c r="J41" i="37" s="1"/>
  <c r="J43" i="37"/>
  <c r="I55" i="37"/>
  <c r="L55" i="61" l="1"/>
  <c r="J61" i="37"/>
  <c r="L56" i="53"/>
  <c r="L60" i="53" s="1"/>
  <c r="J26" i="45"/>
  <c r="M50" i="61" l="1"/>
  <c r="L72" i="61"/>
  <c r="L73" i="61" s="1"/>
  <c r="L61" i="61"/>
  <c r="J62" i="37"/>
  <c r="J71" i="37"/>
  <c r="J34" i="51"/>
  <c r="J38" i="51" s="1"/>
  <c r="J41" i="51" s="1"/>
  <c r="J58" i="35"/>
  <c r="J61" i="35" s="1"/>
  <c r="L63" i="53"/>
  <c r="J45" i="37"/>
  <c r="J48" i="37" s="1"/>
  <c r="J73" i="35" l="1"/>
  <c r="J72" i="37"/>
  <c r="K36" i="51"/>
  <c r="J48" i="51"/>
  <c r="M58" i="53"/>
  <c r="L65" i="53"/>
  <c r="K56" i="35"/>
  <c r="K54" i="35" l="1"/>
  <c r="K41" i="37" s="1"/>
  <c r="K45" i="37" s="1"/>
  <c r="K43" i="37"/>
  <c r="J55" i="37"/>
  <c r="M52" i="61" l="1"/>
  <c r="M55" i="61" s="1"/>
  <c r="AE24" i="45"/>
  <c r="AE26" i="45" s="1"/>
  <c r="K34" i="51"/>
  <c r="K38" i="51" s="1"/>
  <c r="K41" i="51" s="1"/>
  <c r="M56" i="53"/>
  <c r="M60" i="53" s="1"/>
  <c r="K26" i="45"/>
  <c r="T48" i="61"/>
  <c r="N50" i="61" l="1"/>
  <c r="M73" i="61"/>
  <c r="M61" i="61"/>
  <c r="T52" i="61"/>
  <c r="T55" i="61" s="1"/>
  <c r="U50" i="61" s="1"/>
  <c r="K58" i="35"/>
  <c r="K61" i="35" s="1"/>
  <c r="R54" i="35"/>
  <c r="T56" i="53"/>
  <c r="R34" i="51"/>
  <c r="T60" i="53"/>
  <c r="M63" i="53"/>
  <c r="R38" i="51"/>
  <c r="E54" i="70" l="1"/>
  <c r="E20" i="71"/>
  <c r="K73" i="35"/>
  <c r="E58" i="70"/>
  <c r="E61" i="70" s="1"/>
  <c r="F56" i="70" s="1"/>
  <c r="R58" i="35"/>
  <c r="K48" i="37"/>
  <c r="K55" i="37" s="1"/>
  <c r="K61" i="37"/>
  <c r="R41" i="37"/>
  <c r="L36" i="51"/>
  <c r="K48" i="51"/>
  <c r="R41" i="51"/>
  <c r="S36" i="51" s="1"/>
  <c r="N58" i="53"/>
  <c r="M65" i="53"/>
  <c r="T63" i="53"/>
  <c r="U58" i="53" s="1"/>
  <c r="L56" i="35"/>
  <c r="R61" i="35"/>
  <c r="E25" i="71" l="1"/>
  <c r="E21" i="71"/>
  <c r="E29" i="71" s="1"/>
  <c r="E32" i="71" s="1"/>
  <c r="F27" i="71" s="1"/>
  <c r="S56" i="35"/>
  <c r="R45" i="37"/>
  <c r="R48" i="37" s="1"/>
  <c r="S43" i="37" s="1"/>
  <c r="L54" i="35"/>
  <c r="K62" i="37"/>
  <c r="K71" i="37"/>
  <c r="R71" i="37" s="1"/>
  <c r="R61" i="37"/>
  <c r="L43" i="37"/>
  <c r="E34" i="71" l="1"/>
  <c r="L41" i="37"/>
  <c r="N52" i="61"/>
  <c r="N55" i="61" s="1"/>
  <c r="K72" i="37"/>
  <c r="R72" i="37" s="1"/>
  <c r="K63" i="37"/>
  <c r="R62" i="37"/>
  <c r="L34" i="51"/>
  <c r="L38" i="51" s="1"/>
  <c r="L41" i="51" s="1"/>
  <c r="N56" i="53"/>
  <c r="N60" i="53" s="1"/>
  <c r="O50" i="61" l="1"/>
  <c r="N72" i="61"/>
  <c r="N73" i="61" s="1"/>
  <c r="N61" i="61"/>
  <c r="K73" i="37"/>
  <c r="L61" i="37"/>
  <c r="L58" i="35"/>
  <c r="L61" i="35" s="1"/>
  <c r="L73" i="35" s="1"/>
  <c r="N63" i="53"/>
  <c r="L45" i="37" l="1"/>
  <c r="L48" i="37" s="1"/>
  <c r="L62" i="37"/>
  <c r="L71" i="37"/>
  <c r="M36" i="51"/>
  <c r="L48" i="51"/>
  <c r="O58" i="53"/>
  <c r="N65" i="53"/>
  <c r="M56" i="35"/>
  <c r="L72" i="37" l="1"/>
  <c r="M43" i="37"/>
  <c r="L55" i="37"/>
  <c r="M54" i="35" l="1"/>
  <c r="M41" i="37" s="1"/>
  <c r="O52" i="61"/>
  <c r="O55" i="61" s="1"/>
  <c r="O56" i="53"/>
  <c r="O60" i="53" s="1"/>
  <c r="P50" i="61" l="1"/>
  <c r="O72" i="61"/>
  <c r="O73" i="61" s="1"/>
  <c r="O61" i="61"/>
  <c r="M34" i="51"/>
  <c r="M38" i="51" s="1"/>
  <c r="M41" i="51" s="1"/>
  <c r="M61" i="37"/>
  <c r="M71" i="37" s="1"/>
  <c r="M58" i="35"/>
  <c r="M61" i="35" s="1"/>
  <c r="M73" i="35" s="1"/>
  <c r="O63" i="53"/>
  <c r="M45" i="37"/>
  <c r="M48" i="37" s="1"/>
  <c r="M62" i="37" l="1"/>
  <c r="M72" i="37" s="1"/>
  <c r="P58" i="53"/>
  <c r="O65" i="53"/>
  <c r="N36" i="51"/>
  <c r="M48" i="51"/>
  <c r="N56" i="35"/>
  <c r="N24" i="45" s="1"/>
  <c r="N43" i="37" l="1"/>
  <c r="M55" i="37"/>
  <c r="P48" i="61" l="1"/>
  <c r="P52" i="61" s="1"/>
  <c r="N54" i="35"/>
  <c r="N34" i="51" s="1"/>
  <c r="N38" i="51" s="1"/>
  <c r="N41" i="51" s="1"/>
  <c r="AF24" i="45"/>
  <c r="AF26" i="45" s="1"/>
  <c r="AM24" i="45"/>
  <c r="AM26" i="45" s="1"/>
  <c r="P56" i="53"/>
  <c r="P60" i="53" s="1"/>
  <c r="N26" i="45"/>
  <c r="C11" i="66" s="1"/>
  <c r="S54" i="35" l="1"/>
  <c r="N58" i="35"/>
  <c r="N61" i="35" s="1"/>
  <c r="C56" i="68" s="1"/>
  <c r="P24" i="45" s="1"/>
  <c r="U54" i="35"/>
  <c r="W48" i="61"/>
  <c r="F20" i="71"/>
  <c r="F25" i="71" s="1"/>
  <c r="N41" i="37"/>
  <c r="N61" i="37" s="1"/>
  <c r="N62" i="37" s="1"/>
  <c r="F54" i="70"/>
  <c r="F58" i="70" s="1"/>
  <c r="F61" i="70" s="1"/>
  <c r="H56" i="70" s="1"/>
  <c r="U56" i="53"/>
  <c r="W56" i="53"/>
  <c r="U48" i="61"/>
  <c r="P55" i="61"/>
  <c r="E50" i="67" s="1"/>
  <c r="W52" i="61"/>
  <c r="W55" i="61" s="1"/>
  <c r="U52" i="61"/>
  <c r="E11" i="66"/>
  <c r="E12" i="66" s="1"/>
  <c r="E16" i="66" s="1"/>
  <c r="E19" i="66" s="1"/>
  <c r="E21" i="66" s="1"/>
  <c r="C12" i="66"/>
  <c r="C16" i="66" s="1"/>
  <c r="C19" i="66" s="1"/>
  <c r="C21" i="66" s="1"/>
  <c r="AP24" i="45"/>
  <c r="U34" i="51"/>
  <c r="S34" i="51"/>
  <c r="S38" i="51"/>
  <c r="U38" i="51"/>
  <c r="U41" i="51" s="1"/>
  <c r="U60" i="53"/>
  <c r="W60" i="53"/>
  <c r="W63" i="53" s="1"/>
  <c r="P63" i="53"/>
  <c r="AP31" i="45"/>
  <c r="AP26" i="45"/>
  <c r="W54" i="35" l="1"/>
  <c r="Y48" i="61"/>
  <c r="S58" i="35"/>
  <c r="U58" i="35"/>
  <c r="P56" i="68"/>
  <c r="C43" i="69"/>
  <c r="P43" i="69" s="1"/>
  <c r="U41" i="37"/>
  <c r="S41" i="37"/>
  <c r="N45" i="37"/>
  <c r="N48" i="37" s="1"/>
  <c r="N55" i="37" s="1"/>
  <c r="S61" i="37"/>
  <c r="U61" i="37" s="1"/>
  <c r="M54" i="70"/>
  <c r="S54" i="70" s="1"/>
  <c r="N71" i="37"/>
  <c r="S71" i="37" s="1"/>
  <c r="U71" i="37" s="1"/>
  <c r="N74" i="37" s="1"/>
  <c r="U61" i="35"/>
  <c r="M20" i="71"/>
  <c r="F21" i="71"/>
  <c r="F29" i="71" s="1"/>
  <c r="Y56" i="53"/>
  <c r="C54" i="68"/>
  <c r="E48" i="67"/>
  <c r="E52" i="67" s="1"/>
  <c r="E55" i="67" s="1"/>
  <c r="F50" i="67" s="1"/>
  <c r="P26" i="45"/>
  <c r="U43" i="69"/>
  <c r="R50" i="67"/>
  <c r="U56" i="68"/>
  <c r="Y52" i="61"/>
  <c r="U55" i="61"/>
  <c r="N72" i="37"/>
  <c r="S72" i="37" s="1"/>
  <c r="U72" i="37" s="1"/>
  <c r="N63" i="37"/>
  <c r="S62" i="37"/>
  <c r="U62" i="37" s="1"/>
  <c r="W34" i="51"/>
  <c r="P65" i="53"/>
  <c r="Y60" i="53"/>
  <c r="U63" i="53"/>
  <c r="N48" i="51"/>
  <c r="W38" i="51"/>
  <c r="S41" i="51"/>
  <c r="W41" i="37"/>
  <c r="S45" i="37"/>
  <c r="W58" i="35"/>
  <c r="S61" i="35"/>
  <c r="U45" i="37" l="1"/>
  <c r="U48" i="37" s="1"/>
  <c r="M58" i="70"/>
  <c r="S58" i="70" s="1"/>
  <c r="M25" i="71"/>
  <c r="F32" i="71"/>
  <c r="F34" i="71" s="1"/>
  <c r="M29" i="71"/>
  <c r="M21" i="71"/>
  <c r="C41" i="69"/>
  <c r="C58" i="68"/>
  <c r="C61" i="68" s="1"/>
  <c r="C68" i="68" s="1"/>
  <c r="W50" i="67"/>
  <c r="N73" i="37"/>
  <c r="W45" i="37"/>
  <c r="S48" i="37"/>
  <c r="M61" i="70" l="1"/>
  <c r="N56" i="70" s="1"/>
  <c r="H27" i="71"/>
  <c r="M32" i="71"/>
  <c r="D56" i="68"/>
  <c r="C45" i="69"/>
  <c r="C48" i="69" s="1"/>
  <c r="C55" i="69" s="1"/>
  <c r="Q24" i="45" l="1"/>
  <c r="F48" i="67" s="1"/>
  <c r="F52" i="67" s="1"/>
  <c r="F55" i="67" s="1"/>
  <c r="G50" i="67" s="1"/>
  <c r="M34" i="71"/>
  <c r="N27" i="71"/>
  <c r="D43" i="69"/>
  <c r="Q26" i="45" l="1"/>
  <c r="D54" i="68"/>
  <c r="D58" i="68" s="1"/>
  <c r="D61" i="68" s="1"/>
  <c r="D68" i="68" s="1"/>
  <c r="D41" i="69" l="1"/>
  <c r="D45" i="69" s="1"/>
  <c r="D48" i="69" s="1"/>
  <c r="D55" i="69" s="1"/>
  <c r="E56" i="68"/>
  <c r="R24" i="45" s="1"/>
  <c r="E43" i="69" l="1"/>
  <c r="G48" i="67"/>
  <c r="R48" i="67" s="1"/>
  <c r="AH24" i="45"/>
  <c r="R26" i="45"/>
  <c r="E54" i="68"/>
  <c r="E41" i="69" s="1"/>
  <c r="G52" i="67" l="1"/>
  <c r="E45" i="69"/>
  <c r="P41" i="69"/>
  <c r="P54" i="68"/>
  <c r="E58" i="68"/>
  <c r="AH26" i="45"/>
  <c r="H20" i="71" l="1"/>
  <c r="H25" i="71" s="1"/>
  <c r="R52" i="67"/>
  <c r="R55" i="67" s="1"/>
  <c r="S50" i="67" s="1"/>
  <c r="G55" i="67"/>
  <c r="H50" i="67" s="1"/>
  <c r="H54" i="70"/>
  <c r="E61" i="68"/>
  <c r="P58" i="68"/>
  <c r="E48" i="69"/>
  <c r="P45" i="69"/>
  <c r="E55" i="69" l="1"/>
  <c r="H21" i="71"/>
  <c r="H29" i="71" s="1"/>
  <c r="H32" i="71" s="1"/>
  <c r="E68" i="68"/>
  <c r="F43" i="69"/>
  <c r="P61" i="68"/>
  <c r="Q56" i="68" s="1"/>
  <c r="P48" i="69"/>
  <c r="Q43" i="69" s="1"/>
  <c r="F56" i="68"/>
  <c r="S24" i="45" s="1"/>
  <c r="H58" i="70"/>
  <c r="H61" i="70" s="1"/>
  <c r="I56" i="70" s="1"/>
  <c r="H34" i="71" l="1"/>
  <c r="I27" i="71"/>
  <c r="S26" i="45" l="1"/>
  <c r="F54" i="68"/>
  <c r="H48" i="67"/>
  <c r="H52" i="67" l="1"/>
  <c r="F58" i="68"/>
  <c r="F41" i="69"/>
  <c r="F45" i="69" l="1"/>
  <c r="F61" i="68"/>
  <c r="H55" i="67"/>
  <c r="I50" i="67" s="1"/>
  <c r="F68" i="68" l="1"/>
  <c r="G56" i="68"/>
  <c r="T24" i="45" s="1"/>
  <c r="F48" i="69"/>
  <c r="F55" i="69" s="1"/>
  <c r="G43" i="69" l="1"/>
  <c r="G54" i="68" l="1"/>
  <c r="I48" i="67"/>
  <c r="T26" i="45"/>
  <c r="I52" i="67" l="1"/>
  <c r="G41" i="69"/>
  <c r="G58" i="68"/>
  <c r="G45" i="69" l="1"/>
  <c r="G61" i="68"/>
  <c r="I55" i="67"/>
  <c r="J50" i="67" s="1"/>
  <c r="G68" i="68" l="1"/>
  <c r="H56" i="68"/>
  <c r="U24" i="45" s="1"/>
  <c r="G48" i="69"/>
  <c r="G55" i="69" s="1"/>
  <c r="H43" i="69" l="1"/>
  <c r="J48" i="67" l="1"/>
  <c r="H54" i="68"/>
  <c r="U26" i="45"/>
  <c r="AI24" i="45"/>
  <c r="AI26" i="45" l="1"/>
  <c r="H41" i="69"/>
  <c r="H58" i="68"/>
  <c r="Q54" i="68"/>
  <c r="J52" i="67"/>
  <c r="S48" i="67"/>
  <c r="I20" i="71" l="1"/>
  <c r="I25" i="71" s="1"/>
  <c r="Q58" i="68"/>
  <c r="H61" i="68"/>
  <c r="S52" i="67"/>
  <c r="J55" i="67"/>
  <c r="K50" i="67" s="1"/>
  <c r="I54" i="70"/>
  <c r="H45" i="69"/>
  <c r="Q41" i="69"/>
  <c r="I21" i="71" l="1"/>
  <c r="I29" i="71" s="1"/>
  <c r="I32" i="71" s="1"/>
  <c r="H68" i="68"/>
  <c r="Q45" i="69"/>
  <c r="H48" i="69"/>
  <c r="H55" i="69" s="1"/>
  <c r="S55" i="67"/>
  <c r="T50" i="67" s="1"/>
  <c r="I58" i="70"/>
  <c r="I61" i="70" s="1"/>
  <c r="J56" i="70" s="1"/>
  <c r="I56" i="68"/>
  <c r="V24" i="45" s="1"/>
  <c r="Q61" i="68"/>
  <c r="R56" i="68" s="1"/>
  <c r="I34" i="71" l="1"/>
  <c r="J27" i="71"/>
  <c r="I43" i="69"/>
  <c r="Q48" i="69"/>
  <c r="R43" i="69" s="1"/>
  <c r="I54" i="68" l="1"/>
  <c r="K48" i="67"/>
  <c r="V26" i="45"/>
  <c r="K52" i="67" l="1"/>
  <c r="I41" i="69"/>
  <c r="I58" i="68"/>
  <c r="K55" i="67" l="1"/>
  <c r="L50" i="67" s="1"/>
  <c r="I61" i="68"/>
  <c r="I45" i="69"/>
  <c r="I68" i="68" l="1"/>
  <c r="I48" i="69"/>
  <c r="I55" i="69" s="1"/>
  <c r="J56" i="68"/>
  <c r="W24" i="45" s="1"/>
  <c r="J43" i="69" l="1"/>
  <c r="J54" i="68" l="1"/>
  <c r="L48" i="67"/>
  <c r="W26" i="45"/>
  <c r="L52" i="67" l="1"/>
  <c r="J41" i="69"/>
  <c r="J58" i="68"/>
  <c r="J61" i="68" l="1"/>
  <c r="J45" i="69"/>
  <c r="L55" i="67"/>
  <c r="M50" i="67" s="1"/>
  <c r="J68" i="68" l="1"/>
  <c r="J48" i="69"/>
  <c r="J55" i="69" s="1"/>
  <c r="K56" i="68"/>
  <c r="X24" i="45" s="1"/>
  <c r="K43" i="69" l="1"/>
  <c r="M48" i="67" l="1"/>
  <c r="K54" i="68"/>
  <c r="X26" i="45"/>
  <c r="AJ24" i="45"/>
  <c r="AJ26" i="45" l="1"/>
  <c r="K41" i="69"/>
  <c r="K58" i="68"/>
  <c r="R54" i="68"/>
  <c r="M52" i="67"/>
  <c r="T48" i="67"/>
  <c r="J20" i="71" l="1"/>
  <c r="J21" i="71" s="1"/>
  <c r="J29" i="71" s="1"/>
  <c r="T52" i="67"/>
  <c r="M55" i="67"/>
  <c r="N50" i="67" s="1"/>
  <c r="R58" i="68"/>
  <c r="K61" i="68"/>
  <c r="J54" i="70"/>
  <c r="K45" i="69"/>
  <c r="R41" i="69"/>
  <c r="J25" i="71" l="1"/>
  <c r="L56" i="68"/>
  <c r="Y24" i="45" s="1"/>
  <c r="K68" i="68"/>
  <c r="J32" i="71"/>
  <c r="J58" i="70"/>
  <c r="J61" i="70" s="1"/>
  <c r="K56" i="70" s="1"/>
  <c r="R45" i="69"/>
  <c r="K48" i="69"/>
  <c r="K55" i="69" s="1"/>
  <c r="R61" i="68"/>
  <c r="S56" i="68" s="1"/>
  <c r="T55" i="67"/>
  <c r="U50" i="67" s="1"/>
  <c r="J34" i="71" l="1"/>
  <c r="K27" i="71"/>
  <c r="L43" i="69"/>
  <c r="L54" i="68"/>
  <c r="N48" i="67"/>
  <c r="Y26" i="45"/>
  <c r="R48" i="69"/>
  <c r="S43" i="69" s="1"/>
  <c r="N52" i="67" l="1"/>
  <c r="L41" i="69"/>
  <c r="L58" i="68"/>
  <c r="N55" i="67" l="1"/>
  <c r="O50" i="67" s="1"/>
  <c r="L61" i="68"/>
  <c r="L45" i="69"/>
  <c r="M56" i="68" l="1"/>
  <c r="Z24" i="45" s="1"/>
  <c r="L68" i="68"/>
  <c r="L48" i="69"/>
  <c r="L55" i="69" s="1"/>
  <c r="M43" i="69" l="1"/>
  <c r="M54" i="68"/>
  <c r="O48" i="67"/>
  <c r="Z26" i="45"/>
  <c r="O52" i="67" l="1"/>
  <c r="M41" i="69"/>
  <c r="M58" i="68"/>
  <c r="M61" i="68" l="1"/>
  <c r="M45" i="69"/>
  <c r="O55" i="67"/>
  <c r="P50" i="67" s="1"/>
  <c r="N56" i="68" l="1"/>
  <c r="AA24" i="45" s="1"/>
  <c r="M68" i="68"/>
  <c r="M48" i="69"/>
  <c r="M55" i="69" s="1"/>
  <c r="N43" i="69" l="1"/>
  <c r="P48" i="67"/>
  <c r="N54" i="68"/>
  <c r="AA26" i="45"/>
  <c r="AN24" i="45"/>
  <c r="AN26" i="45" s="1"/>
  <c r="AK24" i="45"/>
  <c r="AK26" i="45" l="1"/>
  <c r="AQ26" i="45" s="1"/>
  <c r="AQ24" i="45"/>
  <c r="N41" i="69"/>
  <c r="N58" i="68"/>
  <c r="U54" i="68"/>
  <c r="S54" i="68"/>
  <c r="P52" i="67"/>
  <c r="W48" i="67"/>
  <c r="U48" i="67"/>
  <c r="K20" i="71" l="1"/>
  <c r="K21" i="71" s="1"/>
  <c r="K29" i="71" s="1"/>
  <c r="Y48" i="67"/>
  <c r="N45" i="69"/>
  <c r="U41" i="69"/>
  <c r="S41" i="69"/>
  <c r="W52" i="67"/>
  <c r="W55" i="67" s="1"/>
  <c r="U52" i="67"/>
  <c r="P55" i="67"/>
  <c r="K54" i="70"/>
  <c r="W54" i="68"/>
  <c r="U58" i="68"/>
  <c r="S58" i="68"/>
  <c r="N61" i="68"/>
  <c r="N20" i="71" l="1"/>
  <c r="P20" i="71" s="1"/>
  <c r="Q20" i="71" s="1"/>
  <c r="K25" i="71"/>
  <c r="N68" i="68"/>
  <c r="N29" i="71"/>
  <c r="P29" i="71" s="1"/>
  <c r="Q29" i="71" s="1"/>
  <c r="K32" i="71"/>
  <c r="U61" i="68"/>
  <c r="W41" i="69"/>
  <c r="W58" i="68"/>
  <c r="S61" i="68"/>
  <c r="K58" i="70"/>
  <c r="K61" i="70" s="1"/>
  <c r="N54" i="70"/>
  <c r="P54" i="70" s="1"/>
  <c r="Q54" i="70" s="1"/>
  <c r="Y52" i="67"/>
  <c r="U55" i="67"/>
  <c r="U45" i="69"/>
  <c r="U48" i="69" s="1"/>
  <c r="S45" i="69"/>
  <c r="N48" i="69"/>
  <c r="N55" i="69" s="1"/>
  <c r="N21" i="71" l="1"/>
  <c r="P21" i="71" s="1"/>
  <c r="Q21" i="71" s="1"/>
  <c r="N25" i="71"/>
  <c r="K34" i="71"/>
  <c r="N32" i="71"/>
  <c r="N34" i="71" s="1"/>
  <c r="T54" i="70"/>
  <c r="N58" i="70"/>
  <c r="P58" i="70" s="1"/>
  <c r="Q58" i="70" s="1"/>
  <c r="W45" i="69"/>
  <c r="S48" i="69"/>
  <c r="T58" i="70" l="1"/>
  <c r="N61" i="70"/>
  <c r="N3" i="58"/>
  <c r="N4" i="58"/>
  <c r="N5" i="58"/>
  <c r="N6" i="58"/>
  <c r="N7" i="58"/>
  <c r="N8" i="58"/>
  <c r="N9" i="58"/>
  <c r="N10" i="58"/>
  <c r="N11" i="58"/>
  <c r="N12" i="58"/>
  <c r="N13" i="58"/>
  <c r="N14" i="58"/>
  <c r="N15" i="58"/>
  <c r="N16" i="58"/>
  <c r="N17" i="58"/>
  <c r="N18" i="58"/>
  <c r="N19" i="58"/>
  <c r="N20" i="58"/>
  <c r="N21" i="58"/>
  <c r="N22" i="58"/>
  <c r="N23" i="58"/>
  <c r="N24" i="58"/>
  <c r="N25" i="58"/>
  <c r="N26" i="58"/>
  <c r="N27" i="58"/>
  <c r="N28" i="58"/>
  <c r="N29" i="58"/>
  <c r="N30" i="58"/>
  <c r="N31" i="58"/>
  <c r="N32" i="58"/>
  <c r="N33" i="58"/>
  <c r="N34" i="58"/>
  <c r="N35" i="58"/>
  <c r="N36" i="58"/>
  <c r="N37" i="58"/>
  <c r="N38" i="58"/>
  <c r="N39" i="58"/>
  <c r="N40" i="58"/>
  <c r="N41" i="58"/>
  <c r="N42" i="58"/>
  <c r="N43" i="58"/>
  <c r="N44" i="58"/>
  <c r="N45" i="58"/>
  <c r="N46" i="58"/>
  <c r="N47" i="58"/>
  <c r="N48" i="58"/>
  <c r="N49" i="58"/>
  <c r="N50" i="58"/>
  <c r="N51" i="58"/>
  <c r="N52" i="58"/>
  <c r="N53" i="58"/>
  <c r="N54" i="58"/>
  <c r="N55" i="58"/>
  <c r="N56" i="58"/>
  <c r="N57" i="58"/>
  <c r="N58" i="58"/>
  <c r="N59" i="58"/>
  <c r="N60" i="58"/>
  <c r="N61" i="58"/>
  <c r="N62" i="58"/>
  <c r="N63" i="58"/>
  <c r="N64" i="58"/>
  <c r="N65" i="58"/>
  <c r="N66" i="58"/>
  <c r="N67" i="58"/>
  <c r="N68" i="58"/>
  <c r="N69" i="58"/>
  <c r="N70" i="58"/>
  <c r="N71" i="58"/>
  <c r="N72" i="58"/>
  <c r="N73" i="58"/>
  <c r="N74" i="58"/>
  <c r="N75" i="58"/>
  <c r="N76" i="58"/>
  <c r="N77" i="58"/>
  <c r="N78" i="58"/>
  <c r="N79" i="58"/>
  <c r="N80" i="58"/>
  <c r="N81" i="58"/>
  <c r="N82" i="58"/>
  <c r="N83" i="58"/>
  <c r="N84" i="58"/>
  <c r="N85" i="58"/>
  <c r="N86" i="58"/>
  <c r="N87" i="58"/>
  <c r="N88" i="58"/>
  <c r="N89" i="58"/>
  <c r="N90" i="58"/>
  <c r="N91" i="58"/>
  <c r="N92" i="58"/>
  <c r="N93" i="58"/>
  <c r="N94" i="58"/>
  <c r="N95" i="58"/>
  <c r="N96" i="58"/>
  <c r="N97" i="58"/>
  <c r="N98" i="58"/>
  <c r="N99" i="58"/>
  <c r="N100" i="58"/>
  <c r="N101" i="58"/>
  <c r="N102" i="58"/>
  <c r="N103" i="58"/>
  <c r="N104" i="58"/>
  <c r="N105" i="58"/>
  <c r="N106" i="58"/>
  <c r="N107" i="58"/>
  <c r="N108" i="58"/>
  <c r="N109" i="58"/>
  <c r="N110" i="58"/>
  <c r="N111" i="58"/>
  <c r="N112" i="58"/>
  <c r="N113" i="58"/>
  <c r="N114" i="58"/>
  <c r="N115" i="58"/>
  <c r="N116" i="58"/>
  <c r="N117" i="58"/>
  <c r="N118" i="58"/>
  <c r="N119" i="58"/>
  <c r="N120" i="58"/>
  <c r="N121" i="58"/>
  <c r="N122" i="58"/>
  <c r="N123" i="58"/>
  <c r="N124" i="58"/>
  <c r="N125" i="58"/>
  <c r="N126" i="58"/>
  <c r="N127" i="58"/>
  <c r="N128" i="58"/>
  <c r="N129" i="58"/>
  <c r="N130" i="58"/>
  <c r="N131" i="58"/>
  <c r="N132" i="58"/>
  <c r="N133" i="58"/>
  <c r="N134" i="58"/>
  <c r="N135" i="58"/>
  <c r="N136" i="58"/>
  <c r="N137" i="58"/>
  <c r="N138" i="58"/>
  <c r="N139" i="58"/>
  <c r="N140" i="58"/>
  <c r="N141" i="58"/>
  <c r="N142" i="58"/>
  <c r="N143" i="58"/>
  <c r="N144" i="58"/>
  <c r="N145" i="58"/>
  <c r="N146" i="58"/>
  <c r="N147" i="58"/>
  <c r="N148" i="58"/>
  <c r="N149" i="58"/>
  <c r="N150" i="58"/>
  <c r="N151" i="58"/>
  <c r="N152" i="58"/>
  <c r="N153" i="58"/>
  <c r="N154" i="58"/>
  <c r="N155" i="58"/>
  <c r="N156" i="58"/>
  <c r="N157" i="58"/>
  <c r="N158" i="58"/>
  <c r="N159" i="58"/>
  <c r="N160" i="58"/>
  <c r="N161" i="58"/>
  <c r="N162" i="58"/>
  <c r="N163" i="58"/>
  <c r="N164" i="58"/>
  <c r="N165" i="58"/>
  <c r="N166" i="58"/>
  <c r="N167" i="58"/>
  <c r="N168" i="58"/>
  <c r="N169" i="58"/>
  <c r="N170" i="58"/>
  <c r="N171" i="58"/>
  <c r="N172" i="58"/>
  <c r="N173" i="58"/>
  <c r="N174" i="58"/>
  <c r="N175" i="58"/>
  <c r="N176" i="58"/>
  <c r="N177" i="58"/>
  <c r="N178" i="58"/>
  <c r="N179" i="58"/>
  <c r="N180" i="58"/>
  <c r="N181" i="58"/>
  <c r="N182" i="58"/>
  <c r="N183" i="58"/>
  <c r="N184" i="58"/>
  <c r="N185" i="58"/>
  <c r="N186" i="58"/>
  <c r="N187" i="58"/>
  <c r="N188" i="58"/>
  <c r="N189" i="58"/>
  <c r="N190" i="58"/>
  <c r="N191" i="58"/>
  <c r="N192" i="58"/>
  <c r="N193" i="58"/>
  <c r="N194" i="58"/>
  <c r="N195" i="58"/>
  <c r="N196" i="58"/>
  <c r="N197" i="58"/>
  <c r="N198" i="58"/>
  <c r="N199" i="58"/>
  <c r="N200" i="58"/>
  <c r="N201" i="58"/>
  <c r="N202" i="58"/>
  <c r="N203" i="58"/>
  <c r="N204" i="58"/>
  <c r="N205" i="58"/>
  <c r="N206" i="58"/>
  <c r="N207" i="58"/>
  <c r="N208" i="58"/>
  <c r="N209" i="58"/>
  <c r="N210" i="58"/>
  <c r="N211" i="58"/>
  <c r="N212" i="58"/>
  <c r="N213" i="58"/>
  <c r="N214" i="58"/>
  <c r="N215" i="58"/>
  <c r="N216" i="58"/>
  <c r="N217" i="58"/>
  <c r="N218" i="58"/>
  <c r="N219" i="58"/>
  <c r="N220" i="58"/>
  <c r="N221" i="58"/>
  <c r="N222" i="58"/>
  <c r="N223" i="58"/>
  <c r="N224" i="58"/>
  <c r="N225" i="58"/>
  <c r="N226" i="58"/>
  <c r="N227" i="58"/>
  <c r="N228" i="58"/>
  <c r="N229" i="58"/>
  <c r="N230" i="58"/>
  <c r="N231" i="58"/>
  <c r="N232" i="58"/>
  <c r="N233" i="58"/>
  <c r="N234" i="58"/>
  <c r="N235" i="58"/>
  <c r="N236" i="58"/>
  <c r="N237" i="58"/>
  <c r="N238" i="58"/>
  <c r="N239" i="58"/>
  <c r="N240" i="58"/>
  <c r="N241" i="58"/>
  <c r="N242" i="58"/>
  <c r="N243" i="58"/>
  <c r="N244" i="58"/>
  <c r="N245" i="58"/>
  <c r="N246" i="58"/>
  <c r="N247" i="58"/>
  <c r="N248" i="58"/>
  <c r="N249" i="58"/>
  <c r="N250" i="58"/>
  <c r="N251" i="58"/>
  <c r="N252" i="58"/>
  <c r="N253" i="58"/>
  <c r="N254" i="58"/>
  <c r="N255" i="58"/>
  <c r="N256" i="58"/>
  <c r="N257" i="58"/>
  <c r="N258" i="58"/>
  <c r="N259" i="58"/>
  <c r="N260" i="58"/>
  <c r="N261" i="58"/>
  <c r="N262" i="58"/>
  <c r="N263" i="58"/>
  <c r="N264" i="58"/>
  <c r="N265" i="58"/>
  <c r="N266" i="58"/>
  <c r="N267" i="58"/>
  <c r="N268" i="58"/>
  <c r="N269" i="58"/>
  <c r="N270" i="58"/>
  <c r="N271" i="58"/>
  <c r="N272" i="58"/>
  <c r="N273" i="58"/>
  <c r="N274" i="58"/>
  <c r="N275" i="58"/>
  <c r="N276" i="58"/>
  <c r="N277" i="58"/>
  <c r="N278" i="58"/>
  <c r="N279" i="58"/>
  <c r="N280" i="58"/>
  <c r="N281" i="58"/>
  <c r="N282" i="58"/>
  <c r="N283" i="58"/>
  <c r="N284" i="58"/>
  <c r="N285" i="58"/>
  <c r="N286" i="58"/>
  <c r="N287" i="58"/>
  <c r="N288" i="58"/>
  <c r="N289" i="58"/>
  <c r="N290" i="58"/>
  <c r="N291" i="58"/>
  <c r="N292" i="58"/>
  <c r="N293" i="58"/>
  <c r="N294" i="58"/>
  <c r="N295" i="58"/>
  <c r="N296" i="58"/>
  <c r="N297" i="58"/>
  <c r="N298" i="58"/>
  <c r="N299" i="58"/>
  <c r="N300" i="58"/>
  <c r="N301" i="58"/>
  <c r="N302" i="58"/>
  <c r="N303" i="58"/>
  <c r="N304" i="58"/>
  <c r="N305" i="58"/>
  <c r="N306" i="58"/>
  <c r="N307" i="58"/>
  <c r="N308" i="58"/>
  <c r="N309" i="58"/>
  <c r="N310" i="58"/>
  <c r="N311" i="58"/>
  <c r="N312" i="58"/>
  <c r="N313" i="58"/>
  <c r="N314" i="58"/>
  <c r="N315" i="58"/>
  <c r="N316" i="58"/>
  <c r="N317" i="58"/>
  <c r="N318" i="58"/>
  <c r="N319" i="58"/>
  <c r="N320" i="58"/>
  <c r="N321" i="58"/>
  <c r="N322" i="58"/>
  <c r="N323" i="58"/>
  <c r="N324" i="58"/>
  <c r="N325" i="58"/>
  <c r="N326" i="58"/>
  <c r="N327" i="58"/>
  <c r="N328" i="58"/>
  <c r="N329" i="58"/>
  <c r="N330" i="58"/>
  <c r="N331" i="58"/>
  <c r="N332" i="58"/>
  <c r="N333" i="58"/>
  <c r="N334" i="58"/>
  <c r="N335" i="58"/>
  <c r="N336" i="58"/>
  <c r="N337" i="58"/>
  <c r="N338" i="58"/>
  <c r="N339" i="58"/>
  <c r="N340" i="58"/>
  <c r="N341" i="58"/>
  <c r="N342" i="58"/>
  <c r="N343" i="58"/>
  <c r="N344" i="58"/>
  <c r="N345" i="58"/>
  <c r="N346" i="58"/>
  <c r="N347" i="58"/>
  <c r="N348" i="58"/>
  <c r="N349" i="58"/>
  <c r="N350" i="58"/>
  <c r="N351" i="58"/>
  <c r="N352" i="58"/>
  <c r="N353" i="58"/>
  <c r="N354" i="58"/>
  <c r="N355" i="58"/>
  <c r="N356" i="58"/>
  <c r="N357" i="58"/>
  <c r="N358" i="58"/>
  <c r="N359" i="58"/>
  <c r="N360" i="58"/>
  <c r="N361" i="58"/>
  <c r="N362" i="58"/>
  <c r="N363" i="58"/>
  <c r="N364" i="58"/>
  <c r="N365" i="58"/>
  <c r="N366" i="58"/>
  <c r="N367" i="58"/>
  <c r="N368" i="58"/>
  <c r="N369" i="58"/>
  <c r="N370" i="58"/>
  <c r="N371" i="58"/>
  <c r="N372" i="58"/>
  <c r="N373" i="58"/>
  <c r="N374" i="58"/>
  <c r="N375" i="58"/>
  <c r="N376" i="58"/>
  <c r="N377" i="58"/>
  <c r="N378" i="58"/>
  <c r="N379" i="58"/>
  <c r="N380" i="58"/>
  <c r="N381" i="58"/>
  <c r="N382" i="58"/>
  <c r="N383" i="58"/>
  <c r="N384" i="58"/>
  <c r="N385" i="58"/>
  <c r="N386" i="58"/>
  <c r="N387" i="58"/>
  <c r="N388" i="58"/>
  <c r="N389" i="58"/>
  <c r="N390" i="58"/>
  <c r="N391" i="58"/>
  <c r="N392" i="58"/>
  <c r="N393" i="58"/>
  <c r="N394" i="58"/>
  <c r="N395" i="58"/>
  <c r="N396" i="58"/>
  <c r="N397" i="58"/>
  <c r="N398" i="58"/>
  <c r="N399" i="58"/>
  <c r="N400" i="58"/>
  <c r="N401" i="58"/>
  <c r="N402" i="58"/>
  <c r="N403" i="58"/>
  <c r="N404" i="58"/>
  <c r="N405" i="58"/>
  <c r="N406" i="58"/>
  <c r="N407" i="58"/>
  <c r="N408" i="58"/>
  <c r="N409" i="58"/>
  <c r="N410" i="58"/>
  <c r="N411" i="58"/>
  <c r="N412" i="58"/>
  <c r="N413" i="58"/>
  <c r="N414" i="58"/>
  <c r="N415" i="58"/>
  <c r="N416" i="58"/>
  <c r="N417" i="58"/>
  <c r="N418" i="58"/>
  <c r="N419" i="58"/>
  <c r="N420" i="58"/>
  <c r="N421" i="58"/>
  <c r="N422" i="58"/>
  <c r="N423" i="58"/>
  <c r="N424" i="58"/>
  <c r="N425" i="58"/>
  <c r="N426" i="58"/>
  <c r="N427" i="58"/>
  <c r="N428" i="58"/>
  <c r="N429" i="58"/>
  <c r="N430" i="58"/>
  <c r="N431" i="58"/>
  <c r="N432" i="58"/>
  <c r="N433" i="58"/>
  <c r="N434" i="58"/>
  <c r="N435" i="58"/>
  <c r="N436" i="58"/>
  <c r="N437" i="58"/>
  <c r="N438" i="58"/>
  <c r="N439" i="58"/>
  <c r="N440" i="58"/>
  <c r="N441" i="58"/>
  <c r="N442" i="58"/>
  <c r="N443" i="58"/>
  <c r="N444" i="58"/>
  <c r="N445" i="58"/>
  <c r="N446" i="58"/>
  <c r="N447" i="58"/>
  <c r="N448" i="58"/>
  <c r="N449" i="58"/>
  <c r="N450" i="58"/>
  <c r="N451" i="58"/>
  <c r="N452" i="58"/>
  <c r="N453" i="58"/>
  <c r="N454" i="58"/>
  <c r="N455" i="58"/>
  <c r="N456" i="58"/>
  <c r="N457" i="58"/>
  <c r="N458" i="58"/>
  <c r="N459" i="58"/>
  <c r="N460" i="58"/>
  <c r="N461" i="58"/>
  <c r="N462" i="58"/>
  <c r="N463" i="58"/>
  <c r="N464" i="58"/>
  <c r="N465" i="58"/>
  <c r="N466" i="58"/>
  <c r="N467" i="58"/>
  <c r="N468" i="58"/>
  <c r="N469" i="58"/>
  <c r="N470" i="58"/>
  <c r="N471" i="58"/>
  <c r="N472" i="58"/>
  <c r="N473" i="58"/>
  <c r="N474" i="58"/>
  <c r="N475" i="58"/>
  <c r="N476" i="58"/>
  <c r="N477" i="58"/>
  <c r="N478" i="58"/>
  <c r="N479" i="58"/>
  <c r="N480" i="58"/>
  <c r="N481" i="58"/>
  <c r="N482" i="58"/>
  <c r="N483" i="58"/>
  <c r="N484" i="58"/>
  <c r="N485" i="58"/>
  <c r="N486" i="58"/>
  <c r="N487" i="58"/>
  <c r="N488" i="58"/>
  <c r="N489" i="58"/>
  <c r="N490" i="58"/>
  <c r="N491" i="58"/>
  <c r="N492" i="58"/>
  <c r="N493" i="58"/>
  <c r="N494" i="58"/>
  <c r="N495" i="58"/>
  <c r="N496" i="58"/>
  <c r="N497" i="58"/>
  <c r="N498" i="58"/>
  <c r="N499" i="58"/>
  <c r="N500" i="58"/>
  <c r="N501" i="58"/>
  <c r="N502" i="58"/>
  <c r="N503" i="58"/>
  <c r="N504" i="58"/>
  <c r="N505" i="58"/>
  <c r="N506" i="58"/>
  <c r="N507" i="58"/>
  <c r="N508" i="58"/>
  <c r="N509" i="58"/>
  <c r="N510" i="58"/>
  <c r="N511" i="58"/>
  <c r="N512" i="58"/>
  <c r="N513" i="58"/>
  <c r="N514" i="58"/>
  <c r="N515" i="58"/>
  <c r="N516" i="58"/>
  <c r="N517" i="58"/>
  <c r="N518" i="58"/>
  <c r="N519" i="58"/>
  <c r="N520" i="58"/>
  <c r="N521" i="58"/>
  <c r="N522" i="58"/>
  <c r="N523" i="58"/>
  <c r="N524" i="58"/>
  <c r="N525" i="58"/>
  <c r="N526" i="58"/>
  <c r="N527" i="58"/>
  <c r="N528" i="58"/>
  <c r="N529" i="58"/>
  <c r="N530" i="58"/>
  <c r="N531" i="58"/>
  <c r="N532" i="58"/>
  <c r="N533" i="58"/>
  <c r="N534" i="58"/>
  <c r="N535" i="58"/>
  <c r="N536" i="58"/>
  <c r="N537" i="58"/>
  <c r="N538" i="58"/>
  <c r="N539" i="58"/>
  <c r="N540" i="58"/>
  <c r="N541" i="58"/>
  <c r="N542" i="58"/>
  <c r="N543" i="58"/>
  <c r="N544" i="58"/>
  <c r="N545" i="58"/>
  <c r="N546" i="58"/>
  <c r="N547" i="58"/>
  <c r="N548" i="58"/>
  <c r="N549" i="58"/>
  <c r="N550" i="58"/>
  <c r="N551" i="58"/>
  <c r="N552" i="58"/>
  <c r="N553" i="58"/>
  <c r="N554" i="58"/>
  <c r="N555" i="58"/>
  <c r="N556" i="58"/>
  <c r="N557" i="58"/>
  <c r="N558" i="58"/>
  <c r="N559" i="58"/>
  <c r="N560" i="58"/>
  <c r="N561" i="58"/>
  <c r="N562" i="58"/>
  <c r="N563" i="58"/>
  <c r="N564" i="58"/>
  <c r="N565" i="58"/>
  <c r="N566" i="58"/>
  <c r="N567" i="58"/>
  <c r="N568" i="58"/>
  <c r="N569" i="58"/>
  <c r="N570" i="58"/>
  <c r="N571" i="58"/>
  <c r="N572" i="58"/>
  <c r="N573" i="58"/>
  <c r="N574" i="58"/>
  <c r="N575" i="58"/>
  <c r="N576" i="58"/>
  <c r="N577" i="58"/>
  <c r="N578" i="58"/>
  <c r="N579" i="58"/>
  <c r="N580" i="58"/>
  <c r="N581" i="58"/>
  <c r="N582" i="58"/>
  <c r="N583" i="58"/>
  <c r="N584" i="58"/>
  <c r="N585" i="58"/>
  <c r="N586" i="58"/>
  <c r="N587" i="58"/>
  <c r="N588" i="58"/>
  <c r="N589" i="58"/>
  <c r="N590" i="58"/>
  <c r="N591" i="58"/>
  <c r="N592" i="58"/>
  <c r="N593" i="58"/>
  <c r="N594" i="58"/>
  <c r="N595" i="58"/>
  <c r="N596" i="58"/>
  <c r="N597" i="58"/>
  <c r="N598" i="58"/>
  <c r="N599" i="58"/>
  <c r="N600" i="58"/>
  <c r="N601" i="58"/>
  <c r="N602" i="58"/>
  <c r="N603" i="58"/>
  <c r="N604" i="58"/>
  <c r="N605" i="58"/>
  <c r="N606" i="58"/>
  <c r="N607" i="58"/>
  <c r="N608" i="58"/>
  <c r="N609" i="58"/>
  <c r="N610" i="58"/>
  <c r="N611" i="58"/>
  <c r="N612" i="58"/>
  <c r="N613" i="58"/>
  <c r="N614" i="58"/>
  <c r="N615" i="58"/>
  <c r="N616" i="58"/>
  <c r="N617" i="58"/>
  <c r="N618" i="58"/>
  <c r="N619" i="58"/>
  <c r="N620" i="58"/>
  <c r="N621" i="58"/>
  <c r="N622" i="58"/>
  <c r="N623" i="58"/>
  <c r="N624" i="58"/>
  <c r="N625" i="58"/>
  <c r="N626" i="58"/>
  <c r="N627" i="58"/>
  <c r="N628" i="58"/>
  <c r="N629" i="58"/>
  <c r="N630" i="58"/>
  <c r="N631" i="58"/>
  <c r="N632" i="58"/>
  <c r="N633" i="58"/>
  <c r="N634" i="58"/>
  <c r="N635" i="58"/>
  <c r="N636" i="58"/>
  <c r="N637" i="58"/>
  <c r="N638" i="58"/>
  <c r="N639" i="58"/>
  <c r="N640" i="58"/>
  <c r="N641" i="58"/>
  <c r="N642" i="58"/>
  <c r="N643" i="58"/>
  <c r="N644" i="58"/>
  <c r="N645" i="58"/>
  <c r="N646" i="58"/>
  <c r="N647" i="58"/>
  <c r="N648" i="58"/>
  <c r="N649" i="58"/>
  <c r="N650" i="58"/>
  <c r="N651" i="58"/>
  <c r="N652" i="58"/>
  <c r="N653" i="58"/>
  <c r="N654" i="58"/>
  <c r="N655" i="58"/>
  <c r="N656" i="58"/>
  <c r="N657" i="58"/>
  <c r="N658" i="58"/>
  <c r="N659" i="58"/>
  <c r="N660" i="58"/>
  <c r="N661" i="58"/>
  <c r="N662" i="58"/>
  <c r="N663" i="58"/>
  <c r="N664" i="58"/>
  <c r="N665" i="58"/>
  <c r="N666" i="58"/>
  <c r="N667" i="58"/>
  <c r="N668" i="58"/>
  <c r="N669" i="58"/>
  <c r="N670" i="58"/>
  <c r="N671" i="58"/>
  <c r="N672" i="58"/>
  <c r="N673" i="58"/>
  <c r="N674" i="58"/>
  <c r="N675" i="58"/>
  <c r="N676" i="58"/>
  <c r="N677" i="58"/>
  <c r="N678" i="58"/>
  <c r="N679" i="58"/>
  <c r="N680" i="58"/>
  <c r="N681" i="58"/>
  <c r="N682" i="58"/>
  <c r="N683" i="58"/>
  <c r="N684" i="58"/>
  <c r="N685" i="58"/>
  <c r="N686" i="58"/>
  <c r="N687" i="58"/>
  <c r="N688" i="58"/>
  <c r="N689" i="58"/>
  <c r="N690" i="58"/>
  <c r="N691" i="58"/>
  <c r="N692" i="58"/>
  <c r="N693" i="58"/>
  <c r="N694" i="58"/>
  <c r="N695" i="58"/>
  <c r="N696" i="58"/>
  <c r="N697" i="58"/>
  <c r="N698" i="58"/>
  <c r="N699" i="58"/>
  <c r="N700" i="58"/>
  <c r="N701" i="58"/>
  <c r="N702" i="58"/>
  <c r="N703" i="58"/>
  <c r="N704" i="58"/>
  <c r="N705" i="58"/>
  <c r="N706" i="58"/>
  <c r="N707" i="58"/>
  <c r="N708" i="58"/>
  <c r="N709" i="58"/>
  <c r="N710" i="58"/>
  <c r="N711" i="58"/>
  <c r="N712" i="58"/>
  <c r="N713" i="58"/>
  <c r="N714" i="58"/>
  <c r="N715" i="58"/>
  <c r="N716" i="58"/>
  <c r="N717" i="58"/>
  <c r="N718" i="58"/>
  <c r="N719" i="58"/>
  <c r="N720" i="58"/>
  <c r="N721" i="58"/>
  <c r="N722" i="58"/>
  <c r="N723" i="58"/>
  <c r="N724" i="58"/>
  <c r="N725" i="58"/>
  <c r="N726" i="58"/>
  <c r="N727" i="58"/>
  <c r="N728" i="58"/>
  <c r="N729" i="58"/>
  <c r="N730" i="58"/>
  <c r="N731" i="58"/>
  <c r="N732" i="58"/>
  <c r="N733" i="58"/>
  <c r="N734" i="58"/>
  <c r="N735" i="58"/>
  <c r="N736" i="58"/>
  <c r="N737" i="58"/>
  <c r="N738" i="58"/>
  <c r="N739" i="58"/>
  <c r="N740" i="58"/>
  <c r="N741" i="58"/>
  <c r="N742" i="58"/>
  <c r="N743" i="58"/>
  <c r="N744" i="58"/>
  <c r="N745" i="58"/>
  <c r="N746" i="58"/>
  <c r="N747" i="58"/>
  <c r="N748" i="58"/>
  <c r="N749" i="58"/>
  <c r="N750" i="58"/>
  <c r="N751" i="58"/>
  <c r="N752" i="58"/>
  <c r="N753" i="58"/>
  <c r="N754" i="58"/>
  <c r="N755" i="58"/>
  <c r="N756" i="58"/>
  <c r="N757" i="58"/>
  <c r="N758" i="58"/>
  <c r="N759" i="58"/>
  <c r="N760" i="58"/>
  <c r="N761" i="58"/>
  <c r="N762" i="58"/>
  <c r="N763" i="58"/>
  <c r="N764" i="58"/>
  <c r="N765" i="58"/>
  <c r="N766" i="58"/>
  <c r="N767" i="58"/>
  <c r="N768" i="58"/>
  <c r="N769" i="58"/>
  <c r="N770" i="58"/>
  <c r="N771" i="58"/>
  <c r="N772" i="58"/>
  <c r="N773" i="58"/>
  <c r="N774" i="58"/>
  <c r="N775" i="58"/>
  <c r="N776" i="58"/>
  <c r="N777" i="58"/>
  <c r="N778" i="58"/>
  <c r="N779" i="58"/>
  <c r="N780" i="58"/>
  <c r="N781" i="58"/>
  <c r="N782" i="58"/>
  <c r="N783" i="58"/>
  <c r="N784" i="58"/>
  <c r="N785" i="58"/>
  <c r="N786" i="58"/>
  <c r="N787" i="58"/>
  <c r="N788" i="58"/>
  <c r="N789" i="58"/>
  <c r="N790" i="58"/>
  <c r="N791" i="58"/>
  <c r="N792" i="58"/>
  <c r="N793" i="58"/>
  <c r="N794" i="58"/>
  <c r="N795" i="58"/>
  <c r="N796" i="58"/>
  <c r="N797" i="58"/>
  <c r="N798" i="58"/>
  <c r="N799" i="58"/>
  <c r="N800" i="58"/>
  <c r="N801" i="58"/>
  <c r="N802" i="58"/>
  <c r="N803" i="58"/>
  <c r="N804" i="58"/>
  <c r="N805" i="58"/>
  <c r="N806" i="58"/>
  <c r="N807" i="58"/>
  <c r="N808" i="58"/>
  <c r="N809" i="58"/>
  <c r="N810" i="58"/>
  <c r="N811" i="58"/>
  <c r="N812" i="58"/>
  <c r="N813" i="58"/>
  <c r="N814" i="58"/>
  <c r="N815" i="58"/>
  <c r="N816" i="58"/>
  <c r="N817" i="58"/>
  <c r="N818" i="58"/>
  <c r="N819" i="58"/>
  <c r="N820" i="58"/>
  <c r="N821" i="58"/>
  <c r="N822" i="58"/>
  <c r="N823" i="58"/>
  <c r="N824" i="58"/>
  <c r="N825" i="58"/>
  <c r="N826" i="58"/>
  <c r="N827" i="58"/>
  <c r="N828" i="58"/>
  <c r="N829" i="58"/>
  <c r="N830" i="58"/>
  <c r="N831" i="58"/>
  <c r="N832" i="58"/>
  <c r="N833" i="58"/>
  <c r="N834" i="58"/>
  <c r="N835" i="58"/>
  <c r="N836" i="58"/>
  <c r="N837" i="58"/>
  <c r="N838" i="58"/>
  <c r="N839" i="58"/>
  <c r="N840" i="58"/>
  <c r="N841" i="58"/>
  <c r="N842" i="58"/>
  <c r="N843" i="58"/>
  <c r="N844" i="58"/>
  <c r="N845" i="58"/>
  <c r="N846" i="58"/>
  <c r="N847" i="58"/>
  <c r="N848" i="58"/>
  <c r="N849" i="58"/>
  <c r="N850" i="58"/>
  <c r="N851" i="58"/>
  <c r="N852" i="58"/>
  <c r="N853" i="58"/>
  <c r="N854" i="58"/>
  <c r="N855" i="58"/>
  <c r="N856" i="58"/>
  <c r="N857" i="58"/>
  <c r="N858" i="58"/>
  <c r="N859" i="58"/>
  <c r="N860" i="58"/>
  <c r="N861" i="58"/>
  <c r="N862" i="58"/>
  <c r="N863" i="58"/>
  <c r="N864" i="58"/>
  <c r="N865" i="58"/>
  <c r="N866" i="58"/>
  <c r="N867" i="58"/>
  <c r="N868" i="58"/>
  <c r="N869" i="58"/>
  <c r="N870" i="58"/>
  <c r="N871" i="58"/>
  <c r="N872" i="58"/>
  <c r="N873" i="58"/>
  <c r="N874" i="58"/>
  <c r="N875" i="58"/>
  <c r="N876" i="58"/>
  <c r="N877" i="58"/>
  <c r="N878" i="58"/>
  <c r="N879" i="58"/>
  <c r="N880" i="58"/>
  <c r="N881" i="58"/>
  <c r="N882" i="58"/>
  <c r="N883" i="58"/>
  <c r="N884" i="58"/>
  <c r="N885" i="58"/>
  <c r="N886" i="58"/>
  <c r="N887" i="58"/>
  <c r="N888" i="58"/>
  <c r="N889" i="58"/>
  <c r="N890" i="58"/>
  <c r="N891" i="58"/>
  <c r="N892" i="58"/>
  <c r="N893" i="58"/>
  <c r="N894" i="58"/>
  <c r="N895" i="58"/>
  <c r="N896" i="58"/>
  <c r="N897" i="58"/>
  <c r="N898" i="58"/>
  <c r="N899" i="58"/>
  <c r="N900" i="58"/>
  <c r="N901" i="58"/>
  <c r="N902" i="58"/>
  <c r="N903" i="58"/>
  <c r="N904" i="58"/>
  <c r="N905" i="58"/>
  <c r="N906" i="58"/>
  <c r="N907" i="58"/>
  <c r="N908" i="58"/>
  <c r="N909" i="58"/>
  <c r="N910" i="58"/>
  <c r="N911" i="58"/>
  <c r="N912" i="58"/>
  <c r="N913" i="58"/>
  <c r="N914" i="58"/>
  <c r="N915" i="58"/>
  <c r="N916" i="58"/>
  <c r="N917" i="58"/>
  <c r="N918" i="58"/>
  <c r="N919" i="58"/>
  <c r="N920" i="58"/>
  <c r="N921" i="58"/>
  <c r="N922" i="58"/>
  <c r="N923" i="58"/>
  <c r="N924" i="58"/>
  <c r="N925" i="58"/>
  <c r="N926" i="58"/>
  <c r="N927" i="58"/>
  <c r="N928" i="58"/>
  <c r="N929" i="58"/>
  <c r="N930" i="58"/>
  <c r="N931" i="58"/>
  <c r="N932" i="58"/>
  <c r="N933" i="58"/>
  <c r="N934" i="58"/>
  <c r="N935" i="58"/>
  <c r="N936" i="58"/>
  <c r="N937" i="58"/>
  <c r="N938" i="58"/>
  <c r="N939" i="58"/>
  <c r="N940" i="58"/>
  <c r="N941" i="58"/>
  <c r="N942" i="58"/>
  <c r="N943" i="58"/>
  <c r="N944" i="58"/>
  <c r="N945" i="58"/>
  <c r="N946" i="58"/>
  <c r="N947" i="58"/>
  <c r="N948" i="58"/>
  <c r="N949" i="58"/>
  <c r="N950" i="58"/>
  <c r="N951" i="58"/>
  <c r="N952" i="58"/>
  <c r="N953" i="58"/>
  <c r="N954" i="58"/>
  <c r="N955" i="58"/>
  <c r="N956" i="58"/>
  <c r="N957" i="58"/>
  <c r="N958" i="58"/>
  <c r="N959" i="58"/>
  <c r="N960" i="58"/>
  <c r="N961" i="58"/>
  <c r="N962" i="58"/>
  <c r="N963" i="58"/>
  <c r="N964" i="58"/>
  <c r="N965" i="58"/>
  <c r="N966" i="58"/>
  <c r="N967" i="58"/>
  <c r="N968" i="58"/>
  <c r="N969" i="58"/>
  <c r="N970" i="58"/>
  <c r="N971" i="58"/>
  <c r="N972" i="58"/>
  <c r="N973" i="58"/>
  <c r="N974" i="58"/>
  <c r="N975" i="58"/>
  <c r="N976" i="58"/>
  <c r="N977" i="58"/>
  <c r="N978" i="58"/>
  <c r="N979" i="58"/>
  <c r="N980" i="58"/>
  <c r="N981" i="58"/>
  <c r="N982" i="58"/>
  <c r="N983" i="58"/>
  <c r="N984" i="58"/>
  <c r="N985" i="58"/>
  <c r="N986" i="58"/>
  <c r="N987" i="58"/>
  <c r="N988" i="58"/>
  <c r="N989" i="58"/>
  <c r="N990" i="58"/>
  <c r="N991" i="58"/>
  <c r="N992" i="58"/>
  <c r="N993" i="58"/>
  <c r="N994" i="58"/>
  <c r="N995" i="58"/>
  <c r="N996" i="58"/>
  <c r="N997" i="58"/>
  <c r="N998" i="58"/>
  <c r="N999" i="58"/>
  <c r="N1000" i="58"/>
  <c r="N1001" i="58"/>
  <c r="N1002" i="58"/>
  <c r="N1003" i="58"/>
  <c r="N1004" i="58"/>
  <c r="N1005" i="58"/>
  <c r="N1006" i="58"/>
  <c r="N1007" i="58"/>
  <c r="N1008" i="58"/>
  <c r="N1009" i="58"/>
  <c r="N1010" i="58"/>
  <c r="N1011" i="58"/>
  <c r="N1012" i="58"/>
  <c r="N1013" i="58"/>
  <c r="N1014" i="58"/>
  <c r="N1015" i="58"/>
  <c r="N1016" i="58"/>
  <c r="N1017" i="58"/>
  <c r="N1018" i="58"/>
  <c r="N1019" i="58"/>
  <c r="N1020" i="58"/>
  <c r="N1021" i="58"/>
  <c r="N1022" i="58"/>
  <c r="N1023" i="58"/>
  <c r="N1024" i="58"/>
  <c r="N1025" i="58"/>
  <c r="N1026" i="58"/>
  <c r="N1027" i="58"/>
  <c r="N1028" i="58"/>
  <c r="N1029" i="58"/>
  <c r="N1030" i="58"/>
  <c r="N1031" i="58"/>
  <c r="N1032" i="58"/>
  <c r="N1033" i="58"/>
  <c r="N1034" i="58"/>
  <c r="N1035" i="58"/>
  <c r="N1036" i="58"/>
  <c r="N1037" i="58"/>
  <c r="N1038" i="58"/>
  <c r="N1039" i="58"/>
  <c r="N1040" i="58"/>
  <c r="N1041" i="58"/>
  <c r="N1042" i="58"/>
  <c r="N1043" i="58"/>
  <c r="N1044" i="58"/>
  <c r="N1045" i="58"/>
  <c r="N1046" i="58"/>
  <c r="N1047" i="58"/>
  <c r="N1048" i="58"/>
  <c r="N1049" i="58"/>
  <c r="N1050" i="58"/>
  <c r="N1051" i="58"/>
  <c r="N1052" i="58"/>
  <c r="N1053" i="58"/>
  <c r="N1054" i="58"/>
  <c r="N1055" i="58"/>
  <c r="N1056" i="58"/>
  <c r="N1057" i="58"/>
  <c r="N1058" i="58"/>
  <c r="N1059" i="58"/>
  <c r="N1060" i="58"/>
  <c r="N1061" i="58"/>
  <c r="N1062" i="58"/>
  <c r="N1063" i="58"/>
  <c r="N1064" i="58"/>
  <c r="N1065" i="58"/>
  <c r="N1066" i="58"/>
  <c r="N1067" i="58"/>
  <c r="N1068" i="58"/>
  <c r="N1069" i="58"/>
  <c r="N1070" i="58"/>
  <c r="N1071" i="58"/>
  <c r="N1072" i="58"/>
  <c r="N1073" i="58"/>
  <c r="N1074" i="58"/>
  <c r="N1075" i="58"/>
  <c r="N1076" i="58"/>
  <c r="N1077" i="58"/>
  <c r="N1078" i="58"/>
  <c r="N1079" i="58"/>
  <c r="N1080" i="58"/>
  <c r="N1081" i="58"/>
  <c r="N1082" i="58"/>
  <c r="N1083" i="58"/>
  <c r="N1084" i="58"/>
  <c r="N1085" i="58"/>
  <c r="N1086" i="58"/>
  <c r="N1087" i="58"/>
  <c r="N1088" i="58"/>
  <c r="N1089" i="58"/>
  <c r="N1090" i="58"/>
  <c r="N1091" i="58"/>
  <c r="N1092" i="58"/>
  <c r="N1093" i="58"/>
  <c r="N1094" i="58"/>
  <c r="N1095" i="58"/>
  <c r="N1096" i="58"/>
  <c r="N1097" i="58"/>
  <c r="N1098" i="58"/>
  <c r="N1099" i="58"/>
  <c r="N1100" i="58"/>
  <c r="N1101" i="58"/>
  <c r="N1102" i="58"/>
  <c r="N1103" i="58"/>
  <c r="N1104" i="58"/>
  <c r="N1105" i="58"/>
  <c r="N1106" i="58"/>
  <c r="N1107" i="58"/>
  <c r="N1108" i="58"/>
  <c r="N1109" i="58"/>
  <c r="N1110" i="58"/>
  <c r="N1111" i="58"/>
  <c r="N1112" i="58"/>
  <c r="N1113" i="58"/>
  <c r="N1114" i="58"/>
  <c r="N1115" i="58"/>
  <c r="N1116" i="58"/>
  <c r="N1117" i="58"/>
  <c r="N1118" i="58"/>
  <c r="N1119" i="58"/>
  <c r="N1120" i="58"/>
  <c r="N1121" i="58"/>
  <c r="N1122" i="58"/>
  <c r="N1123" i="58"/>
  <c r="N1124" i="58"/>
  <c r="N1125" i="58"/>
  <c r="N1126" i="58"/>
  <c r="N1127" i="58"/>
  <c r="N1128" i="58"/>
  <c r="N1129" i="58"/>
  <c r="N1130" i="58"/>
  <c r="N1131" i="58"/>
  <c r="N1132" i="58"/>
  <c r="N1133" i="58"/>
  <c r="N1134" i="58"/>
  <c r="N1135" i="58"/>
  <c r="N1136" i="58"/>
  <c r="N1137" i="58"/>
  <c r="N1138" i="58"/>
  <c r="N1139" i="58"/>
  <c r="N1140" i="58"/>
  <c r="N1141" i="58"/>
  <c r="N1142" i="58"/>
  <c r="N1143" i="58"/>
  <c r="N1144" i="58"/>
  <c r="N1145" i="58"/>
  <c r="N1146" i="58"/>
  <c r="N1147" i="58"/>
  <c r="N1148" i="58"/>
  <c r="N1149" i="58"/>
  <c r="N1150" i="58"/>
  <c r="N1151" i="58"/>
  <c r="N1152" i="58"/>
  <c r="N1153" i="58"/>
  <c r="N1154" i="58"/>
  <c r="N1155" i="58"/>
  <c r="N1156" i="58"/>
  <c r="N1157" i="58"/>
  <c r="N1158" i="58"/>
  <c r="N1159" i="58"/>
  <c r="N1160" i="58"/>
  <c r="N1161" i="58"/>
  <c r="N1162" i="58"/>
  <c r="N1163" i="58"/>
  <c r="N1164" i="58"/>
  <c r="N1165" i="58"/>
  <c r="N1166" i="58"/>
  <c r="N1167" i="58"/>
  <c r="N1168" i="58"/>
  <c r="N1169" i="58"/>
  <c r="N1170" i="58"/>
  <c r="N1171" i="58"/>
  <c r="N1172" i="58"/>
  <c r="N1173" i="58"/>
  <c r="N1174" i="58"/>
  <c r="N1175" i="58"/>
  <c r="N1176" i="58"/>
  <c r="N1177" i="58"/>
  <c r="N1178" i="58"/>
  <c r="N1179" i="58"/>
  <c r="N1180" i="58"/>
  <c r="N1181" i="58"/>
  <c r="N1182" i="58"/>
  <c r="N1183" i="58"/>
  <c r="N1184" i="58"/>
  <c r="N1185" i="58"/>
  <c r="N1186" i="58"/>
  <c r="N1187" i="58"/>
  <c r="N1188" i="58"/>
  <c r="N1189" i="58"/>
  <c r="N1190" i="58"/>
  <c r="N1191" i="58"/>
  <c r="N1192" i="58"/>
  <c r="N1193" i="58"/>
  <c r="N1194" i="58"/>
  <c r="N1195" i="58"/>
  <c r="N1196" i="58"/>
  <c r="N1197" i="58"/>
  <c r="N1198" i="58"/>
  <c r="N1199" i="58"/>
  <c r="N1200" i="58"/>
  <c r="N1201" i="58"/>
  <c r="N1202" i="58"/>
  <c r="N1203" i="58"/>
  <c r="N1204" i="58"/>
  <c r="N1205" i="58"/>
  <c r="N1206" i="58"/>
  <c r="N1207" i="58"/>
  <c r="N1208" i="58"/>
  <c r="N1209" i="58"/>
  <c r="N1210" i="58"/>
  <c r="N1211" i="58"/>
  <c r="N1212" i="58"/>
  <c r="N1213" i="58"/>
  <c r="N1214" i="58"/>
  <c r="N1215" i="58"/>
  <c r="N1216" i="58"/>
  <c r="N1217" i="58"/>
  <c r="N1218" i="58"/>
  <c r="N1219" i="58"/>
  <c r="N1220" i="58"/>
  <c r="N1221" i="58"/>
  <c r="N1222" i="58"/>
  <c r="N1223" i="58"/>
  <c r="N1224" i="58"/>
  <c r="N1225" i="58"/>
  <c r="N1226" i="58"/>
  <c r="N1227" i="58"/>
  <c r="N1228" i="58"/>
  <c r="N1229" i="58"/>
  <c r="N1230" i="58"/>
  <c r="N1231" i="58"/>
  <c r="N1232" i="58"/>
  <c r="N1233" i="58"/>
  <c r="N1234" i="58"/>
  <c r="N1235" i="58"/>
  <c r="N1236" i="58"/>
  <c r="N1237" i="58"/>
  <c r="N1238" i="58"/>
  <c r="N1239" i="58"/>
  <c r="N1240" i="58"/>
  <c r="N1241" i="58"/>
  <c r="N1242" i="58"/>
  <c r="N1243" i="58"/>
  <c r="N1244" i="58"/>
  <c r="N1245" i="58"/>
  <c r="N1246" i="58"/>
  <c r="N1247" i="58"/>
  <c r="N1248" i="58"/>
  <c r="N1249" i="58"/>
  <c r="N1250" i="58"/>
  <c r="N1251" i="58"/>
  <c r="N1252" i="58"/>
  <c r="N1253" i="58"/>
  <c r="N1254" i="58"/>
  <c r="N1255" i="58"/>
  <c r="N1256" i="58"/>
  <c r="N1257" i="58"/>
  <c r="N1258" i="58"/>
  <c r="N1259" i="58"/>
  <c r="N1260" i="58"/>
  <c r="N1261" i="58"/>
  <c r="N1262" i="58"/>
  <c r="N1263" i="58"/>
  <c r="N1264" i="58"/>
  <c r="N1265" i="58"/>
  <c r="N1266" i="58"/>
  <c r="N1267" i="58"/>
  <c r="N1268" i="58"/>
  <c r="N1269" i="58"/>
  <c r="N1270" i="58"/>
  <c r="N1271" i="58"/>
  <c r="N1272" i="58"/>
  <c r="N1273" i="58"/>
  <c r="N1274" i="58"/>
  <c r="N1275" i="58"/>
  <c r="N1276" i="58"/>
  <c r="N1277" i="58"/>
  <c r="N1278" i="58"/>
  <c r="N1279" i="58"/>
  <c r="N1280" i="58"/>
  <c r="N1281" i="58"/>
  <c r="N1282" i="58"/>
  <c r="N1283" i="58"/>
  <c r="N1284" i="58"/>
  <c r="N1285" i="58"/>
  <c r="N1286" i="58"/>
  <c r="N1287" i="58"/>
  <c r="N1288" i="58"/>
  <c r="N1289" i="58"/>
  <c r="N1290" i="58"/>
  <c r="N1291" i="58"/>
  <c r="N1292" i="58"/>
  <c r="N1293" i="58"/>
  <c r="N1294" i="58"/>
  <c r="N1295" i="58"/>
  <c r="N1296" i="58"/>
  <c r="N1297" i="58"/>
  <c r="N1298" i="58"/>
  <c r="N1299" i="58"/>
  <c r="N1300" i="58"/>
  <c r="N1301" i="58"/>
  <c r="N1302" i="58"/>
  <c r="N1303" i="58"/>
  <c r="N1304" i="58"/>
  <c r="N1305" i="58"/>
  <c r="N1306" i="58"/>
  <c r="N1307" i="58"/>
  <c r="N1308" i="58"/>
  <c r="N1309" i="58"/>
  <c r="N1310" i="58"/>
  <c r="N1311" i="58"/>
  <c r="N1312" i="58"/>
  <c r="N1313" i="58"/>
  <c r="N1314" i="58"/>
  <c r="N1315" i="58"/>
  <c r="N1316" i="58"/>
  <c r="N1317" i="58"/>
  <c r="N1318" i="58"/>
  <c r="N1319" i="58"/>
  <c r="N1320" i="58"/>
  <c r="N1321" i="58"/>
  <c r="N1322" i="58"/>
  <c r="N1323" i="58"/>
  <c r="N1324" i="58"/>
  <c r="N1325" i="58"/>
  <c r="N1326" i="58"/>
  <c r="N1327" i="58"/>
  <c r="N1328" i="58"/>
  <c r="N1329" i="58"/>
  <c r="N1330" i="58"/>
  <c r="N1331" i="58"/>
  <c r="N1332" i="58"/>
  <c r="N1333" i="58"/>
  <c r="N1334" i="58"/>
  <c r="N1335" i="58"/>
  <c r="N1336" i="58"/>
  <c r="N1337" i="58"/>
  <c r="N1338" i="58"/>
  <c r="N1339" i="58"/>
  <c r="N1340" i="58"/>
  <c r="N1341" i="58"/>
  <c r="N1342" i="58"/>
  <c r="N1343" i="58"/>
  <c r="N1344" i="58"/>
  <c r="N1345" i="58"/>
  <c r="N1346" i="58"/>
  <c r="N1347" i="58"/>
  <c r="N1348" i="58"/>
  <c r="N1349" i="58"/>
  <c r="N1350" i="58"/>
  <c r="N1351" i="58"/>
  <c r="N1352" i="58"/>
  <c r="N1353" i="58"/>
  <c r="N1354" i="58"/>
  <c r="N1355" i="58"/>
  <c r="N1356" i="58"/>
  <c r="N1357" i="58"/>
  <c r="N1358" i="58"/>
  <c r="N1359" i="58"/>
  <c r="N1360" i="58"/>
  <c r="N1361" i="58"/>
  <c r="N1362" i="58"/>
  <c r="N1363" i="58"/>
  <c r="N1364" i="58"/>
  <c r="N1365" i="58"/>
  <c r="N1366" i="58"/>
  <c r="N1367" i="58"/>
  <c r="N1368" i="58"/>
  <c r="N1369" i="58"/>
  <c r="N1370" i="58"/>
  <c r="N1371" i="58"/>
  <c r="N1372" i="58"/>
  <c r="N1373" i="58"/>
  <c r="N1374" i="58"/>
  <c r="N1375" i="58"/>
  <c r="N1376" i="58"/>
  <c r="N1377" i="58"/>
  <c r="N1378" i="58"/>
  <c r="N1379" i="58"/>
  <c r="N1380" i="58"/>
  <c r="N1381" i="58"/>
  <c r="N1382" i="58"/>
  <c r="N1383" i="58"/>
  <c r="N1384" i="58"/>
  <c r="N1385" i="58"/>
  <c r="N1386" i="58"/>
  <c r="N1387" i="58"/>
  <c r="N1388" i="58"/>
  <c r="N1389" i="58"/>
  <c r="N1390" i="58"/>
  <c r="N1391" i="58"/>
  <c r="N1392" i="58"/>
  <c r="N1393" i="58"/>
  <c r="N1394" i="58"/>
  <c r="N1395" i="58"/>
  <c r="N1396" i="58"/>
  <c r="N1397" i="58"/>
  <c r="N1398" i="58"/>
  <c r="N1399" i="58"/>
  <c r="N1400" i="58"/>
  <c r="N1401" i="58"/>
  <c r="N1402" i="58"/>
  <c r="N1403" i="58"/>
  <c r="N1404" i="58"/>
  <c r="N1405" i="58"/>
  <c r="N1406" i="58"/>
  <c r="N1407" i="58"/>
  <c r="N1408" i="58"/>
  <c r="N1409" i="58"/>
  <c r="N1410" i="58"/>
  <c r="N1411" i="58"/>
  <c r="N1412" i="58"/>
  <c r="N1413" i="58"/>
  <c r="N1414" i="58"/>
  <c r="N1415" i="58"/>
  <c r="N1416" i="58"/>
  <c r="N1417" i="58"/>
  <c r="N1418" i="58"/>
  <c r="N1419" i="58"/>
  <c r="N1420" i="58"/>
  <c r="N1421" i="58"/>
  <c r="N1422" i="58"/>
  <c r="N1423" i="58"/>
  <c r="N1424" i="58"/>
  <c r="N1425" i="58"/>
  <c r="N1426" i="58"/>
  <c r="N1427" i="58"/>
  <c r="N1428" i="58"/>
  <c r="N1429" i="58"/>
  <c r="N1430" i="58"/>
  <c r="N1431" i="58"/>
  <c r="N1432" i="58"/>
  <c r="N1433" i="58"/>
  <c r="N1434" i="58"/>
  <c r="N1435" i="58"/>
  <c r="N1436" i="58"/>
  <c r="N1437" i="58"/>
  <c r="N1438" i="58"/>
  <c r="N1439" i="58"/>
  <c r="N1440" i="58"/>
  <c r="N1441" i="58"/>
  <c r="N1442" i="58"/>
  <c r="N1443" i="58"/>
  <c r="N1444" i="58"/>
  <c r="N1445" i="58"/>
  <c r="N1446" i="58"/>
  <c r="N1447" i="58"/>
  <c r="N1448" i="58"/>
  <c r="N1449" i="58"/>
  <c r="N1450" i="58"/>
  <c r="N1451" i="58"/>
  <c r="N1452" i="58"/>
  <c r="N1453" i="58"/>
  <c r="N1454" i="58"/>
  <c r="N1455" i="58"/>
  <c r="N1456" i="58"/>
  <c r="N1457" i="58"/>
  <c r="N1458" i="58"/>
  <c r="N1459" i="58"/>
  <c r="N1460" i="58"/>
  <c r="N1461" i="58"/>
  <c r="N1462" i="58"/>
  <c r="N1463" i="58"/>
  <c r="N1464" i="58"/>
  <c r="N1465" i="58"/>
  <c r="N1466" i="58"/>
  <c r="N1467" i="58"/>
  <c r="N1468" i="58"/>
  <c r="N1469" i="58"/>
  <c r="N1470" i="58"/>
  <c r="N1471" i="58"/>
  <c r="N1472" i="58"/>
  <c r="N1473" i="58"/>
  <c r="N1474" i="58"/>
  <c r="N1475" i="58"/>
  <c r="N1476" i="58"/>
  <c r="N1477" i="58"/>
  <c r="N1478" i="58"/>
  <c r="N1479" i="58"/>
  <c r="N1480" i="58"/>
  <c r="N1481" i="58"/>
  <c r="N1482" i="58"/>
  <c r="N1483" i="58"/>
  <c r="N1484" i="58"/>
  <c r="N1485" i="58"/>
  <c r="N1486" i="58"/>
  <c r="N1487" i="58"/>
  <c r="N1488" i="58"/>
  <c r="N1489" i="58"/>
  <c r="N1490" i="58"/>
  <c r="N1491" i="58"/>
  <c r="N1492" i="58"/>
  <c r="N1493" i="58"/>
  <c r="N1494" i="58"/>
  <c r="N1495" i="58"/>
  <c r="N1496" i="58"/>
  <c r="N1497" i="58"/>
  <c r="N1498" i="58"/>
  <c r="N1499" i="58"/>
  <c r="N1500" i="58"/>
  <c r="N1501" i="58"/>
  <c r="N1502" i="58"/>
  <c r="N1503" i="58"/>
  <c r="N1504" i="58"/>
  <c r="N1505" i="58"/>
  <c r="N1506" i="58"/>
  <c r="N1507" i="58"/>
  <c r="N1508" i="58"/>
  <c r="N1509" i="58"/>
  <c r="N1510" i="58"/>
  <c r="N1511" i="58"/>
  <c r="N1512" i="58"/>
  <c r="N1513" i="58"/>
  <c r="N1514" i="58"/>
  <c r="N1515" i="58"/>
  <c r="N1516" i="58"/>
  <c r="N1517" i="58"/>
  <c r="N1518" i="58"/>
  <c r="N1519" i="58"/>
  <c r="N1520" i="58"/>
  <c r="N1521" i="58"/>
  <c r="N1522" i="58"/>
  <c r="N1523" i="58"/>
  <c r="N1524" i="58"/>
  <c r="N1525" i="58"/>
  <c r="N1526" i="58"/>
  <c r="N1527" i="58"/>
  <c r="N1528" i="58"/>
  <c r="N1529" i="58"/>
  <c r="N1530" i="58"/>
  <c r="N1531" i="58"/>
  <c r="N1532" i="58"/>
  <c r="N1533" i="58"/>
  <c r="N1534" i="58"/>
  <c r="N1535" i="58"/>
  <c r="N1536" i="58"/>
  <c r="N1537" i="58"/>
  <c r="N1538" i="58"/>
  <c r="N1539" i="58"/>
  <c r="N1540" i="58"/>
  <c r="N1541" i="58"/>
  <c r="N1542" i="58"/>
  <c r="N1543" i="58"/>
  <c r="N1544" i="58"/>
  <c r="N1545" i="58"/>
  <c r="N1546" i="58"/>
  <c r="N1547" i="58"/>
  <c r="N1548" i="58"/>
  <c r="N1549" i="58"/>
  <c r="N1550" i="58"/>
  <c r="N1551" i="58"/>
  <c r="N1552" i="58"/>
  <c r="N1553" i="58"/>
  <c r="N1554" i="58"/>
  <c r="N1555" i="58"/>
  <c r="N1556" i="58"/>
  <c r="N1557" i="58"/>
  <c r="N1558" i="58"/>
  <c r="N1559" i="58"/>
  <c r="N1560" i="58"/>
  <c r="N1561" i="58"/>
  <c r="N1562" i="58"/>
  <c r="N1563" i="58"/>
  <c r="N1564" i="58"/>
  <c r="N1565" i="58"/>
  <c r="N1566" i="58"/>
  <c r="N1567" i="58"/>
  <c r="N1568" i="58"/>
  <c r="N1569" i="58"/>
  <c r="N1570" i="58"/>
  <c r="N1571" i="58"/>
  <c r="N1572" i="58"/>
  <c r="N1573" i="58"/>
  <c r="N1574" i="58"/>
  <c r="N1575" i="58"/>
  <c r="N1576" i="58"/>
  <c r="N1577" i="58"/>
  <c r="N1578" i="58"/>
  <c r="N1579" i="58"/>
  <c r="N1580" i="58"/>
  <c r="N1581" i="58"/>
  <c r="N1582" i="58"/>
  <c r="N1583" i="58"/>
  <c r="N1584" i="58"/>
  <c r="N1585" i="58"/>
  <c r="N1586" i="58"/>
  <c r="N1587" i="58"/>
  <c r="N1588" i="58"/>
  <c r="N1589" i="58"/>
  <c r="N1590" i="58"/>
  <c r="N1591" i="58"/>
  <c r="N1592" i="58"/>
  <c r="N1593" i="58"/>
  <c r="N1594" i="58"/>
  <c r="N1595" i="58"/>
  <c r="N1596" i="58"/>
  <c r="N1597" i="58"/>
  <c r="N1598" i="58"/>
  <c r="N1599" i="58"/>
  <c r="N1600" i="58"/>
  <c r="N1601" i="58"/>
  <c r="N1602" i="58"/>
  <c r="N1603" i="58"/>
  <c r="N1604" i="58"/>
  <c r="N1605" i="58"/>
  <c r="N1606" i="58"/>
  <c r="N1607" i="58"/>
  <c r="N1608" i="58"/>
  <c r="N1609" i="58"/>
  <c r="N1610" i="58"/>
  <c r="N1611" i="58"/>
  <c r="N1612" i="58"/>
  <c r="N1613" i="58"/>
  <c r="N1614" i="58"/>
  <c r="N1615" i="58"/>
  <c r="N1616" i="58"/>
  <c r="N1617" i="58"/>
  <c r="N1618" i="58"/>
  <c r="N1619" i="58"/>
  <c r="N1620" i="58"/>
  <c r="N1621" i="58"/>
  <c r="N1622" i="58"/>
  <c r="N1623" i="58"/>
  <c r="N1624" i="58"/>
  <c r="N1625" i="58"/>
  <c r="N1626" i="58"/>
  <c r="N1627" i="58"/>
  <c r="N1628" i="58"/>
  <c r="N1629" i="58"/>
  <c r="N1630" i="58"/>
  <c r="N1631" i="58"/>
  <c r="N1632" i="58"/>
  <c r="N1633" i="58"/>
  <c r="N1634" i="58"/>
  <c r="N1635" i="58"/>
  <c r="N1636" i="58"/>
  <c r="N1637" i="58"/>
  <c r="N1638" i="58"/>
  <c r="N1639" i="58"/>
  <c r="N1640" i="58"/>
  <c r="N1641" i="58"/>
  <c r="N1642" i="58"/>
  <c r="N1643" i="58"/>
  <c r="N1644" i="58"/>
  <c r="N1645" i="58"/>
  <c r="N1646" i="58"/>
  <c r="N1647" i="58"/>
  <c r="N1648" i="58"/>
  <c r="N1649" i="58"/>
  <c r="N1650" i="58"/>
  <c r="N1651" i="58"/>
  <c r="N1652" i="58"/>
  <c r="N1653" i="58"/>
  <c r="N1654" i="58"/>
  <c r="N1655" i="58"/>
  <c r="N1656" i="58"/>
  <c r="N1657" i="58"/>
  <c r="N1658" i="58"/>
  <c r="N1659" i="58"/>
  <c r="N1660" i="58"/>
  <c r="N1661" i="58"/>
  <c r="N1662" i="58"/>
  <c r="N1663" i="58"/>
  <c r="N1664" i="58"/>
  <c r="N1665" i="58"/>
  <c r="N1666" i="58"/>
  <c r="N1667" i="58"/>
  <c r="N1668" i="58"/>
  <c r="N1669" i="58"/>
  <c r="N1670" i="58"/>
  <c r="N1671" i="58"/>
  <c r="N1672" i="58"/>
  <c r="N1673" i="58"/>
  <c r="N1674" i="58"/>
  <c r="N1675" i="58"/>
  <c r="N1676" i="58"/>
  <c r="N1677" i="58"/>
  <c r="N1678" i="58"/>
  <c r="N1679" i="58"/>
  <c r="N1680" i="58"/>
  <c r="N1681" i="58"/>
  <c r="N1682" i="58"/>
  <c r="N1683" i="58"/>
  <c r="N1684" i="58"/>
  <c r="N1685" i="58"/>
  <c r="N1686" i="58"/>
  <c r="N1687" i="58"/>
  <c r="N1688" i="58"/>
  <c r="N1689" i="58"/>
  <c r="N1690" i="58"/>
  <c r="N1691" i="58"/>
  <c r="N1692" i="58"/>
  <c r="N1693" i="58"/>
  <c r="N1694" i="58"/>
  <c r="N1695" i="58"/>
  <c r="N1696" i="58"/>
  <c r="N1697" i="58"/>
  <c r="N1698" i="58"/>
  <c r="N1699" i="58"/>
  <c r="N1700" i="58"/>
  <c r="N1701" i="58"/>
  <c r="N1702" i="58"/>
  <c r="N1703" i="58"/>
  <c r="N1704" i="58"/>
  <c r="N1705" i="58"/>
  <c r="N1706" i="58"/>
  <c r="N1707" i="58"/>
  <c r="N1708" i="58"/>
  <c r="N1709" i="58"/>
  <c r="N1710" i="58"/>
  <c r="N1711" i="58"/>
  <c r="N1712" i="58"/>
  <c r="N1713" i="58"/>
  <c r="N1714" i="58"/>
  <c r="N1715" i="58"/>
  <c r="N1716" i="58"/>
  <c r="N1717" i="58"/>
  <c r="N1718" i="58"/>
  <c r="N1719" i="58"/>
  <c r="N1720" i="58"/>
  <c r="N1721" i="58"/>
  <c r="N1722" i="58"/>
  <c r="N1723" i="58"/>
  <c r="N1724" i="58"/>
  <c r="N1725" i="58"/>
  <c r="N1726" i="58"/>
  <c r="N1727" i="58"/>
  <c r="N1728" i="58"/>
  <c r="N1729" i="58"/>
  <c r="N1730" i="58"/>
  <c r="N1731" i="58"/>
  <c r="N1732" i="58"/>
  <c r="N1733" i="58"/>
  <c r="N1734" i="58"/>
  <c r="N1735" i="58"/>
  <c r="N1736" i="58"/>
  <c r="N1737" i="58"/>
  <c r="N1738" i="58"/>
  <c r="N1739" i="58"/>
  <c r="N1740" i="58"/>
  <c r="N1741" i="58"/>
  <c r="N1742" i="58"/>
  <c r="N1743" i="58"/>
  <c r="N1744" i="58"/>
  <c r="N1745" i="58"/>
  <c r="N1746" i="58"/>
  <c r="N1747" i="58"/>
  <c r="N1748" i="58"/>
  <c r="N1749" i="58"/>
  <c r="N1750" i="58"/>
  <c r="N1751" i="58"/>
  <c r="N1752" i="58"/>
  <c r="N1753" i="58"/>
  <c r="N1754" i="58"/>
  <c r="N1755" i="58"/>
  <c r="N1756" i="58"/>
  <c r="N1757" i="58"/>
  <c r="N1758" i="58"/>
  <c r="N1759" i="58"/>
  <c r="N1760" i="58"/>
  <c r="N1761" i="58"/>
  <c r="N1762" i="58"/>
  <c r="N1763" i="58"/>
  <c r="N1764" i="58"/>
  <c r="N1765" i="58"/>
  <c r="N1766" i="58"/>
  <c r="N1767" i="58"/>
  <c r="N1768" i="58"/>
  <c r="N1769" i="58"/>
  <c r="N1770" i="58"/>
  <c r="N1771" i="58"/>
  <c r="N1772" i="58"/>
  <c r="N1773" i="58"/>
  <c r="N1774" i="58"/>
  <c r="N1775" i="58"/>
  <c r="N1776" i="58"/>
  <c r="N1777" i="58"/>
  <c r="N1778" i="58"/>
  <c r="N1779" i="58"/>
  <c r="N1780" i="58"/>
  <c r="N1781" i="58"/>
  <c r="N1782" i="58"/>
  <c r="N1783" i="58"/>
  <c r="N1784" i="58"/>
  <c r="N1785" i="58"/>
  <c r="N1786" i="58"/>
  <c r="N1787" i="58"/>
  <c r="N1788" i="58"/>
  <c r="N1789" i="58"/>
  <c r="N1790" i="58"/>
  <c r="N1791" i="58"/>
  <c r="N1792" i="58"/>
  <c r="N1793" i="58"/>
  <c r="N1794" i="58"/>
  <c r="N1795" i="58"/>
  <c r="N1796" i="58"/>
  <c r="N1797" i="58"/>
  <c r="N1798" i="58"/>
  <c r="N1799" i="58"/>
  <c r="N1800" i="58"/>
  <c r="N1801" i="58"/>
  <c r="N1802" i="58"/>
  <c r="N1803" i="58"/>
  <c r="N1804" i="58"/>
  <c r="N1805" i="58"/>
  <c r="N1806" i="58"/>
  <c r="N1807" i="58"/>
  <c r="N1808" i="58"/>
  <c r="N1809" i="58"/>
  <c r="N1810" i="58"/>
  <c r="N1811" i="58"/>
  <c r="N1812" i="58"/>
  <c r="N1813" i="58"/>
  <c r="N1814" i="58"/>
  <c r="N1815" i="58"/>
  <c r="N1816" i="58"/>
  <c r="N1817" i="58"/>
  <c r="N1818" i="58"/>
  <c r="N1819" i="58"/>
  <c r="N1820" i="58"/>
  <c r="N1821" i="58"/>
  <c r="N1822" i="58"/>
  <c r="N1823" i="58"/>
  <c r="N1824" i="58"/>
  <c r="N1825" i="58"/>
  <c r="N1826" i="58"/>
  <c r="N1827" i="58"/>
  <c r="N1828" i="58"/>
  <c r="N1829" i="58"/>
  <c r="N1830" i="58"/>
  <c r="N1831" i="58"/>
  <c r="N1832" i="58"/>
  <c r="N1833" i="58"/>
  <c r="N1834" i="58"/>
  <c r="N1835" i="58"/>
  <c r="N1836" i="58"/>
  <c r="N1837" i="58"/>
  <c r="N1838" i="58"/>
  <c r="N1839" i="58"/>
  <c r="N1840" i="58"/>
  <c r="N1841" i="58"/>
  <c r="N1842" i="58"/>
  <c r="N1843" i="58"/>
  <c r="N1844" i="58"/>
  <c r="N1845" i="58"/>
  <c r="N1846" i="58"/>
  <c r="N1847" i="58"/>
  <c r="N1848" i="58"/>
  <c r="N1849" i="58"/>
  <c r="N1850" i="58"/>
  <c r="N1851" i="58"/>
  <c r="N1852" i="58"/>
  <c r="N1853" i="58"/>
  <c r="N1854" i="58"/>
  <c r="N1855" i="58"/>
  <c r="N1856" i="58"/>
  <c r="N1857" i="58"/>
  <c r="N1858" i="58"/>
  <c r="N1859" i="58"/>
  <c r="N1860" i="58"/>
  <c r="N1861" i="58"/>
  <c r="N1862" i="58"/>
  <c r="N1863" i="58"/>
  <c r="N1864" i="58"/>
  <c r="N1865" i="58"/>
  <c r="N1866" i="58"/>
  <c r="N1867" i="58"/>
  <c r="N1868" i="58"/>
  <c r="N1869" i="58"/>
  <c r="N1870" i="58"/>
  <c r="N1871" i="58"/>
  <c r="N1872" i="58"/>
  <c r="N1873" i="58"/>
  <c r="N1874" i="58"/>
  <c r="N1875" i="58"/>
  <c r="N1876" i="58"/>
  <c r="N1877" i="58"/>
  <c r="N1878" i="58"/>
  <c r="N1879" i="58"/>
  <c r="N1880" i="58"/>
  <c r="N1881" i="58"/>
  <c r="N1882" i="58"/>
  <c r="N1883" i="58"/>
  <c r="N1884" i="58"/>
  <c r="N1885" i="58"/>
  <c r="N1886" i="58"/>
  <c r="N1887" i="58"/>
  <c r="N1888" i="58"/>
  <c r="N1889" i="58"/>
  <c r="N1890" i="58"/>
  <c r="N1891" i="58"/>
  <c r="N1892" i="58"/>
  <c r="N1893" i="58"/>
  <c r="N1894" i="58"/>
  <c r="N1895" i="58"/>
  <c r="N1896" i="58"/>
  <c r="N1897" i="58"/>
  <c r="N1898" i="58"/>
  <c r="N1899" i="58"/>
  <c r="N1900" i="58"/>
  <c r="N1901" i="58"/>
  <c r="N1902" i="58"/>
  <c r="N1903" i="58"/>
  <c r="N1904" i="58"/>
  <c r="N1905" i="58"/>
  <c r="N1906" i="58"/>
  <c r="N1907" i="58"/>
  <c r="N1908" i="58"/>
  <c r="N1909" i="58"/>
  <c r="N1910" i="58"/>
  <c r="N1911" i="58"/>
  <c r="N1912" i="58"/>
  <c r="N1913" i="58"/>
  <c r="N1914" i="58"/>
  <c r="N1915" i="58"/>
  <c r="N1916" i="58"/>
  <c r="N1917" i="58"/>
  <c r="N1918" i="58"/>
  <c r="N1919" i="58"/>
  <c r="N1920" i="58"/>
  <c r="N1921" i="58"/>
  <c r="N1922" i="58"/>
  <c r="N1923" i="58"/>
  <c r="N1924" i="58"/>
  <c r="N1925" i="58"/>
  <c r="N1926" i="58"/>
  <c r="N1927" i="58"/>
  <c r="N1928" i="58"/>
  <c r="N1929" i="58"/>
  <c r="N1930" i="58"/>
  <c r="N1931" i="58"/>
  <c r="N1932" i="58"/>
  <c r="N1933" i="58"/>
  <c r="N1934" i="58"/>
  <c r="N1935" i="58"/>
  <c r="N1936" i="58"/>
  <c r="N1937" i="58"/>
  <c r="N1938" i="58"/>
  <c r="N1939" i="58"/>
  <c r="N1940" i="58"/>
  <c r="N1941" i="58"/>
  <c r="N1942" i="58"/>
  <c r="N1943" i="58"/>
  <c r="N1944" i="58"/>
  <c r="N1945" i="58"/>
  <c r="N1946" i="58"/>
  <c r="N1947" i="58"/>
  <c r="N1948" i="58"/>
  <c r="N1949" i="58"/>
  <c r="N1950" i="58"/>
  <c r="N1951" i="58"/>
  <c r="N1952" i="58"/>
  <c r="N1953" i="58"/>
  <c r="N1954" i="58"/>
  <c r="N1955" i="58"/>
  <c r="N1956" i="58"/>
  <c r="N1957" i="58"/>
  <c r="N1958" i="58"/>
  <c r="N1959" i="58"/>
  <c r="N1960" i="58"/>
  <c r="N1961" i="58"/>
  <c r="N1962" i="58"/>
  <c r="N1963" i="58"/>
  <c r="N1964" i="58"/>
  <c r="N1965" i="58"/>
  <c r="N1966" i="58"/>
  <c r="N1967" i="58"/>
  <c r="N1968" i="58"/>
  <c r="N1969" i="58"/>
  <c r="N1970" i="58"/>
  <c r="N1971" i="58"/>
  <c r="N1972" i="58"/>
  <c r="N1973" i="58"/>
  <c r="N1974" i="58"/>
  <c r="N1975" i="58"/>
  <c r="N1976" i="58"/>
  <c r="N1977" i="58"/>
  <c r="N1978" i="58"/>
  <c r="N1979" i="58"/>
  <c r="N1980" i="58"/>
  <c r="N1981" i="58"/>
  <c r="N1982" i="58"/>
  <c r="N1983" i="58"/>
  <c r="N1984" i="58"/>
  <c r="N1985" i="58"/>
  <c r="N1986" i="58"/>
  <c r="N1987" i="58"/>
  <c r="N1988" i="58"/>
  <c r="N1989" i="58"/>
  <c r="N1990" i="58"/>
  <c r="N1991" i="58"/>
  <c r="N1992" i="58"/>
  <c r="N1993" i="58"/>
  <c r="N1994" i="58"/>
  <c r="N1995" i="58"/>
  <c r="N1996" i="58"/>
  <c r="N1997" i="58"/>
  <c r="N1998" i="58"/>
  <c r="N1999" i="58"/>
  <c r="N2000" i="58"/>
  <c r="N2001" i="58"/>
  <c r="N2002" i="58"/>
  <c r="N2003" i="58"/>
  <c r="N2004" i="58"/>
  <c r="N2005" i="58"/>
  <c r="N2006" i="58"/>
  <c r="N2007" i="58"/>
  <c r="N2008" i="58"/>
  <c r="N2009" i="58"/>
  <c r="N2010" i="58"/>
  <c r="N2011" i="58"/>
  <c r="N2012" i="58"/>
  <c r="N2013" i="58"/>
  <c r="N2014" i="58"/>
  <c r="N2015" i="58"/>
  <c r="N2016" i="58"/>
  <c r="N2017" i="58"/>
  <c r="N2018" i="58"/>
  <c r="N2019" i="58"/>
  <c r="N2020" i="58"/>
  <c r="N2021" i="58"/>
  <c r="N2022" i="58"/>
  <c r="N2023" i="58"/>
  <c r="N2024" i="58"/>
  <c r="N2025" i="58"/>
  <c r="N2026" i="58"/>
  <c r="N2027" i="58"/>
  <c r="N2028" i="58"/>
  <c r="N2029" i="58"/>
  <c r="N2030" i="58"/>
  <c r="N2031" i="58"/>
  <c r="N2032" i="58"/>
  <c r="N2033" i="58"/>
  <c r="N2034" i="58"/>
  <c r="N2035" i="58"/>
  <c r="N2036" i="58"/>
  <c r="N2037" i="58"/>
  <c r="N2038" i="58"/>
  <c r="N2039" i="58"/>
  <c r="N2040" i="58"/>
  <c r="N2041" i="58"/>
  <c r="N2042" i="58"/>
  <c r="N2043" i="58"/>
  <c r="N2044" i="58"/>
  <c r="N2045" i="58"/>
  <c r="N2046" i="58"/>
  <c r="N2047" i="58"/>
  <c r="N2048" i="58"/>
  <c r="N2049" i="58"/>
  <c r="N2050" i="58"/>
  <c r="N2051" i="58"/>
  <c r="N2052" i="58"/>
  <c r="N2053" i="58"/>
  <c r="N2054" i="58"/>
  <c r="N2055" i="58"/>
  <c r="N2056" i="58"/>
  <c r="N2057" i="58"/>
  <c r="N2058" i="58"/>
  <c r="N2059" i="58"/>
  <c r="N2060" i="58"/>
  <c r="N2061" i="58"/>
  <c r="N2062" i="58"/>
  <c r="N2063" i="58"/>
  <c r="N2064" i="58"/>
  <c r="N2065" i="58"/>
  <c r="N2066" i="58"/>
  <c r="N2067" i="58"/>
  <c r="N2068" i="58"/>
  <c r="N2069" i="58"/>
  <c r="N2070" i="58"/>
  <c r="N2071" i="58"/>
  <c r="N2072" i="58"/>
  <c r="N2073" i="58"/>
  <c r="N2074" i="58"/>
  <c r="N2075" i="58"/>
  <c r="N2076" i="58"/>
  <c r="N2077" i="58"/>
  <c r="N2078" i="58"/>
  <c r="N2079" i="58"/>
  <c r="N2080" i="58"/>
  <c r="N2081" i="58"/>
  <c r="N2082" i="58"/>
  <c r="N2083" i="58"/>
  <c r="N2084" i="58"/>
  <c r="N2085" i="58"/>
  <c r="N2086" i="58"/>
  <c r="N2087" i="58"/>
  <c r="N2088" i="58"/>
  <c r="N2089" i="58"/>
  <c r="N2090" i="58"/>
  <c r="N2091" i="58"/>
  <c r="N2092" i="58"/>
  <c r="N2093" i="58"/>
  <c r="N2094" i="58"/>
  <c r="N2095" i="58"/>
  <c r="N2096" i="58"/>
  <c r="N2097" i="58"/>
  <c r="N2098" i="58"/>
  <c r="N2099" i="58"/>
  <c r="N2100" i="58"/>
  <c r="N2101" i="58"/>
  <c r="N2102" i="58"/>
  <c r="N2103" i="58"/>
  <c r="N2104" i="58"/>
  <c r="N2105" i="58"/>
  <c r="N2106" i="58"/>
  <c r="N2107" i="58"/>
  <c r="N2108" i="58"/>
  <c r="N2109" i="58"/>
  <c r="N2110" i="58"/>
  <c r="N2111" i="58"/>
  <c r="N2112" i="58"/>
  <c r="N2113" i="58"/>
  <c r="N2114" i="58"/>
  <c r="N2115" i="58"/>
  <c r="N2116" i="58"/>
  <c r="N2117" i="58"/>
  <c r="N2118" i="58"/>
  <c r="N2119" i="58"/>
  <c r="N2120" i="58"/>
  <c r="N2121" i="58"/>
  <c r="N2122" i="58"/>
  <c r="N2123" i="58"/>
  <c r="N2124" i="58"/>
  <c r="N2125" i="58"/>
  <c r="N2126" i="58"/>
  <c r="N2127" i="58"/>
  <c r="N2128" i="58"/>
  <c r="N2129" i="58"/>
  <c r="N2130" i="58"/>
  <c r="N2131" i="58"/>
  <c r="N2132" i="58"/>
  <c r="N2133" i="58"/>
  <c r="N2134" i="58"/>
  <c r="N2135" i="58"/>
  <c r="N2136" i="58"/>
  <c r="N2137" i="58"/>
  <c r="N2138" i="58"/>
  <c r="N2139" i="58"/>
  <c r="N2140" i="58"/>
  <c r="N2141" i="58"/>
  <c r="N2142" i="58"/>
  <c r="N2143" i="58"/>
  <c r="N2144" i="58"/>
  <c r="N2145" i="58"/>
  <c r="N2146" i="58"/>
  <c r="N2147" i="58"/>
  <c r="N2148" i="58"/>
  <c r="N2149" i="58"/>
  <c r="N2150" i="58"/>
  <c r="N2151" i="58"/>
  <c r="N2152" i="58"/>
  <c r="N2153" i="58"/>
  <c r="N2154" i="58"/>
  <c r="N2155" i="58"/>
  <c r="N2156" i="58"/>
  <c r="N2157" i="58"/>
  <c r="N2158" i="58"/>
  <c r="N2159" i="58"/>
  <c r="N2160" i="58"/>
  <c r="N2161" i="58"/>
  <c r="N2162" i="58"/>
  <c r="N2163" i="58"/>
  <c r="N2164" i="58"/>
  <c r="N2165" i="58"/>
  <c r="N2166" i="58"/>
  <c r="N2167" i="58"/>
  <c r="N2168" i="58"/>
  <c r="N2169" i="58"/>
  <c r="N2170" i="58"/>
  <c r="N2171" i="58"/>
  <c r="N2172" i="58"/>
  <c r="N2173" i="58"/>
  <c r="N2174" i="58"/>
  <c r="N2175" i="58"/>
  <c r="N2176" i="58"/>
  <c r="N2177" i="58"/>
  <c r="N2178" i="58"/>
  <c r="N2179" i="58"/>
  <c r="N2180" i="58"/>
  <c r="N2181" i="58"/>
  <c r="N2182" i="58"/>
  <c r="N2183" i="58"/>
  <c r="N2184" i="58"/>
  <c r="N2185" i="58"/>
  <c r="N2186" i="58"/>
  <c r="N2187" i="58"/>
  <c r="N2188" i="58"/>
  <c r="N2189" i="58"/>
  <c r="N2190" i="58"/>
  <c r="N2191" i="58"/>
  <c r="N2192" i="58"/>
  <c r="N2193" i="58"/>
  <c r="N2194" i="58"/>
  <c r="N2195" i="58"/>
  <c r="N2196" i="58"/>
  <c r="N2197" i="58"/>
  <c r="N2198" i="58"/>
  <c r="N2199" i="58"/>
  <c r="N2200" i="58"/>
  <c r="N2201" i="58"/>
  <c r="N2202" i="58"/>
  <c r="N2203" i="58"/>
  <c r="N2204" i="58"/>
  <c r="N2205" i="58"/>
  <c r="N2206" i="58"/>
  <c r="N2207" i="58"/>
  <c r="N2208" i="58"/>
  <c r="N2209" i="58"/>
  <c r="N2210" i="58"/>
  <c r="N2211" i="58"/>
  <c r="N2212" i="58"/>
  <c r="N2213" i="58"/>
  <c r="N2214" i="58"/>
  <c r="N2215" i="58"/>
  <c r="N2216" i="58"/>
  <c r="N2217" i="58"/>
  <c r="N2218" i="58"/>
  <c r="N2219" i="58"/>
  <c r="N2220" i="58"/>
  <c r="N2221" i="58"/>
  <c r="N2222" i="58"/>
  <c r="N2223" i="58"/>
  <c r="N2224" i="58"/>
  <c r="N2225" i="58"/>
  <c r="N2226" i="58"/>
  <c r="N2227" i="58"/>
  <c r="N2228" i="58"/>
  <c r="N2229" i="58"/>
  <c r="N2230" i="58"/>
  <c r="N2231" i="58"/>
  <c r="N2232" i="58"/>
  <c r="N2233" i="58"/>
  <c r="N2234" i="58"/>
  <c r="N2235" i="58"/>
  <c r="N2236" i="58"/>
  <c r="N2237" i="58"/>
  <c r="N2238" i="58"/>
  <c r="N2239" i="58"/>
  <c r="N2240" i="58"/>
  <c r="N2241" i="58"/>
  <c r="N2242" i="58"/>
  <c r="N2243" i="58"/>
  <c r="N2244" i="58"/>
  <c r="N2245" i="58"/>
  <c r="N2246" i="58"/>
  <c r="N2247" i="58"/>
  <c r="N2248" i="58"/>
  <c r="N2249" i="58"/>
  <c r="N2250" i="58"/>
  <c r="N2251" i="58"/>
  <c r="N2252" i="58"/>
  <c r="N2253" i="58"/>
  <c r="N2254" i="58"/>
  <c r="N2255" i="58"/>
  <c r="N2256" i="58"/>
  <c r="N2257" i="58"/>
  <c r="N2258" i="58"/>
  <c r="N2259" i="58"/>
  <c r="N2260" i="58"/>
  <c r="N2261" i="58"/>
  <c r="N2262" i="58"/>
  <c r="N2263" i="58"/>
  <c r="N2264" i="58"/>
  <c r="N2265" i="58"/>
  <c r="N2266" i="58"/>
  <c r="N2267" i="58"/>
  <c r="N2268" i="58"/>
  <c r="N2269" i="58"/>
  <c r="N2270" i="58"/>
  <c r="N2271" i="58"/>
  <c r="N2272" i="58"/>
  <c r="N2273" i="58"/>
  <c r="N2274" i="58"/>
  <c r="N2275" i="58"/>
  <c r="N2276" i="58"/>
  <c r="N2277" i="58"/>
  <c r="N2278" i="58"/>
  <c r="N2279" i="58"/>
  <c r="N2280" i="58"/>
  <c r="N2281" i="58"/>
  <c r="N2282" i="58"/>
  <c r="N2283" i="58"/>
  <c r="N2284" i="58"/>
  <c r="N2285" i="58"/>
  <c r="N2286" i="58"/>
  <c r="N2287" i="58"/>
  <c r="N2288" i="58"/>
  <c r="N2289" i="58"/>
  <c r="N2290" i="58"/>
  <c r="N2291" i="58"/>
  <c r="N2292" i="58"/>
  <c r="N2293" i="58"/>
  <c r="N2294" i="58"/>
  <c r="N2295" i="58"/>
  <c r="N2296" i="58"/>
  <c r="N2297" i="58"/>
  <c r="N2298" i="58"/>
  <c r="N2299" i="58"/>
  <c r="N2300" i="58"/>
  <c r="N2301" i="58"/>
  <c r="N2302" i="58"/>
  <c r="N2303" i="58"/>
  <c r="N2304" i="58"/>
  <c r="N2305" i="58"/>
  <c r="N2306" i="58"/>
  <c r="N2307" i="58"/>
  <c r="N2308" i="58"/>
  <c r="N2309" i="58"/>
  <c r="N2310" i="58"/>
  <c r="N2311" i="58"/>
  <c r="N2312" i="58"/>
  <c r="N2313" i="58"/>
  <c r="N2314" i="58"/>
  <c r="N2315" i="58"/>
  <c r="N2316" i="58"/>
  <c r="N2317" i="58"/>
  <c r="N2318" i="58"/>
  <c r="N2319" i="58"/>
  <c r="N2320" i="58"/>
  <c r="N2321" i="58"/>
  <c r="N2322" i="58"/>
  <c r="N2323" i="58"/>
  <c r="N2324" i="58"/>
  <c r="N2325" i="58"/>
  <c r="N2326" i="58"/>
  <c r="N2327" i="58"/>
  <c r="N2328" i="58"/>
  <c r="N2329" i="58"/>
  <c r="N2330" i="58"/>
  <c r="N2331" i="58"/>
  <c r="N2332" i="58"/>
  <c r="N2333" i="58"/>
  <c r="N2334" i="58"/>
  <c r="N2335" i="58"/>
  <c r="N2336" i="58"/>
  <c r="N2337" i="58"/>
  <c r="N2338" i="58"/>
  <c r="N2339" i="58"/>
  <c r="N2340" i="58"/>
  <c r="N2341" i="58"/>
  <c r="N2342" i="58"/>
  <c r="N2343" i="58"/>
  <c r="N2344" i="58"/>
  <c r="N2345" i="58"/>
  <c r="N2346" i="58"/>
  <c r="N2347" i="58"/>
  <c r="N2348" i="58"/>
  <c r="N2349" i="58"/>
  <c r="N2350" i="58"/>
  <c r="N2351" i="58"/>
  <c r="N2352" i="58"/>
  <c r="N2353" i="58"/>
  <c r="N2354" i="58"/>
  <c r="N2355" i="58"/>
  <c r="N2356" i="58"/>
  <c r="N2357" i="58"/>
  <c r="N2358" i="58"/>
  <c r="N2359" i="58"/>
  <c r="N2360" i="58"/>
  <c r="N2361" i="58"/>
  <c r="N2362" i="58"/>
  <c r="N2363" i="58"/>
  <c r="N2364" i="58"/>
  <c r="N2365" i="58"/>
  <c r="N2366" i="58"/>
  <c r="N2367" i="58"/>
  <c r="N2368" i="58"/>
  <c r="N2369" i="58"/>
  <c r="N2370" i="58"/>
  <c r="N2371" i="58"/>
  <c r="N2372" i="58"/>
  <c r="N2373" i="58"/>
  <c r="N2374" i="58"/>
  <c r="N2375" i="58"/>
  <c r="N2376" i="58"/>
  <c r="N2377" i="58"/>
  <c r="N2378" i="58"/>
  <c r="N2379" i="58"/>
  <c r="N2380" i="58"/>
  <c r="N2381" i="58"/>
  <c r="N2382" i="58"/>
  <c r="N2383" i="58"/>
  <c r="N2384" i="58"/>
  <c r="N2385" i="58"/>
  <c r="N2386" i="58"/>
  <c r="N2387" i="58"/>
  <c r="N2388" i="58"/>
  <c r="N2389" i="58"/>
  <c r="N2390" i="58"/>
  <c r="N2391" i="58"/>
  <c r="N2392" i="58"/>
  <c r="N2393" i="58"/>
  <c r="N2394" i="58"/>
  <c r="N2395" i="58"/>
  <c r="N2396" i="58"/>
  <c r="N2397" i="58"/>
  <c r="N2398" i="58"/>
  <c r="N2399" i="58"/>
  <c r="N2400" i="58"/>
  <c r="N2401" i="58"/>
  <c r="N2402" i="58"/>
  <c r="N2403" i="58"/>
  <c r="N2404" i="58"/>
  <c r="N2405" i="58"/>
  <c r="N2406" i="58"/>
  <c r="N2407" i="58"/>
  <c r="N2408" i="58"/>
  <c r="N2409" i="58"/>
  <c r="N2410" i="58"/>
  <c r="N2411" i="58"/>
  <c r="N2412" i="58"/>
  <c r="N2413" i="58"/>
  <c r="N2414" i="58"/>
  <c r="N2415" i="58"/>
  <c r="N2416" i="58"/>
  <c r="N2417" i="58"/>
  <c r="N2418" i="58"/>
  <c r="N2419" i="58"/>
  <c r="N2420" i="58"/>
  <c r="N2421" i="58"/>
  <c r="N2422" i="58"/>
  <c r="N2423" i="58"/>
  <c r="N2424" i="58"/>
  <c r="N2425" i="58"/>
  <c r="N2426" i="58"/>
  <c r="N2427" i="58"/>
  <c r="N2428" i="58"/>
  <c r="N2429" i="58"/>
  <c r="N2430" i="58"/>
  <c r="N2431" i="58"/>
  <c r="N2432" i="58"/>
  <c r="N2433" i="58"/>
  <c r="N2434" i="58"/>
  <c r="N2435" i="58"/>
  <c r="N2436" i="58"/>
  <c r="N2437" i="58"/>
  <c r="N2438" i="58"/>
  <c r="N2439" i="58"/>
  <c r="N2440" i="58"/>
  <c r="N2441" i="58"/>
  <c r="N2442" i="58"/>
  <c r="N2443" i="58"/>
  <c r="N2444" i="58"/>
  <c r="N2445" i="58"/>
  <c r="N2446" i="58"/>
  <c r="N2447" i="58"/>
  <c r="N2448" i="58"/>
  <c r="N2449" i="58"/>
  <c r="N2450" i="58"/>
  <c r="N2451" i="58"/>
  <c r="N2452" i="58"/>
  <c r="N2453" i="58"/>
  <c r="N2454" i="58"/>
  <c r="N2455" i="58"/>
  <c r="N2456" i="58"/>
  <c r="N2457" i="58"/>
  <c r="N2458" i="58"/>
  <c r="N2459" i="58"/>
  <c r="N2460" i="58"/>
  <c r="N2461" i="58"/>
  <c r="N2462" i="58"/>
  <c r="N2463" i="58"/>
  <c r="N2464" i="58"/>
  <c r="N2465" i="58"/>
  <c r="N2466" i="58"/>
  <c r="N2467" i="58"/>
  <c r="N2468" i="58"/>
  <c r="N2469" i="58"/>
  <c r="N2470" i="58"/>
  <c r="N2471" i="58"/>
  <c r="N2472" i="58"/>
  <c r="N2473" i="58"/>
  <c r="N2474" i="58"/>
  <c r="N2475" i="58"/>
  <c r="N2476" i="58"/>
  <c r="N2477" i="58"/>
  <c r="N2478" i="58"/>
  <c r="N2479" i="58"/>
  <c r="N2480" i="58"/>
  <c r="N2481" i="58"/>
  <c r="N2482" i="58"/>
  <c r="N2483" i="58"/>
  <c r="N2484" i="58"/>
  <c r="N2485" i="58"/>
  <c r="N2486" i="58"/>
  <c r="N2487" i="58"/>
  <c r="N2488" i="58"/>
  <c r="N2489" i="58"/>
  <c r="N2490" i="58"/>
  <c r="N2491" i="58"/>
  <c r="N2492" i="58"/>
  <c r="N2493" i="58"/>
  <c r="N2494" i="58"/>
  <c r="N2495" i="58"/>
  <c r="N2496" i="58"/>
  <c r="N2497" i="58"/>
  <c r="N2498" i="58"/>
  <c r="N2499" i="58"/>
  <c r="N2500" i="58"/>
  <c r="N2501" i="58"/>
  <c r="N2502" i="58"/>
  <c r="N2503" i="58"/>
  <c r="N2504" i="58"/>
  <c r="N2505" i="58"/>
  <c r="N2506" i="58"/>
  <c r="N2507" i="58"/>
  <c r="N2508" i="58"/>
  <c r="N2509" i="58"/>
  <c r="N2510" i="58"/>
  <c r="N2511" i="58"/>
  <c r="N2512" i="58"/>
  <c r="N2513" i="58"/>
  <c r="N2514" i="58"/>
  <c r="N2515" i="58"/>
  <c r="N2516" i="58"/>
  <c r="N2517" i="58"/>
  <c r="N2518" i="58"/>
  <c r="N2519" i="58"/>
  <c r="N2520" i="58"/>
  <c r="N2521" i="58"/>
  <c r="N2522" i="58"/>
  <c r="N2523" i="58"/>
  <c r="N2524" i="58"/>
  <c r="N2525" i="58"/>
  <c r="N2526" i="58"/>
  <c r="N2527" i="58"/>
  <c r="N2528" i="58"/>
  <c r="N2529" i="58"/>
  <c r="N2530" i="58"/>
  <c r="N2531" i="58"/>
  <c r="N2532" i="58"/>
  <c r="N2533" i="58"/>
  <c r="N2534" i="58"/>
  <c r="N2535" i="58"/>
  <c r="N2536" i="58"/>
  <c r="N2537" i="58"/>
  <c r="N2538" i="58"/>
  <c r="N2539" i="58"/>
  <c r="N2540" i="58"/>
  <c r="N2541" i="58"/>
  <c r="N2542" i="58"/>
  <c r="N2543" i="58"/>
  <c r="N2544" i="58"/>
  <c r="N2545" i="58"/>
  <c r="N2546" i="58"/>
  <c r="N2547" i="58"/>
  <c r="N2548" i="58"/>
  <c r="N2549" i="58"/>
  <c r="N2550" i="58"/>
  <c r="N2551" i="58"/>
  <c r="N2552" i="58"/>
  <c r="N2553" i="58"/>
  <c r="N2554" i="58"/>
  <c r="N2555" i="58"/>
  <c r="N2556" i="58"/>
  <c r="N2557" i="58"/>
  <c r="N2558" i="58"/>
  <c r="N2559" i="58"/>
  <c r="N2560" i="58"/>
  <c r="N2561" i="58"/>
  <c r="N2562" i="58"/>
  <c r="N2563" i="58"/>
  <c r="N2564" i="58"/>
  <c r="N2565" i="58"/>
  <c r="N2566" i="58"/>
  <c r="N2567" i="58"/>
  <c r="N2568" i="58"/>
  <c r="N2569" i="58"/>
  <c r="N2570" i="58"/>
  <c r="N2571" i="58"/>
  <c r="N2572" i="58"/>
  <c r="N2573" i="58"/>
  <c r="N2574" i="58"/>
  <c r="N2575" i="58"/>
  <c r="N2576" i="58"/>
  <c r="N2577" i="58"/>
  <c r="N2578" i="58"/>
  <c r="N2579" i="58"/>
  <c r="N2580" i="58"/>
  <c r="N2581" i="58"/>
  <c r="N2582" i="58"/>
  <c r="N2583" i="58"/>
  <c r="N2584" i="58"/>
  <c r="N2585" i="58"/>
  <c r="N2586" i="58"/>
  <c r="N2587" i="58"/>
  <c r="N2588" i="58"/>
  <c r="N2589" i="58"/>
  <c r="N2590" i="58"/>
  <c r="N2591" i="58"/>
  <c r="N2592" i="58"/>
  <c r="N2593" i="58"/>
  <c r="N2594" i="58"/>
  <c r="N2595" i="58"/>
  <c r="N2596" i="58"/>
  <c r="N2597" i="58"/>
  <c r="N2598" i="58"/>
  <c r="N2599" i="58"/>
  <c r="N2600" i="58"/>
  <c r="N2601" i="58"/>
  <c r="N2602" i="58"/>
  <c r="N2603" i="58"/>
  <c r="N2604" i="58"/>
  <c r="N2605" i="58"/>
  <c r="N2606" i="58"/>
  <c r="N2607" i="58"/>
  <c r="N2608" i="58"/>
  <c r="N2609" i="58"/>
  <c r="N2610" i="58"/>
  <c r="N2611" i="58"/>
  <c r="N2612" i="58"/>
  <c r="N2613" i="58"/>
  <c r="N2614" i="58"/>
  <c r="N2615" i="58"/>
  <c r="N2616" i="58"/>
  <c r="N2617" i="58"/>
  <c r="N2618" i="58" s="1"/>
  <c r="N2619" i="58" s="1"/>
  <c r="N2620" i="58" s="1"/>
  <c r="N2621" i="58" s="1"/>
  <c r="N2622" i="58" s="1"/>
  <c r="N2623" i="58" s="1"/>
  <c r="N2624" i="58" s="1"/>
  <c r="N2625" i="58" s="1"/>
  <c r="N2626" i="58" s="1"/>
  <c r="N2627" i="58" s="1"/>
  <c r="N2628" i="58" s="1"/>
  <c r="N2629" i="58" s="1"/>
  <c r="N2630" i="58" s="1"/>
  <c r="N2631" i="58" s="1"/>
  <c r="N2632" i="58" s="1"/>
  <c r="N2633" i="58" s="1"/>
  <c r="N2634" i="58" s="1"/>
  <c r="N2635" i="58" s="1"/>
  <c r="N2636" i="58" s="1"/>
  <c r="N2637" i="58" s="1"/>
  <c r="N2638" i="58" s="1"/>
  <c r="N2639" i="58" s="1"/>
  <c r="N2640" i="58" s="1"/>
  <c r="N2641" i="58" s="1"/>
  <c r="N2642" i="58" s="1"/>
  <c r="N2643" i="58" s="1"/>
  <c r="N2644" i="58" s="1"/>
  <c r="N2645" i="58" s="1"/>
  <c r="N2646" i="58" s="1"/>
  <c r="N2647" i="58" s="1"/>
  <c r="N2648" i="58" s="1"/>
  <c r="N2649" i="58" s="1"/>
  <c r="N2650" i="58" s="1"/>
  <c r="N2651" i="58" s="1"/>
  <c r="N2652" i="58" s="1"/>
  <c r="N2653" i="58" s="1"/>
  <c r="N2654" i="58" s="1"/>
  <c r="N2655" i="58" s="1"/>
  <c r="N2656" i="58" s="1"/>
  <c r="N2657" i="58" s="1"/>
  <c r="N2658" i="58" s="1"/>
  <c r="P2658" i="58" s="1"/>
  <c r="P1941" i="58"/>
  <c r="P2329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Norris</author>
  </authors>
  <commentList>
    <comment ref="C9" authorId="0" shapeId="0" xr:uid="{41770A62-C31B-4AC1-8D25-8AE6B72AC4E9}">
      <text>
        <r>
          <rPr>
            <b/>
            <sz val="9"/>
            <color indexed="81"/>
            <rFont val="Tahoma"/>
            <family val="2"/>
          </rPr>
          <t>Mark Norris:</t>
        </r>
        <r>
          <rPr>
            <sz val="9"/>
            <color indexed="81"/>
            <rFont val="Tahoma"/>
            <family val="2"/>
          </rPr>
          <t xml:space="preserve">
Doesn't seem to be included in Bill's forecast, should it be included?</t>
        </r>
      </text>
    </comment>
    <comment ref="C14" authorId="0" shapeId="0" xr:uid="{504B9EFB-C34E-47B5-9652-B739D2E62DB9}">
      <text>
        <r>
          <rPr>
            <b/>
            <sz val="9"/>
            <color indexed="81"/>
            <rFont val="Tahoma"/>
            <family val="2"/>
          </rPr>
          <t>Mark Norris:</t>
        </r>
        <r>
          <rPr>
            <sz val="9"/>
            <color indexed="81"/>
            <rFont val="Tahoma"/>
            <family val="2"/>
          </rPr>
          <t xml:space="preserve">
Doesn't seem to be included in Bill's forecast, should it be included?</t>
        </r>
      </text>
    </comment>
  </commentList>
</comments>
</file>

<file path=xl/sharedStrings.xml><?xml version="1.0" encoding="utf-8"?>
<sst xmlns="http://schemas.openxmlformats.org/spreadsheetml/2006/main" count="20961" uniqueCount="1550">
  <si>
    <t>Chase Visa</t>
  </si>
  <si>
    <t>Shazib Mahmood</t>
  </si>
  <si>
    <t>Herbert Donald Edwards</t>
  </si>
  <si>
    <t>BG Staffing, Inc:BGSF - Phase 1 Advisory</t>
  </si>
  <si>
    <t>BAR-POL-TECH Bartosz Juriewicz</t>
  </si>
  <si>
    <t>Ijaz, Safa</t>
  </si>
  <si>
    <t>McGuinness AI, LLC</t>
  </si>
  <si>
    <t>McMax LLC</t>
  </si>
  <si>
    <t>The Washington Post:The Washington Post Managed Services</t>
  </si>
  <si>
    <t>Peterson Advisory Group</t>
  </si>
  <si>
    <t>RestorixHealth Inc:Managed Services</t>
  </si>
  <si>
    <t>Benefits</t>
  </si>
  <si>
    <t>Freedom Service Dogs Inc.:Managed Services</t>
  </si>
  <si>
    <t>Check</t>
  </si>
  <si>
    <t>Resolute Creative Group, LLC</t>
  </si>
  <si>
    <t>Matthew E. Johnson</t>
  </si>
  <si>
    <t>Brex</t>
  </si>
  <si>
    <t>Hardware &amp; Software</t>
  </si>
  <si>
    <t>Insurance</t>
  </si>
  <si>
    <t>Fees</t>
  </si>
  <si>
    <t>Taxes</t>
  </si>
  <si>
    <t>Business Taxes, Licenses &amp; Permits</t>
  </si>
  <si>
    <t>Travel &amp; Meals</t>
  </si>
  <si>
    <t>Consulting</t>
  </si>
  <si>
    <t>Wages</t>
  </si>
  <si>
    <t>Bonus</t>
  </si>
  <si>
    <t>Bank Fees</t>
  </si>
  <si>
    <t>Contract Labor</t>
  </si>
  <si>
    <t>Office &amp; Supplies</t>
  </si>
  <si>
    <t>Legal Fees</t>
  </si>
  <si>
    <t>Marketing</t>
  </si>
  <si>
    <t>Professional Fees</t>
  </si>
  <si>
    <t>Accounting &amp; Tax Fees</t>
  </si>
  <si>
    <t>Guarenteed Payments</t>
  </si>
  <si>
    <t>Rent</t>
  </si>
  <si>
    <t>Youreka Labs Inc</t>
  </si>
  <si>
    <t>Q1</t>
  </si>
  <si>
    <t>Q2</t>
  </si>
  <si>
    <t>Q3</t>
  </si>
  <si>
    <t>Q4</t>
  </si>
  <si>
    <t>Total Payroll</t>
  </si>
  <si>
    <t>Total Vendors</t>
  </si>
  <si>
    <t>Total Cash Collected</t>
  </si>
  <si>
    <t>Total Cash Disbursements</t>
  </si>
  <si>
    <t>Opening Cash Balance</t>
  </si>
  <si>
    <t>Net Change</t>
  </si>
  <si>
    <t>Ending Cash Balance</t>
  </si>
  <si>
    <t>SYNAPTIC CASH FLOW FORECAST</t>
  </si>
  <si>
    <t>Interest</t>
  </si>
  <si>
    <t>Curonix LLC:Curonix Managed Services</t>
  </si>
  <si>
    <t>Investment</t>
  </si>
  <si>
    <t>Blackfyre GovCon</t>
  </si>
  <si>
    <t>Forecast</t>
  </si>
  <si>
    <t>Actual</t>
  </si>
  <si>
    <t>Previous</t>
  </si>
  <si>
    <t>Revised</t>
  </si>
  <si>
    <t>Y2024</t>
  </si>
  <si>
    <t>Comments</t>
  </si>
  <si>
    <t>B/(W)</t>
  </si>
  <si>
    <t>Brian Reilly</t>
  </si>
  <si>
    <t>Duane Nelson</t>
  </si>
  <si>
    <t>Kirk Leibert</t>
  </si>
  <si>
    <t>Taxes, Licenses &amp; Permits</t>
  </si>
  <si>
    <t>HLS</t>
  </si>
  <si>
    <t>OTHER</t>
  </si>
  <si>
    <t>Core Clinical Management, LLC:2024 Managed Services</t>
  </si>
  <si>
    <t>Great Expressions Dental Centers:Managed Services</t>
  </si>
  <si>
    <t>Healthy Housing Solutions:HUD- FY24 MAINT OF HHGMS</t>
  </si>
  <si>
    <t>FDIC Msol Inc. DBA Macro Solutions</t>
  </si>
  <si>
    <t>National Rural Health Resource Center:NRHRC Managed Services August 2024- July 2025</t>
  </si>
  <si>
    <t>Karpovich, Bill</t>
  </si>
  <si>
    <t>Cortina, Sharon</t>
  </si>
  <si>
    <t>Cubela, Bojan</t>
  </si>
  <si>
    <t>Boosinger, Tom</t>
  </si>
  <si>
    <t>Boosinger, Haley</t>
  </si>
  <si>
    <t>Shah, Kash</t>
  </si>
  <si>
    <t>Kumar, Sahil</t>
  </si>
  <si>
    <t>Hawley-Craig, Brenna</t>
  </si>
  <si>
    <t>Hartman, Michael</t>
  </si>
  <si>
    <t>Der, Raymond</t>
  </si>
  <si>
    <t>Carr, Kayleigh</t>
  </si>
  <si>
    <t>Burnham, Katie</t>
  </si>
  <si>
    <t>Delivery</t>
  </si>
  <si>
    <t>Total AppIQ</t>
  </si>
  <si>
    <t>Total Classic</t>
  </si>
  <si>
    <t>Vendor XXX</t>
  </si>
  <si>
    <t>Customer XXX</t>
  </si>
  <si>
    <t>PSS</t>
  </si>
  <si>
    <t>Total Spend Classic</t>
  </si>
  <si>
    <t>Delivery - W2</t>
  </si>
  <si>
    <t>Delivery - Contractor</t>
  </si>
  <si>
    <t>GTM - W2</t>
  </si>
  <si>
    <t>GTM - Contractor</t>
  </si>
  <si>
    <t>Total Spend AppIQ</t>
  </si>
  <si>
    <t>Back Office - W2</t>
  </si>
  <si>
    <t>Back Office - Contractor</t>
  </si>
  <si>
    <t>Total Spend Back Office</t>
  </si>
  <si>
    <t>Total Other Spend</t>
  </si>
  <si>
    <t>Per EE</t>
  </si>
  <si>
    <t>GTM</t>
  </si>
  <si>
    <t>Total FTE's - Classic</t>
  </si>
  <si>
    <t>Research &amp; Delivery</t>
  </si>
  <si>
    <t>Total FTE's - AppIQ</t>
  </si>
  <si>
    <t>Back Office</t>
  </si>
  <si>
    <t>Total FTE's - Back Office</t>
  </si>
  <si>
    <t>Grand Total FTE's</t>
  </si>
  <si>
    <t>R&amp;D  - W2</t>
  </si>
  <si>
    <t>R&amp;D  - Contractor</t>
  </si>
  <si>
    <t>Tran, Max</t>
  </si>
  <si>
    <t>Currencies Direct Limited:Redpin - Salesforce Assessment/Healthcheck</t>
  </si>
  <si>
    <t>IRS: Acumen Solutions Inc</t>
  </si>
  <si>
    <t>State of Virginia/Guidehouse</t>
  </si>
  <si>
    <t>Joseph Mallek</t>
  </si>
  <si>
    <t>Andrew Klajman</t>
  </si>
  <si>
    <t>Focus Fractional LLC - Mark</t>
  </si>
  <si>
    <t>Candy Marte Garcia</t>
  </si>
  <si>
    <t>EMPLOYEES</t>
  </si>
  <si>
    <t>Wage</t>
  </si>
  <si>
    <t>Tax</t>
  </si>
  <si>
    <t>CLASSIC - DELIVERY</t>
  </si>
  <si>
    <t>Patel, Nikhal</t>
  </si>
  <si>
    <t>Total Classic Delivery</t>
  </si>
  <si>
    <t>Employee, New</t>
  </si>
  <si>
    <t>CLASSIC - GO TO MARKET</t>
  </si>
  <si>
    <t>Total Classic Go To Market</t>
  </si>
  <si>
    <t>APP IQ - DELIVERY</t>
  </si>
  <si>
    <t>Total App IQ Delivery</t>
  </si>
  <si>
    <t>APP IQ - GO TO MARKET</t>
  </si>
  <si>
    <t>Total App IQ Go To Market</t>
  </si>
  <si>
    <t>APP IQ - RESEARCH &amp; DEVELOPMENT</t>
  </si>
  <si>
    <t>Reddy, Venkatram</t>
  </si>
  <si>
    <t>Total App IQ Research &amp; Development</t>
  </si>
  <si>
    <t>GENERAL &amp; ADMINISTRATIVE</t>
  </si>
  <si>
    <t>Total General &amp; Administrative</t>
  </si>
  <si>
    <t>SUMMARY &amp; ANALYSIS</t>
  </si>
  <si>
    <t>Wage % Total</t>
  </si>
  <si>
    <t>CONTRACTORS</t>
  </si>
  <si>
    <t>Version</t>
  </si>
  <si>
    <t>Consulting - Classic</t>
  </si>
  <si>
    <t>Consulting - AppIQ</t>
  </si>
  <si>
    <t>R&amp;D</t>
  </si>
  <si>
    <t>OTHER SPEND &amp; INVESTMENT</t>
  </si>
  <si>
    <t>Total Other Non Operating</t>
  </si>
  <si>
    <t>Total Investment</t>
  </si>
  <si>
    <t>BENEFITS</t>
  </si>
  <si>
    <t>Total FTE's - Classic Delivery</t>
  </si>
  <si>
    <t>Total FTE's - Classic GTM</t>
  </si>
  <si>
    <t>Total FTE's - AppIQ Delivery</t>
  </si>
  <si>
    <t>Total FTE's - AppIQ GTM</t>
  </si>
  <si>
    <t>Total FTE's - AppIQ R&amp;D</t>
  </si>
  <si>
    <t>Total FTE's - G&amp;A</t>
  </si>
  <si>
    <t>SUMMARY &amp; BENEFIT ALLOCATION</t>
  </si>
  <si>
    <t>Grand Total</t>
  </si>
  <si>
    <t>Total  Department Spend</t>
  </si>
  <si>
    <t>Allocation 1</t>
  </si>
  <si>
    <t>Allocation 2</t>
  </si>
  <si>
    <t>Allocation 3</t>
  </si>
  <si>
    <t>Allocation 4</t>
  </si>
  <si>
    <t>Allocation 5</t>
  </si>
  <si>
    <t>Allocation 6</t>
  </si>
  <si>
    <t>Allocation 7</t>
  </si>
  <si>
    <t>Allocation 8</t>
  </si>
  <si>
    <t>Allocation 9</t>
  </si>
  <si>
    <t>Allocation 10</t>
  </si>
  <si>
    <t>ALLOCATIONS FROM CLASSIC TO APPIQ - DELIVERY W2</t>
  </si>
  <si>
    <t>Classic to AppIQ Delivery W2</t>
  </si>
  <si>
    <t>Classic to AppIQ Delivery Contractor</t>
  </si>
  <si>
    <t>ALLOCATIONS FROM CLASSIC TO APPIQ - GTM W2</t>
  </si>
  <si>
    <t>ALLOCATIONS FROM CLASSIC TO APPIQ - GTM CONTRACTORS</t>
  </si>
  <si>
    <t>ALLOCATIONS FROM CLASSIC TO APPIQ - DELIVERY CONTRACTORS</t>
  </si>
  <si>
    <t>Classic to AppIQ GTM W2</t>
  </si>
  <si>
    <t>Classic to AppIQ GTM Contractor</t>
  </si>
  <si>
    <t>ALLOCATIONS FROM  APPIQ TO CLASSIC - DELIVERY W2</t>
  </si>
  <si>
    <t>ALLOCATIONS FROM  APPIQ TO CLASSIC - DELIVERY CONTRACTORS</t>
  </si>
  <si>
    <t>AppIQ to Classic Delivery W2</t>
  </si>
  <si>
    <t>AppIQ to Classic Delivery Contractors</t>
  </si>
  <si>
    <t>ALLOCATIONS FROM  APPIQ TO CLASSIC - GTM W2</t>
  </si>
  <si>
    <t>ALLOCATIONS FROM  APPIQ TO CLASSIC - GTM CONTRACTORS</t>
  </si>
  <si>
    <t>AppIQ to Classic GTM W2</t>
  </si>
  <si>
    <t>AppIQ to Classic GTM Contractors</t>
  </si>
  <si>
    <t>ALLOCATIONS FROM  APPIQ TO CLASSIC - R&amp;D W2 TO DELIVERY W2</t>
  </si>
  <si>
    <t>ALLOCATIONS FROM  APPIQ TO CLASSIC - R&amp;D W2 TO DELIVERY CONTRACTORS</t>
  </si>
  <si>
    <t>AppIQ to Classic R&amp;D Delivery W2</t>
  </si>
  <si>
    <t>AppIQ to Classic R&amp;D Delivery Contractors</t>
  </si>
  <si>
    <t>K Burnham @ 40%</t>
  </si>
  <si>
    <t>S Kumar @ 40%</t>
  </si>
  <si>
    <t>B Cubela @ 50%</t>
  </si>
  <si>
    <t>Tax % Total</t>
  </si>
  <si>
    <t>Benefit % Total Wage</t>
  </si>
  <si>
    <t>GAP</t>
  </si>
  <si>
    <t>Cloud &amp; Technology Investments</t>
  </si>
  <si>
    <t>Gross Margin Adjustment</t>
  </si>
  <si>
    <t>Cash In</t>
  </si>
  <si>
    <t>Calculated COGS</t>
  </si>
  <si>
    <t>Gross Margin</t>
  </si>
  <si>
    <t>GM %</t>
  </si>
  <si>
    <t>GROSS MARGIN ADJUSTMENT</t>
  </si>
  <si>
    <t>Target Gross Margin %</t>
  </si>
  <si>
    <t>COGS not including Delivery Contractors</t>
  </si>
  <si>
    <t>Target Gross Margin</t>
  </si>
  <si>
    <t>Delivery Contractors</t>
  </si>
  <si>
    <t>COGS including Delivery Contractors</t>
  </si>
  <si>
    <t>Classic-HLS</t>
  </si>
  <si>
    <t>PS &amp; MS Bookings</t>
  </si>
  <si>
    <t>SaaS Bookings</t>
  </si>
  <si>
    <t>Total Bookings</t>
  </si>
  <si>
    <t>Lead Source</t>
  </si>
  <si>
    <t>Type</t>
  </si>
  <si>
    <t>Generation</t>
  </si>
  <si>
    <t>PS/MS Dur (Months)</t>
  </si>
  <si>
    <t>SaaS Dur (Months)</t>
  </si>
  <si>
    <t>Pipe  Month</t>
  </si>
  <si>
    <t>Book Month</t>
  </si>
  <si>
    <t>Bill Start Month</t>
  </si>
  <si>
    <t>Bill Dur (Months)</t>
  </si>
  <si>
    <t>Direct</t>
  </si>
  <si>
    <t>Expand</t>
  </si>
  <si>
    <t>AppIQ</t>
  </si>
  <si>
    <t>Salesforce</t>
  </si>
  <si>
    <t>New Logo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</si>
  <si>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</si>
  <si>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</si>
  <si>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</si>
  <si>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</si>
  <si>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</si>
  <si>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</si>
  <si>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</si>
  <si>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</si>
  <si>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</si>
  <si>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</si>
  <si>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</si>
  <si>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</si>
  <si>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</si>
  <si>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In 000's</t>
  </si>
  <si>
    <t xml:space="preserve"> MS/PS Bookings</t>
  </si>
  <si>
    <t>MS/PS Monthly Bookings</t>
  </si>
  <si>
    <t>SaaS Monthly Bookings</t>
  </si>
  <si>
    <t>Total Monthly Bookings</t>
  </si>
  <si>
    <t>MS/PS Monthly Billings</t>
  </si>
  <si>
    <t xml:space="preserve"> MS/PS Billings</t>
  </si>
  <si>
    <t>SaaS Monthly Billings</t>
  </si>
  <si>
    <t>SaaS Billings</t>
  </si>
  <si>
    <t>Total Monthly Billings</t>
  </si>
  <si>
    <t>Total Billings</t>
  </si>
  <si>
    <t xml:space="preserve"> MS/PS Collections</t>
  </si>
  <si>
    <t>SaaS Collections</t>
  </si>
  <si>
    <t>Total Monthly Collections</t>
  </si>
  <si>
    <t>Total Collections</t>
  </si>
  <si>
    <t>SaaS Monthly Collections (30 days after billing)</t>
  </si>
  <si>
    <t>MS/PS Monthly Collections (60 days after billing)</t>
  </si>
  <si>
    <t>Classic-PSS</t>
  </si>
  <si>
    <t>AppIQ-HLS</t>
  </si>
  <si>
    <t>AppIQ-PSS</t>
  </si>
  <si>
    <t>PNM: DDWA Expand</t>
  </si>
  <si>
    <t>Vefifiable</t>
  </si>
  <si>
    <t>PNM: Direct 1 (Larkin)</t>
  </si>
  <si>
    <t>PNM: Direct 2</t>
  </si>
  <si>
    <t>PNM: Direct 3</t>
  </si>
  <si>
    <t>PNM: Verifiable 2</t>
  </si>
  <si>
    <t>PNM: Verifiable 3</t>
  </si>
  <si>
    <t>PNM: Salesforce 2</t>
  </si>
  <si>
    <t>PNM: Salesforce 3</t>
  </si>
  <si>
    <t>Classic</t>
  </si>
  <si>
    <t>Curonix LLC-Overages</t>
  </si>
  <si>
    <t>Curonix Build &amp;Mng (MedTech)</t>
  </si>
  <si>
    <t>HUD Classic M&amp;O Replace</t>
  </si>
  <si>
    <t>SI Partner</t>
  </si>
  <si>
    <t>Currencies Direct Limited: Redpin - Salesforce Assessment/Healthcheck</t>
  </si>
  <si>
    <t>BOOKINGS, BILLINGS, COLLECTIONS</t>
  </si>
  <si>
    <t>ABB on Youreka Phase #2</t>
  </si>
  <si>
    <t>Youreka</t>
  </si>
  <si>
    <t>PNM: DDWA - T&amp;M Fixed Price</t>
  </si>
  <si>
    <t>Marketing - Existing Baseline</t>
  </si>
  <si>
    <t>Travel &amp; Meals - Existing Baseline</t>
  </si>
  <si>
    <t>Marketing - Website &amp; Launch</t>
  </si>
  <si>
    <t>Professional Fees (Recruiting)</t>
  </si>
  <si>
    <t>Total MS/PS Billings</t>
  </si>
  <si>
    <t>Total SaaS Billings</t>
  </si>
  <si>
    <t>Total MS/PS Bookings</t>
  </si>
  <si>
    <t>Total SaaS Bookings</t>
  </si>
  <si>
    <t>Xtransmatrix LTD - Aditya</t>
  </si>
  <si>
    <t>Xtransmatrix LTD - Jeevan Prakash</t>
  </si>
  <si>
    <t>Salesforce CRM Consulting</t>
  </si>
  <si>
    <t>Jason Crum (AF Solutions Lead)</t>
  </si>
  <si>
    <t>Kathleen Ferrie (Marketing Support)</t>
  </si>
  <si>
    <t>Jeffrey McFarland (Marketing Support)</t>
  </si>
  <si>
    <t>Boss LLC - Leanne Walper (HR Support)</t>
  </si>
  <si>
    <t>Boss LLC - Ashley MacArhtur</t>
  </si>
  <si>
    <t>Boss LLC - Maha Siddiqui (HR Support)</t>
  </si>
  <si>
    <t>Jenna Stahl (Marketing Support)</t>
  </si>
  <si>
    <t>Jennifer Hamilton (Marketing Support)</t>
  </si>
  <si>
    <t>Investigo / Alexander Habiby (not in Deel)</t>
  </si>
  <si>
    <t>Miller, Mark</t>
  </si>
  <si>
    <t>Marketing - New Programs &amp; Events</t>
  </si>
  <si>
    <t>Marketing - Dreamforce</t>
  </si>
  <si>
    <t>Billings</t>
  </si>
  <si>
    <t>Bank Intrafi</t>
  </si>
  <si>
    <t>Other</t>
  </si>
  <si>
    <t>10010 M&amp;T Bank - IntraFi Network Sweep</t>
  </si>
  <si>
    <t>Transfer</t>
  </si>
  <si>
    <t>M&amp;T Operating</t>
  </si>
  <si>
    <t>Payroll</t>
  </si>
  <si>
    <t>22320 Accrued Expenses:Accrued Expenses - WEX Clearing</t>
  </si>
  <si>
    <t>Wex Health, Inc.</t>
  </si>
  <si>
    <t>Expense</t>
  </si>
  <si>
    <t>69215 General &amp; Administrative:G&amp;A - Payroll Fees</t>
  </si>
  <si>
    <t>Paylocity</t>
  </si>
  <si>
    <t>71005 Interest</t>
  </si>
  <si>
    <t>M&amp;T Bank</t>
  </si>
  <si>
    <t>Deposit</t>
  </si>
  <si>
    <t>22330 Accrued Expenses:Accrued Expenses - Further Clearing</t>
  </si>
  <si>
    <t>Further FKA SelctAccount</t>
  </si>
  <si>
    <t>Credit Card</t>
  </si>
  <si>
    <t>21010 Chase Visa</t>
  </si>
  <si>
    <t>Credit Card Pmt</t>
  </si>
  <si>
    <t>Customer Payments</t>
  </si>
  <si>
    <t>Vendors</t>
  </si>
  <si>
    <t>QuickBooks Payments</t>
  </si>
  <si>
    <t>22205 Accrued Expenses:Accrued Expenses - Payroll Clearing</t>
  </si>
  <si>
    <t>11005 Accounts Receivable</t>
  </si>
  <si>
    <t>Msol Inc. DBA Macro Solutions</t>
  </si>
  <si>
    <t>Payment</t>
  </si>
  <si>
    <t>Great Expressions Dental Centers:Great Expressions Dental - Marketing Managed Services</t>
  </si>
  <si>
    <t>20005 Accounts Payable</t>
  </si>
  <si>
    <t>International Computer Services Inc.</t>
  </si>
  <si>
    <t>Bill Payment</t>
  </si>
  <si>
    <t>69800 General &amp; Administrative:G&amp;A - Insurance</t>
  </si>
  <si>
    <t>The Hartford</t>
  </si>
  <si>
    <t>Acumen Solutions, Inc.</t>
  </si>
  <si>
    <t>Total Solutions, Inc</t>
  </si>
  <si>
    <t>Sahil Kumar</t>
  </si>
  <si>
    <t>Nikhil Patel</t>
  </si>
  <si>
    <t>Core Clinical Management, LLC:Core Clinical - 2024 Managed Services</t>
  </si>
  <si>
    <t>22305 Accrued Expenses:Accrued Expenses - Cigna Clearing</t>
  </si>
  <si>
    <t>Cigna Healthcare</t>
  </si>
  <si>
    <t>22335 Accrued Expenses:Accrued Expenses - Bankcorp Clearing</t>
  </si>
  <si>
    <t>Bancorpsv (Benefit Deduction)</t>
  </si>
  <si>
    <t>Venkatram B Reddy</t>
  </si>
  <si>
    <t>Raymond Der</t>
  </si>
  <si>
    <t>Michael Hartman</t>
  </si>
  <si>
    <t>21005 Brex Mastercard</t>
  </si>
  <si>
    <t>Brex Inc</t>
  </si>
  <si>
    <t>Brenna Hawley-Craig</t>
  </si>
  <si>
    <t>22310 Accrued Expenses:Accrued Expenses - Principal Clearing</t>
  </si>
  <si>
    <t>The Principal</t>
  </si>
  <si>
    <t>Kayleigh Carr</t>
  </si>
  <si>
    <t>14005 Undeposited Funds</t>
  </si>
  <si>
    <t>William Karpovich</t>
  </si>
  <si>
    <t>State of Virginia - State Corporation Commission:State of Virginia/Guidehouse</t>
  </si>
  <si>
    <t>69805 General &amp; Administrative:G&amp;A - Bank Fees</t>
  </si>
  <si>
    <t>COGS</t>
  </si>
  <si>
    <t>Shazib Mahmood shazibm91@gmail.com USD</t>
  </si>
  <si>
    <t>SALESFORCE CRM CONSULTING PTY LTD</t>
  </si>
  <si>
    <t>Contract Labor - AppIQ</t>
  </si>
  <si>
    <t>Prasanna Patel prasanna.patel@xtransmatrix.com USD</t>
  </si>
  <si>
    <t>Paul Peterson paul.01.peterson@gmail.com USD</t>
  </si>
  <si>
    <t>Kirk Leibert kleibert@gmail.com USD</t>
  </si>
  <si>
    <t>Joseph Mallek joe@nimblefire.com USD</t>
  </si>
  <si>
    <t>Jose Atencio Jimenez hello@joseatencio.com USD</t>
  </si>
  <si>
    <t>Herbert Donald Edwards don.edwards01@gmail.com USD</t>
  </si>
  <si>
    <t>Contract Labor - Back Office</t>
  </si>
  <si>
    <t>Focus Fractional LLC</t>
  </si>
  <si>
    <t>Duane Nelson duanen@gmail.com USD</t>
  </si>
  <si>
    <t>Deel billing invoices deel@deel.com USD</t>
  </si>
  <si>
    <t>Dane Kim dane.w.kim@gmail.com USD</t>
  </si>
  <si>
    <t>Charles McGuinness charles@mcguinness.ai USD</t>
  </si>
  <si>
    <t>Candy Marte Garcia candymartegarcia@gmail.com USD</t>
  </si>
  <si>
    <t>Brian Reilly brreilly@yahoo.com USD</t>
  </si>
  <si>
    <t>Bartosz Juriewicz bartosz.juriewicz@gmail.com USD</t>
  </si>
  <si>
    <t>Ashley MacArthur ashley@getboss.io USD</t>
  </si>
  <si>
    <t>Andrew Benjamin Klajman andrewklajman78@gmail.com USD</t>
  </si>
  <si>
    <t>Youreka Labs, Inc.</t>
  </si>
  <si>
    <t>22300 Accrued Expenses:Accrued Expenses - BCBS Clearing</t>
  </si>
  <si>
    <t>CareFirst Blue Cross Blue Shield</t>
  </si>
  <si>
    <t>Whitehouse &amp; Cooper, PLCC</t>
  </si>
  <si>
    <t>Nemphos Braue LLC</t>
  </si>
  <si>
    <t>22315 Accrued Expenses:Accrued Expenses - NY Life Clearing</t>
  </si>
  <si>
    <t>New York Life</t>
  </si>
  <si>
    <t>Salesforce.com Inc</t>
  </si>
  <si>
    <t>Rosen, Sappersteim &amp; Friedlander, LLC</t>
  </si>
  <si>
    <t>22325 Accrued Expenses:Accrued Expenses - COBRA Clearing</t>
  </si>
  <si>
    <t>American Benefit Cobra</t>
  </si>
  <si>
    <t>KnowBe4 Inc.</t>
  </si>
  <si>
    <t>HireRight</t>
  </si>
  <si>
    <t>69125 General &amp; Administrative:G&amp;A - Payroll Tax</t>
  </si>
  <si>
    <t>CNA Insurance [AutoPay]</t>
  </si>
  <si>
    <t>Carahsoft Technology Corp</t>
  </si>
  <si>
    <t>Youreka Labs, Inc</t>
  </si>
  <si>
    <t>ZoomInfo Technologies LLC</t>
  </si>
  <si>
    <t>Kathleen Ferrie Marketing LLC</t>
  </si>
  <si>
    <t>Carta Inc</t>
  </si>
  <si>
    <t>Kashish Shah</t>
  </si>
  <si>
    <t>Concur Technologies [Auto Pay MV]</t>
  </si>
  <si>
    <t>Haley Boosinger</t>
  </si>
  <si>
    <t>Balance (USD)</t>
  </si>
  <si>
    <t>Amount</t>
  </si>
  <si>
    <t>Deposit (USD)</t>
  </si>
  <si>
    <t>Payment (USD)</t>
  </si>
  <si>
    <t>Category</t>
  </si>
  <si>
    <t>Group</t>
  </si>
  <si>
    <t>Account</t>
  </si>
  <si>
    <t>Payee</t>
  </si>
  <si>
    <t>Ref</t>
  </si>
  <si>
    <t>Bank</t>
  </si>
  <si>
    <t>Month</t>
  </si>
  <si>
    <t>Date</t>
  </si>
  <si>
    <t>01/31/2025</t>
  </si>
  <si>
    <t>Absaroka Investments LLC</t>
  </si>
  <si>
    <t>35130 Series A Preferred Stock:Absaroka Investments, LLC</t>
  </si>
  <si>
    <t>Albert Krall</t>
  </si>
  <si>
    <t>35135 Series A Preferred Stock:Albert M. Krall</t>
  </si>
  <si>
    <t>Michelle Perry</t>
  </si>
  <si>
    <t>35155 Series A Preferred Stock:Michele M. Perry-Boucher Living Trust</t>
  </si>
  <si>
    <t>Aaron Velli</t>
  </si>
  <si>
    <t>35125 Series A Preferred Stock:Aaron Velli</t>
  </si>
  <si>
    <t>01/30/2025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</si>
  <si>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</si>
  <si>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</si>
  <si>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</si>
  <si>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</si>
  <si>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</si>
  <si>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</si>
  <si>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</si>
  <si>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</si>
  <si>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</si>
  <si>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</si>
  <si>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</si>
  <si>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01/10/2025</t>
  </si>
  <si>
    <t>Pedro Rubio pedro@blackfyre.app USD</t>
  </si>
  <si>
    <t>01/09/2025</t>
  </si>
  <si>
    <t>01/08/2025</t>
  </si>
  <si>
    <t>01/07/2025</t>
  </si>
  <si>
    <t>01/06/2025</t>
  </si>
  <si>
    <t>01/03/2025</t>
  </si>
  <si>
    <t>01/02/2025</t>
  </si>
  <si>
    <t>Year</t>
  </si>
  <si>
    <t>Column Labels</t>
  </si>
  <si>
    <t>2025 Total</t>
  </si>
  <si>
    <t>Row Labels</t>
  </si>
  <si>
    <t>Sum of Amount</t>
  </si>
  <si>
    <t>M&amp;T IntraFi Network Sweep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</si>
  <si>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</si>
  <si>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</si>
  <si>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</si>
  <si>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</si>
  <si>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</si>
  <si>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</si>
  <si>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</si>
  <si>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</si>
  <si>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</si>
  <si>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</si>
  <si>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</si>
  <si>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</si>
  <si>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</si>
  <si>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</si>
  <si>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</si>
  <si>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</si>
  <si>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</si>
  <si>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</si>
  <si>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</si>
  <si>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John Karpovich</t>
  </si>
  <si>
    <t>35150 Series A Preferred Stock:John C. Karpovich</t>
  </si>
  <si>
    <t>Robert Patrick</t>
  </si>
  <si>
    <t>35160 Series A Preferred Stock:Robert B. Patrick</t>
  </si>
  <si>
    <t>Stephen McManus (Customer)</t>
  </si>
  <si>
    <t>35165 Series A Preferred Stock:Stephen McManus</t>
  </si>
  <si>
    <t>Bloomberg BetaLP</t>
  </si>
  <si>
    <t>35120 Series A Preferred Stock:Bloomberg Beta LP</t>
  </si>
  <si>
    <t>Jeffery Nattans</t>
  </si>
  <si>
    <t>35145 Series A Preferred Stock:Jeffrey A. Nattans</t>
  </si>
  <si>
    <t>Donald Rainey</t>
  </si>
  <si>
    <t>35140 Series A Preferred Stock:Donald James Rainey</t>
  </si>
  <si>
    <t>Delta Dental Washington:Delta Dental Washington - Fixed Fee Scope A</t>
  </si>
  <si>
    <t>Investigo LLC</t>
  </si>
  <si>
    <t>Jason Francis Crum jasonfcrum@gmail.com USD</t>
  </si>
  <si>
    <t>Jeffrey Stephen Mcfarland jeffsmcfarland@gmail.com USD</t>
  </si>
  <si>
    <t>Swantide, Inc.</t>
  </si>
  <si>
    <t>Hosting &amp; 3rd Party</t>
  </si>
  <si>
    <t>Jose Atencio Jimenez</t>
  </si>
  <si>
    <t>Salaries, Bonus, Commissions</t>
  </si>
  <si>
    <t>Total Contract Labor</t>
  </si>
  <si>
    <t>Xtransmatrix LTD - Deva Nair</t>
  </si>
  <si>
    <t>Curonix LLC:Curonix Managed Services - Renewal (6 month extension)</t>
  </si>
  <si>
    <t>Great Expressions Dental Centers:Managed Services (3 month extension)</t>
  </si>
  <si>
    <t>NRHRC Managed Services Aug 2024- Jul 2025</t>
  </si>
  <si>
    <t>NRHRC Managed Services - Renewal - Aug 2025- Jul 2026</t>
  </si>
  <si>
    <t>IRS Extend/Replace (Phase 1) - Removed due to funding cuts</t>
  </si>
  <si>
    <t>IRS Extend/Replace (Phase 2) - Removed due to funding cuts</t>
  </si>
  <si>
    <t>Healthy Housing Solutions:HUD- FY24 MAINT OF HHGMS - Renewal @ 50%</t>
  </si>
  <si>
    <t>HUD ROI Project - Removed, didn't get funding</t>
  </si>
  <si>
    <t>VA Extend or Replace - removed due to funding cuts</t>
  </si>
  <si>
    <t>The Washington Post:The Washington Post Managed Services - no renewal, no funds</t>
  </si>
  <si>
    <t>PNM: DDWA - T&amp;M Fixed Price - Change Order</t>
  </si>
  <si>
    <t>03/03/2025</t>
  </si>
  <si>
    <t>03/04/2025</t>
  </si>
  <si>
    <t>03/05/2025</t>
  </si>
  <si>
    <t>03/06/2025</t>
  </si>
  <si>
    <t>03/07/2025</t>
  </si>
  <si>
    <t>03/08/2025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</si>
  <si>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</si>
  <si>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</si>
  <si>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</si>
  <si>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</si>
  <si>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</si>
  <si>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</si>
  <si>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</si>
  <si>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</si>
  <si>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</si>
  <si>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</si>
  <si>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</si>
  <si>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</si>
  <si>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</si>
  <si>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</si>
  <si>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</si>
  <si>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</si>
  <si>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Jenna Stahl jenna@bloomly.agency USD</t>
  </si>
  <si>
    <t>22205 Accrued Expenses:Accrued Expenses - Payroll</t>
  </si>
  <si>
    <t>Minnesota Department of Revenue</t>
  </si>
  <si>
    <t>69815 General &amp; Administrative:G&amp;A - Business Taxes, Licenses &amp; Permits</t>
  </si>
  <si>
    <t>Areti Group Ltd</t>
  </si>
  <si>
    <t>Mark Miller</t>
  </si>
  <si>
    <t>Delta Dental Washington:Delta Dental Washington - T&amp;M Scope B</t>
  </si>
  <si>
    <t>Previous Cash In</t>
  </si>
  <si>
    <t>Better/(Worse)</t>
  </si>
  <si>
    <t>Previous Cash Disbursements</t>
  </si>
  <si>
    <t>Previous Ending Cash</t>
  </si>
  <si>
    <t>Currencies Direct Limited:Redpin-Exhibit 1 Fixed Fee</t>
  </si>
  <si>
    <t>Currencies Direct Limited:Redpin Staff Aug</t>
  </si>
  <si>
    <t>03/01/2025</t>
  </si>
  <si>
    <t>04/01/2025</t>
  </si>
  <si>
    <t>Torres, Daniel</t>
  </si>
  <si>
    <t>Tax Rate on Gross Payroll = 7.5%</t>
  </si>
  <si>
    <t>Kennedy, Joeseph</t>
  </si>
  <si>
    <t>Bonus/Commission</t>
  </si>
  <si>
    <t>Nichols, Justin</t>
  </si>
  <si>
    <t>Salesforce CRM - Rehan Shaikh</t>
  </si>
  <si>
    <t>Big Door Marketing LLC - Andrew Fischer</t>
  </si>
  <si>
    <t>Currencies Direct Limited: Redpin - Redpin Staff Augmentation</t>
  </si>
  <si>
    <t>10k in Q4 each month</t>
  </si>
  <si>
    <t>7k in Q4 each month</t>
  </si>
  <si>
    <t>Existing</t>
  </si>
  <si>
    <t>PNM: Verifiable 1 (Northwest)</t>
  </si>
  <si>
    <t>PNM: Salesforce 1 (On Lok)</t>
  </si>
  <si>
    <t>Q3 HLS Classic</t>
  </si>
  <si>
    <t>Q4 HLS Classic</t>
  </si>
  <si>
    <t>Classic-ENT</t>
  </si>
  <si>
    <t>AppIQ-ENT</t>
  </si>
  <si>
    <t>Agentforce #1 (Dispatch)</t>
  </si>
  <si>
    <t>Agentforce #2 (Redpin)</t>
  </si>
  <si>
    <t>ENT</t>
  </si>
  <si>
    <t>Bill's Model</t>
  </si>
  <si>
    <t>Variance</t>
  </si>
  <si>
    <t>Plan Cash Out</t>
  </si>
  <si>
    <t>Actual &amp; Forecast Cash Out</t>
  </si>
  <si>
    <t>Delta vs Actual &amp; Forecast</t>
  </si>
  <si>
    <t>Plan Cash In</t>
  </si>
  <si>
    <t>Actual &amp; Forecast Cash In</t>
  </si>
  <si>
    <t>Net Burn Plan</t>
  </si>
  <si>
    <t>Net Burn Actual &amp; Forecast</t>
  </si>
  <si>
    <t>Net Burn Delta</t>
  </si>
  <si>
    <t>Currencies Direct Limited: Redpin Payments Build &amp; Mng (Fiserv)</t>
  </si>
  <si>
    <t>Migration/Grants (HUD)</t>
  </si>
  <si>
    <t>FrontDoor Pilot 1 (State)</t>
  </si>
  <si>
    <t>FrontDoor Pilot 2 (State)</t>
  </si>
  <si>
    <t>FrontDoor Pilot 3 (Federal)</t>
  </si>
  <si>
    <t>FrontDoor Pilot 4 (Federal)</t>
  </si>
  <si>
    <t>FrontDoor 1 (Orange County)</t>
  </si>
  <si>
    <t>FrontDoor 2 (State)</t>
  </si>
  <si>
    <t>FrontDoor 3 (Federal)</t>
  </si>
  <si>
    <t>FDIC 2025 Expansion, Part II</t>
  </si>
  <si>
    <t>Agentforce #3 (Technology)</t>
  </si>
  <si>
    <t>Agentforce #4 (Technology)</t>
  </si>
  <si>
    <t>Agentforce #5 (TBD)</t>
  </si>
  <si>
    <t>Agentforce #6 (TBD)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</si>
  <si>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</si>
  <si>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</si>
  <si>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</si>
  <si>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</si>
  <si>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</si>
  <si>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</si>
  <si>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</si>
  <si>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</si>
  <si>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</si>
  <si>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</si>
  <si>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</si>
  <si>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</si>
  <si>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</si>
  <si>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</si>
  <si>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</si>
  <si>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04/24/2025</t>
  </si>
  <si>
    <t>04/25/2025</t>
  </si>
  <si>
    <t>04/28/2025</t>
  </si>
  <si>
    <t>04/29/2025</t>
  </si>
  <si>
    <t>04/30/2025</t>
  </si>
  <si>
    <t>Wisconsin Dept of Revenue</t>
  </si>
  <si>
    <t>REC20255_30059021</t>
  </si>
  <si>
    <t>REC20255_30056667</t>
  </si>
  <si>
    <t>REC20255_30033444</t>
  </si>
  <si>
    <t>REC20255_30033443</t>
  </si>
  <si>
    <t>REC20255_29996795</t>
  </si>
  <si>
    <t>REC20255_29996509</t>
  </si>
  <si>
    <t>REC20255_29996508</t>
  </si>
  <si>
    <t>REC20255_29995767</t>
  </si>
  <si>
    <t>REC20255_29995337</t>
  </si>
  <si>
    <t>REC20255_29968221</t>
  </si>
  <si>
    <t>REC20255_29968199</t>
  </si>
  <si>
    <t>REC20255_29968198</t>
  </si>
  <si>
    <t>REC20255_29968197</t>
  </si>
  <si>
    <t>REC20255_29968196</t>
  </si>
  <si>
    <t>REC20255_29968195</t>
  </si>
  <si>
    <t>REC20255_29968194</t>
  </si>
  <si>
    <t>REC20255_29968193</t>
  </si>
  <si>
    <t>REC20255_29968192</t>
  </si>
  <si>
    <t>REC20255_29968191</t>
  </si>
  <si>
    <t>REC20255_29968190</t>
  </si>
  <si>
    <t>REC20255_29968189</t>
  </si>
  <si>
    <t>REC20255_29966602</t>
  </si>
  <si>
    <t>REC20255_29966601</t>
  </si>
  <si>
    <t>REC20255_29966600</t>
  </si>
  <si>
    <t>REC20255_29966599</t>
  </si>
  <si>
    <t>REC20255_29935924</t>
  </si>
  <si>
    <t>REC20255_29774249</t>
  </si>
  <si>
    <t>REC20255_29456056</t>
  </si>
  <si>
    <t>REC20255_29456055</t>
  </si>
  <si>
    <t>REC20255_29274329</t>
  </si>
  <si>
    <t>REC20255_28892974</t>
  </si>
  <si>
    <t>REC20255_28892944</t>
  </si>
  <si>
    <t>REC20255_28892837</t>
  </si>
  <si>
    <t>REC20255_28871876</t>
  </si>
  <si>
    <t>REC20255_28864282</t>
  </si>
  <si>
    <t>REC20255_28864263</t>
  </si>
  <si>
    <t>REC20255_28864261</t>
  </si>
  <si>
    <t>REC20255_28864251</t>
  </si>
  <si>
    <t>REC20255_28671990</t>
  </si>
  <si>
    <t>REC20255_28659888</t>
  </si>
  <si>
    <t>REC20255_28658238</t>
  </si>
  <si>
    <t>REC20255_28645861</t>
  </si>
  <si>
    <t>REC20255_28645275</t>
  </si>
  <si>
    <t>REC20255_28643300</t>
  </si>
  <si>
    <t>REC20255_28643293</t>
  </si>
  <si>
    <t>REC20255_28633962</t>
  </si>
  <si>
    <t>REC20255_28626126</t>
  </si>
  <si>
    <t>REC20255_28609995</t>
  </si>
  <si>
    <t>REC20255_28595988</t>
  </si>
  <si>
    <t>REC20255_28591735</t>
  </si>
  <si>
    <t>REC20255_28589461</t>
  </si>
  <si>
    <t>REC20255_28589294</t>
  </si>
  <si>
    <t>REC20255_28579499</t>
  </si>
  <si>
    <t>REC20255_28579198</t>
  </si>
  <si>
    <t>REC20255_28564249</t>
  </si>
  <si>
    <t>REC20255_28541762</t>
  </si>
  <si>
    <t>REC20255_28541680</t>
  </si>
  <si>
    <t>REC20255_28538927</t>
  </si>
  <si>
    <t>REC20255_28538921</t>
  </si>
  <si>
    <t>REC20255_28538914</t>
  </si>
  <si>
    <t>REC20255_28538913</t>
  </si>
  <si>
    <t>REC20255_28538743</t>
  </si>
  <si>
    <t>REC20255_28532969</t>
  </si>
  <si>
    <t>REC20255_28532523</t>
  </si>
  <si>
    <t>REC20255_28532517</t>
  </si>
  <si>
    <t>REC20255_28525876</t>
  </si>
  <si>
    <t>REC20255_27448795</t>
  </si>
  <si>
    <t>Justin R Nichols</t>
  </si>
  <si>
    <t>We Work</t>
  </si>
  <si>
    <t>Currencies Direct Limited:Redpin Payments</t>
  </si>
  <si>
    <t>Focus Fractional LLC - Jeff</t>
  </si>
  <si>
    <t>Resolute Creative - Jacob Abshire</t>
  </si>
  <si>
    <t>05/01/2025</t>
  </si>
  <si>
    <t>RestorixHealth Inc:Managed Services (2 month ext)</t>
  </si>
  <si>
    <t>Massage Therapy Boards - Managed Services</t>
  </si>
  <si>
    <t>Massage Therapy Boards - Advisory</t>
  </si>
  <si>
    <t>05/02/2025</t>
  </si>
  <si>
    <t>05/05/2025</t>
  </si>
  <si>
    <t>05/06/2025</t>
  </si>
  <si>
    <t>05/07/2025</t>
  </si>
  <si>
    <t>05/08/2025</t>
  </si>
  <si>
    <t>05/09/2025</t>
  </si>
  <si>
    <t>05/11/2025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</si>
  <si>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</si>
  <si>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</si>
  <si>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</si>
  <si>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</si>
  <si>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</si>
  <si>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</si>
  <si>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</si>
  <si>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</si>
  <si>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</si>
  <si>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</si>
  <si>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</si>
  <si>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</si>
  <si>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</si>
  <si>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</si>
  <si>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State of Connecticut Department of Revenue Services</t>
  </si>
  <si>
    <t>Brenna Hawley-Craig (brenna@synaptic.build)</t>
  </si>
  <si>
    <t>Fort Offices LLC</t>
  </si>
  <si>
    <t>REC20256_31270060</t>
  </si>
  <si>
    <t>Andrew Fischer andrew@bigdoormarketing.com USD</t>
  </si>
  <si>
    <t>REC20256_30033449</t>
  </si>
  <si>
    <t>REC20256_30033448</t>
  </si>
  <si>
    <t>REC20256_30033446</t>
  </si>
  <si>
    <t>REC20256_31244080</t>
  </si>
  <si>
    <t>REC20256_31269372</t>
  </si>
  <si>
    <t>REC20256_31152639</t>
  </si>
  <si>
    <t>REC20256_31292166</t>
  </si>
  <si>
    <t>REC20256_31269259</t>
  </si>
  <si>
    <t>REC20256_31269257</t>
  </si>
  <si>
    <t>REC20256_31152511</t>
  </si>
  <si>
    <t>REC20256_31244232</t>
  </si>
  <si>
    <t>REC20256_31152691</t>
  </si>
  <si>
    <t>REC20256_31152641</t>
  </si>
  <si>
    <t>REC20256_31152665</t>
  </si>
  <si>
    <t>REC20256_31244562</t>
  </si>
  <si>
    <t>REC20256_31269263</t>
  </si>
  <si>
    <t>REC20256_31244582</t>
  </si>
  <si>
    <t>REC20256_31298518</t>
  </si>
  <si>
    <t>REC20256_31200710</t>
  </si>
  <si>
    <t>REC20256_31200711</t>
  </si>
  <si>
    <t>REC20256_31244047</t>
  </si>
  <si>
    <t>REC20256_31298374</t>
  </si>
  <si>
    <t>REC20256_31269350</t>
  </si>
  <si>
    <t>REC20256_31244386</t>
  </si>
  <si>
    <t>REC20256_31244384</t>
  </si>
  <si>
    <t>REC20256_31244381</t>
  </si>
  <si>
    <t>REC20256_31244380</t>
  </si>
  <si>
    <t>REC20256_31244378</t>
  </si>
  <si>
    <t>REC20256_31244383</t>
  </si>
  <si>
    <t>REC20256_31244376</t>
  </si>
  <si>
    <t>REC20256_31244578</t>
  </si>
  <si>
    <t>Ramp Business Corporation</t>
  </si>
  <si>
    <t>Ray Der (ray@synaptic.build)</t>
  </si>
  <si>
    <t>Joseph A Kennedy</t>
  </si>
  <si>
    <t>Frank Recruitment Group, Inc.</t>
  </si>
  <si>
    <t>COTIVITI</t>
  </si>
  <si>
    <t>William Karpovich (bill@synaptic.build)</t>
  </si>
  <si>
    <t>Sahil Kumar (sahil@synaptic.build)</t>
  </si>
  <si>
    <t>20250528 Website</t>
  </si>
  <si>
    <t>Safa Ijaz (safa@synaptic.build)</t>
  </si>
  <si>
    <t>Federation of State Massage Therapy Boards (FSMTB):FSMTB - Advisory</t>
  </si>
  <si>
    <t>Federation of State Massage Therapy Boards (FSMTB):FSMTB - Managed Services</t>
  </si>
  <si>
    <t>06/01/2025</t>
  </si>
  <si>
    <t>05/24/2025</t>
  </si>
  <si>
    <t>05/31/2025</t>
  </si>
  <si>
    <t>DeFazio, Dominick</t>
  </si>
  <si>
    <t>ABB (Youreka Labs, Inc) Phase #1</t>
  </si>
  <si>
    <t>PNM: DDWA - T&amp;M Scope B</t>
  </si>
  <si>
    <t>Currencies Direct Limited: Redpin - B2B</t>
  </si>
  <si>
    <t>Phoenix Perkins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</si>
  <si>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</si>
  <si>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</si>
  <si>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</si>
  <si>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</si>
  <si>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</si>
  <si>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</si>
  <si>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</si>
  <si>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</si>
  <si>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</si>
  <si>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</si>
  <si>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</si>
  <si>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</si>
  <si>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</si>
  <si>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</si>
  <si>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</si>
  <si>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</si>
  <si>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</si>
  <si>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06/27/2025</t>
  </si>
  <si>
    <t>06/30/2025</t>
  </si>
  <si>
    <t>22335 Accrued Expenses:Accrued Expenses - Bancorpsv Clearing</t>
  </si>
  <si>
    <t>Mark Miller (mark.miller@synaptic.build)</t>
  </si>
  <si>
    <t>32540128_31439931</t>
  </si>
  <si>
    <t>32540128_32455856</t>
  </si>
  <si>
    <t>32540128_31519852</t>
  </si>
  <si>
    <t>32540128_31438565</t>
  </si>
  <si>
    <t>32540128_31269284</t>
  </si>
  <si>
    <t>32540128_32481603</t>
  </si>
  <si>
    <t>32540128_32488601</t>
  </si>
  <si>
    <t>32540128_31244576</t>
  </si>
  <si>
    <t>Cogency Global Inc.</t>
  </si>
  <si>
    <t>32540128_32539732</t>
  </si>
  <si>
    <t>32540128_32540131</t>
  </si>
  <si>
    <t>32540128_31034669</t>
  </si>
  <si>
    <t>32540128_31188502</t>
  </si>
  <si>
    <t>32540128_31094644</t>
  </si>
  <si>
    <t>32540128_31014778</t>
  </si>
  <si>
    <t>32540128_31122996</t>
  </si>
  <si>
    <t>32540128_31017938</t>
  </si>
  <si>
    <t>32540128_31065940</t>
  </si>
  <si>
    <t>32540128_31205562</t>
  </si>
  <si>
    <t>32540128_31455323</t>
  </si>
  <si>
    <t>32540128_31079870</t>
  </si>
  <si>
    <t>32540128_31121868</t>
  </si>
  <si>
    <t>32540128_31005925</t>
  </si>
  <si>
    <t>32540128_31118921</t>
  </si>
  <si>
    <t>32540128_31148743</t>
  </si>
  <si>
    <t>32540128_31015642</t>
  </si>
  <si>
    <t>32540128_31015486</t>
  </si>
  <si>
    <t>32540128_31109558</t>
  </si>
  <si>
    <t>32540128_31478841</t>
  </si>
  <si>
    <t>32540128_31065947</t>
  </si>
  <si>
    <t>32540128_31057083</t>
  </si>
  <si>
    <t>32540128_31081581</t>
  </si>
  <si>
    <t>32540128_30969254</t>
  </si>
  <si>
    <t>32540128_30991748</t>
  </si>
  <si>
    <t>32540128_30971205</t>
  </si>
  <si>
    <t>32540128_30969139</t>
  </si>
  <si>
    <t>32540128_30965505</t>
  </si>
  <si>
    <t>32540128_30965499</t>
  </si>
  <si>
    <t>32540128_30959387</t>
  </si>
  <si>
    <t>32540128_30965754</t>
  </si>
  <si>
    <t>32540128_30969262</t>
  </si>
  <si>
    <t>32540128_30965460</t>
  </si>
  <si>
    <t>32540128_30969267</t>
  </si>
  <si>
    <t>32540128_32420334</t>
  </si>
  <si>
    <t>32540128_32420317</t>
  </si>
  <si>
    <t>32540128_31438617</t>
  </si>
  <si>
    <t>32540128_32485713</t>
  </si>
  <si>
    <t>32540128_31758485</t>
  </si>
  <si>
    <t>32540128_32420635</t>
  </si>
  <si>
    <t>32540128_32481947</t>
  </si>
  <si>
    <t>32540128_31574478</t>
  </si>
  <si>
    <t>32540128_31574471</t>
  </si>
  <si>
    <t>32540128_32455841</t>
  </si>
  <si>
    <t>32540128_32432063</t>
  </si>
  <si>
    <t>32540128_32432050</t>
  </si>
  <si>
    <t>32540128_32521087</t>
  </si>
  <si>
    <t>32540128_32521083</t>
  </si>
  <si>
    <t>32540128_32521080</t>
  </si>
  <si>
    <t>32540128_32485816</t>
  </si>
  <si>
    <t>32540128_32485815</t>
  </si>
  <si>
    <t>32540128_32485814</t>
  </si>
  <si>
    <t>32540128_32485813</t>
  </si>
  <si>
    <t>32540128_32485812</t>
  </si>
  <si>
    <t>32540128_32485811</t>
  </si>
  <si>
    <t>32540128_32485810</t>
  </si>
  <si>
    <t>32540128_32455830</t>
  </si>
  <si>
    <t>32540128_31574473</t>
  </si>
  <si>
    <t>SalesCraft, LLC</t>
  </si>
  <si>
    <t>21020 Ramp Card</t>
  </si>
  <si>
    <t>Joseph Kennedy (joey.kennedy@synaptic.build)</t>
  </si>
  <si>
    <t>Advisory Council on Historic Preservation (ACHP)</t>
  </si>
  <si>
    <t>13005 Prepaid Expenses</t>
  </si>
  <si>
    <t>Ramp</t>
  </si>
  <si>
    <t>Total Collections from Invoicing</t>
  </si>
  <si>
    <t>Total Collections from Future Sales</t>
  </si>
  <si>
    <t>Collections</t>
  </si>
  <si>
    <t xml:space="preserve">  Known/Forecasted</t>
  </si>
  <si>
    <t xml:space="preserve">  Unkown</t>
  </si>
  <si>
    <t>Total Contractors</t>
  </si>
  <si>
    <t xml:space="preserve">  W2</t>
  </si>
  <si>
    <t xml:space="preserve">  Contractors</t>
  </si>
  <si>
    <t xml:space="preserve">  Other</t>
  </si>
  <si>
    <t>Spend</t>
  </si>
  <si>
    <t>Beginning Cash</t>
  </si>
  <si>
    <t>Ending Cash</t>
  </si>
  <si>
    <t xml:space="preserve">  Net Burn</t>
  </si>
  <si>
    <t xml:space="preserve">  Investment</t>
  </si>
  <si>
    <t>1st Half</t>
  </si>
  <si>
    <t>2nd Half</t>
  </si>
  <si>
    <t>Y2025</t>
  </si>
  <si>
    <t>Salesforce CRM - Simarjeet Singh</t>
  </si>
  <si>
    <t>Salesforce CRM - Gottimukkala Sivaprasad</t>
  </si>
  <si>
    <t>Salesforce CRM - Praful Bhanarkar</t>
  </si>
  <si>
    <t>Salesforce CRM - Rahul Patil</t>
  </si>
  <si>
    <t>Salesforce CRM - Vishal Priyadarshi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</si>
  <si>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</si>
  <si>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</si>
  <si>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</si>
  <si>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</si>
  <si>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</si>
  <si>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</si>
  <si>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</si>
  <si>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</si>
  <si>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</si>
  <si>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</si>
  <si>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</si>
  <si>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07/18/2025</t>
  </si>
  <si>
    <t>07/21/2025</t>
  </si>
  <si>
    <t>07/22/2025</t>
  </si>
  <si>
    <t>07/24/2025</t>
  </si>
  <si>
    <t>07/25/2025</t>
  </si>
  <si>
    <t>07/28/2025</t>
  </si>
  <si>
    <t>07/29/2025</t>
  </si>
  <si>
    <t>07/30/2025</t>
  </si>
  <si>
    <t>07/31/2025</t>
  </si>
  <si>
    <t>51500 Classic COGS - Delivery:Classic COGS - Delivery - Travel</t>
  </si>
  <si>
    <t>69500 General &amp; Administrative:G&amp;A - Travel</t>
  </si>
  <si>
    <t>Phoenix Perkins phoenixperkins0@gmail.com USD</t>
  </si>
  <si>
    <t>Currencies Direct Limited</t>
  </si>
  <si>
    <t>Studebaker Submetering, Inc</t>
  </si>
  <si>
    <t>Total Solutions Inc:Total Solutions Inc - HUD Base</t>
  </si>
  <si>
    <t>Youreka Labs, Inc:Dispatch Agentforce Activation</t>
  </si>
  <si>
    <t>Illinois Department of Revenue</t>
  </si>
  <si>
    <t>05/04/2025</t>
  </si>
  <si>
    <t>Justin Nichols (justin@synaptic.build)</t>
  </si>
  <si>
    <t>Ramp Card</t>
  </si>
  <si>
    <t>10005 M&amp;T Bank - Operating</t>
  </si>
  <si>
    <t>07/17/2025</t>
  </si>
  <si>
    <t>Slack</t>
  </si>
  <si>
    <t>Smartsheet</t>
  </si>
  <si>
    <t>Amazon</t>
  </si>
  <si>
    <t>51205 Classic COGS - Delivery:Classic COGS - Delivery - Staff Meals, Awards &amp; Incentives</t>
  </si>
  <si>
    <t>OpenAI</t>
  </si>
  <si>
    <t>51400 Classic COGS - Delivery:Classic COGS - Delivery - Software Applications &amp; Licenses</t>
  </si>
  <si>
    <t>06/22/2025</t>
  </si>
  <si>
    <t>Openai Chatgpt</t>
  </si>
  <si>
    <t>05/25/2025</t>
  </si>
  <si>
    <t>06/07/2025</t>
  </si>
  <si>
    <t>Perplexity</t>
  </si>
  <si>
    <t>06/29/2025</t>
  </si>
  <si>
    <t>Perplexity AI</t>
  </si>
  <si>
    <t>Avas Flowers</t>
  </si>
  <si>
    <t>51410 Classic COGS - Delivery:Classic COGS - Delivery - Office &amp; Supplies</t>
  </si>
  <si>
    <t>LAZ Parking</t>
  </si>
  <si>
    <t>True Lacrosse</t>
  </si>
  <si>
    <t>Uber</t>
  </si>
  <si>
    <t>Chick-Fil-A</t>
  </si>
  <si>
    <t>51505 Classic COGS - Delivery:Classic COGS - Delivery - Meals &amp; Entertainment</t>
  </si>
  <si>
    <t>Elastic</t>
  </si>
  <si>
    <t>57020 Hosting Costs:Hosting Website Maintenance</t>
  </si>
  <si>
    <t>Firecrawl</t>
  </si>
  <si>
    <t>58005 Direct Third Party Costs:Direct Third Party Software License Fees</t>
  </si>
  <si>
    <t>UPS</t>
  </si>
  <si>
    <t>61410 Classic - Sales:Classic - Sales - Office &amp; Supplies</t>
  </si>
  <si>
    <t>Courtyard by Marriott</t>
  </si>
  <si>
    <t>61500 Classic - Sales:Classic - Sales - Travel</t>
  </si>
  <si>
    <t>07/12/2025</t>
  </si>
  <si>
    <t>Southwest Airlines</t>
  </si>
  <si>
    <t>Diamondback Brewing Company</t>
  </si>
  <si>
    <t>61505 Classic - Sales:Classic - Sales - Meals &amp; Entertainment</t>
  </si>
  <si>
    <t>SUMMER SALT</t>
  </si>
  <si>
    <t>Amazon.com</t>
  </si>
  <si>
    <t>62625 Classic - Marketing:Classic - Marketing - Client Gifts &amp; Entertainment</t>
  </si>
  <si>
    <t>Mms.Com</t>
  </si>
  <si>
    <t>LinkedIn</t>
  </si>
  <si>
    <t>64400 AppIQ - Sales:AppIQ - Sales - Software Applications &amp; Licenses</t>
  </si>
  <si>
    <t>07/05/2025</t>
  </si>
  <si>
    <t>Loom</t>
  </si>
  <si>
    <t>American Airlines</t>
  </si>
  <si>
    <t>64500 AppIQ - Sales:AppIQ - Sales - Travel</t>
  </si>
  <si>
    <t>CC-Credit</t>
  </si>
  <si>
    <t>06/15/2025</t>
  </si>
  <si>
    <t>Conoco</t>
  </si>
  <si>
    <t>Delta Air Lines</t>
  </si>
  <si>
    <t>Mke Smartpark</t>
  </si>
  <si>
    <t>07/23/2025</t>
  </si>
  <si>
    <t>Parking Meter USA</t>
  </si>
  <si>
    <t>Shell</t>
  </si>
  <si>
    <t>Sheraton</t>
  </si>
  <si>
    <t>The Westin</t>
  </si>
  <si>
    <t>Town of Amherst</t>
  </si>
  <si>
    <t>06/14/2025</t>
  </si>
  <si>
    <t>06/19/2025</t>
  </si>
  <si>
    <t>06/26/2025</t>
  </si>
  <si>
    <t>06/28/2025</t>
  </si>
  <si>
    <t>United</t>
  </si>
  <si>
    <t>Wynn Las Vegas</t>
  </si>
  <si>
    <t>7-Eleven</t>
  </si>
  <si>
    <t>64505 AppIQ - Sales:AppIQ - Sales - Meals &amp; Entertainment</t>
  </si>
  <si>
    <t>Alma Gaucha</t>
  </si>
  <si>
    <t>Baltimore Convention Center</t>
  </si>
  <si>
    <t>Black Sheep Cafe</t>
  </si>
  <si>
    <t>Brueggers 3811 Restaurant</t>
  </si>
  <si>
    <t>CALI</t>
  </si>
  <si>
    <t>Del Frisco's Double Eagle Steakhouse</t>
  </si>
  <si>
    <t>Dunkin' Donuts</t>
  </si>
  <si>
    <t>Empire</t>
  </si>
  <si>
    <t>Foxtail Coffee</t>
  </si>
  <si>
    <t>Gateway Grill</t>
  </si>
  <si>
    <t>Grand Lux Cafe</t>
  </si>
  <si>
    <t>Harris Teeter</t>
  </si>
  <si>
    <t>illy Caffe</t>
  </si>
  <si>
    <t>J. Pace &amp; Son</t>
  </si>
  <si>
    <t>Kestra</t>
  </si>
  <si>
    <t>La Cocina Mexicana</t>
  </si>
  <si>
    <t>Levain Bakery</t>
  </si>
  <si>
    <t>M.J. O'Connor's</t>
  </si>
  <si>
    <t>McDonald's</t>
  </si>
  <si>
    <t>Mike's Roast Beef</t>
  </si>
  <si>
    <t>Starbucks</t>
  </si>
  <si>
    <t>The Cafe</t>
  </si>
  <si>
    <t>The Palm</t>
  </si>
  <si>
    <t>Trillium</t>
  </si>
  <si>
    <t>Via Italia</t>
  </si>
  <si>
    <t>Yume Ga Arukara</t>
  </si>
  <si>
    <t>Vidyard</t>
  </si>
  <si>
    <t>65400 AppIQ - Marketing:AppIQ - Marketing - Software Applications &amp; Licenses</t>
  </si>
  <si>
    <t>65605 AppIQ - Marketing:AppIQ - Marketing - Lead Gen &amp; Social Media</t>
  </si>
  <si>
    <t>L.A. Burdick Handmade Chocolates</t>
  </si>
  <si>
    <t>65625 AppIQ - Marketing:AppIQ - Marketing - Client Gifts &amp; Entertainment</t>
  </si>
  <si>
    <t>Ragged Coast Chocolates</t>
  </si>
  <si>
    <t>Yeti</t>
  </si>
  <si>
    <t>07/04/2025</t>
  </si>
  <si>
    <t>184215385.20220510.032</t>
  </si>
  <si>
    <t>66500 AppIQ - Research &amp; Development:AppIQ - R&amp;D - Travel</t>
  </si>
  <si>
    <t>Amtrak</t>
  </si>
  <si>
    <t>Denver Airport Parking</t>
  </si>
  <si>
    <t>Lyft</t>
  </si>
  <si>
    <t>Taxi</t>
  </si>
  <si>
    <t>United Airlines</t>
  </si>
  <si>
    <t>Wyndham</t>
  </si>
  <si>
    <t>Yitayewleab Yirgu</t>
  </si>
  <si>
    <t>Bellwood Coffee</t>
  </si>
  <si>
    <t>66505 AppIQ - Research &amp; Development:AppIQ - R&amp;D - Meals &amp; Entertainment</t>
  </si>
  <si>
    <t>EZCater</t>
  </si>
  <si>
    <t>Southern National</t>
  </si>
  <si>
    <t>The Greene Turtle</t>
  </si>
  <si>
    <t>07/06/2025</t>
  </si>
  <si>
    <t>Adobe</t>
  </si>
  <si>
    <t>69400 General &amp; Administrative:G&amp;A - Software Applications &amp; Licenses</t>
  </si>
  <si>
    <t>Anthropic</t>
  </si>
  <si>
    <t>Atlassian</t>
  </si>
  <si>
    <t>Cookiebot</t>
  </si>
  <si>
    <t>Earth Class Mail</t>
  </si>
  <si>
    <t>ElevenLabs</t>
  </si>
  <si>
    <t>07/19/2025</t>
  </si>
  <si>
    <t>Google Workspace</t>
  </si>
  <si>
    <t>Intuit</t>
  </si>
  <si>
    <t>Last Pass</t>
  </si>
  <si>
    <t>Legal Zoom</t>
  </si>
  <si>
    <t>07/27/2025</t>
  </si>
  <si>
    <t>Lucid Chart</t>
  </si>
  <si>
    <t>06/21/2025</t>
  </si>
  <si>
    <t>Movio</t>
  </si>
  <si>
    <t>07/20/2025</t>
  </si>
  <si>
    <t>Otter</t>
  </si>
  <si>
    <t>Raindrop.Io</t>
  </si>
  <si>
    <t>Voice One</t>
  </si>
  <si>
    <t>Zoom</t>
  </si>
  <si>
    <t>69405 General &amp; Administrative:G&amp;A - Telecom, Internet &amp; Hardware</t>
  </si>
  <si>
    <t>LOOI Robot</t>
  </si>
  <si>
    <t>Verizon</t>
  </si>
  <si>
    <t>Xfinity</t>
  </si>
  <si>
    <t>69410 General &amp; Administrative:G&amp;A - Office &amp; Supplies</t>
  </si>
  <si>
    <t>Bwi Taxi 416</t>
  </si>
  <si>
    <t>Curb Taxi App</t>
  </si>
  <si>
    <t>Air Ventures</t>
  </si>
  <si>
    <t>69505 General &amp; Administrative:G&amp;A - Meals &amp; Entertainment</t>
  </si>
  <si>
    <t>Caves Valley Golf Club</t>
  </si>
  <si>
    <t>Corolla Raceway</t>
  </si>
  <si>
    <t>Doordash</t>
  </si>
  <si>
    <t>07/26/2025</t>
  </si>
  <si>
    <t>Farmer'S Mkt Kiosk Bwi Restaurant</t>
  </si>
  <si>
    <t>L.P. Steamers</t>
  </si>
  <si>
    <t>Not Your Average Joe</t>
  </si>
  <si>
    <t>Obrycki's Restaurant and Bar</t>
  </si>
  <si>
    <t>Samos Greek Island Grill</t>
  </si>
  <si>
    <t>Silver Diner</t>
  </si>
  <si>
    <t>Stone Mill Bakery</t>
  </si>
  <si>
    <t>THB Bagelry &amp; Deli</t>
  </si>
  <si>
    <t>Ramp Credit Card</t>
  </si>
  <si>
    <t>Koda Systems, LLC (Dane Kim)</t>
  </si>
  <si>
    <t>Smith, Josh</t>
  </si>
  <si>
    <t>Boss LLC - Elizabeth Fordham (PR  Tax)</t>
  </si>
  <si>
    <t>08/01/2025</t>
  </si>
  <si>
    <t>08/04/2025</t>
  </si>
  <si>
    <t>08/05/2025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</si>
  <si>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</si>
  <si>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</si>
  <si>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</si>
  <si>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</si>
  <si>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</si>
  <si>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</si>
  <si>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</si>
  <si>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</si>
  <si>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</si>
  <si>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</si>
  <si>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</si>
  <si>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</si>
  <si>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</si>
  <si>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</si>
  <si>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</si>
  <si>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</si>
  <si>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</si>
  <si>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Precursive Inc</t>
  </si>
  <si>
    <t>35302243_35302249</t>
  </si>
  <si>
    <t>35302243_35300749</t>
  </si>
  <si>
    <t>35302243_33518803</t>
  </si>
  <si>
    <t>35295965_35295977</t>
  </si>
  <si>
    <t>35295965_35295789</t>
  </si>
  <si>
    <t>35295965_35245078</t>
  </si>
  <si>
    <t>35295965_35244358</t>
  </si>
  <si>
    <t>35295965_35244357</t>
  </si>
  <si>
    <t>35295965_35241969</t>
  </si>
  <si>
    <t>35295965_35199395</t>
  </si>
  <si>
    <t>35295965_35199394</t>
  </si>
  <si>
    <t>35295965_35199393</t>
  </si>
  <si>
    <t>35295965_35199392</t>
  </si>
  <si>
    <t>35295965_35199391</t>
  </si>
  <si>
    <t>35295965_35199390</t>
  </si>
  <si>
    <t>35295965_35199389</t>
  </si>
  <si>
    <t>35295965_35199388</t>
  </si>
  <si>
    <t>35295965_35199203</t>
  </si>
  <si>
    <t>35295965_35198823</t>
  </si>
  <si>
    <t>35295965_35196563</t>
  </si>
  <si>
    <t>35295965_35196461</t>
  </si>
  <si>
    <t>35295965_35166599</t>
  </si>
  <si>
    <t>35295965_35166455</t>
  </si>
  <si>
    <t>35295965_35166454</t>
  </si>
  <si>
    <t>35295965_35166453</t>
  </si>
  <si>
    <t>35295965_35164678</t>
  </si>
  <si>
    <t>35295965_34558933</t>
  </si>
  <si>
    <t>35295965_34431713</t>
  </si>
  <si>
    <t>35295965_34294962</t>
  </si>
  <si>
    <t>35295965_34290900</t>
  </si>
  <si>
    <t>35295965_34158010</t>
  </si>
  <si>
    <t>35295965_33902839</t>
  </si>
  <si>
    <t>35295965_33851769</t>
  </si>
  <si>
    <t>35295965_33851494</t>
  </si>
  <si>
    <t>35295965_33851493</t>
  </si>
  <si>
    <t>35295965_33851486</t>
  </si>
  <si>
    <t>35295965_33707091</t>
  </si>
  <si>
    <t>35295965_33649525</t>
  </si>
  <si>
    <t>35295965_33649506</t>
  </si>
  <si>
    <t>35295965_33643095</t>
  </si>
  <si>
    <t>35295965_33636210</t>
  </si>
  <si>
    <t>35295965_33623917</t>
  </si>
  <si>
    <t>35295965_33622924</t>
  </si>
  <si>
    <t>35295965_33619162</t>
  </si>
  <si>
    <t>35295965_33600333</t>
  </si>
  <si>
    <t>35295965_33583139</t>
  </si>
  <si>
    <t>35295965_33575807</t>
  </si>
  <si>
    <t>35295965_33567447</t>
  </si>
  <si>
    <t>35295965_33567441</t>
  </si>
  <si>
    <t>35295965_33565054</t>
  </si>
  <si>
    <t>35295965_33548220</t>
  </si>
  <si>
    <t>35295965_33534979</t>
  </si>
  <si>
    <t>35295965_33533148</t>
  </si>
  <si>
    <t>35295965_33528594</t>
  </si>
  <si>
    <t>35295965_33506828</t>
  </si>
  <si>
    <t>35295965_33505497</t>
  </si>
  <si>
    <t>35295965_33505487</t>
  </si>
  <si>
    <t>35295965_33505393</t>
  </si>
  <si>
    <t>35295965_33502708</t>
  </si>
  <si>
    <t>35295965_33502474</t>
  </si>
  <si>
    <t>35295965_33502472</t>
  </si>
  <si>
    <t>Total Solutions Inc:Total Solutions Inc - HUD Mod 01</t>
  </si>
  <si>
    <t>Mr. William Karpovich</t>
  </si>
  <si>
    <t>Josh Smith (josh@synaptic.build)</t>
  </si>
  <si>
    <t>35825311_35825314</t>
  </si>
  <si>
    <t>35825311_35574644</t>
  </si>
  <si>
    <t>National Rural Health Resource Center:NRHRC Managed Services August 2025- July 2026</t>
  </si>
  <si>
    <t>08/02/2025</t>
  </si>
  <si>
    <t>08/03/2025</t>
  </si>
  <si>
    <t>08/06/2025</t>
  </si>
  <si>
    <t>08/09/2025</t>
  </si>
  <si>
    <t>08/10/2025</t>
  </si>
  <si>
    <t>08/16/2025</t>
  </si>
  <si>
    <t>08/17/2025</t>
  </si>
  <si>
    <t>08/24/2025</t>
  </si>
  <si>
    <t>08/31/2025</t>
  </si>
  <si>
    <t>Comcast</t>
  </si>
  <si>
    <t>Repl.it</t>
  </si>
  <si>
    <t>GoDaddy</t>
  </si>
  <si>
    <t>Terry Black's Barbecue</t>
  </si>
  <si>
    <t>The LINE Austin</t>
  </si>
  <si>
    <t>The LINE Austin - Restaurants and Bars</t>
  </si>
  <si>
    <t>Lou Malnati's Pizzeria</t>
  </si>
  <si>
    <t>Residence Inn</t>
  </si>
  <si>
    <t>The Pub</t>
  </si>
  <si>
    <t>Austin Proper Hotel</t>
  </si>
  <si>
    <t>la Barbecue</t>
  </si>
  <si>
    <t>The Streeter</t>
  </si>
  <si>
    <t>XOCO</t>
  </si>
  <si>
    <t>Gibsons Italia</t>
  </si>
  <si>
    <t>Austin Straubel</t>
  </si>
  <si>
    <t>Kung Fu Saloon</t>
  </si>
  <si>
    <t>365 Retail Markets</t>
  </si>
  <si>
    <t>Firecakes Donuts</t>
  </si>
  <si>
    <t>Elementor</t>
  </si>
  <si>
    <t>Light House Bistro</t>
  </si>
  <si>
    <t>Marriott Singapore</t>
  </si>
  <si>
    <t>Mellow Mushroom</t>
  </si>
  <si>
    <t>Hawkers Asian Street Food</t>
  </si>
  <si>
    <t>QuikTrip</t>
  </si>
  <si>
    <t>CAVA</t>
  </si>
  <si>
    <t>Atlanta Airport Restaurant</t>
  </si>
  <si>
    <t>AIR HOST</t>
  </si>
  <si>
    <t>Resurgens Plaza</t>
  </si>
  <si>
    <t>Hartsfield-Jackson Atlanta International Airport</t>
  </si>
  <si>
    <t>Restaurants</t>
  </si>
  <si>
    <t>Fairfield Inn &amp; Suites</t>
  </si>
  <si>
    <t>USPS</t>
  </si>
  <si>
    <t>LastPass</t>
  </si>
  <si>
    <t>Sugandh Indian Restaurant &amp; Bar</t>
  </si>
  <si>
    <t>Blue Iguana</t>
  </si>
  <si>
    <t>Rocky Mountain Chocolate Factory (Ramp Vendor)</t>
  </si>
  <si>
    <t>Docusign</t>
  </si>
  <si>
    <t>The Economist</t>
  </si>
  <si>
    <t>69820 General &amp; Administrative:G&amp;A - Dues &amp; Subscriptions</t>
  </si>
  <si>
    <t>Waldorf Astoria</t>
  </si>
  <si>
    <t>Uvc</t>
  </si>
  <si>
    <t>Lovable</t>
  </si>
  <si>
    <t>Lord Baltimore Hotel</t>
  </si>
  <si>
    <t>Easy Like Sunday</t>
  </si>
  <si>
    <t>Rainfoc Sfdc Tdx22</t>
  </si>
  <si>
    <t>Airbnb</t>
  </si>
  <si>
    <t>Everything</t>
  </si>
  <si>
    <t>Square</t>
  </si>
  <si>
    <t>Apple</t>
  </si>
  <si>
    <t>66405 AppIQ - Research &amp; Development:AppIQ - R&amp;D - Telecom, Internet &amp; Hardware</t>
  </si>
  <si>
    <t>Gofundme</t>
  </si>
  <si>
    <t>Q1-2025</t>
  </si>
  <si>
    <t>Q2-2025</t>
  </si>
  <si>
    <t>Q3-2025</t>
  </si>
  <si>
    <t>Q4-2025</t>
  </si>
  <si>
    <t>Q1-2026</t>
  </si>
  <si>
    <t>Q2-2026</t>
  </si>
  <si>
    <t>Q3-2026</t>
  </si>
  <si>
    <t>Q4-2026</t>
  </si>
  <si>
    <t>09/02/2025</t>
  </si>
  <si>
    <t>09/03/2025</t>
  </si>
  <si>
    <t>09/05/2025</t>
  </si>
  <si>
    <t>09/08/2025</t>
  </si>
  <si>
    <t>09/09/2025</t>
  </si>
  <si>
    <t>09/10/2025</t>
  </si>
  <si>
    <t>09/11/2025</t>
  </si>
  <si>
    <t>09/12/2025</t>
  </si>
  <si>
    <t>09/14/2025</t>
  </si>
  <si>
    <t>09/15/2025</t>
  </si>
  <si>
    <t>09/16/2025</t>
  </si>
  <si>
    <t>09/17/2025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</si>
  <si>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</si>
  <si>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</si>
  <si>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</si>
  <si>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</si>
  <si>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</si>
  <si>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</si>
  <si>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</si>
  <si>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</si>
  <si>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Bojan Cubela (bojan@synaptic.build)</t>
  </si>
  <si>
    <t>36603112_35264918</t>
  </si>
  <si>
    <t>36603112_35166630</t>
  </si>
  <si>
    <t>36603112_35166628</t>
  </si>
  <si>
    <t>36603112_35166627</t>
  </si>
  <si>
    <t>36603112_36459796</t>
  </si>
  <si>
    <t>36603112_36459807</t>
  </si>
  <si>
    <t>36603112_36459822</t>
  </si>
  <si>
    <t>36603112_36459810</t>
  </si>
  <si>
    <t>36603112_36417763</t>
  </si>
  <si>
    <t>David Wong david1wong1@gmail.com USD</t>
  </si>
  <si>
    <t>36603112_36603115</t>
  </si>
  <si>
    <t>36603112_35244313</t>
  </si>
  <si>
    <t>36603112_35164738</t>
  </si>
  <si>
    <t>36603112_35164679</t>
  </si>
  <si>
    <t>36603112_35106419</t>
  </si>
  <si>
    <t>36603112_35096489</t>
  </si>
  <si>
    <t>36603112_35059316</t>
  </si>
  <si>
    <t>36603112_35059295</t>
  </si>
  <si>
    <t>36603112_35051379</t>
  </si>
  <si>
    <t>36603112_35043997</t>
  </si>
  <si>
    <t>36603112_35037498</t>
  </si>
  <si>
    <t>36603112_35036443</t>
  </si>
  <si>
    <t>36603112_35033442</t>
  </si>
  <si>
    <t>36603112_35015144</t>
  </si>
  <si>
    <t>36603112_34999107</t>
  </si>
  <si>
    <t>36603112_34992547</t>
  </si>
  <si>
    <t>36603112_34983957</t>
  </si>
  <si>
    <t>36603112_34983951</t>
  </si>
  <si>
    <t>36603112_34981551</t>
  </si>
  <si>
    <t>36603112_34966460</t>
  </si>
  <si>
    <t>36603112_34965375</t>
  </si>
  <si>
    <t>36603112_34952736</t>
  </si>
  <si>
    <t>36603112_34950909</t>
  </si>
  <si>
    <t>36603112_34950829</t>
  </si>
  <si>
    <t>36603112_34946362</t>
  </si>
  <si>
    <t>36603112_34937652</t>
  </si>
  <si>
    <t>36603112_34922917</t>
  </si>
  <si>
    <t>36603112_34921340</t>
  </si>
  <si>
    <t>36603112_34921334</t>
  </si>
  <si>
    <t>36603112_34921314</t>
  </si>
  <si>
    <t>36603112_34918009</t>
  </si>
  <si>
    <t>36603112_34917786</t>
  </si>
  <si>
    <t>36603112_34917783</t>
  </si>
  <si>
    <t>36603112_34915922</t>
  </si>
  <si>
    <t>36603112_35351175</t>
  </si>
  <si>
    <t>11500</t>
  </si>
  <si>
    <t>Federation of State Massage Therapy Boards (FSMTB):Federation of State Massage Therapy Boards (FSMTB) - Scope B</t>
  </si>
  <si>
    <t>36603112_36413333</t>
  </si>
  <si>
    <t>36603112_35219815</t>
  </si>
  <si>
    <t>36603112_36494719</t>
  </si>
  <si>
    <t>36603112_36413337</t>
  </si>
  <si>
    <t>36603112_36459808</t>
  </si>
  <si>
    <t>NYS DTF</t>
  </si>
  <si>
    <t>36603112_35825669</t>
  </si>
  <si>
    <t>36603112_35198829</t>
  </si>
  <si>
    <t>36603112_35133445</t>
  </si>
  <si>
    <t>36603112_36411839</t>
  </si>
  <si>
    <t>36603112_36411838</t>
  </si>
  <si>
    <t>36603112_35191399</t>
  </si>
  <si>
    <t>36603112_36603044</t>
  </si>
  <si>
    <t>36603112_36495207</t>
  </si>
  <si>
    <t>36603112_36494592</t>
  </si>
  <si>
    <t>36603112_36493862</t>
  </si>
  <si>
    <t>36603112_36493861</t>
  </si>
  <si>
    <t>36603112_36493788</t>
  </si>
  <si>
    <t>36603112_36493728</t>
  </si>
  <si>
    <t>36603112_36493709</t>
  </si>
  <si>
    <t>36603112_36493676</t>
  </si>
  <si>
    <t>36603112_36493627</t>
  </si>
  <si>
    <t>36603112_36493626</t>
  </si>
  <si>
    <t>36603112_36493605</t>
  </si>
  <si>
    <t>36603112_35196579</t>
  </si>
  <si>
    <t>Currencies Direct Limited:Redpin B2B Payments</t>
  </si>
  <si>
    <t>09/01/2025</t>
  </si>
  <si>
    <t>09/04/2025</t>
  </si>
  <si>
    <t>09/06/2025</t>
  </si>
  <si>
    <t>09/07/2025</t>
  </si>
  <si>
    <t>09/18/2025</t>
  </si>
  <si>
    <t>09/20/2025</t>
  </si>
  <si>
    <t>09/21/2025</t>
  </si>
  <si>
    <t>09/27/2025</t>
  </si>
  <si>
    <t>09/28/2025</t>
  </si>
  <si>
    <t>61400 Classic - Sales:Classic - Sales - Software Applications &amp; Licenses</t>
  </si>
  <si>
    <t>Google Play</t>
  </si>
  <si>
    <t>66200 AppIQ - Research &amp; Development:AppIQ - R&amp;D - Professional Development</t>
  </si>
  <si>
    <t>Allianz Travel Insurance</t>
  </si>
  <si>
    <t>Jetblue</t>
  </si>
  <si>
    <t>61200 Classic - Sales:Classic - Sales - Professional Development</t>
  </si>
  <si>
    <t>Best Buy</t>
  </si>
  <si>
    <t>61405 Classic - Sales:Classic - Sales - Telecom, Internet &amp; Hardware</t>
  </si>
  <si>
    <t>Contexts</t>
  </si>
  <si>
    <t>Lucid Software</t>
  </si>
  <si>
    <t>Colpark Loc 0092</t>
  </si>
  <si>
    <t>CustomInk</t>
  </si>
  <si>
    <t>65600 AppIQ - Marketing:AppIQ - Marketing - Advertising</t>
  </si>
  <si>
    <t>Salesforce CRM - Abhishek Sharma - 2024 08 01</t>
  </si>
  <si>
    <t>Salesforce CRM - Butesh Singla - 2024 07 25</t>
  </si>
  <si>
    <t>Salesforce CRM - Kanav Sharma - 2025 07 23</t>
  </si>
  <si>
    <t>Salesforce CRM - Manish Kyal - 2025 07 24</t>
  </si>
  <si>
    <t>Salesforce CRM - Praful Bhanarkar - 2025 02 06</t>
  </si>
  <si>
    <t>Salesforce CRM - Rahul Patil - 2025 06 02</t>
  </si>
  <si>
    <t>Salesforce CRM - Rehan Shaikh - 2025 03 25</t>
  </si>
  <si>
    <t>Salesforce CRM - Ruchit Patel - 2024 08 01</t>
  </si>
  <si>
    <t>Salesforce CRM - Simarjeet Singh - 2024 10 28</t>
  </si>
  <si>
    <t>Salesforce CRM - Sourabh Kasera - 2025 05 27</t>
  </si>
  <si>
    <t>Salesforce CRM - Vishal Priyadarshi - 2025 04 25</t>
  </si>
  <si>
    <t>David Wong</t>
  </si>
  <si>
    <t>Gross Margin %</t>
  </si>
  <si>
    <t>Cash Collected</t>
  </si>
  <si>
    <t>Delivery (COGS)</t>
  </si>
  <si>
    <t>Operating Cost</t>
  </si>
  <si>
    <t>Research &amp; Development</t>
  </si>
  <si>
    <t>Go to Market</t>
  </si>
  <si>
    <t>Back Office &amp; Administrative</t>
  </si>
  <si>
    <t>26v25 B (W) $</t>
  </si>
  <si>
    <t>26v25 B (W) %</t>
  </si>
  <si>
    <t>Nichols, Justin R.</t>
  </si>
  <si>
    <t>Total AppIQ Go To Market</t>
  </si>
  <si>
    <t xml:space="preserve">DeFazio, Dominick </t>
  </si>
  <si>
    <t>Smith, Joshua M.</t>
  </si>
  <si>
    <t>Y2025 Bonus Payout in Y2026</t>
  </si>
  <si>
    <t>Start Year</t>
  </si>
  <si>
    <t>Salary</t>
  </si>
  <si>
    <t>Bonus %</t>
  </si>
  <si>
    <t>Tax @ 8%</t>
  </si>
  <si>
    <t>Started 6/5/2025</t>
  </si>
  <si>
    <t>Started 8/11/2025</t>
  </si>
  <si>
    <t xml:space="preserve">Mahmood, Shazib </t>
  </si>
  <si>
    <t>Contractor payment included on contractors tab</t>
  </si>
  <si>
    <t>Assumptions</t>
  </si>
  <si>
    <t>Y2025 cash collections based on actual &amp; known invoicing</t>
  </si>
  <si>
    <t>Y2026 cash collections based on actual, known &amp; forecast (highighted in purple on (1) Collections tab</t>
  </si>
  <si>
    <t>Employee raises of 3% effective in March 2026</t>
  </si>
  <si>
    <t>Employee bonus payouts @ 70% (equal to Y2025 accrual) and paid out in February 2026</t>
  </si>
  <si>
    <t>Employee commissions of $4600 per month beginning October 2025</t>
  </si>
  <si>
    <t>No headcount changes to current team of 14</t>
  </si>
  <si>
    <t>Benefit increase of 6.1% covered by employer</t>
  </si>
  <si>
    <t>Dan Bergner</t>
  </si>
  <si>
    <t>Contractors at current levels with some additions - need to review one by one together to confirm</t>
  </si>
  <si>
    <t>Hardware and software cost increase by 5% from 2025 to 2026</t>
  </si>
  <si>
    <t>Office &amp; insurance cost remain flat year over year</t>
  </si>
  <si>
    <t>Legal cost reduces to run rate at end of Y2025</t>
  </si>
  <si>
    <t>Accounting &amp; tax cost reduced due to new agreement with SC&amp;H</t>
  </si>
  <si>
    <t>Recruiting cost lowered based on hiring plans</t>
  </si>
  <si>
    <t>Travel cost baselined at last four months of Y2025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</si>
  <si>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</si>
  <si>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</si>
  <si>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</si>
  <si>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</si>
  <si>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</si>
  <si>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</si>
  <si>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</si>
  <si>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</si>
  <si>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</si>
  <si>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</si>
  <si>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</si>
  <si>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</si>
  <si>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</si>
  <si>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</si>
  <si>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</si>
  <si>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10/24/2025</t>
  </si>
  <si>
    <t>10/27/2025</t>
  </si>
  <si>
    <t>10/28/2025</t>
  </si>
  <si>
    <t>10/29/2025</t>
  </si>
  <si>
    <t>10/30/2025</t>
  </si>
  <si>
    <t>10/31/2025</t>
  </si>
  <si>
    <t>Macro Solutions, LLC</t>
  </si>
  <si>
    <t>Federation of State Massage Therapy Boards (FSMTB):Federation of State Massage Therapy Boards (FSMTB) - Scope A</t>
  </si>
  <si>
    <t>Michael Hartman (michael@synaptic.build)</t>
  </si>
  <si>
    <t>Minh Tran (max@synaptic.build)</t>
  </si>
  <si>
    <t>Mark Norris</t>
  </si>
  <si>
    <t>Greenhouse Software, Inc</t>
  </si>
  <si>
    <t>10/04/2025</t>
  </si>
  <si>
    <t>10/05/2025</t>
  </si>
  <si>
    <t>10/11/2025</t>
  </si>
  <si>
    <t>10/12/2025</t>
  </si>
  <si>
    <t>10/13/2025</t>
  </si>
  <si>
    <t>10/18/2025</t>
  </si>
  <si>
    <t>10/19/2025</t>
  </si>
  <si>
    <t>10/23/2025</t>
  </si>
  <si>
    <t>10/25/2025</t>
  </si>
  <si>
    <t>10/26/2025</t>
  </si>
  <si>
    <t>Linked Elf</t>
  </si>
  <si>
    <t>Delaware North</t>
  </si>
  <si>
    <t>Loews Hotels</t>
  </si>
  <si>
    <t>Taxii</t>
  </si>
  <si>
    <t>Grunauer</t>
  </si>
  <si>
    <t>NJ.gov</t>
  </si>
  <si>
    <t>Travelocity</t>
  </si>
  <si>
    <t>Stockyards Brewing Co</t>
  </si>
  <si>
    <t>Sembly AI</t>
  </si>
  <si>
    <t>Jamba</t>
  </si>
  <si>
    <t>La Carreta</t>
  </si>
  <si>
    <t>Louie's Bar</t>
  </si>
  <si>
    <t>Viasat (Ramp Vendor)</t>
  </si>
  <si>
    <t>Caffecentro_1 Restaurant</t>
  </si>
  <si>
    <t>Hakashi Japanese Sushi Bar &amp; Grill</t>
  </si>
  <si>
    <t>Liquid Experience</t>
  </si>
  <si>
    <t>Nick The Greek</t>
  </si>
  <si>
    <t>Slice House</t>
  </si>
  <si>
    <t>The Lark</t>
  </si>
  <si>
    <t>Uber Eats</t>
  </si>
  <si>
    <t>W Hotels</t>
  </si>
  <si>
    <t>Burma Love - Downtown</t>
  </si>
  <si>
    <t>Cafe La Taza</t>
  </si>
  <si>
    <t>Chipotle</t>
  </si>
  <si>
    <t>Hard Rock Cafe</t>
  </si>
  <si>
    <t>Philz Coffee</t>
  </si>
  <si>
    <t>Soma Restaurant &amp; Bar</t>
  </si>
  <si>
    <t>1428 HAIGHT Patio Cafe &amp; Crepery</t>
  </si>
  <si>
    <t>Condor Club</t>
  </si>
  <si>
    <t>Drake's Flyaway</t>
  </si>
  <si>
    <t>Mel's Drive-in</t>
  </si>
  <si>
    <t>modi</t>
  </si>
  <si>
    <t>NetHope</t>
  </si>
  <si>
    <t>Rh Restaurant San Franci Restaurant</t>
  </si>
  <si>
    <t>Waymo</t>
  </si>
  <si>
    <t>Assaad Madaoui</t>
  </si>
  <si>
    <t>Bwi Airport Taxi 3</t>
  </si>
  <si>
    <t>Mills Cargo</t>
  </si>
  <si>
    <t>Stella</t>
  </si>
  <si>
    <t>Sunset Oil</t>
  </si>
  <si>
    <t>The Viper Room</t>
  </si>
  <si>
    <t>LuggageHero</t>
  </si>
  <si>
    <t>Aa Kiosk</t>
  </si>
  <si>
    <t>Expertpay</t>
  </si>
  <si>
    <t>64120 AppIQ - Sales:AppIQ - Sales - Health &amp; Benefits</t>
  </si>
  <si>
    <t>Google Cloud</t>
  </si>
  <si>
    <t>57015 Hosting Costs:Hosting Server and Cloud Storage Fees</t>
  </si>
  <si>
    <t>Allianz Global Assistance</t>
  </si>
  <si>
    <t>In the Bag Promotions</t>
  </si>
  <si>
    <t>Willow</t>
  </si>
  <si>
    <t>Etsy</t>
  </si>
  <si>
    <t>TradeShowPlus</t>
  </si>
  <si>
    <t>65615 AppIQ - Marketing:AppIQ - Marketing - Events &amp; Conferences</t>
  </si>
  <si>
    <t>Salesforce CRM - Rahul Taneja - 2025 09 29</t>
  </si>
  <si>
    <t>Salesforce CRM - Raj Mishra - 2025 08 07</t>
  </si>
  <si>
    <t>Salesforce CRM - Santosh Hazari - 2025 09 02</t>
  </si>
  <si>
    <t>Salesforce CRM - Vikram Kishorkumar Khatri - 2025 09 09</t>
  </si>
  <si>
    <t>Salesforce CRM - Ajay Garg - 2025 09 25</t>
  </si>
  <si>
    <t>Christopher Karpovich</t>
  </si>
  <si>
    <t>11/01/2025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</si>
  <si>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</si>
  <si>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</si>
  <si>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</si>
  <si>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</si>
  <si>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</si>
  <si>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</si>
  <si>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</si>
  <si>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</si>
  <si>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</si>
  <si>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</si>
  <si>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</si>
  <si>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</si>
  <si>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</si>
  <si>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</si>
  <si>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11/25/2025</t>
  </si>
  <si>
    <t>11/26/2025</t>
  </si>
  <si>
    <t>11/27/2025</t>
  </si>
  <si>
    <t>11/28/2025</t>
  </si>
  <si>
    <t>PowerSchool Group LLC</t>
  </si>
  <si>
    <t>Christopher Karpovich cjkarp20@gmail.com USD</t>
  </si>
  <si>
    <t>Dominick Defazio</t>
  </si>
  <si>
    <t>Kashish Shah (kash@synaptic.build)</t>
  </si>
  <si>
    <t>On Lok, Inc.:On Lok, Inc. - Solution Activation</t>
  </si>
  <si>
    <t>Delta Dental Washington:Delta Dental Washington - Scope C</t>
  </si>
  <si>
    <t>11/02/2025</t>
  </si>
  <si>
    <t>11/08/2025</t>
  </si>
  <si>
    <t>11/09/2025</t>
  </si>
  <si>
    <t>11/11/2025</t>
  </si>
  <si>
    <t>11/15/2025</t>
  </si>
  <si>
    <t>11/16/2025</t>
  </si>
  <si>
    <t>11/22/2025</t>
  </si>
  <si>
    <t>11/23/2025</t>
  </si>
  <si>
    <t>11/24/2025</t>
  </si>
  <si>
    <t>11/29/2025</t>
  </si>
  <si>
    <t>11/30/2025</t>
  </si>
  <si>
    <t>Lean IA</t>
  </si>
  <si>
    <t>Uizard</t>
  </si>
  <si>
    <t>Marriott</t>
  </si>
  <si>
    <t>Typora</t>
  </si>
  <si>
    <t>Cursor</t>
  </si>
  <si>
    <t>66400 AppIQ - Research &amp; Development:AppIQ - R&amp;D - Software Applications &amp; Licenses</t>
  </si>
  <si>
    <t>Replika</t>
  </si>
  <si>
    <t>Fax.Plus</t>
  </si>
  <si>
    <t>Tessell</t>
  </si>
  <si>
    <t>Colpark Loc 916</t>
  </si>
  <si>
    <t>Abacus</t>
  </si>
  <si>
    <t>Dolan Uyghur Restaurant</t>
  </si>
  <si>
    <t>Mitchell Market</t>
  </si>
  <si>
    <t>Staples</t>
  </si>
  <si>
    <t>Giftshopminneapolismarrio</t>
  </si>
  <si>
    <t>Mike's At Venetia</t>
  </si>
  <si>
    <t>Rescuetime</t>
  </si>
  <si>
    <t>Tanka</t>
  </si>
  <si>
    <t>Miami news</t>
  </si>
  <si>
    <t>Rize</t>
  </si>
  <si>
    <t>Colson Patisserie</t>
  </si>
  <si>
    <t>Japan Village</t>
  </si>
  <si>
    <t>McHenry Row Conference Center</t>
  </si>
  <si>
    <t>TestDriver</t>
  </si>
  <si>
    <t>69205 General &amp; Administrative:G&amp;A - Staff Meals, Awards &amp; Incentives</t>
  </si>
  <si>
    <t>Paraflow</t>
  </si>
  <si>
    <t>H&amp;M</t>
  </si>
  <si>
    <t>OMNIA Nightclub</t>
  </si>
  <si>
    <t>Summit Group</t>
  </si>
  <si>
    <t>Rye Street Tavern</t>
  </si>
  <si>
    <t>EOR employee deposit/refund</t>
  </si>
  <si>
    <t>Y2025 12 v001</t>
  </si>
  <si>
    <t>Updated Collections</t>
  </si>
  <si>
    <t xml:space="preserve">  Collections from Future Sales</t>
  </si>
  <si>
    <t xml:space="preserve">  Cash by Customer</t>
  </si>
  <si>
    <t xml:space="preserve">  Collections</t>
  </si>
  <si>
    <t xml:space="preserve">  Disbursements</t>
  </si>
  <si>
    <t xml:space="preserve">  Change from previous forecast</t>
  </si>
  <si>
    <t xml:space="preserve">  Cash by Customer - Updated</t>
  </si>
  <si>
    <t xml:space="preserve">  Cash by Customer - Previous</t>
  </si>
  <si>
    <t xml:space="preserve">  Cash by Customer - Change</t>
  </si>
  <si>
    <t>Mark Model (less bonus)</t>
  </si>
  <si>
    <t>Bill Model (Real New Recievables, No Business)</t>
  </si>
  <si>
    <t xml:space="preserve">  Net Cash Burned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</si>
</sst>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164" formatCode="[$-409]mmm\-yyyy;@"/>
    <numFmt numFmtId="165" formatCode="0.0%_);[Red]\(0.0%\)"/>
    <numFmt numFmtId="166" formatCode="0.0%"/>
    <numFmt numFmtId="167" formatCode="mm/dd/yyyy;@"/>
    <numFmt numFmtId="168" formatCode="0.000"/>
    <numFmt numFmtId="169" formatCode="#,##0.000_);[Red]\(#,##0.000\)"/>
    <numFmt numFmtId="170" formatCode="#,##0.0_);[Red]\(#,##0.0\)"/>
  </numFmts>
  <fonts count="35" x14ac:knownFonts="1">
    <font>
      <sz val="10"/>
      <name val="Arial"/>
    </font>
    <font>
      <sz val="10"/>
      <name val="Aptos Narrow"/>
      <family val="2"/>
    </font>
    <font>
      <b/>
      <sz val="10"/>
      <name val="Aptos Narrow"/>
      <family val="2"/>
    </font>
    <font>
      <sz val="10"/>
      <color rgb="FF0070C0"/>
      <name val="Aptos Narrow"/>
      <family val="2"/>
    </font>
    <font>
      <sz val="1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FF0000"/>
      <name val="Aptos Narrow"/>
      <family val="2"/>
    </font>
    <font>
      <b/>
      <sz val="10"/>
      <color rgb="FFFF0000"/>
      <name val="Aptos Narrow"/>
      <family val="2"/>
    </font>
    <font>
      <sz val="11"/>
      <color rgb="FF222222"/>
      <name val="Open Sans"/>
      <family val="2"/>
    </font>
    <font>
      <sz val="10"/>
      <color rgb="FF222222"/>
      <name val="Aptos Narrow"/>
      <family val="2"/>
      <scheme val="minor"/>
    </font>
    <font>
      <b/>
      <sz val="10"/>
      <color rgb="FF22222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0070C0"/>
      <name val="Aptos Narrow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9"/>
      <name val="Aptos Narrow"/>
      <family val="2"/>
      <scheme val="minor"/>
    </font>
    <font>
      <sz val="10"/>
      <color rgb="FF0070C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3" tint="0.249977111117893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Aptos Narrow"/>
      <family val="2"/>
    </font>
    <font>
      <sz val="10"/>
      <color theme="1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0"/>
      <name val="Aptos Narrow"/>
    </font>
    <font>
      <i/>
      <sz val="10"/>
      <name val="Aptos Narrow"/>
    </font>
    <font>
      <b/>
      <i/>
      <sz val="10"/>
      <name val="Aptos Narrow"/>
    </font>
    <font>
      <sz val="10"/>
      <color theme="1" tint="0.34998626667073579"/>
      <name val="Aptos Narrow"/>
    </font>
    <font>
      <sz val="10"/>
      <color rgb="FF595959"/>
      <name val="Aptos Narrow"/>
    </font>
    <font>
      <b/>
      <sz val="10"/>
      <color theme="0"/>
      <name val="Aptos Narrow"/>
    </font>
  </fonts>
  <fills count="2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7EEE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9E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rgb="FFABABAB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9" fillId="0" borderId="0"/>
    <xf numFmtId="9" fontId="16" fillId="0" borderId="0" applyFont="0" applyFill="0" applyBorder="0" applyAlignment="0" applyProtection="0"/>
  </cellStyleXfs>
  <cellXfs count="1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38" fontId="1" fillId="0" borderId="0" xfId="0" applyNumberFormat="1" applyFont="1"/>
    <xf numFmtId="6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inden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38" fontId="2" fillId="0" borderId="0" xfId="0" applyNumberFormat="1" applyFont="1"/>
    <xf numFmtId="38" fontId="3" fillId="3" borderId="0" xfId="0" applyNumberFormat="1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38" fontId="4" fillId="0" borderId="0" xfId="0" applyNumberFormat="1" applyFont="1"/>
    <xf numFmtId="6" fontId="6" fillId="0" borderId="0" xfId="0" applyNumberFormat="1" applyFont="1"/>
    <xf numFmtId="0" fontId="7" fillId="0" borderId="0" xfId="0" applyFont="1" applyAlignment="1">
      <alignment horizontal="center"/>
    </xf>
    <xf numFmtId="165" fontId="1" fillId="0" borderId="0" xfId="0" applyNumberFormat="1" applyFont="1"/>
    <xf numFmtId="165" fontId="2" fillId="0" borderId="0" xfId="0" applyNumberFormat="1" applyFont="1"/>
    <xf numFmtId="164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38" fontId="1" fillId="0" borderId="0" xfId="0" applyNumberFormat="1" applyFont="1" applyAlignment="1">
      <alignment horizontal="center"/>
    </xf>
    <xf numFmtId="0" fontId="10" fillId="0" borderId="0" xfId="1" applyFont="1"/>
    <xf numFmtId="38" fontId="10" fillId="0" borderId="0" xfId="1" applyNumberFormat="1" applyFont="1"/>
    <xf numFmtId="0" fontId="11" fillId="0" borderId="0" xfId="1" applyFont="1"/>
    <xf numFmtId="38" fontId="11" fillId="0" borderId="0" xfId="1" applyNumberFormat="1" applyFont="1"/>
    <xf numFmtId="0" fontId="10" fillId="0" borderId="0" xfId="1" applyFont="1" applyAlignment="1">
      <alignment horizontal="left" indent="1"/>
    </xf>
    <xf numFmtId="166" fontId="1" fillId="0" borderId="0" xfId="0" applyNumberFormat="1" applyFont="1"/>
    <xf numFmtId="6" fontId="11" fillId="0" borderId="0" xfId="1" applyNumberFormat="1" applyFont="1"/>
    <xf numFmtId="6" fontId="10" fillId="0" borderId="0" xfId="1" applyNumberFormat="1" applyFont="1"/>
    <xf numFmtId="6" fontId="2" fillId="0" borderId="0" xfId="0" applyNumberFormat="1" applyFont="1"/>
    <xf numFmtId="6" fontId="13" fillId="2" borderId="0" xfId="0" applyNumberFormat="1" applyFont="1" applyFill="1"/>
    <xf numFmtId="0" fontId="14" fillId="0" borderId="0" xfId="0" quotePrefix="1" applyFont="1"/>
    <xf numFmtId="38" fontId="3" fillId="2" borderId="0" xfId="0" applyNumberFormat="1" applyFont="1" applyFill="1"/>
    <xf numFmtId="38" fontId="1" fillId="8" borderId="0" xfId="0" applyNumberFormat="1" applyFont="1" applyFill="1"/>
    <xf numFmtId="8" fontId="1" fillId="0" borderId="0" xfId="0" applyNumberFormat="1" applyFont="1"/>
    <xf numFmtId="166" fontId="1" fillId="0" borderId="0" xfId="2" applyNumberFormat="1" applyFont="1"/>
    <xf numFmtId="38" fontId="10" fillId="0" borderId="0" xfId="1" applyNumberFormat="1" applyFont="1" applyAlignment="1">
      <alignment horizontal="center"/>
    </xf>
    <xf numFmtId="166" fontId="10" fillId="0" borderId="0" xfId="2" applyNumberFormat="1" applyFont="1"/>
    <xf numFmtId="6" fontId="4" fillId="0" borderId="0" xfId="0" applyNumberFormat="1" applyFont="1"/>
    <xf numFmtId="166" fontId="4" fillId="0" borderId="0" xfId="2" applyNumberFormat="1" applyFont="1"/>
    <xf numFmtId="38" fontId="1" fillId="10" borderId="0" xfId="0" applyNumberFormat="1" applyFont="1" applyFill="1"/>
    <xf numFmtId="0" fontId="1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8" fontId="4" fillId="0" borderId="0" xfId="0" applyNumberFormat="1" applyFont="1" applyAlignment="1">
      <alignment horizontal="center"/>
    </xf>
    <xf numFmtId="0" fontId="20" fillId="3" borderId="0" xfId="0" applyFont="1" applyFill="1" applyAlignment="1">
      <alignment horizontal="center"/>
    </xf>
    <xf numFmtId="0" fontId="21" fillId="11" borderId="0" xfId="0" applyFont="1" applyFill="1" applyAlignment="1">
      <alignment horizontal="center" wrapText="1"/>
    </xf>
    <xf numFmtId="38" fontId="17" fillId="0" borderId="0" xfId="0" applyNumberFormat="1" applyFont="1" applyAlignment="1">
      <alignment horizontal="center"/>
    </xf>
    <xf numFmtId="0" fontId="6" fillId="4" borderId="0" xfId="0" applyFont="1" applyFill="1"/>
    <xf numFmtId="0" fontId="12" fillId="12" borderId="0" xfId="0" applyFont="1" applyFill="1"/>
    <xf numFmtId="38" fontId="3" fillId="3" borderId="0" xfId="0" applyNumberFormat="1" applyFont="1" applyFill="1" applyAlignment="1">
      <alignment horizontal="center"/>
    </xf>
    <xf numFmtId="0" fontId="6" fillId="6" borderId="0" xfId="0" applyFont="1" applyFill="1"/>
    <xf numFmtId="0" fontId="12" fillId="13" borderId="0" xfId="0" applyFont="1" applyFill="1"/>
    <xf numFmtId="0" fontId="6" fillId="9" borderId="0" xfId="0" applyFont="1" applyFill="1"/>
    <xf numFmtId="0" fontId="12" fillId="14" borderId="0" xfId="0" applyFont="1" applyFill="1"/>
    <xf numFmtId="38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12" fillId="16" borderId="3" xfId="1" applyFont="1" applyFill="1" applyBorder="1" applyAlignment="1">
      <alignment horizontal="left" vertical="center"/>
    </xf>
    <xf numFmtId="0" fontId="12" fillId="16" borderId="4" xfId="1" applyFont="1" applyFill="1" applyBorder="1" applyAlignment="1">
      <alignment horizontal="left" vertical="center"/>
    </xf>
    <xf numFmtId="38" fontId="12" fillId="16" borderId="4" xfId="1" applyNumberFormat="1" applyFont="1" applyFill="1" applyBorder="1" applyAlignment="1">
      <alignment horizontal="right" vertical="center"/>
    </xf>
    <xf numFmtId="38" fontId="22" fillId="16" borderId="4" xfId="1" applyNumberFormat="1" applyFont="1" applyFill="1" applyBorder="1" applyAlignment="1">
      <alignment horizontal="right" vertical="center"/>
    </xf>
    <xf numFmtId="0" fontId="12" fillId="15" borderId="3" xfId="1" applyFont="1" applyFill="1" applyBorder="1" applyAlignment="1">
      <alignment horizontal="left" vertical="center"/>
    </xf>
    <xf numFmtId="0" fontId="12" fillId="15" borderId="4" xfId="1" applyFont="1" applyFill="1" applyBorder="1" applyAlignment="1">
      <alignment horizontal="left" vertical="center"/>
    </xf>
    <xf numFmtId="38" fontId="12" fillId="15" borderId="4" xfId="1" applyNumberFormat="1" applyFont="1" applyFill="1" applyBorder="1" applyAlignment="1">
      <alignment horizontal="right" vertical="center"/>
    </xf>
    <xf numFmtId="38" fontId="22" fillId="15" borderId="4" xfId="1" applyNumberFormat="1" applyFont="1" applyFill="1" applyBorder="1" applyAlignment="1">
      <alignment horizontal="right" vertical="center"/>
    </xf>
    <xf numFmtId="38" fontId="4" fillId="4" borderId="0" xfId="0" applyNumberFormat="1" applyFont="1" applyFill="1" applyAlignment="1">
      <alignment horizontal="right"/>
    </xf>
    <xf numFmtId="0" fontId="4" fillId="10" borderId="0" xfId="0" applyFont="1" applyFill="1"/>
    <xf numFmtId="8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center"/>
    </xf>
    <xf numFmtId="8" fontId="1" fillId="5" borderId="0" xfId="0" applyNumberFormat="1" applyFont="1" applyFill="1" applyAlignment="1">
      <alignment horizontal="right"/>
    </xf>
    <xf numFmtId="8" fontId="1" fillId="5" borderId="0" xfId="0" applyNumberFormat="1" applyFont="1" applyFill="1"/>
    <xf numFmtId="0" fontId="1" fillId="5" borderId="0" xfId="0" applyFont="1" applyFill="1" applyAlignment="1">
      <alignment horizontal="left"/>
    </xf>
    <xf numFmtId="167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8" fontId="1" fillId="9" borderId="0" xfId="0" applyNumberFormat="1" applyFont="1" applyFill="1" applyAlignment="1">
      <alignment horizontal="right"/>
    </xf>
    <xf numFmtId="8" fontId="1" fillId="4" borderId="0" xfId="0" applyNumberFormat="1" applyFont="1" applyFill="1" applyAlignment="1">
      <alignment horizontal="right"/>
    </xf>
    <xf numFmtId="0" fontId="2" fillId="0" borderId="6" xfId="0" applyFont="1" applyBorder="1" applyAlignment="1">
      <alignment horizontal="center"/>
    </xf>
    <xf numFmtId="38" fontId="10" fillId="4" borderId="0" xfId="1" applyNumberFormat="1" applyFont="1" applyFill="1"/>
    <xf numFmtId="0" fontId="4" fillId="0" borderId="0" xfId="0" pivotButton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40" fontId="4" fillId="0" borderId="0" xfId="0" applyNumberFormat="1" applyFont="1"/>
    <xf numFmtId="40" fontId="1" fillId="0" borderId="0" xfId="0" applyNumberFormat="1" applyFont="1"/>
    <xf numFmtId="38" fontId="6" fillId="0" borderId="0" xfId="0" applyNumberFormat="1" applyFont="1"/>
    <xf numFmtId="38" fontId="23" fillId="3" borderId="0" xfId="0" applyNumberFormat="1" applyFont="1" applyFill="1"/>
    <xf numFmtId="167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8" fontId="1" fillId="4" borderId="0" xfId="0" applyNumberFormat="1" applyFont="1" applyFill="1"/>
    <xf numFmtId="0" fontId="4" fillId="0" borderId="0" xfId="0" applyFont="1" applyAlignment="1">
      <alignment horizontal="center"/>
    </xf>
    <xf numFmtId="38" fontId="4" fillId="9" borderId="0" xfId="0" applyNumberFormat="1" applyFont="1" applyFill="1"/>
    <xf numFmtId="168" fontId="4" fillId="0" borderId="0" xfId="0" applyNumberFormat="1" applyFont="1"/>
    <xf numFmtId="0" fontId="4" fillId="9" borderId="0" xfId="0" applyFont="1" applyFill="1"/>
    <xf numFmtId="0" fontId="4" fillId="4" borderId="0" xfId="0" applyFont="1" applyFill="1"/>
    <xf numFmtId="38" fontId="3" fillId="0" borderId="0" xfId="0" applyNumberFormat="1" applyFont="1"/>
    <xf numFmtId="38" fontId="3" fillId="4" borderId="0" xfId="0" applyNumberFormat="1" applyFont="1" applyFill="1"/>
    <xf numFmtId="0" fontId="10" fillId="0" borderId="0" xfId="1" quotePrefix="1" applyFont="1"/>
    <xf numFmtId="166" fontId="4" fillId="10" borderId="0" xfId="2" applyNumberFormat="1" applyFont="1" applyFill="1"/>
    <xf numFmtId="0" fontId="4" fillId="6" borderId="0" xfId="0" applyFont="1" applyFill="1"/>
    <xf numFmtId="0" fontId="26" fillId="17" borderId="0" xfId="0" applyFont="1" applyFill="1" applyAlignment="1">
      <alignment horizontal="left" indent="1"/>
    </xf>
    <xf numFmtId="38" fontId="26" fillId="17" borderId="7" xfId="0" applyNumberFormat="1" applyFont="1" applyFill="1" applyBorder="1"/>
    <xf numFmtId="38" fontId="26" fillId="17" borderId="0" xfId="0" applyNumberFormat="1" applyFont="1" applyFill="1"/>
    <xf numFmtId="38" fontId="26" fillId="17" borderId="8" xfId="0" applyNumberFormat="1" applyFont="1" applyFill="1" applyBorder="1"/>
    <xf numFmtId="0" fontId="26" fillId="17" borderId="0" xfId="0" applyFont="1" applyFill="1"/>
    <xf numFmtId="0" fontId="26" fillId="0" borderId="0" xfId="0" applyFont="1" applyAlignment="1">
      <alignment horizontal="left" indent="1"/>
    </xf>
    <xf numFmtId="38" fontId="26" fillId="0" borderId="7" xfId="0" applyNumberFormat="1" applyFont="1" applyBorder="1"/>
    <xf numFmtId="38" fontId="26" fillId="0" borderId="0" xfId="0" applyNumberFormat="1" applyFont="1"/>
    <xf numFmtId="38" fontId="26" fillId="0" borderId="8" xfId="0" applyNumberFormat="1" applyFont="1" applyBorder="1"/>
    <xf numFmtId="0" fontId="26" fillId="0" borderId="0" xfId="0" applyFont="1"/>
    <xf numFmtId="0" fontId="1" fillId="18" borderId="0" xfId="0" applyFont="1" applyFill="1"/>
    <xf numFmtId="38" fontId="1" fillId="18" borderId="0" xfId="0" applyNumberFormat="1" applyFont="1" applyFill="1"/>
    <xf numFmtId="0" fontId="1" fillId="19" borderId="0" xfId="0" applyFont="1" applyFill="1"/>
    <xf numFmtId="38" fontId="1" fillId="19" borderId="0" xfId="0" applyNumberFormat="1" applyFont="1" applyFill="1"/>
    <xf numFmtId="0" fontId="1" fillId="2" borderId="0" xfId="0" applyFont="1" applyFill="1"/>
    <xf numFmtId="0" fontId="1" fillId="20" borderId="0" xfId="0" applyFont="1" applyFill="1"/>
    <xf numFmtId="38" fontId="1" fillId="18" borderId="7" xfId="0" applyNumberFormat="1" applyFont="1" applyFill="1" applyBorder="1"/>
    <xf numFmtId="38" fontId="1" fillId="18" borderId="8" xfId="0" applyNumberFormat="1" applyFont="1" applyFill="1" applyBorder="1"/>
    <xf numFmtId="0" fontId="1" fillId="21" borderId="0" xfId="0" applyFont="1" applyFill="1"/>
    <xf numFmtId="38" fontId="1" fillId="21" borderId="7" xfId="0" applyNumberFormat="1" applyFont="1" applyFill="1" applyBorder="1"/>
    <xf numFmtId="38" fontId="1" fillId="21" borderId="0" xfId="0" applyNumberFormat="1" applyFont="1" applyFill="1"/>
    <xf numFmtId="38" fontId="1" fillId="21" borderId="8" xfId="0" applyNumberFormat="1" applyFont="1" applyFill="1" applyBorder="1"/>
    <xf numFmtId="0" fontId="1" fillId="22" borderId="0" xfId="0" applyFont="1" applyFill="1"/>
    <xf numFmtId="38" fontId="1" fillId="0" borderId="8" xfId="0" applyNumberFormat="1" applyFont="1" applyBorder="1"/>
    <xf numFmtId="38" fontId="1" fillId="19" borderId="7" xfId="0" applyNumberFormat="1" applyFont="1" applyFill="1" applyBorder="1"/>
    <xf numFmtId="38" fontId="1" fillId="19" borderId="8" xfId="0" applyNumberFormat="1" applyFont="1" applyFill="1" applyBorder="1"/>
    <xf numFmtId="38" fontId="1" fillId="2" borderId="7" xfId="0" applyNumberFormat="1" applyFont="1" applyFill="1" applyBorder="1"/>
    <xf numFmtId="38" fontId="1" fillId="2" borderId="0" xfId="0" applyNumberFormat="1" applyFont="1" applyFill="1"/>
    <xf numFmtId="38" fontId="1" fillId="2" borderId="8" xfId="0" applyNumberFormat="1" applyFont="1" applyFill="1" applyBorder="1"/>
    <xf numFmtId="38" fontId="1" fillId="20" borderId="7" xfId="0" applyNumberFormat="1" applyFont="1" applyFill="1" applyBorder="1"/>
    <xf numFmtId="38" fontId="1" fillId="20" borderId="0" xfId="0" applyNumberFormat="1" applyFont="1" applyFill="1"/>
    <xf numFmtId="38" fontId="1" fillId="20" borderId="8" xfId="0" applyNumberFormat="1" applyFont="1" applyFill="1" applyBorder="1"/>
    <xf numFmtId="38" fontId="1" fillId="0" borderId="7" xfId="0" applyNumberFormat="1" applyFont="1" applyBorder="1"/>
    <xf numFmtId="38" fontId="1" fillId="22" borderId="7" xfId="0" applyNumberFormat="1" applyFont="1" applyFill="1" applyBorder="1"/>
    <xf numFmtId="38" fontId="1" fillId="22" borderId="0" xfId="0" applyNumberFormat="1" applyFont="1" applyFill="1"/>
    <xf numFmtId="38" fontId="1" fillId="22" borderId="8" xfId="0" applyNumberFormat="1" applyFont="1" applyFill="1" applyBorder="1"/>
    <xf numFmtId="169" fontId="4" fillId="0" borderId="0" xfId="0" applyNumberFormat="1" applyFont="1"/>
    <xf numFmtId="169" fontId="4" fillId="9" borderId="0" xfId="0" applyNumberFormat="1" applyFont="1" applyFill="1"/>
    <xf numFmtId="170" fontId="4" fillId="9" borderId="0" xfId="0" applyNumberFormat="1" applyFont="1" applyFill="1"/>
    <xf numFmtId="170" fontId="4" fillId="0" borderId="0" xfId="0" applyNumberFormat="1" applyFont="1"/>
    <xf numFmtId="14" fontId="10" fillId="0" borderId="0" xfId="1" applyNumberFormat="1" applyFont="1"/>
    <xf numFmtId="38" fontId="1" fillId="23" borderId="0" xfId="0" applyNumberFormat="1" applyFont="1" applyFill="1"/>
    <xf numFmtId="40" fontId="1" fillId="0" borderId="0" xfId="0" applyNumberFormat="1" applyFont="1" applyAlignment="1">
      <alignment horizontal="right"/>
    </xf>
    <xf numFmtId="0" fontId="1" fillId="4" borderId="0" xfId="0" applyFont="1" applyFill="1"/>
    <xf numFmtId="40" fontId="1" fillId="4" borderId="0" xfId="0" applyNumberFormat="1" applyFont="1" applyFill="1" applyAlignment="1">
      <alignment horizontal="right"/>
    </xf>
    <xf numFmtId="0" fontId="27" fillId="0" borderId="0" xfId="0" applyFont="1" applyAlignment="1">
      <alignment horizontal="left" indent="1"/>
    </xf>
    <xf numFmtId="6" fontId="2" fillId="8" borderId="0" xfId="0" applyNumberFormat="1" applyFont="1" applyFill="1"/>
    <xf numFmtId="0" fontId="10" fillId="0" borderId="0" xfId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6" fontId="2" fillId="0" borderId="0" xfId="0" quotePrefix="1" applyNumberFormat="1" applyFont="1" applyAlignment="1">
      <alignment horizontal="center"/>
    </xf>
    <xf numFmtId="0" fontId="11" fillId="0" borderId="0" xfId="1" applyFont="1" applyAlignment="1">
      <alignment horizontal="center"/>
    </xf>
    <xf numFmtId="166" fontId="11" fillId="0" borderId="0" xfId="1" applyNumberFormat="1" applyFont="1" applyAlignment="1">
      <alignment horizontal="center"/>
    </xf>
    <xf numFmtId="166" fontId="13" fillId="23" borderId="0" xfId="0" quotePrefix="1" applyNumberFormat="1" applyFont="1" applyFill="1" applyAlignment="1">
      <alignment horizontal="center"/>
    </xf>
    <xf numFmtId="166" fontId="28" fillId="23" borderId="0" xfId="1" applyNumberFormat="1" applyFont="1" applyFill="1" applyAlignment="1">
      <alignment horizontal="center"/>
    </xf>
    <xf numFmtId="165" fontId="1" fillId="0" borderId="0" xfId="2" applyNumberFormat="1" applyFont="1"/>
    <xf numFmtId="165" fontId="2" fillId="0" borderId="0" xfId="2" applyNumberFormat="1" applyFont="1"/>
    <xf numFmtId="10" fontId="11" fillId="24" borderId="0" xfId="2" applyNumberFormat="1" applyFont="1" applyFill="1" applyAlignment="1">
      <alignment horizontal="center"/>
    </xf>
    <xf numFmtId="38" fontId="2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27" fillId="0" borderId="0" xfId="0" applyFont="1"/>
    <xf numFmtId="40" fontId="27" fillId="0" borderId="0" xfId="0" applyNumberFormat="1" applyFont="1"/>
    <xf numFmtId="40" fontId="4" fillId="4" borderId="0" xfId="0" applyNumberFormat="1" applyFont="1" applyFill="1"/>
    <xf numFmtId="0" fontId="19" fillId="0" borderId="0" xfId="0" applyFont="1" applyAlignment="1">
      <alignment horizontal="center"/>
    </xf>
    <xf numFmtId="0" fontId="11" fillId="6" borderId="3" xfId="1" applyFont="1" applyFill="1" applyBorder="1" applyAlignment="1">
      <alignment horizontal="center"/>
    </xf>
    <xf numFmtId="0" fontId="11" fillId="6" borderId="4" xfId="1" applyFont="1" applyFill="1" applyBorder="1" applyAlignment="1">
      <alignment horizontal="center"/>
    </xf>
    <xf numFmtId="0" fontId="11" fillId="6" borderId="5" xfId="1" applyFont="1" applyFill="1" applyBorder="1" applyAlignment="1">
      <alignment horizontal="center"/>
    </xf>
    <xf numFmtId="0" fontId="11" fillId="5" borderId="3" xfId="1" applyFont="1" applyFill="1" applyBorder="1" applyAlignment="1">
      <alignment horizontal="center"/>
    </xf>
    <xf numFmtId="0" fontId="11" fillId="5" borderId="4" xfId="1" applyFont="1" applyFill="1" applyBorder="1" applyAlignment="1">
      <alignment horizontal="center"/>
    </xf>
    <xf numFmtId="0" fontId="11" fillId="5" borderId="5" xfId="1" applyFont="1" applyFill="1" applyBorder="1" applyAlignment="1">
      <alignment horizontal="center"/>
    </xf>
    <xf numFmtId="0" fontId="12" fillId="7" borderId="3" xfId="1" applyFont="1" applyFill="1" applyBorder="1" applyAlignment="1">
      <alignment horizontal="center"/>
    </xf>
    <xf numFmtId="0" fontId="12" fillId="7" borderId="4" xfId="1" applyFont="1" applyFill="1" applyBorder="1" applyAlignment="1">
      <alignment horizontal="center"/>
    </xf>
    <xf numFmtId="0" fontId="12" fillId="7" borderId="5" xfId="1" applyFont="1" applyFill="1" applyBorder="1" applyAlignment="1">
      <alignment horizontal="center"/>
    </xf>
    <xf numFmtId="0" fontId="11" fillId="4" borderId="3" xfId="1" applyFont="1" applyFill="1" applyBorder="1" applyAlignment="1">
      <alignment horizontal="center"/>
    </xf>
    <xf numFmtId="0" fontId="11" fillId="4" borderId="4" xfId="1" applyFont="1" applyFill="1" applyBorder="1" applyAlignment="1">
      <alignment horizontal="center"/>
    </xf>
    <xf numFmtId="0" fontId="11" fillId="4" borderId="5" xfId="1" applyFont="1" applyFill="1" applyBorder="1" applyAlignment="1">
      <alignment horizontal="center"/>
    </xf>
    <xf numFmtId="0" fontId="11" fillId="9" borderId="3" xfId="1" applyFont="1" applyFill="1" applyBorder="1" applyAlignment="1">
      <alignment horizontal="center"/>
    </xf>
    <xf numFmtId="0" fontId="11" fillId="9" borderId="4" xfId="1" applyFont="1" applyFill="1" applyBorder="1" applyAlignment="1">
      <alignment horizontal="center"/>
    </xf>
    <xf numFmtId="0" fontId="11" fillId="9" borderId="5" xfId="1" applyFont="1" applyFill="1" applyBorder="1" applyAlignment="1">
      <alignment horizontal="center"/>
    </xf>
    <xf numFmtId="38" fontId="29" fillId="0" borderId="0" xfId="0" applyNumberFormat="1" applyFont="1"/>
    <xf numFmtId="0" fontId="29" fillId="0" borderId="0" xfId="0" applyFont="1"/>
    <xf numFmtId="6" fontId="29" fillId="0" borderId="0" xfId="0" applyNumberFormat="1" applyFont="1"/>
    <xf numFmtId="38" fontId="32" fillId="0" borderId="0" xfId="0" applyNumberFormat="1" applyFont="1"/>
    <xf numFmtId="38" fontId="33" fillId="0" borderId="0" xfId="0" applyNumberFormat="1" applyFont="1"/>
    <xf numFmtId="0" fontId="34" fillId="25" borderId="0" xfId="0" applyFont="1" applyFill="1"/>
    <xf numFmtId="0" fontId="1" fillId="21" borderId="0" xfId="0" applyFont="1" applyFill="1" applyAlignment="1">
      <alignment horizontal="left"/>
    </xf>
    <xf numFmtId="38" fontId="29" fillId="21" borderId="0" xfId="0" applyNumberFormat="1" applyFont="1" applyFill="1"/>
    <xf numFmtId="38" fontId="30" fillId="21" borderId="0" xfId="0" applyNumberFormat="1" applyFont="1" applyFill="1"/>
    <xf numFmtId="0" fontId="30" fillId="21" borderId="0" xfId="0" applyFont="1" applyFill="1"/>
    <xf numFmtId="38" fontId="31" fillId="21" borderId="0" xfId="0" applyNumberFormat="1" applyFont="1" applyFill="1"/>
    <xf numFmtId="6" fontId="2" fillId="21" borderId="0" xfId="0" applyNumberFormat="1" applyFont="1" applyFill="1"/>
    <xf numFmtId="38" fontId="2" fillId="21" borderId="0" xfId="0" applyNumberFormat="1" applyFont="1" applyFill="1"/>
  </cellXfs>
  <cellStyles count="3">
    <cellStyle name="Normal" xfId="0" builtinId="0"/>
    <cellStyle name="Normal 2" xfId="1" xr:uid="{19368F1E-E946-4FAA-81C0-C88CACBEDDE2}"/>
    <cellStyle name="Percent" xfId="2" builtinId="5"/>
  </cellStyles>
  <dxfs count="29">
    <dxf>
      <alignment horizontal="center"/>
    </dxf>
    <dxf>
      <alignment horizontal="center"/>
    </dxf>
    <dxf>
      <alignment horizontal="center"/>
    </dxf>
    <dxf>
      <alignment horizontal="center"/>
    </dxf>
    <dxf>
      <numFmt numFmtId="8" formatCode="#,##0.00_);[Red]\(#,##0.00\)"/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numFmt numFmtId="6" formatCode="#,##0_);[Red]\(#,##0\)"/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</dxfs>
  <tableStyles count="0" defaultTableStyle="TableStyleMedium2" defaultPivotStyle="PivotStyleLight16"/>
  <colors>
    <mruColors>
      <color rgb="FFF9E7F7"/>
      <color rgb="FFF7EEE5"/>
      <color rgb="FFEBD7C3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Norris" refreshedDate="45995.025740972225" createdVersion="8" refreshedVersion="8" minRefreshableVersion="3" recordCount="2657" xr:uid="{23D2F321-3B89-4030-9377-9AB46AABCD83}">
  <cacheSource type="worksheet">
    <worksheetSource ref="A1:N2658" sheet="Data"/>
  </cacheSource>
  <cacheFields count="14">
    <cacheField name="Date" numFmtId="0">
      <sharedItems containsDate="1" containsMixedTypes="1" minDate="2024-12-31T00:00:00" maxDate="2025-04-01T00:00:00"/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2"/>
        <n v="3"/>
        <n v="1"/>
        <n v="2"/>
        <n v="4"/>
        <n v="5"/>
        <n v="6"/>
        <n v="7"/>
        <n v="8"/>
        <n v="9"/>
        <n v="10"/>
        <n v="11"/>
      </sharedItems>
    </cacheField>
    <cacheField name="Bank" numFmtId="167">
      <sharedItems/>
    </cacheField>
    <cacheField name="Ref" numFmtId="0">
      <sharedItems containsBlank="1"/>
    </cacheField>
    <cacheField name="Type" numFmtId="0">
      <sharedItems/>
    </cacheField>
    <cacheField name="Payee" numFmtId="0">
      <sharedItems containsBlank="1"/>
    </cacheField>
    <cacheField name="Account" numFmtId="0">
      <sharedItems containsBlank="1"/>
    </cacheField>
    <cacheField name="Group" numFmtId="0">
      <sharedItems count="6">
        <s v="Other"/>
        <s v="Payroll"/>
        <s v="Customer Payments"/>
        <s v="Vendors"/>
        <s v="COGS"/>
        <s v="Credit Card"/>
      </sharedItems>
    </cacheField>
    <cacheField name="Category" numFmtId="0">
      <sharedItems count="25">
        <s v="Bank Intrafi"/>
        <s v="Benefits"/>
        <s v="Consulting"/>
        <s v="Fees"/>
        <s v="Travel &amp; Meals"/>
        <s v="Legal Fees"/>
        <s v="Bank Fees"/>
        <s v="Contract Labor"/>
        <s v="Contract Labor - Back Office"/>
        <s v="Contract Labor - AppIQ"/>
        <s v="Hardware &amp; Software"/>
        <s v="Taxes"/>
        <s v="Wages"/>
        <s v="Brex"/>
        <s v="Insurance"/>
        <s v="Office &amp; Supplies"/>
        <s v="Investment"/>
        <s v="Interest"/>
        <s v="Chase Visa"/>
        <s v="Hosting &amp; 3rd Party"/>
        <s v="Business Taxes, Licenses &amp; Permits"/>
        <s v="Professional Fees"/>
        <s v="Rent"/>
        <s v="Accounting &amp; Tax Fees"/>
        <s v="Ramp"/>
      </sharedItems>
    </cacheField>
    <cacheField name="Payment (USD)" numFmtId="0">
      <sharedItems containsString="0" containsBlank="1" containsNumber="1" minValue="0.39" maxValue="556934.43999999994"/>
    </cacheField>
    <cacheField name="Deposit (USD)" numFmtId="0">
      <sharedItems containsString="0" containsBlank="1" containsNumber="1" minValue="0.13" maxValue="499999.44"/>
    </cacheField>
    <cacheField name="Amount" numFmtId="0">
      <sharedItems containsSemiMixedTypes="0" containsString="0" containsNumber="1" minValue="-556934.43999999994" maxValue="499999.44"/>
    </cacheField>
    <cacheField name="Balance (USD)" numFmtId="8">
      <sharedItems containsSemiMixedTypes="0" containsString="0" containsNumber="1" minValue="169347.61999999988" maxValue="1056904.43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7">
  <r>
    <d v="2024-12-31T00:00:00"/>
    <x v="0"/>
    <x v="0"/>
    <s v="M&amp;T Operating"/>
    <m/>
    <s v="Transfer"/>
    <m/>
    <s v="10010 M&amp;T Bank - IntraFi Network Sweep"/>
    <x v="0"/>
    <x v="0"/>
    <n v="24304.26"/>
    <m/>
    <n v="-24304.26"/>
    <n v="499914.25999999983"/>
  </r>
  <r>
    <d v="2025-03-31T00:00:00"/>
    <x v="1"/>
    <x v="1"/>
    <s v="M&amp;T Operating"/>
    <m/>
    <s v="Bill Payment"/>
    <s v="Ijaz, Safa"/>
    <s v="20005 Accounts Payable"/>
    <x v="1"/>
    <x v="1"/>
    <n v="30"/>
    <m/>
    <n v="-30"/>
    <n v="499884.25999999983"/>
  </r>
  <r>
    <s v="01/02/2025"/>
    <x v="1"/>
    <x v="2"/>
    <s v="M&amp;T Operating"/>
    <m/>
    <s v="Expense"/>
    <s v="CareFirst Blue Cross Blue Shield"/>
    <s v="22300 Accrued Expenses:Accrued Expenses - BCBS Clearing"/>
    <x v="1"/>
    <x v="1"/>
    <n v="14063.28"/>
    <m/>
    <n v="-14063.28"/>
    <n v="485820.97999999981"/>
  </r>
  <r>
    <s v="01/02/2025"/>
    <x v="1"/>
    <x v="2"/>
    <s v="M&amp;T Operating"/>
    <m/>
    <s v="Expense"/>
    <s v="Wex Health, Inc."/>
    <s v="22320 Accrued Expenses:Accrued Expenses - WEX Clearing"/>
    <x v="1"/>
    <x v="1"/>
    <n v="1102.0999999999999"/>
    <m/>
    <n v="-1102.0999999999999"/>
    <n v="484718.87999999983"/>
  </r>
  <r>
    <s v="01/02/2025"/>
    <x v="1"/>
    <x v="2"/>
    <s v="M&amp;T Operating"/>
    <m/>
    <s v="Transfer"/>
    <m/>
    <s v="10010 M&amp;T Bank - IntraFi Network Sweep"/>
    <x v="0"/>
    <x v="0"/>
    <m/>
    <n v="15251.12"/>
    <n v="15251.12"/>
    <n v="499969.99999999983"/>
  </r>
  <r>
    <s v="01/03/2025"/>
    <x v="1"/>
    <x v="2"/>
    <s v="M&amp;T Operating"/>
    <m/>
    <s v="Payment"/>
    <s v="Core Clinical Management, LLC:Core Clinical - 2024 Managed Services"/>
    <s v="11005 Accounts Receivable"/>
    <x v="2"/>
    <x v="2"/>
    <m/>
    <n v="10066.200000000001"/>
    <n v="10066.200000000001"/>
    <n v="510036.19999999984"/>
  </r>
  <r>
    <s v="01/03/2025"/>
    <x v="1"/>
    <x v="2"/>
    <s v="M&amp;T Operating"/>
    <m/>
    <s v="Payment"/>
    <s v="Core Clinical Management, LLC:Core Clinical - 2024 Managed Services"/>
    <s v="11005 Accounts Receivable"/>
    <x v="2"/>
    <x v="2"/>
    <m/>
    <n v="10947"/>
    <n v="10947"/>
    <n v="520983.19999999984"/>
  </r>
  <r>
    <s v="01/03/2025"/>
    <x v="1"/>
    <x v="2"/>
    <s v="M&amp;T Operating"/>
    <m/>
    <s v="Expense"/>
    <s v="Paylocity"/>
    <s v="69125 General &amp; Administrative:G&amp;A - Payroll Tax"/>
    <x v="1"/>
    <x v="3"/>
    <n v="4"/>
    <m/>
    <n v="-4"/>
    <n v="520979.19999999984"/>
  </r>
  <r>
    <s v="01/03/2025"/>
    <x v="1"/>
    <x v="2"/>
    <s v="M&amp;T Operating"/>
    <m/>
    <s v="Payment"/>
    <s v="State of Virginia - State Corporation Commission:State of Virginia/Guidehouse"/>
    <s v="11005 Accounts Receivable"/>
    <x v="2"/>
    <x v="2"/>
    <m/>
    <n v="13640"/>
    <n v="13640"/>
    <n v="534619.19999999984"/>
  </r>
  <r>
    <s v="01/03/2025"/>
    <x v="1"/>
    <x v="2"/>
    <s v="M&amp;T Operating"/>
    <m/>
    <s v="Expense"/>
    <s v="The Principal"/>
    <s v="22310 Accrued Expenses:Accrued Expenses - Principal Clearing"/>
    <x v="1"/>
    <x v="1"/>
    <n v="9796.0499999999993"/>
    <m/>
    <n v="-9796.0499999999993"/>
    <n v="524823.14999999979"/>
  </r>
  <r>
    <s v="01/03/2025"/>
    <x v="1"/>
    <x v="2"/>
    <s v="M&amp;T Operating"/>
    <m/>
    <s v="Transfer"/>
    <m/>
    <s v="10010 M&amp;T Bank - IntraFi Network Sweep"/>
    <x v="0"/>
    <x v="0"/>
    <n v="24853.15"/>
    <m/>
    <n v="-24853.15"/>
    <n v="499969.99999999977"/>
  </r>
  <r>
    <s v="01/06/2025"/>
    <x v="1"/>
    <x v="2"/>
    <s v="M&amp;T Operating"/>
    <m/>
    <s v="Bill Payment"/>
    <s v="Kayleigh Carr"/>
    <s v="20005 Accounts Payable"/>
    <x v="3"/>
    <x v="4"/>
    <n v="20.2"/>
    <m/>
    <n v="-20.2"/>
    <n v="499949.79999999976"/>
  </r>
  <r>
    <s v="01/06/2025"/>
    <x v="1"/>
    <x v="2"/>
    <s v="M&amp;T Operating"/>
    <m/>
    <s v="Bill Payment"/>
    <s v="Sahil Kumar"/>
    <s v="20005 Accounts Payable"/>
    <x v="3"/>
    <x v="4"/>
    <n v="780.16"/>
    <m/>
    <n v="-780.16"/>
    <n v="499169.63999999978"/>
  </r>
  <r>
    <s v="01/06/2025"/>
    <x v="1"/>
    <x v="2"/>
    <s v="M&amp;T Operating"/>
    <m/>
    <s v="Transfer"/>
    <m/>
    <s v="10010 M&amp;T Bank - IntraFi Network Sweep"/>
    <x v="0"/>
    <x v="0"/>
    <m/>
    <n v="800.36"/>
    <n v="800.36"/>
    <n v="499969.99999999977"/>
  </r>
  <r>
    <s v="01/07/2025"/>
    <x v="1"/>
    <x v="2"/>
    <s v="M&amp;T Operating"/>
    <m/>
    <s v="Expense"/>
    <s v="Further FKA SelctAccount"/>
    <s v="22330 Accrued Expenses:Accrued Expenses - Further Clearing"/>
    <x v="1"/>
    <x v="1"/>
    <n v="4.16"/>
    <m/>
    <n v="-4.16"/>
    <n v="499965.83999999979"/>
  </r>
  <r>
    <s v="01/07/2025"/>
    <x v="1"/>
    <x v="2"/>
    <s v="M&amp;T Operating"/>
    <m/>
    <s v="Transfer"/>
    <m/>
    <s v="10010 M&amp;T Bank - IntraFi Network Sweep"/>
    <x v="0"/>
    <x v="0"/>
    <m/>
    <n v="4.16"/>
    <n v="4.16"/>
    <n v="499969.99999999977"/>
  </r>
  <r>
    <s v="01/08/2025"/>
    <x v="1"/>
    <x v="2"/>
    <s v="M&amp;T Operating"/>
    <m/>
    <s v="Bill Payment"/>
    <s v="Nemphos Braue LLC"/>
    <s v="20005 Accounts Payable"/>
    <x v="3"/>
    <x v="5"/>
    <n v="1955"/>
    <m/>
    <n v="-1955"/>
    <n v="498014.99999999977"/>
  </r>
  <r>
    <s v="01/08/2025"/>
    <x v="1"/>
    <x v="2"/>
    <s v="M&amp;T Operating"/>
    <m/>
    <s v="Bill Payment"/>
    <s v="Nemphos Braue LLC"/>
    <s v="20005 Accounts Payable"/>
    <x v="3"/>
    <x v="5"/>
    <n v="1900"/>
    <m/>
    <n v="-1900"/>
    <n v="496114.99999999977"/>
  </r>
  <r>
    <s v="01/08/2025"/>
    <x v="1"/>
    <x v="2"/>
    <s v="M&amp;T Operating"/>
    <m/>
    <s v="Bill Payment"/>
    <s v="Nemphos Braue LLC"/>
    <s v="20005 Accounts Payable"/>
    <x v="3"/>
    <x v="5"/>
    <n v="139.5"/>
    <m/>
    <n v="-139.5"/>
    <n v="495975.49999999977"/>
  </r>
  <r>
    <s v="01/08/2025"/>
    <x v="1"/>
    <x v="2"/>
    <s v="M&amp;T Operating"/>
    <m/>
    <s v="Expense"/>
    <s v="New York Life"/>
    <s v="22315 Accrued Expenses:Accrued Expenses - NY Life Clearing"/>
    <x v="1"/>
    <x v="1"/>
    <n v="1031.0899999999999"/>
    <m/>
    <n v="-1031.0899999999999"/>
    <n v="494944.40999999974"/>
  </r>
  <r>
    <s v="01/08/2025"/>
    <x v="1"/>
    <x v="2"/>
    <s v="M&amp;T Operating"/>
    <m/>
    <s v="Bill Payment"/>
    <s v="Whitehouse &amp; Cooper, PLCC"/>
    <s v="20005 Accounts Payable"/>
    <x v="3"/>
    <x v="5"/>
    <n v="4648.5"/>
    <m/>
    <n v="-4648.5"/>
    <n v="490295.90999999974"/>
  </r>
  <r>
    <s v="01/08/2025"/>
    <x v="1"/>
    <x v="2"/>
    <s v="M&amp;T Operating"/>
    <m/>
    <s v="Transfer"/>
    <m/>
    <s v="10010 M&amp;T Bank - IntraFi Network Sweep"/>
    <x v="0"/>
    <x v="0"/>
    <m/>
    <n v="9674.09"/>
    <n v="9674.09"/>
    <n v="499969.99999999977"/>
  </r>
  <r>
    <s v="01/09/2025"/>
    <x v="1"/>
    <x v="2"/>
    <s v="M&amp;T Operating"/>
    <m/>
    <s v="Expense"/>
    <s v="M&amp;T Bank"/>
    <s v="69805 General &amp; Administrative:G&amp;A - Bank Fees"/>
    <x v="0"/>
    <x v="6"/>
    <n v="211.35"/>
    <m/>
    <n v="-211.35"/>
    <n v="499758.64999999979"/>
  </r>
  <r>
    <s v="01/09/2025"/>
    <x v="1"/>
    <x v="2"/>
    <s v="M&amp;T Operating"/>
    <m/>
    <s v="Expense"/>
    <s v="Wex Health, Inc."/>
    <s v="22320 Accrued Expenses:Accrued Expenses - WEX Clearing"/>
    <x v="1"/>
    <x v="1"/>
    <n v="2235.91"/>
    <m/>
    <n v="-2235.91"/>
    <n v="497522.73999999982"/>
  </r>
  <r>
    <s v="01/09/2025"/>
    <x v="1"/>
    <x v="2"/>
    <s v="M&amp;T Operating"/>
    <m/>
    <s v="Transfer"/>
    <m/>
    <s v="10010 M&amp;T Bank - IntraFi Network Sweep"/>
    <x v="0"/>
    <x v="0"/>
    <m/>
    <n v="2447.2600000000002"/>
    <n v="2447.2600000000002"/>
    <n v="499969.99999999983"/>
  </r>
  <r>
    <s v="01/10/2025"/>
    <x v="1"/>
    <x v="2"/>
    <s v="M&amp;T Operating"/>
    <m/>
    <s v="Bill Payment"/>
    <s v="Andrew Benjamin Klajman andrewklajman78@gmail.com USD"/>
    <s v="20005 Accounts Payable"/>
    <x v="4"/>
    <x v="7"/>
    <n v="760"/>
    <m/>
    <n v="-760"/>
    <n v="499209.99999999983"/>
  </r>
  <r>
    <s v="01/10/2025"/>
    <x v="1"/>
    <x v="2"/>
    <s v="M&amp;T Operating"/>
    <m/>
    <s v="Bill Payment"/>
    <s v="Ashley MacArthur ashley@getboss.io USD"/>
    <s v="20005 Accounts Payable"/>
    <x v="3"/>
    <x v="8"/>
    <n v="6029.9"/>
    <m/>
    <n v="-6029.9"/>
    <n v="493180.0999999998"/>
  </r>
  <r>
    <s v="01/10/2025"/>
    <x v="1"/>
    <x v="2"/>
    <s v="M&amp;T Operating"/>
    <m/>
    <s v="Bill Payment"/>
    <s v="Bartosz Juriewicz bartosz.juriewicz@gmail.com USD"/>
    <s v="20005 Accounts Payable"/>
    <x v="4"/>
    <x v="7"/>
    <n v="14840"/>
    <m/>
    <n v="-14840"/>
    <n v="478340.0999999998"/>
  </r>
  <r>
    <s v="01/10/2025"/>
    <x v="1"/>
    <x v="2"/>
    <s v="M&amp;T Operating"/>
    <m/>
    <s v="Bill Payment"/>
    <s v="Brian Reilly brreilly@yahoo.com USD"/>
    <s v="20005 Accounts Payable"/>
    <x v="4"/>
    <x v="9"/>
    <n v="14197.6"/>
    <m/>
    <n v="-14197.6"/>
    <n v="464142.49999999983"/>
  </r>
  <r>
    <s v="01/10/2025"/>
    <x v="1"/>
    <x v="2"/>
    <s v="M&amp;T Operating"/>
    <m/>
    <s v="Bill Payment"/>
    <s v="Candy Marte Garcia candymartegarcia@gmail.com USD"/>
    <s v="20005 Accounts Payable"/>
    <x v="4"/>
    <x v="7"/>
    <n v="1597.5"/>
    <m/>
    <n v="-1597.5"/>
    <n v="462544.99999999983"/>
  </r>
  <r>
    <s v="01/10/2025"/>
    <x v="1"/>
    <x v="2"/>
    <s v="M&amp;T Operating"/>
    <m/>
    <s v="Bill Payment"/>
    <s v="Charles McGuinness charles@mcguinness.ai USD"/>
    <s v="20005 Accounts Payable"/>
    <x v="4"/>
    <x v="9"/>
    <n v="20000"/>
    <m/>
    <n v="-20000"/>
    <n v="442544.99999999983"/>
  </r>
  <r>
    <s v="01/10/2025"/>
    <x v="1"/>
    <x v="2"/>
    <s v="M&amp;T Operating"/>
    <m/>
    <s v="Bill Payment"/>
    <s v="Dane Kim dane.w.kim@gmail.com USD"/>
    <s v="20005 Accounts Payable"/>
    <x v="4"/>
    <x v="7"/>
    <n v="2500"/>
    <m/>
    <n v="-2500"/>
    <n v="440044.99999999983"/>
  </r>
  <r>
    <s v="01/10/2025"/>
    <x v="1"/>
    <x v="2"/>
    <s v="M&amp;T Operating"/>
    <m/>
    <s v="Bill Payment"/>
    <s v="Deel billing invoices deel@deel.com USD"/>
    <s v="20005 Accounts Payable"/>
    <x v="3"/>
    <x v="10"/>
    <n v="5"/>
    <m/>
    <n v="-5"/>
    <n v="440039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990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941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892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843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794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745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696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647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598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549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500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451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402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353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304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255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206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157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108.99999999983"/>
  </r>
  <r>
    <s v="01/10/2025"/>
    <x v="1"/>
    <x v="2"/>
    <s v="M&amp;T Operating"/>
    <m/>
    <s v="Bill Payment"/>
    <s v="Duane Nelson duanen@gmail.com USD"/>
    <s v="20005 Accounts Payable"/>
    <x v="4"/>
    <x v="9"/>
    <n v="445.22"/>
    <m/>
    <n v="-445.22"/>
    <n v="438663.77999999985"/>
  </r>
  <r>
    <s v="01/10/2025"/>
    <x v="1"/>
    <x v="2"/>
    <s v="M&amp;T Operating"/>
    <m/>
    <s v="Bill Payment"/>
    <s v="Duane Nelson duanen@gmail.com USD"/>
    <s v="20005 Accounts Payable"/>
    <x v="4"/>
    <x v="9"/>
    <n v="18756.93"/>
    <m/>
    <n v="-18756.93"/>
    <n v="419906.84999999986"/>
  </r>
  <r>
    <s v="01/10/2025"/>
    <x v="1"/>
    <x v="2"/>
    <s v="M&amp;T Operating"/>
    <m/>
    <s v="Bill Payment"/>
    <s v="Focus Fractional LLC"/>
    <s v="20005 Accounts Payable"/>
    <x v="3"/>
    <x v="8"/>
    <n v="11600"/>
    <m/>
    <n v="-11600"/>
    <n v="408306.84999999986"/>
  </r>
  <r>
    <s v="01/10/2025"/>
    <x v="1"/>
    <x v="2"/>
    <s v="M&amp;T Operating"/>
    <m/>
    <s v="Bill Payment"/>
    <s v="Herbert Donald Edwards don.edwards01@gmail.com USD"/>
    <s v="20005 Accounts Payable"/>
    <x v="4"/>
    <x v="7"/>
    <n v="8287.5"/>
    <m/>
    <n v="-8287.5"/>
    <n v="400019.34999999986"/>
  </r>
  <r>
    <s v="01/10/2025"/>
    <x v="1"/>
    <x v="2"/>
    <s v="M&amp;T Operating"/>
    <m/>
    <s v="Bill Payment"/>
    <s v="Jose Atencio Jimenez hello@joseatencio.com USD"/>
    <s v="20005 Accounts Payable"/>
    <x v="4"/>
    <x v="9"/>
    <n v="729.6"/>
    <m/>
    <n v="-729.6"/>
    <n v="399289.74999999988"/>
  </r>
  <r>
    <s v="01/10/2025"/>
    <x v="1"/>
    <x v="2"/>
    <s v="M&amp;T Operating"/>
    <m/>
    <s v="Bill Payment"/>
    <s v="Joseph Mallek joe@nimblefire.com USD"/>
    <s v="20005 Accounts Payable"/>
    <x v="4"/>
    <x v="9"/>
    <n v="10314.290000000001"/>
    <m/>
    <n v="-10314.290000000001"/>
    <n v="388975.4599999999"/>
  </r>
  <r>
    <s v="01/10/2025"/>
    <x v="1"/>
    <x v="2"/>
    <s v="M&amp;T Operating"/>
    <m/>
    <s v="Bill Payment"/>
    <s v="Kirk Leibert kleibert@gmail.com USD"/>
    <s v="20005 Accounts Payable"/>
    <x v="4"/>
    <x v="7"/>
    <n v="12600"/>
    <m/>
    <n v="-12600"/>
    <n v="376375.4599999999"/>
  </r>
  <r>
    <s v="01/10/2025"/>
    <x v="1"/>
    <x v="2"/>
    <s v="M&amp;T Operating"/>
    <m/>
    <s v="Bill Payment"/>
    <s v="Matthew E. Johnson"/>
    <s v="20005 Accounts Payable"/>
    <x v="4"/>
    <x v="7"/>
    <n v="1312.5"/>
    <m/>
    <n v="-1312.5"/>
    <n v="375062.9599999999"/>
  </r>
  <r>
    <s v="01/10/2025"/>
    <x v="1"/>
    <x v="2"/>
    <s v="M&amp;T Operating"/>
    <m/>
    <s v="Bill Payment"/>
    <s v="McMax LLC"/>
    <s v="20005 Accounts Payable"/>
    <x v="4"/>
    <x v="7"/>
    <n v="4472.5"/>
    <m/>
    <n v="-4472.5"/>
    <n v="370590.4599999999"/>
  </r>
  <r>
    <s v="01/10/2025"/>
    <x v="1"/>
    <x v="2"/>
    <s v="M&amp;T Operating"/>
    <m/>
    <s v="Bill Payment"/>
    <s v="Paul Peterson paul.01.peterson@gmail.com USD"/>
    <s v="20005 Accounts Payable"/>
    <x v="4"/>
    <x v="7"/>
    <n v="80.84"/>
    <m/>
    <n v="-80.84"/>
    <n v="370509.61999999988"/>
  </r>
  <r>
    <s v="01/10/2025"/>
    <x v="1"/>
    <x v="2"/>
    <s v="M&amp;T Operating"/>
    <m/>
    <s v="Bill Payment"/>
    <s v="Paul Peterson paul.01.peterson@gmail.com USD"/>
    <s v="20005 Accounts Payable"/>
    <x v="4"/>
    <x v="7"/>
    <n v="40.42"/>
    <m/>
    <n v="-40.42"/>
    <n v="370469.1999999999"/>
  </r>
  <r>
    <s v="01/10/2025"/>
    <x v="1"/>
    <x v="2"/>
    <s v="M&amp;T Operating"/>
    <m/>
    <s v="Bill Payment"/>
    <s v="Paul Peterson paul.01.peterson@gmail.com USD"/>
    <s v="20005 Accounts Payable"/>
    <x v="4"/>
    <x v="7"/>
    <n v="12000"/>
    <m/>
    <n v="-12000"/>
    <n v="358469.1999999999"/>
  </r>
  <r>
    <s v="01/10/2025"/>
    <x v="1"/>
    <x v="2"/>
    <s v="M&amp;T Operating"/>
    <m/>
    <s v="Bill Payment"/>
    <s v="Pedro Rubio pedro@blackfyre.app USD"/>
    <s v="20005 Accounts Payable"/>
    <x v="4"/>
    <x v="9"/>
    <n v="199"/>
    <m/>
    <n v="-199"/>
    <n v="358270.1999999999"/>
  </r>
  <r>
    <s v="01/10/2025"/>
    <x v="1"/>
    <x v="2"/>
    <s v="M&amp;T Operating"/>
    <m/>
    <s v="Bill Payment"/>
    <s v="Prasanna Patel prasanna.patel@xtransmatrix.com USD"/>
    <s v="20005 Accounts Payable"/>
    <x v="4"/>
    <x v="9"/>
    <n v="4200"/>
    <m/>
    <n v="-4200"/>
    <n v="354070.1999999999"/>
  </r>
  <r>
    <s v="01/10/2025"/>
    <x v="1"/>
    <x v="2"/>
    <s v="M&amp;T Operating"/>
    <m/>
    <s v="Bill Payment"/>
    <s v="Resolute Creative Group, LLC"/>
    <s v="20005 Accounts Payable"/>
    <x v="4"/>
    <x v="7"/>
    <n v="125"/>
    <m/>
    <n v="-125"/>
    <n v="353945.1999999999"/>
  </r>
  <r>
    <s v="01/10/2025"/>
    <x v="1"/>
    <x v="2"/>
    <s v="M&amp;T Operating"/>
    <m/>
    <s v="Bill Payment"/>
    <s v="SALESFORCE CRM CONSULTING PTY LTD"/>
    <s v="20005 Accounts Payable"/>
    <x v="4"/>
    <x v="7"/>
    <n v="665"/>
    <m/>
    <n v="-665"/>
    <n v="353280.1999999999"/>
  </r>
  <r>
    <s v="01/10/2025"/>
    <x v="1"/>
    <x v="2"/>
    <s v="M&amp;T Operating"/>
    <m/>
    <s v="Bill Payment"/>
    <s v="SALESFORCE CRM CONSULTING PTY LTD"/>
    <s v="20005 Accounts Payable"/>
    <x v="4"/>
    <x v="7"/>
    <n v="5460"/>
    <m/>
    <n v="-5460"/>
    <n v="347820.1999999999"/>
  </r>
  <r>
    <s v="01/10/2025"/>
    <x v="1"/>
    <x v="2"/>
    <s v="M&amp;T Operating"/>
    <m/>
    <s v="Bill Payment"/>
    <s v="SALESFORCE CRM CONSULTING PTY LTD"/>
    <s v="20005 Accounts Payable"/>
    <x v="4"/>
    <x v="7"/>
    <n v="1260"/>
    <m/>
    <n v="-1260"/>
    <n v="346560.1999999999"/>
  </r>
  <r>
    <s v="01/10/2025"/>
    <x v="1"/>
    <x v="2"/>
    <s v="M&amp;T Operating"/>
    <m/>
    <s v="Bill Payment"/>
    <s v="SALESFORCE CRM CONSULTING PTY LTD"/>
    <s v="20005 Accounts Payable"/>
    <x v="4"/>
    <x v="7"/>
    <n v="35"/>
    <m/>
    <n v="-35"/>
    <n v="346525.1999999999"/>
  </r>
  <r>
    <s v="01/10/2025"/>
    <x v="1"/>
    <x v="2"/>
    <s v="M&amp;T Operating"/>
    <m/>
    <s v="Bill Payment"/>
    <s v="SALESFORCE CRM CONSULTING PTY LTD"/>
    <s v="20005 Accounts Payable"/>
    <x v="4"/>
    <x v="7"/>
    <n v="5355"/>
    <m/>
    <n v="-5355"/>
    <n v="341170.1999999999"/>
  </r>
  <r>
    <s v="01/10/2025"/>
    <x v="1"/>
    <x v="2"/>
    <s v="M&amp;T Operating"/>
    <m/>
    <s v="Bill Payment"/>
    <s v="SALESFORCE CRM CONSULTING PTY LTD"/>
    <s v="20005 Accounts Payable"/>
    <x v="4"/>
    <x v="7"/>
    <n v="840"/>
    <m/>
    <n v="-840"/>
    <n v="340330.1999999999"/>
  </r>
  <r>
    <s v="01/10/2025"/>
    <x v="1"/>
    <x v="2"/>
    <s v="M&amp;T Operating"/>
    <m/>
    <s v="Bill Payment"/>
    <s v="SALESFORCE CRM CONSULTING PTY LTD"/>
    <s v="20005 Accounts Payable"/>
    <x v="4"/>
    <x v="7"/>
    <n v="3220"/>
    <m/>
    <n v="-3220"/>
    <n v="337110.1999999999"/>
  </r>
  <r>
    <s v="01/10/2025"/>
    <x v="1"/>
    <x v="2"/>
    <s v="M&amp;T Operating"/>
    <m/>
    <s v="Bill Payment"/>
    <s v="Shazib Mahmood shazibm91@gmail.com USD"/>
    <s v="20005 Accounts Payable"/>
    <x v="4"/>
    <x v="7"/>
    <n v="18738.38"/>
    <m/>
    <n v="-18738.38"/>
    <n v="318371.81999999989"/>
  </r>
  <r>
    <s v="01/10/2025"/>
    <x v="1"/>
    <x v="2"/>
    <s v="M&amp;T Operating"/>
    <m/>
    <s v="Payment"/>
    <s v="State of Virginia - State Corporation Commission:State of Virginia/Guidehouse"/>
    <s v="11005 Accounts Receivable"/>
    <x v="2"/>
    <x v="2"/>
    <m/>
    <n v="15190"/>
    <n v="15190"/>
    <n v="333561.81999999989"/>
  </r>
  <r>
    <s v="01/10/2025"/>
    <x v="1"/>
    <x v="2"/>
    <s v="M&amp;T Operating"/>
    <m/>
    <s v="Transfer"/>
    <m/>
    <s v="10010 M&amp;T Bank - IntraFi Network Sweep"/>
    <x v="0"/>
    <x v="0"/>
    <m/>
    <n v="166408.18"/>
    <n v="166408.18"/>
    <n v="499969.99999999988"/>
  </r>
  <r>
    <s v="01/13/2025"/>
    <x v="1"/>
    <x v="2"/>
    <s v="M&amp;T Operating"/>
    <m/>
    <s v="Deposit"/>
    <s v="American Benefit Cobra"/>
    <s v="22325 Accrued Expenses:Accrued Expenses - COBRA Clearing"/>
    <x v="1"/>
    <x v="1"/>
    <m/>
    <n v="429.67"/>
    <n v="429.67"/>
    <n v="500399.66999999987"/>
  </r>
  <r>
    <s v="01/13/2025"/>
    <x v="1"/>
    <x v="2"/>
    <s v="M&amp;T Operating"/>
    <m/>
    <s v="Payment"/>
    <s v="Currencies Direct Limited:Redpin - Salesforce Assessment/Healthcheck"/>
    <s v="11005 Accounts Receivable"/>
    <x v="2"/>
    <x v="2"/>
    <m/>
    <n v="4650"/>
    <n v="4650"/>
    <n v="505049.66999999987"/>
  </r>
  <r>
    <s v="01/13/2025"/>
    <x v="1"/>
    <x v="2"/>
    <s v="M&amp;T Operating"/>
    <m/>
    <s v="Deposit"/>
    <s v="Youreka Labs, Inc."/>
    <s v="14005 Undeposited Funds"/>
    <x v="2"/>
    <x v="2"/>
    <m/>
    <n v="327201.36"/>
    <n v="327201.36"/>
    <n v="832251.0299999998"/>
  </r>
  <r>
    <s v="01/13/2025"/>
    <x v="1"/>
    <x v="2"/>
    <s v="M&amp;T Operating"/>
    <m/>
    <s v="Transfer"/>
    <m/>
    <s v="10010 M&amp;T Bank - IntraFi Network Sweep"/>
    <x v="0"/>
    <x v="0"/>
    <n v="332281.03000000003"/>
    <m/>
    <n v="-332281.03000000003"/>
    <n v="499969.99999999977"/>
  </r>
  <r>
    <s v="01/14/2025"/>
    <x v="1"/>
    <x v="2"/>
    <s v="M&amp;T Operating"/>
    <m/>
    <s v="Expense"/>
    <s v="Bancorpsv (Benefit Deduction)"/>
    <s v="22335 Accrued Expenses:Accrued Expenses - Bankcorp Clearing"/>
    <x v="1"/>
    <x v="1"/>
    <n v="18.68"/>
    <m/>
    <n v="-18.68"/>
    <n v="499951.31999999977"/>
  </r>
  <r>
    <s v="01/14/2025"/>
    <x v="1"/>
    <x v="2"/>
    <s v="M&amp;T Operating"/>
    <m/>
    <s v="Expense"/>
    <s v="Further FKA SelctAccount"/>
    <s v="22330 Accrued Expenses:Accrued Expenses - Further Clearing"/>
    <x v="1"/>
    <x v="1"/>
    <n v="26.23"/>
    <m/>
    <n v="-26.23"/>
    <n v="499925.08999999979"/>
  </r>
  <r>
    <s v="01/14/2025"/>
    <x v="1"/>
    <x v="2"/>
    <s v="M&amp;T Operating"/>
    <m/>
    <s v="Expense"/>
    <s v="Paylocity"/>
    <s v="22205 Accrued Expenses:Accrued Expenses - Payroll Clearing"/>
    <x v="1"/>
    <x v="1"/>
    <n v="275"/>
    <m/>
    <n v="-275"/>
    <n v="499650.08999999979"/>
  </r>
  <r>
    <s v="01/14/2025"/>
    <x v="1"/>
    <x v="2"/>
    <s v="M&amp;T Operating"/>
    <m/>
    <s v="Expense"/>
    <s v="Paylocity"/>
    <s v="22205 Accrued Expenses:Accrued Expenses - Payroll Clearing"/>
    <x v="1"/>
    <x v="11"/>
    <n v="43223.23"/>
    <m/>
    <n v="-43223.23"/>
    <n v="456426.85999999981"/>
  </r>
  <r>
    <s v="01/14/2025"/>
    <x v="1"/>
    <x v="2"/>
    <s v="M&amp;T Operating"/>
    <m/>
    <s v="Expense"/>
    <s v="Paylocity"/>
    <s v="22205 Accrued Expenses:Accrued Expenses - Payroll Clearing"/>
    <x v="1"/>
    <x v="12"/>
    <n v="76714.990000000005"/>
    <m/>
    <n v="-76714.990000000005"/>
    <n v="379711.86999999982"/>
  </r>
  <r>
    <s v="01/14/2025"/>
    <x v="1"/>
    <x v="2"/>
    <s v="M&amp;T Operating"/>
    <m/>
    <s v="Payment"/>
    <s v="The Washington Post:The Washington Post Managed Services"/>
    <s v="11005 Accounts Receivable"/>
    <x v="2"/>
    <x v="2"/>
    <m/>
    <n v="22182.36"/>
    <n v="22182.36"/>
    <n v="401894.22999999981"/>
  </r>
  <r>
    <s v="01/14/2025"/>
    <x v="1"/>
    <x v="2"/>
    <s v="M&amp;T Operating"/>
    <m/>
    <s v="Transfer"/>
    <m/>
    <s v="10010 M&amp;T Bank - IntraFi Network Sweep"/>
    <x v="0"/>
    <x v="0"/>
    <m/>
    <n v="98075.77"/>
    <n v="98075.77"/>
    <n v="499969.99999999983"/>
  </r>
  <r>
    <s v="01/15/2025"/>
    <x v="1"/>
    <x v="2"/>
    <s v="M&amp;T Operating"/>
    <m/>
    <s v="Expense"/>
    <s v="Paylocity"/>
    <s v="69215 General &amp; Administrative:G&amp;A - Payroll Fees"/>
    <x v="1"/>
    <x v="3"/>
    <n v="140.32"/>
    <m/>
    <n v="-140.32"/>
    <n v="499829.67999999982"/>
  </r>
  <r>
    <s v="01/15/2025"/>
    <x v="1"/>
    <x v="2"/>
    <s v="M&amp;T Operating"/>
    <m/>
    <s v="Payment"/>
    <s v="RestorixHealth Inc:Managed Services"/>
    <s v="11005 Accounts Receivable"/>
    <x v="2"/>
    <x v="2"/>
    <m/>
    <n v="5250"/>
    <n v="5250"/>
    <n v="505079.67999999982"/>
  </r>
  <r>
    <s v="01/15/2025"/>
    <x v="1"/>
    <x v="2"/>
    <s v="M&amp;T Operating"/>
    <m/>
    <s v="Transfer"/>
    <m/>
    <s v="10010 M&amp;T Bank - IntraFi Network Sweep"/>
    <x v="0"/>
    <x v="0"/>
    <n v="5109.68"/>
    <m/>
    <n v="-5109.68"/>
    <n v="499969.99999999983"/>
  </r>
  <r>
    <s v="01/16/2025"/>
    <x v="1"/>
    <x v="2"/>
    <s v="M&amp;T Operating"/>
    <m/>
    <s v="Expense"/>
    <s v="The Principal"/>
    <s v="22310 Accrued Expenses:Accrued Expenses - Principal Clearing"/>
    <x v="1"/>
    <x v="1"/>
    <n v="6229.81"/>
    <m/>
    <n v="-6229.81"/>
    <n v="493740.18999999983"/>
  </r>
  <r>
    <s v="01/16/2025"/>
    <x v="1"/>
    <x v="2"/>
    <s v="M&amp;T Operating"/>
    <m/>
    <s v="Transfer"/>
    <m/>
    <s v="10010 M&amp;T Bank - IntraFi Network Sweep"/>
    <x v="0"/>
    <x v="0"/>
    <m/>
    <n v="6229.81"/>
    <n v="6229.81"/>
    <n v="499969.99999999983"/>
  </r>
  <r>
    <s v="01/17/2025"/>
    <x v="1"/>
    <x v="2"/>
    <s v="M&amp;T Operating"/>
    <m/>
    <s v="Expense"/>
    <s v="Bancorpsv (Benefit Deduction)"/>
    <s v="22335 Accrued Expenses:Accrued Expenses - Bankcorp Clearing"/>
    <x v="1"/>
    <x v="1"/>
    <n v="36"/>
    <m/>
    <n v="-36"/>
    <n v="499933.99999999983"/>
  </r>
  <r>
    <s v="01/17/2025"/>
    <x v="1"/>
    <x v="2"/>
    <s v="M&amp;T Operating"/>
    <m/>
    <s v="Payment"/>
    <s v="Curonix LLC:Curonix Managed Services"/>
    <s v="11005 Accounts Receivable"/>
    <x v="2"/>
    <x v="2"/>
    <m/>
    <n v="25812.5"/>
    <n v="25812.5"/>
    <n v="525746.49999999977"/>
  </r>
  <r>
    <s v="01/17/2025"/>
    <x v="1"/>
    <x v="2"/>
    <s v="M&amp;T Operating"/>
    <m/>
    <s v="Transfer"/>
    <m/>
    <s v="10010 M&amp;T Bank - IntraFi Network Sweep"/>
    <x v="0"/>
    <x v="0"/>
    <n v="25776.5"/>
    <m/>
    <n v="-25776.5"/>
    <n v="499969.99999999977"/>
  </r>
  <r>
    <s v="01/21/2025"/>
    <x v="1"/>
    <x v="2"/>
    <s v="M&amp;T Operating"/>
    <m/>
    <s v="Credit Card Pmt"/>
    <s v="Brex Inc"/>
    <s v="21005 Brex Mastercard"/>
    <x v="5"/>
    <x v="13"/>
    <n v="5043.37"/>
    <m/>
    <n v="-5043.37"/>
    <n v="494926.62999999977"/>
  </r>
  <r>
    <s v="01/21/2025"/>
    <x v="1"/>
    <x v="2"/>
    <s v="M&amp;T Operating"/>
    <m/>
    <s v="Expense"/>
    <s v="Paylocity"/>
    <s v="69215 General &amp; Administrative:G&amp;A - Payroll Fees"/>
    <x v="1"/>
    <x v="3"/>
    <n v="126"/>
    <m/>
    <n v="-126"/>
    <n v="494800.62999999977"/>
  </r>
  <r>
    <s v="01/21/2025"/>
    <x v="1"/>
    <x v="2"/>
    <s v="M&amp;T Operating"/>
    <m/>
    <s v="Expense"/>
    <s v="The Hartford"/>
    <s v="69800 General &amp; Administrative:G&amp;A - Insurance"/>
    <x v="3"/>
    <x v="14"/>
    <n v="496.97"/>
    <m/>
    <n v="-496.97"/>
    <n v="494303.6599999998"/>
  </r>
  <r>
    <s v="01/21/2025"/>
    <x v="1"/>
    <x v="2"/>
    <s v="M&amp;T Operating"/>
    <m/>
    <s v="Transfer"/>
    <m/>
    <s v="10010 M&amp;T Bank - IntraFi Network Sweep"/>
    <x v="0"/>
    <x v="0"/>
    <m/>
    <n v="5666.34"/>
    <n v="5666.34"/>
    <n v="499969.99999999983"/>
  </r>
  <r>
    <s v="01/22/2025"/>
    <x v="1"/>
    <x v="2"/>
    <s v="M&amp;T Operating"/>
    <m/>
    <s v="Bill Payment"/>
    <s v="Brenna Hawley-Craig"/>
    <s v="20005 Accounts Payable"/>
    <x v="3"/>
    <x v="4"/>
    <n v="24"/>
    <m/>
    <n v="-24"/>
    <n v="499945.99999999983"/>
  </r>
  <r>
    <s v="01/22/2025"/>
    <x v="1"/>
    <x v="2"/>
    <s v="M&amp;T Operating"/>
    <m/>
    <s v="Expense"/>
    <s v="Cigna Healthcare"/>
    <s v="22305 Accrued Expenses:Accrued Expenses - Cigna Clearing"/>
    <x v="1"/>
    <x v="1"/>
    <n v="1422.93"/>
    <m/>
    <n v="-1422.93"/>
    <n v="498523.06999999983"/>
  </r>
  <r>
    <s v="01/22/2025"/>
    <x v="1"/>
    <x v="2"/>
    <s v="M&amp;T Operating"/>
    <m/>
    <s v="Bill Payment"/>
    <s v="Ijaz, Safa"/>
    <s v="20005 Accounts Payable"/>
    <x v="1"/>
    <x v="1"/>
    <n v="30"/>
    <m/>
    <n v="-30"/>
    <n v="498493.06999999983"/>
  </r>
  <r>
    <s v="01/22/2025"/>
    <x v="1"/>
    <x v="2"/>
    <s v="M&amp;T Operating"/>
    <m/>
    <s v="Bill Payment"/>
    <s v="Raymond Der"/>
    <s v="20005 Accounts Payable"/>
    <x v="3"/>
    <x v="4"/>
    <n v="20"/>
    <m/>
    <n v="-20"/>
    <n v="498473.06999999983"/>
  </r>
  <r>
    <s v="01/22/2025"/>
    <x v="1"/>
    <x v="2"/>
    <s v="M&amp;T Operating"/>
    <m/>
    <s v="Bill Payment"/>
    <s v="Sahil Kumar"/>
    <s v="20005 Accounts Payable"/>
    <x v="3"/>
    <x v="4"/>
    <n v="652.01"/>
    <m/>
    <n v="-652.01"/>
    <n v="497821.05999999982"/>
  </r>
  <r>
    <s v="01/22/2025"/>
    <x v="1"/>
    <x v="2"/>
    <s v="M&amp;T Operating"/>
    <m/>
    <s v="Bill Payment"/>
    <s v="Venkatram B Reddy"/>
    <s v="20005 Accounts Payable"/>
    <x v="3"/>
    <x v="4"/>
    <n v="199"/>
    <m/>
    <n v="-199"/>
    <n v="497622.05999999982"/>
  </r>
  <r>
    <s v="01/22/2025"/>
    <x v="1"/>
    <x v="2"/>
    <s v="M&amp;T Operating"/>
    <m/>
    <s v="Bill Payment"/>
    <s v="Venkatram B Reddy"/>
    <s v="20005 Accounts Payable"/>
    <x v="3"/>
    <x v="4"/>
    <n v="932.67"/>
    <m/>
    <n v="-932.67"/>
    <n v="496689.38999999984"/>
  </r>
  <r>
    <s v="01/22/2025"/>
    <x v="1"/>
    <x v="2"/>
    <s v="M&amp;T Operating"/>
    <m/>
    <s v="Expense"/>
    <s v="Wex Health, Inc."/>
    <s v="22320 Accrued Expenses:Accrued Expenses - WEX Clearing"/>
    <x v="1"/>
    <x v="1"/>
    <n v="140.41"/>
    <m/>
    <n v="-140.41"/>
    <n v="496548.97999999986"/>
  </r>
  <r>
    <s v="01/22/2025"/>
    <x v="1"/>
    <x v="2"/>
    <s v="M&amp;T Operating"/>
    <m/>
    <s v="Expense"/>
    <s v="Youreka Labs, Inc."/>
    <s v="14005 Undeposited Funds"/>
    <x v="2"/>
    <x v="2"/>
    <n v="327201.36"/>
    <m/>
    <n v="-327201.36"/>
    <n v="169347.61999999988"/>
  </r>
  <r>
    <s v="01/22/2025"/>
    <x v="1"/>
    <x v="2"/>
    <s v="M&amp;T Operating"/>
    <m/>
    <s v="Transfer"/>
    <m/>
    <s v="10010 M&amp;T Bank - IntraFi Network Sweep"/>
    <x v="0"/>
    <x v="0"/>
    <m/>
    <n v="330622.38"/>
    <n v="330622.38"/>
    <n v="499969.99999999988"/>
  </r>
  <r>
    <s v="01/23/2025"/>
    <x v="1"/>
    <x v="2"/>
    <s v="M&amp;T Operating"/>
    <m/>
    <s v="Payment"/>
    <s v="BG Staffing, Inc:BGSF - Phase 1 Advisory"/>
    <s v="11005 Accounts Receivable"/>
    <x v="2"/>
    <x v="2"/>
    <m/>
    <n v="6195"/>
    <n v="6195"/>
    <n v="506164.99999999988"/>
  </r>
  <r>
    <s v="01/23/2025"/>
    <x v="1"/>
    <x v="2"/>
    <s v="M&amp;T Operating"/>
    <m/>
    <s v="Expense"/>
    <s v="Wex Health, Inc."/>
    <s v="22320 Accrued Expenses:Accrued Expenses - WEX Clearing"/>
    <x v="1"/>
    <x v="1"/>
    <n v="12.98"/>
    <m/>
    <n v="-12.98"/>
    <n v="506152.0199999999"/>
  </r>
  <r>
    <s v="01/23/2025"/>
    <x v="1"/>
    <x v="2"/>
    <s v="M&amp;T Operating"/>
    <m/>
    <s v="Transfer"/>
    <m/>
    <s v="10010 M&amp;T Bank - IntraFi Network Sweep"/>
    <x v="0"/>
    <x v="0"/>
    <n v="6182.02"/>
    <m/>
    <n v="-6182.02"/>
    <n v="499969.99999999988"/>
  </r>
  <r>
    <s v="01/24/2025"/>
    <x v="1"/>
    <x v="2"/>
    <s v="M&amp;T Operating"/>
    <m/>
    <s v="Bill Payment"/>
    <s v="HireRight"/>
    <s v="20005 Accounts Payable"/>
    <x v="3"/>
    <x v="15"/>
    <n v="263.76"/>
    <m/>
    <n v="-263.76"/>
    <n v="499706.23999999987"/>
  </r>
  <r>
    <s v="01/24/2025"/>
    <x v="1"/>
    <x v="2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14206.23999999987"/>
  </r>
  <r>
    <s v="01/24/2025"/>
    <x v="1"/>
    <x v="2"/>
    <s v="M&amp;T Operating"/>
    <m/>
    <s v="Expense"/>
    <s v="QuickBooks Payments"/>
    <s v="69805 General &amp; Administrative:G&amp;A - Bank Fees"/>
    <x v="0"/>
    <x v="6"/>
    <n v="20"/>
    <m/>
    <n v="-20"/>
    <n v="514186.23999999987"/>
  </r>
  <r>
    <s v="01/24/2025"/>
    <x v="1"/>
    <x v="2"/>
    <s v="M&amp;T Operating"/>
    <m/>
    <s v="Payment"/>
    <s v="Total Solutions, Inc"/>
    <s v="11005 Accounts Receivable"/>
    <x v="2"/>
    <x v="2"/>
    <m/>
    <n v="24777.599999999999"/>
    <n v="24777.599999999999"/>
    <n v="538963.83999999985"/>
  </r>
  <r>
    <s v="01/24/2025"/>
    <x v="1"/>
    <x v="2"/>
    <s v="M&amp;T Operating"/>
    <m/>
    <s v="Expense"/>
    <s v="Wex Health, Inc."/>
    <s v="22320 Accrued Expenses:Accrued Expenses - WEX Clearing"/>
    <x v="1"/>
    <x v="3"/>
    <n v="61.8"/>
    <m/>
    <n v="-61.8"/>
    <n v="538902.0399999998"/>
  </r>
  <r>
    <s v="01/24/2025"/>
    <x v="1"/>
    <x v="2"/>
    <s v="M&amp;T Operating"/>
    <m/>
    <s v="Bill Payment"/>
    <s v="Whitehouse &amp; Cooper, PLCC"/>
    <s v="20005 Accounts Payable"/>
    <x v="3"/>
    <x v="5"/>
    <n v="1907"/>
    <m/>
    <n v="-1907"/>
    <n v="536995.0399999998"/>
  </r>
  <r>
    <s v="01/24/2025"/>
    <x v="1"/>
    <x v="2"/>
    <s v="M&amp;T Operating"/>
    <m/>
    <s v="Transfer"/>
    <m/>
    <s v="10010 M&amp;T Bank - IntraFi Network Sweep"/>
    <x v="0"/>
    <x v="0"/>
    <n v="22545.040000000001"/>
    <m/>
    <n v="-22545.040000000001"/>
    <n v="514449.99999999983"/>
  </r>
  <r>
    <s v="01/27/2025"/>
    <x v="1"/>
    <x v="2"/>
    <s v="M&amp;T Operating"/>
    <m/>
    <s v="Bill Payment"/>
    <s v="International Computer Services Inc."/>
    <s v="20005 Accounts Payable"/>
    <x v="3"/>
    <x v="10"/>
    <n v="2930.9"/>
    <m/>
    <n v="-2930.9"/>
    <n v="511519.0999999998"/>
  </r>
  <r>
    <s v="01/27/2025"/>
    <x v="1"/>
    <x v="2"/>
    <s v="M&amp;T Operating"/>
    <m/>
    <s v="Transfer"/>
    <m/>
    <s v="10010 M&amp;T Bank - IntraFi Network Sweep"/>
    <x v="0"/>
    <x v="0"/>
    <n v="11549.1"/>
    <m/>
    <n v="-11549.1"/>
    <n v="499969.99999999983"/>
  </r>
  <r>
    <s v="01/28/2025"/>
    <x v="1"/>
    <x v="2"/>
    <s v="M&amp;T Operating"/>
    <m/>
    <s v="Payment"/>
    <s v="Acumen Solutions, Inc."/>
    <s v="11005 Accounts Receivable"/>
    <x v="2"/>
    <x v="2"/>
    <m/>
    <n v="41184"/>
    <n v="41184"/>
    <n v="541153.99999999977"/>
  </r>
  <r>
    <s v="01/28/2025"/>
    <x v="1"/>
    <x v="2"/>
    <s v="M&amp;T Operating"/>
    <m/>
    <s v="Expense"/>
    <s v="Bancorpsv (Benefit Deduction)"/>
    <s v="22335 Accrued Expenses:Accrued Expenses - Bankcorp Clearing"/>
    <x v="1"/>
    <x v="1"/>
    <n v="15"/>
    <m/>
    <n v="-15"/>
    <n v="541138.99999999977"/>
  </r>
  <r>
    <s v="01/28/2025"/>
    <x v="1"/>
    <x v="2"/>
    <s v="M&amp;T Operating"/>
    <m/>
    <s v="Expense"/>
    <s v="Further FKA SelctAccount"/>
    <s v="22330 Accrued Expenses:Accrued Expenses - Further Clearing"/>
    <x v="1"/>
    <x v="1"/>
    <n v="133.47999999999999"/>
    <m/>
    <n v="-133.47999999999999"/>
    <n v="541005.51999999979"/>
  </r>
  <r>
    <s v="01/28/2025"/>
    <x v="1"/>
    <x v="2"/>
    <s v="M&amp;T Operating"/>
    <m/>
    <s v="Expense"/>
    <s v="The Principal"/>
    <s v="22310 Accrued Expenses:Accrued Expenses - Principal Clearing"/>
    <x v="1"/>
    <x v="1"/>
    <n v="75"/>
    <m/>
    <n v="-75"/>
    <n v="540930.51999999979"/>
  </r>
  <r>
    <s v="01/28/2025"/>
    <x v="1"/>
    <x v="2"/>
    <s v="M&amp;T Operating"/>
    <m/>
    <s v="Transfer"/>
    <m/>
    <s v="10010 M&amp;T Bank - IntraFi Network Sweep"/>
    <x v="0"/>
    <x v="0"/>
    <n v="40960.519999999997"/>
    <m/>
    <n v="-40960.519999999997"/>
    <n v="499969.99999999977"/>
  </r>
  <r>
    <s v="01/30/2025"/>
    <x v="1"/>
    <x v="2"/>
    <s v="M&amp;T Operating"/>
    <m/>
    <s v="Payment"/>
    <s v="Acumen Solutions, Inc."/>
    <s v="11005 Accounts Receivable"/>
    <x v="2"/>
    <x v="2"/>
    <m/>
    <n v="19448"/>
    <n v="19448"/>
    <n v="519417.99999999977"/>
  </r>
  <r>
    <s v="01/30/2025"/>
    <x v="1"/>
    <x v="2"/>
    <s v="M&amp;T Operating"/>
    <m/>
    <s v="Deposit"/>
    <s v="Freedom Service Dogs Inc.:Managed Services"/>
    <s v="14005 Undeposited Funds"/>
    <x v="2"/>
    <x v="2"/>
    <m/>
    <n v="1500"/>
    <n v="1500"/>
    <n v="520917.99999999977"/>
  </r>
  <r>
    <s v="01/30/2025"/>
    <x v="1"/>
    <x v="2"/>
    <s v="M&amp;T Operating"/>
    <m/>
    <s v="Expense"/>
    <s v="Paylocity"/>
    <s v="22205 Accrued Expenses:Accrued Expenses - Payroll Clearing"/>
    <x v="1"/>
    <x v="1"/>
    <n v="112.5"/>
    <m/>
    <n v="-112.5"/>
    <n v="520805.49999999977"/>
  </r>
  <r>
    <s v="01/30/2025"/>
    <x v="1"/>
    <x v="2"/>
    <s v="M&amp;T Operating"/>
    <m/>
    <s v="Expense"/>
    <s v="Paylocity"/>
    <s v="22205 Accrued Expenses:Accrued Expenses - Payroll Clearing"/>
    <x v="1"/>
    <x v="11"/>
    <n v="41306.46"/>
    <m/>
    <n v="-41306.46"/>
    <n v="479499.03999999975"/>
  </r>
  <r>
    <s v="01/30/2025"/>
    <x v="1"/>
    <x v="2"/>
    <s v="M&amp;T Operating"/>
    <m/>
    <s v="Expense"/>
    <s v="Paylocity"/>
    <s v="22205 Accrued Expenses:Accrued Expenses - Payroll Clearing"/>
    <x v="1"/>
    <x v="12"/>
    <n v="75824.77"/>
    <m/>
    <n v="-75824.77"/>
    <n v="403674.26999999973"/>
  </r>
  <r>
    <s v="01/30/2025"/>
    <x v="1"/>
    <x v="2"/>
    <s v="M&amp;T Operating"/>
    <m/>
    <s v="Expense"/>
    <s v="QuickBooks Payments"/>
    <s v="69805 General &amp; Administrative:G&amp;A - Bank Fees"/>
    <x v="0"/>
    <x v="6"/>
    <n v="15"/>
    <m/>
    <n v="-15"/>
    <n v="403659.26999999973"/>
  </r>
  <r>
    <s v="01/30/2025"/>
    <x v="1"/>
    <x v="2"/>
    <s v="M&amp;T Operating"/>
    <m/>
    <s v="Expense"/>
    <s v="Wex Health, Inc."/>
    <s v="22320 Accrued Expenses:Accrued Expenses - WEX Clearing"/>
    <x v="1"/>
    <x v="1"/>
    <n v="25"/>
    <m/>
    <n v="-25"/>
    <n v="403634.26999999973"/>
  </r>
  <r>
    <s v="01/30/2025"/>
    <x v="1"/>
    <x v="2"/>
    <s v="M&amp;T Operating"/>
    <m/>
    <s v="Transfer"/>
    <m/>
    <s v="10010 M&amp;T Bank - IntraFi Network Sweep"/>
    <x v="0"/>
    <x v="0"/>
    <m/>
    <n v="97820.73"/>
    <n v="97820.73"/>
    <n v="501454.99999999971"/>
  </r>
  <r>
    <s v="01/31/2025"/>
    <x v="1"/>
    <x v="2"/>
    <s v="M&amp;T Operating"/>
    <m/>
    <s v="Deposit"/>
    <s v="Aaron Velli"/>
    <s v="35125 Series A Preferred Stock:Aaron Velli"/>
    <x v="0"/>
    <x v="16"/>
    <m/>
    <n v="49999.71"/>
    <n v="49999.71"/>
    <n v="551454.70999999973"/>
  </r>
  <r>
    <s v="01/31/2025"/>
    <x v="1"/>
    <x v="2"/>
    <s v="M&amp;T Operating"/>
    <m/>
    <s v="Deposit"/>
    <s v="Absaroka Investments LLC"/>
    <s v="35130 Series A Preferred Stock:Absaroka Investments, LLC"/>
    <x v="0"/>
    <x v="16"/>
    <m/>
    <n v="50000"/>
    <n v="50000"/>
    <n v="601454.70999999973"/>
  </r>
  <r>
    <s v="01/31/2025"/>
    <x v="1"/>
    <x v="2"/>
    <s v="M&amp;T Operating"/>
    <m/>
    <s v="Deposit"/>
    <s v="Albert Krall"/>
    <s v="35135 Series A Preferred Stock:Albert M. Krall"/>
    <x v="0"/>
    <x v="16"/>
    <m/>
    <n v="50000"/>
    <n v="50000"/>
    <n v="651454.70999999973"/>
  </r>
  <r>
    <s v="01/31/2025"/>
    <x v="1"/>
    <x v="2"/>
    <s v="M&amp;T Operating"/>
    <m/>
    <s v="Expense"/>
    <s v="Bancorpsv (Benefit Deduction)"/>
    <s v="22335 Accrued Expenses:Accrued Expenses - Bankcorp Clearing"/>
    <x v="1"/>
    <x v="1"/>
    <n v="40.74"/>
    <m/>
    <n v="-40.74"/>
    <n v="651413.96999999974"/>
  </r>
  <r>
    <s v="01/31/2025"/>
    <x v="1"/>
    <x v="2"/>
    <s v="M&amp;T Operating"/>
    <m/>
    <s v="Payment"/>
    <s v="Core Clinical Management, LLC:Core Clinical - 2024 Managed Services"/>
    <s v="11005 Accounts Receivable"/>
    <x v="2"/>
    <x v="2"/>
    <m/>
    <n v="10066.200000000001"/>
    <n v="10066.200000000001"/>
    <n v="661480.16999999969"/>
  </r>
  <r>
    <s v="01/31/2025"/>
    <x v="1"/>
    <x v="2"/>
    <s v="M&amp;T Operating"/>
    <m/>
    <s v="Payment"/>
    <s v="Curonix LLC:Curonix Managed Services"/>
    <s v="11005 Accounts Receivable"/>
    <x v="2"/>
    <x v="2"/>
    <m/>
    <n v="8750"/>
    <n v="8750"/>
    <n v="670230.16999999969"/>
  </r>
  <r>
    <s v="01/31/2025"/>
    <x v="1"/>
    <x v="2"/>
    <s v="M&amp;T Operating"/>
    <m/>
    <s v="Payment"/>
    <s v="Great Expressions Dental Centers:Great Expressions Dental - Marketing Managed Services"/>
    <s v="11005 Accounts Receivable"/>
    <x v="2"/>
    <x v="2"/>
    <m/>
    <n v="8400"/>
    <n v="8400"/>
    <n v="678630.16999999969"/>
  </r>
  <r>
    <s v="01/31/2025"/>
    <x v="1"/>
    <x v="2"/>
    <s v="M&amp;T Operating"/>
    <m/>
    <s v="Deposit"/>
    <s v="M&amp;T Bank"/>
    <s v="71005 Interest"/>
    <x v="0"/>
    <x v="17"/>
    <m/>
    <n v="7748.71"/>
    <n v="7748.71"/>
    <n v="686378.87999999966"/>
  </r>
  <r>
    <s v="01/31/2025"/>
    <x v="1"/>
    <x v="2"/>
    <s v="M&amp;T Operating"/>
    <m/>
    <s v="Deposit"/>
    <s v="Michelle Perry"/>
    <s v="35155 Series A Preferred Stock:Michele M. Perry-Boucher Living Trust"/>
    <x v="0"/>
    <x v="16"/>
    <m/>
    <n v="49999.71"/>
    <n v="49999.71"/>
    <n v="736378.58999999962"/>
  </r>
  <r>
    <s v="01/31/2025"/>
    <x v="1"/>
    <x v="2"/>
    <s v="M&amp;T Operating"/>
    <m/>
    <s v="Payment"/>
    <s v="Msol Inc. DBA Macro Solutions"/>
    <s v="11005 Accounts Receivable"/>
    <x v="2"/>
    <x v="2"/>
    <m/>
    <n v="33580"/>
    <n v="33580"/>
    <n v="769958.58999999962"/>
  </r>
  <r>
    <s v="01/31/2025"/>
    <x v="1"/>
    <x v="2"/>
    <s v="M&amp;T Operating"/>
    <m/>
    <s v="Bill Payment"/>
    <s v="New York Life"/>
    <s v="20005 Accounts Payable"/>
    <x v="1"/>
    <x v="1"/>
    <n v="1031.0899999999999"/>
    <m/>
    <n v="-1031.0899999999999"/>
    <n v="768927.49999999965"/>
  </r>
  <r>
    <s v="01/31/2025"/>
    <x v="1"/>
    <x v="2"/>
    <s v="M&amp;T Operating"/>
    <m/>
    <s v="Expense"/>
    <s v="Paylocity"/>
    <s v="22205 Accrued Expenses:Accrued Expenses - Payroll Clearing"/>
    <x v="1"/>
    <x v="1"/>
    <n v="294.52"/>
    <m/>
    <n v="-294.52"/>
    <n v="768632.97999999963"/>
  </r>
  <r>
    <s v="01/31/2025"/>
    <x v="1"/>
    <x v="2"/>
    <s v="M&amp;T Operating"/>
    <m/>
    <s v="Bill Payment"/>
    <s v="William Karpovich"/>
    <s v="20005 Accounts Payable"/>
    <x v="3"/>
    <x v="4"/>
    <n v="22235.54"/>
    <m/>
    <n v="-22235.54"/>
    <n v="746397.43999999959"/>
  </r>
  <r>
    <s v="01/31/2025"/>
    <x v="1"/>
    <x v="2"/>
    <s v="M&amp;T Operating"/>
    <m/>
    <s v="Transfer"/>
    <m/>
    <s v="10010 M&amp;T Bank - IntraFi Network Sweep"/>
    <x v="0"/>
    <x v="0"/>
    <n v="246427.44"/>
    <m/>
    <n v="-246427.44"/>
    <n v="499969.99999999959"/>
  </r>
  <r>
    <s v="02/03/2025"/>
    <x v="1"/>
    <x v="3"/>
    <s v="M&amp;T Operating"/>
    <m/>
    <s v="Expense"/>
    <s v="Bancorpsv (Benefit Deduction)"/>
    <s v="22335 Accrued Expenses:Accrued Expenses - Bankcorp Clearing"/>
    <x v="1"/>
    <x v="1"/>
    <n v="37.06"/>
    <m/>
    <n v="-37.06"/>
    <n v="499932.93999999959"/>
  </r>
  <r>
    <s v="02/03/2025"/>
    <x v="1"/>
    <x v="3"/>
    <s v="M&amp;T Operating"/>
    <m/>
    <s v="Expense"/>
    <s v="CareFirst Blue Cross Blue Shield"/>
    <s v="22300 Accrued Expenses:Accrued Expenses - BCBS Clearing"/>
    <x v="1"/>
    <x v="1"/>
    <n v="12890.92"/>
    <m/>
    <n v="-12890.92"/>
    <n v="487042.01999999961"/>
  </r>
  <r>
    <s v="02/03/2025"/>
    <x v="1"/>
    <x v="3"/>
    <s v="M&amp;T Operating"/>
    <m/>
    <s v="Credit Card Pmt"/>
    <s v="Chase Visa"/>
    <s v="21010 Chase Visa"/>
    <x v="5"/>
    <x v="18"/>
    <n v="324"/>
    <m/>
    <n v="-324"/>
    <n v="486718.01999999961"/>
  </r>
  <r>
    <s v="02/03/2025"/>
    <x v="1"/>
    <x v="3"/>
    <s v="M&amp;T Operating"/>
    <m/>
    <s v="Expense"/>
    <s v="CNA Insurance [AutoPay]"/>
    <s v="22305 Accrued Expenses:Accrued Expenses - Cigna Clearing"/>
    <x v="3"/>
    <x v="14"/>
    <n v="3794"/>
    <m/>
    <n v="-3794"/>
    <n v="482924.01999999961"/>
  </r>
  <r>
    <s v="02/03/2025"/>
    <x v="1"/>
    <x v="3"/>
    <s v="M&amp;T Operating"/>
    <m/>
    <s v="Deposit"/>
    <s v="John Karpovich"/>
    <s v="35150 Series A Preferred Stock:John C. Karpovich"/>
    <x v="0"/>
    <x v="16"/>
    <m/>
    <n v="50000"/>
    <n v="50000"/>
    <n v="532924.01999999955"/>
  </r>
  <r>
    <s v="02/03/2025"/>
    <x v="1"/>
    <x v="3"/>
    <s v="M&amp;T Operating"/>
    <m/>
    <s v="Bill Payment"/>
    <s v="Kashish Shah"/>
    <s v="20005 Accounts Payable"/>
    <x v="3"/>
    <x v="4"/>
    <n v="351.85"/>
    <m/>
    <n v="-351.85"/>
    <n v="532572.16999999958"/>
  </r>
  <r>
    <s v="02/03/2025"/>
    <x v="1"/>
    <x v="3"/>
    <s v="M&amp;T Operating"/>
    <m/>
    <s v="Deposit"/>
    <s v="Robert Patrick"/>
    <s v="35160 Series A Preferred Stock:Robert B. Patrick"/>
    <x v="0"/>
    <x v="16"/>
    <m/>
    <n v="50000"/>
    <n v="50000"/>
    <n v="582572.16999999958"/>
  </r>
  <r>
    <s v="02/03/2025"/>
    <x v="1"/>
    <x v="3"/>
    <s v="M&amp;T Operating"/>
    <m/>
    <s v="Deposit"/>
    <s v="Stephen McManus (Customer)"/>
    <s v="35165 Series A Preferred Stock:Stephen McManus"/>
    <x v="0"/>
    <x v="16"/>
    <m/>
    <n v="50000"/>
    <n v="50000"/>
    <n v="632572.16999999958"/>
  </r>
  <r>
    <s v="02/03/2025"/>
    <x v="1"/>
    <x v="3"/>
    <s v="M&amp;T Operating"/>
    <m/>
    <s v="Expense"/>
    <s v="The Principal"/>
    <s v="22310 Accrued Expenses:Accrued Expenses - Principal Clearing"/>
    <x v="1"/>
    <x v="1"/>
    <n v="7812.47"/>
    <m/>
    <n v="-7812.47"/>
    <n v="624759.6999999996"/>
  </r>
  <r>
    <s v="02/03/2025"/>
    <x v="1"/>
    <x v="3"/>
    <s v="M&amp;T Operating"/>
    <m/>
    <s v="Transfer"/>
    <m/>
    <s v="10010 M&amp;T Bank - IntraFi Network Sweep"/>
    <x v="0"/>
    <x v="0"/>
    <n v="124789.7"/>
    <m/>
    <n v="-124789.7"/>
    <n v="499969.99999999959"/>
  </r>
  <r>
    <s v="02/04/2025"/>
    <x v="1"/>
    <x v="3"/>
    <s v="M&amp;T Operating"/>
    <m/>
    <s v="Deposit"/>
    <s v="Bloomberg BetaLP"/>
    <s v="35120 Series A Preferred Stock:Bloomberg Beta LP"/>
    <x v="0"/>
    <x v="16"/>
    <m/>
    <n v="499999.44"/>
    <n v="499999.44"/>
    <n v="999969.43999999959"/>
  </r>
  <r>
    <s v="02/04/2025"/>
    <x v="1"/>
    <x v="3"/>
    <s v="M&amp;T Operating"/>
    <m/>
    <s v="Payment"/>
    <s v="Currencies Direct Limited:Redpin - Salesforce Assessment/Healthcheck"/>
    <s v="11005 Accounts Receivable"/>
    <x v="2"/>
    <x v="2"/>
    <m/>
    <n v="6935"/>
    <n v="6935"/>
    <n v="1006904.4399999996"/>
  </r>
  <r>
    <s v="02/04/2025"/>
    <x v="1"/>
    <x v="3"/>
    <s v="M&amp;T Operating"/>
    <m/>
    <s v="Deposit"/>
    <s v="Jeffery Nattans"/>
    <s v="35145 Series A Preferred Stock:Jeffrey A. Nattans"/>
    <x v="0"/>
    <x v="16"/>
    <m/>
    <n v="50000"/>
    <n v="50000"/>
    <n v="1056904.4399999995"/>
  </r>
  <r>
    <s v="02/04/2025"/>
    <x v="1"/>
    <x v="3"/>
    <s v="M&amp;T Operating"/>
    <m/>
    <s v="Transfer"/>
    <m/>
    <s v="10010 M&amp;T Bank - IntraFi Network Sweep"/>
    <x v="0"/>
    <x v="0"/>
    <n v="556934.43999999994"/>
    <m/>
    <n v="-556934.43999999994"/>
    <n v="499969.99999999953"/>
  </r>
  <r>
    <s v="02/05/2025"/>
    <x v="1"/>
    <x v="3"/>
    <s v="M&amp;T Operating"/>
    <m/>
    <s v="Deposit"/>
    <s v="Donald Rainey"/>
    <s v="35140 Series A Preferred Stock:Donald James Rainey"/>
    <x v="0"/>
    <x v="16"/>
    <m/>
    <n v="50000"/>
    <n v="50000"/>
    <n v="549969.99999999953"/>
  </r>
  <r>
    <s v="02/05/2025"/>
    <x v="1"/>
    <x v="3"/>
    <s v="M&amp;T Operating"/>
    <m/>
    <s v="Expense"/>
    <s v="Wex Health, Inc."/>
    <s v="22320 Accrued Expenses:Accrued Expenses - WEX Clearing"/>
    <x v="1"/>
    <x v="1"/>
    <n v="622.16999999999996"/>
    <m/>
    <n v="-622.16999999999996"/>
    <n v="549347.82999999949"/>
  </r>
  <r>
    <s v="02/05/2025"/>
    <x v="1"/>
    <x v="3"/>
    <s v="M&amp;T Operating"/>
    <m/>
    <s v="Transfer"/>
    <m/>
    <s v="10010 M&amp;T Bank - IntraFi Network Sweep"/>
    <x v="0"/>
    <x v="0"/>
    <n v="49377.83"/>
    <m/>
    <n v="-49377.83"/>
    <n v="499969.99999999948"/>
  </r>
  <r>
    <s v="02/06/2025"/>
    <x v="1"/>
    <x v="3"/>
    <s v="M&amp;T Operating"/>
    <m/>
    <s v="Expense"/>
    <s v="Bancorpsv (Benefit Deduction)"/>
    <s v="22335 Accrued Expenses:Accrued Expenses - Bankcorp Clearing"/>
    <x v="1"/>
    <x v="1"/>
    <n v="15"/>
    <m/>
    <n v="-15"/>
    <n v="499954.99999999948"/>
  </r>
  <r>
    <s v="02/06/2025"/>
    <x v="1"/>
    <x v="3"/>
    <s v="M&amp;T Operating"/>
    <m/>
    <s v="Payment"/>
    <s v="Delta Dental Washington:Delta Dental Washington - Fixed Fee Scope A"/>
    <s v="11005 Accounts Receivable"/>
    <x v="2"/>
    <x v="2"/>
    <m/>
    <n v="50000"/>
    <n v="50000"/>
    <n v="549954.99999999953"/>
  </r>
  <r>
    <s v="02/06/2025"/>
    <x v="1"/>
    <x v="3"/>
    <s v="M&amp;T Operating"/>
    <m/>
    <s v="Expense"/>
    <s v="Wex Health, Inc."/>
    <s v="22320 Accrued Expenses:Accrued Expenses - WEX Clearing"/>
    <x v="1"/>
    <x v="1"/>
    <n v="596.95000000000005"/>
    <m/>
    <n v="-596.95000000000005"/>
    <n v="549358.04999999958"/>
  </r>
  <r>
    <s v="02/06/2025"/>
    <x v="1"/>
    <x v="3"/>
    <s v="M&amp;T Operating"/>
    <m/>
    <s v="Transfer"/>
    <m/>
    <s v="10010 M&amp;T Bank - IntraFi Network Sweep"/>
    <x v="0"/>
    <x v="0"/>
    <n v="49388.05"/>
    <m/>
    <n v="-49388.05"/>
    <n v="499969.99999999959"/>
  </r>
  <r>
    <s v="02/07/2025"/>
    <x v="1"/>
    <x v="3"/>
    <s v="M&amp;T Operating"/>
    <m/>
    <s v="Bill Payment"/>
    <s v="HireRight"/>
    <s v="20005 Accounts Payable"/>
    <x v="3"/>
    <x v="15"/>
    <n v="807.23"/>
    <m/>
    <n v="-807.23"/>
    <n v="499162.76999999961"/>
  </r>
  <r>
    <s v="02/07/2025"/>
    <x v="1"/>
    <x v="3"/>
    <s v="M&amp;T Operating"/>
    <m/>
    <s v="Bill Payment"/>
    <s v="Investigo LLC"/>
    <s v="20005 Accounts Payable"/>
    <x v="4"/>
    <x v="9"/>
    <n v="975"/>
    <m/>
    <n v="-975"/>
    <n v="498187.76999999961"/>
  </r>
  <r>
    <s v="02/07/2025"/>
    <x v="1"/>
    <x v="3"/>
    <s v="M&amp;T Operating"/>
    <m/>
    <s v="Payment"/>
    <s v="State of Virginia - State Corporation Commission:State of Virginia/Guidehouse"/>
    <s v="11005 Accounts Receivable"/>
    <x v="2"/>
    <x v="2"/>
    <m/>
    <n v="13640"/>
    <n v="13640"/>
    <n v="511827.76999999961"/>
  </r>
  <r>
    <s v="02/07/2025"/>
    <x v="1"/>
    <x v="3"/>
    <s v="M&amp;T Operating"/>
    <m/>
    <s v="Bill Payment"/>
    <s v="Whitehouse &amp; Cooper, PLCC"/>
    <s v="20005 Accounts Payable"/>
    <x v="3"/>
    <x v="5"/>
    <n v="1909"/>
    <m/>
    <n v="-1909"/>
    <n v="509918.76999999961"/>
  </r>
  <r>
    <s v="02/07/2025"/>
    <x v="1"/>
    <x v="3"/>
    <s v="M&amp;T Operating"/>
    <m/>
    <s v="Transfer"/>
    <m/>
    <s v="10010 M&amp;T Bank - IntraFi Network Sweep"/>
    <x v="0"/>
    <x v="0"/>
    <n v="9948.77"/>
    <m/>
    <n v="-9948.77"/>
    <n v="499969.99999999959"/>
  </r>
  <r>
    <s v="02/10/2025"/>
    <x v="1"/>
    <x v="3"/>
    <s v="M&amp;T Operating"/>
    <m/>
    <s v="Bill Payment"/>
    <s v="Andrew Benjamin Klajman andrewklajman78@gmail.com USD"/>
    <s v="20005 Accounts Payable"/>
    <x v="4"/>
    <x v="7"/>
    <n v="285"/>
    <m/>
    <n v="-285"/>
    <n v="499684.99999999959"/>
  </r>
  <r>
    <s v="02/10/2025"/>
    <x v="1"/>
    <x v="3"/>
    <s v="M&amp;T Operating"/>
    <m/>
    <s v="Bill Payment"/>
    <s v="Ashley MacArthur ashley@getboss.io USD"/>
    <s v="20005 Accounts Payable"/>
    <x v="3"/>
    <x v="8"/>
    <n v="150"/>
    <m/>
    <n v="-150"/>
    <n v="499534.99999999959"/>
  </r>
  <r>
    <s v="02/10/2025"/>
    <x v="1"/>
    <x v="3"/>
    <s v="M&amp;T Operating"/>
    <m/>
    <s v="Bill Payment"/>
    <s v="Ashley MacArthur ashley@getboss.io USD"/>
    <s v="20005 Accounts Payable"/>
    <x v="3"/>
    <x v="8"/>
    <n v="250"/>
    <m/>
    <n v="-250"/>
    <n v="499284.99999999959"/>
  </r>
  <r>
    <s v="02/10/2025"/>
    <x v="1"/>
    <x v="3"/>
    <s v="M&amp;T Operating"/>
    <m/>
    <s v="Bill Payment"/>
    <s v="Ashley MacArthur ashley@getboss.io USD"/>
    <s v="20005 Accounts Payable"/>
    <x v="3"/>
    <x v="8"/>
    <n v="3570"/>
    <m/>
    <n v="-3570"/>
    <n v="495714.99999999959"/>
  </r>
  <r>
    <s v="02/10/2025"/>
    <x v="1"/>
    <x v="3"/>
    <s v="M&amp;T Operating"/>
    <m/>
    <s v="Bill Payment"/>
    <s v="Bartosz Juriewicz bartosz.juriewicz@gmail.com USD"/>
    <s v="20005 Accounts Payable"/>
    <x v="4"/>
    <x v="7"/>
    <n v="15190"/>
    <m/>
    <n v="-15190"/>
    <n v="480524.99999999959"/>
  </r>
  <r>
    <s v="02/10/2025"/>
    <x v="1"/>
    <x v="3"/>
    <s v="M&amp;T Operating"/>
    <m/>
    <s v="Bill Payment"/>
    <s v="Brian Reilly brreilly@yahoo.com USD"/>
    <s v="20005 Accounts Payable"/>
    <x v="4"/>
    <x v="9"/>
    <n v="19250"/>
    <m/>
    <n v="-19250"/>
    <n v="461274.99999999959"/>
  </r>
  <r>
    <s v="02/10/2025"/>
    <x v="1"/>
    <x v="3"/>
    <s v="M&amp;T Operating"/>
    <m/>
    <s v="Bill Payment"/>
    <s v="Candy Marte Garcia candymartegarcia@gmail.com USD"/>
    <s v="20005 Accounts Payable"/>
    <x v="4"/>
    <x v="7"/>
    <n v="2430"/>
    <m/>
    <n v="-2430"/>
    <n v="458844.99999999959"/>
  </r>
  <r>
    <s v="02/10/2025"/>
    <x v="1"/>
    <x v="3"/>
    <s v="M&amp;T Operating"/>
    <m/>
    <s v="Bill Payment"/>
    <s v="Charles McGuinness charles@mcguinness.ai USD"/>
    <s v="20005 Accounts Payable"/>
    <x v="4"/>
    <x v="9"/>
    <n v="25000"/>
    <m/>
    <n v="-25000"/>
    <n v="433844.99999999959"/>
  </r>
  <r>
    <s v="02/10/2025"/>
    <x v="1"/>
    <x v="3"/>
    <s v="M&amp;T Operating"/>
    <m/>
    <s v="Bill Payment"/>
    <s v="Dane Kim dane.w.kim@gmail.com USD"/>
    <s v="20005 Accounts Payable"/>
    <x v="4"/>
    <x v="7"/>
    <n v="2687.5"/>
    <m/>
    <n v="-2687.5"/>
    <n v="431157.49999999959"/>
  </r>
  <r>
    <s v="02/10/2025"/>
    <x v="1"/>
    <x v="3"/>
    <s v="M&amp;T Operating"/>
    <m/>
    <s v="Bill Payment"/>
    <s v="Deel billing invoices deel@deel.com USD"/>
    <s v="20005 Accounts Payable"/>
    <x v="3"/>
    <x v="10"/>
    <n v="5"/>
    <m/>
    <n v="-5"/>
    <n v="431152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1103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1054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1005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956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907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858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809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760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711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662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613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564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515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466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417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368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319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270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221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172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123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074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025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976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927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878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829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780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731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682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633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584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535.49999999959"/>
  </r>
  <r>
    <s v="02/10/2025"/>
    <x v="1"/>
    <x v="3"/>
    <s v="M&amp;T Operating"/>
    <m/>
    <s v="Bill Payment"/>
    <s v="Duane Nelson duanen@gmail.com USD"/>
    <s v="20005 Accounts Payable"/>
    <x v="4"/>
    <x v="9"/>
    <n v="18600"/>
    <m/>
    <n v="-18600"/>
    <n v="410935.49999999959"/>
  </r>
  <r>
    <s v="02/10/2025"/>
    <x v="1"/>
    <x v="3"/>
    <s v="M&amp;T Operating"/>
    <m/>
    <s v="Bill Payment"/>
    <s v="Focus Fractional LLC"/>
    <s v="20005 Accounts Payable"/>
    <x v="3"/>
    <x v="8"/>
    <n v="17200"/>
    <m/>
    <n v="-17200"/>
    <n v="393735.49999999959"/>
  </r>
  <r>
    <s v="02/10/2025"/>
    <x v="1"/>
    <x v="3"/>
    <s v="M&amp;T Operating"/>
    <m/>
    <s v="Bill Payment"/>
    <s v="Herbert Donald Edwards don.edwards01@gmail.com USD"/>
    <s v="20005 Accounts Payable"/>
    <x v="4"/>
    <x v="7"/>
    <n v="8325"/>
    <m/>
    <n v="-8325"/>
    <n v="385410.49999999959"/>
  </r>
  <r>
    <s v="02/10/2025"/>
    <x v="1"/>
    <x v="3"/>
    <s v="M&amp;T Operating"/>
    <m/>
    <s v="Bill Payment"/>
    <s v="Jason Francis Crum jasonfcrum@gmail.com USD"/>
    <s v="20005 Accounts Payable"/>
    <x v="4"/>
    <x v="9"/>
    <n v="12000"/>
    <m/>
    <n v="-12000"/>
    <n v="373410.49999999959"/>
  </r>
  <r>
    <s v="02/10/2025"/>
    <x v="1"/>
    <x v="3"/>
    <s v="M&amp;T Operating"/>
    <m/>
    <s v="Bill Payment"/>
    <s v="Jeffrey Stephen Mcfarland jeffsmcfarland@gmail.com USD"/>
    <s v="20005 Accounts Payable"/>
    <x v="4"/>
    <x v="9"/>
    <n v="1330"/>
    <m/>
    <n v="-1330"/>
    <n v="372080.49999999959"/>
  </r>
  <r>
    <s v="02/10/2025"/>
    <x v="1"/>
    <x v="3"/>
    <s v="M&amp;T Operating"/>
    <m/>
    <s v="Bill Payment"/>
    <s v="Jose Atencio Jimenez hello@joseatencio.com USD"/>
    <s v="20005 Accounts Payable"/>
    <x v="4"/>
    <x v="9"/>
    <n v="249.6"/>
    <m/>
    <n v="-249.6"/>
    <n v="371830.89999999962"/>
  </r>
  <r>
    <s v="02/10/2025"/>
    <x v="1"/>
    <x v="3"/>
    <s v="M&amp;T Operating"/>
    <m/>
    <s v="Bill Payment"/>
    <s v="Joseph Mallek joe@nimblefire.com USD"/>
    <s v="20005 Accounts Payable"/>
    <x v="4"/>
    <x v="9"/>
    <n v="10000"/>
    <m/>
    <n v="-10000"/>
    <n v="361830.89999999962"/>
  </r>
  <r>
    <s v="02/10/2025"/>
    <x v="1"/>
    <x v="3"/>
    <s v="M&amp;T Operating"/>
    <m/>
    <s v="Bill Payment"/>
    <s v="Kathleen Ferrie Marketing LLC"/>
    <s v="20005 Accounts Payable"/>
    <x v="4"/>
    <x v="9"/>
    <n v="2175"/>
    <m/>
    <n v="-2175"/>
    <n v="359655.89999999962"/>
  </r>
  <r>
    <s v="02/10/2025"/>
    <x v="1"/>
    <x v="3"/>
    <s v="M&amp;T Operating"/>
    <m/>
    <s v="Bill Payment"/>
    <s v="Kirk Leibert kleibert@gmail.com USD"/>
    <s v="20005 Accounts Payable"/>
    <x v="4"/>
    <x v="7"/>
    <n v="16065"/>
    <m/>
    <n v="-16065"/>
    <n v="343590.89999999962"/>
  </r>
  <r>
    <s v="02/10/2025"/>
    <x v="1"/>
    <x v="3"/>
    <s v="M&amp;T Operating"/>
    <m/>
    <s v="Expense"/>
    <s v="M&amp;T Bank"/>
    <s v="69805 General &amp; Administrative:G&amp;A - Bank Fees"/>
    <x v="0"/>
    <x v="6"/>
    <n v="398.54"/>
    <m/>
    <n v="-398.54"/>
    <n v="343192.35999999964"/>
  </r>
  <r>
    <s v="02/10/2025"/>
    <x v="1"/>
    <x v="3"/>
    <s v="M&amp;T Operating"/>
    <m/>
    <s v="Bill Payment"/>
    <s v="McMax LLC"/>
    <s v="20005 Accounts Payable"/>
    <x v="4"/>
    <x v="7"/>
    <n v="5122.5"/>
    <m/>
    <n v="-5122.5"/>
    <n v="338069.85999999964"/>
  </r>
  <r>
    <s v="02/10/2025"/>
    <x v="1"/>
    <x v="3"/>
    <s v="M&amp;T Operating"/>
    <m/>
    <s v="Expense"/>
    <s v="New York Life"/>
    <s v="22315 Accrued Expenses:Accrued Expenses - NY Life Clearing"/>
    <x v="1"/>
    <x v="1"/>
    <n v="995.73"/>
    <m/>
    <n v="-995.73"/>
    <n v="337074.12999999966"/>
  </r>
  <r>
    <s v="02/10/2025"/>
    <x v="1"/>
    <x v="3"/>
    <s v="M&amp;T Operating"/>
    <m/>
    <s v="Bill Payment"/>
    <s v="Paul Peterson paul.01.peterson@gmail.com USD"/>
    <s v="20005 Accounts Payable"/>
    <x v="4"/>
    <x v="7"/>
    <n v="12000"/>
    <m/>
    <n v="-12000"/>
    <n v="325074.12999999966"/>
  </r>
  <r>
    <s v="02/10/2025"/>
    <x v="1"/>
    <x v="3"/>
    <s v="M&amp;T Operating"/>
    <m/>
    <s v="Bill Payment"/>
    <s v="Pedro Rubio pedro@blackfyre.app USD"/>
    <s v="20005 Accounts Payable"/>
    <x v="4"/>
    <x v="9"/>
    <n v="199"/>
    <m/>
    <n v="-199"/>
    <n v="324875.12999999966"/>
  </r>
  <r>
    <s v="02/10/2025"/>
    <x v="1"/>
    <x v="3"/>
    <s v="M&amp;T Operating"/>
    <m/>
    <s v="Bill Payment"/>
    <s v="Prasanna Patel prasanna.patel@xtransmatrix.com USD"/>
    <s v="20005 Accounts Payable"/>
    <x v="4"/>
    <x v="9"/>
    <n v="3640"/>
    <m/>
    <n v="-3640"/>
    <n v="321235.12999999966"/>
  </r>
  <r>
    <s v="02/10/2025"/>
    <x v="1"/>
    <x v="3"/>
    <s v="M&amp;T Operating"/>
    <m/>
    <s v="Bill Payment"/>
    <s v="Prasanna Patel prasanna.patel@xtransmatrix.com USD"/>
    <s v="20005 Accounts Payable"/>
    <x v="4"/>
    <x v="9"/>
    <n v="4600"/>
    <m/>
    <n v="-4600"/>
    <n v="316635.12999999966"/>
  </r>
  <r>
    <s v="02/10/2025"/>
    <x v="1"/>
    <x v="3"/>
    <s v="M&amp;T Operating"/>
    <m/>
    <s v="Bill Payment"/>
    <s v="Resolute Creative Group, LLC"/>
    <s v="20005 Accounts Payable"/>
    <x v="4"/>
    <x v="7"/>
    <n v="62.5"/>
    <m/>
    <n v="-62.5"/>
    <n v="316572.62999999966"/>
  </r>
  <r>
    <s v="02/10/2025"/>
    <x v="1"/>
    <x v="3"/>
    <s v="M&amp;T Operating"/>
    <m/>
    <s v="Bill Payment"/>
    <s v="SALESFORCE CRM CONSULTING PTY LTD"/>
    <s v="20005 Accounts Payable"/>
    <x v="4"/>
    <x v="7"/>
    <n v="325"/>
    <m/>
    <n v="-325"/>
    <n v="316247.62999999966"/>
  </r>
  <r>
    <s v="02/10/2025"/>
    <x v="1"/>
    <x v="3"/>
    <s v="M&amp;T Operating"/>
    <m/>
    <s v="Bill Payment"/>
    <s v="SALESFORCE CRM CONSULTING PTY LTD"/>
    <s v="20005 Accounts Payable"/>
    <x v="4"/>
    <x v="7"/>
    <n v="600"/>
    <m/>
    <n v="-600"/>
    <n v="315647.62999999966"/>
  </r>
  <r>
    <s v="02/10/2025"/>
    <x v="1"/>
    <x v="3"/>
    <s v="M&amp;T Operating"/>
    <m/>
    <s v="Bill Payment"/>
    <s v="SALESFORCE CRM CONSULTING PTY LTD"/>
    <s v="20005 Accounts Payable"/>
    <x v="4"/>
    <x v="7"/>
    <n v="1225"/>
    <m/>
    <n v="-1225"/>
    <n v="314422.62999999966"/>
  </r>
  <r>
    <s v="02/10/2025"/>
    <x v="1"/>
    <x v="3"/>
    <s v="M&amp;T Operating"/>
    <m/>
    <s v="Bill Payment"/>
    <s v="SALESFORCE CRM CONSULTING PTY LTD"/>
    <s v="20005 Accounts Payable"/>
    <x v="4"/>
    <x v="7"/>
    <n v="2450"/>
    <m/>
    <n v="-2450"/>
    <n v="311972.62999999966"/>
  </r>
  <r>
    <s v="02/10/2025"/>
    <x v="1"/>
    <x v="3"/>
    <s v="M&amp;T Operating"/>
    <m/>
    <s v="Bill Payment"/>
    <s v="SALESFORCE CRM CONSULTING PTY LTD"/>
    <s v="20005 Accounts Payable"/>
    <x v="4"/>
    <x v="7"/>
    <n v="490"/>
    <m/>
    <n v="-490"/>
    <n v="311482.62999999966"/>
  </r>
  <r>
    <s v="02/10/2025"/>
    <x v="1"/>
    <x v="3"/>
    <s v="M&amp;T Operating"/>
    <m/>
    <s v="Bill Payment"/>
    <s v="SALESFORCE CRM CONSULTING PTY LTD"/>
    <s v="20005 Accounts Payable"/>
    <x v="4"/>
    <x v="7"/>
    <n v="43.75"/>
    <m/>
    <n v="-43.75"/>
    <n v="311438.87999999966"/>
  </r>
  <r>
    <s v="02/10/2025"/>
    <x v="1"/>
    <x v="3"/>
    <s v="M&amp;T Operating"/>
    <m/>
    <s v="Bill Payment"/>
    <s v="SALESFORCE CRM CONSULTING PTY LTD"/>
    <s v="20005 Accounts Payable"/>
    <x v="4"/>
    <x v="7"/>
    <n v="3955"/>
    <m/>
    <n v="-3955"/>
    <n v="307483.87999999966"/>
  </r>
  <r>
    <s v="02/10/2025"/>
    <x v="1"/>
    <x v="3"/>
    <s v="M&amp;T Operating"/>
    <m/>
    <s v="Bill Payment"/>
    <s v="SALESFORCE CRM CONSULTING PTY LTD"/>
    <s v="20005 Accounts Payable"/>
    <x v="4"/>
    <x v="7"/>
    <n v="630"/>
    <m/>
    <n v="-630"/>
    <n v="306853.87999999966"/>
  </r>
  <r>
    <s v="02/10/2025"/>
    <x v="1"/>
    <x v="3"/>
    <s v="M&amp;T Operating"/>
    <m/>
    <s v="Bill Payment"/>
    <s v="SALESFORCE CRM CONSULTING PTY LTD"/>
    <s v="20005 Accounts Payable"/>
    <x v="4"/>
    <x v="7"/>
    <n v="770"/>
    <m/>
    <n v="-770"/>
    <n v="306083.87999999966"/>
  </r>
  <r>
    <s v="02/10/2025"/>
    <x v="1"/>
    <x v="3"/>
    <s v="M&amp;T Operating"/>
    <m/>
    <s v="Bill Payment"/>
    <s v="SALESFORCE CRM CONSULTING PTY LTD"/>
    <s v="20005 Accounts Payable"/>
    <x v="4"/>
    <x v="7"/>
    <n v="665"/>
    <m/>
    <n v="-665"/>
    <n v="305418.87999999966"/>
  </r>
  <r>
    <s v="02/10/2025"/>
    <x v="1"/>
    <x v="3"/>
    <s v="M&amp;T Operating"/>
    <m/>
    <s v="Bill Payment"/>
    <s v="Shazib Mahmood shazibm91@gmail.com USD"/>
    <s v="20005 Accounts Payable"/>
    <x v="4"/>
    <x v="7"/>
    <n v="18180"/>
    <m/>
    <n v="-18180"/>
    <n v="287238.87999999966"/>
  </r>
  <r>
    <s v="02/10/2025"/>
    <x v="1"/>
    <x v="3"/>
    <s v="M&amp;T Operating"/>
    <m/>
    <s v="Expense"/>
    <s v="Wex Health, Inc."/>
    <s v="22320 Accrued Expenses:Accrued Expenses - WEX Clearing"/>
    <x v="1"/>
    <x v="1"/>
    <n v="25"/>
    <m/>
    <n v="-25"/>
    <n v="287213.87999999966"/>
  </r>
  <r>
    <s v="02/10/2025"/>
    <x v="1"/>
    <x v="3"/>
    <s v="M&amp;T Operating"/>
    <m/>
    <s v="Transfer"/>
    <m/>
    <s v="10010 M&amp;T Bank - IntraFi Network Sweep"/>
    <x v="0"/>
    <x v="0"/>
    <m/>
    <n v="212756.12"/>
    <n v="212756.12"/>
    <n v="499969.99999999965"/>
  </r>
  <r>
    <s v="02/11/2025"/>
    <x v="1"/>
    <x v="3"/>
    <s v="M&amp;T Operating"/>
    <m/>
    <s v="Deposit"/>
    <s v="American Benefit Cobra"/>
    <s v="22325 Accrued Expenses:Accrued Expenses - COBRA Clearing"/>
    <x v="1"/>
    <x v="1"/>
    <m/>
    <n v="999.41"/>
    <n v="999.41"/>
    <n v="500969.40999999963"/>
  </r>
  <r>
    <s v="02/11/2025"/>
    <x v="1"/>
    <x v="3"/>
    <s v="M&amp;T Operating"/>
    <m/>
    <s v="Expense"/>
    <s v="Further FKA SelctAccount"/>
    <s v="22330 Accrued Expenses:Accrued Expenses - Further Clearing"/>
    <x v="1"/>
    <x v="1"/>
    <n v="387.33"/>
    <m/>
    <n v="-387.33"/>
    <n v="500582.07999999961"/>
  </r>
  <r>
    <s v="02/11/2025"/>
    <x v="1"/>
    <x v="3"/>
    <s v="M&amp;T Operating"/>
    <m/>
    <s v="Expense"/>
    <s v="Paylocity"/>
    <s v="69125 General &amp; Administrative:G&amp;A - Payroll Tax"/>
    <x v="1"/>
    <x v="3"/>
    <n v="4"/>
    <m/>
    <n v="-4"/>
    <n v="500578.07999999961"/>
  </r>
  <r>
    <s v="02/11/2025"/>
    <x v="1"/>
    <x v="3"/>
    <s v="M&amp;T Operating"/>
    <m/>
    <s v="Bill Payment"/>
    <s v="Venkatram B Reddy"/>
    <s v="20005 Accounts Payable"/>
    <x v="3"/>
    <x v="4"/>
    <n v="147.57"/>
    <m/>
    <n v="-147.57"/>
    <n v="500430.5099999996"/>
  </r>
  <r>
    <s v="02/11/2025"/>
    <x v="1"/>
    <x v="3"/>
    <s v="M&amp;T Operating"/>
    <m/>
    <s v="Expense"/>
    <s v="Wex Health, Inc."/>
    <s v="22320 Accrued Expenses:Accrued Expenses - WEX Clearing"/>
    <x v="1"/>
    <x v="1"/>
    <n v="12.98"/>
    <m/>
    <n v="-12.98"/>
    <n v="500417.52999999962"/>
  </r>
  <r>
    <s v="02/11/2025"/>
    <x v="1"/>
    <x v="3"/>
    <s v="M&amp;T Operating"/>
    <m/>
    <s v="Transfer"/>
    <m/>
    <s v="10010 M&amp;T Bank - IntraFi Network Sweep"/>
    <x v="0"/>
    <x v="0"/>
    <n v="447.53"/>
    <m/>
    <n v="-447.53"/>
    <n v="499969.99999999959"/>
  </r>
  <r>
    <s v="02/12/2025"/>
    <x v="1"/>
    <x v="3"/>
    <s v="M&amp;T Operating"/>
    <m/>
    <s v="Expense"/>
    <s v="Bancorpsv (Benefit Deduction)"/>
    <s v="22335 Accrued Expenses:Accrued Expenses - Bankcorp Clearing"/>
    <x v="1"/>
    <x v="1"/>
    <n v="25"/>
    <m/>
    <n v="-25"/>
    <n v="499944.99999999959"/>
  </r>
  <r>
    <s v="02/12/2025"/>
    <x v="1"/>
    <x v="3"/>
    <s v="M&amp;T Operating"/>
    <m/>
    <s v="Payment"/>
    <s v="RestorixHealth Inc:Managed Services"/>
    <s v="11005 Accounts Receivable"/>
    <x v="2"/>
    <x v="2"/>
    <m/>
    <n v="4200"/>
    <n v="4200"/>
    <n v="504144.99999999959"/>
  </r>
  <r>
    <s v="02/12/2025"/>
    <x v="1"/>
    <x v="3"/>
    <s v="M&amp;T Operating"/>
    <m/>
    <s v="Expense"/>
    <s v="Wex Health, Inc."/>
    <s v="22320 Accrued Expenses:Accrued Expenses - WEX Clearing"/>
    <x v="1"/>
    <x v="1"/>
    <n v="37.15"/>
    <m/>
    <n v="-37.15"/>
    <n v="504107.84999999957"/>
  </r>
  <r>
    <s v="02/12/2025"/>
    <x v="1"/>
    <x v="3"/>
    <s v="M&amp;T Operating"/>
    <m/>
    <s v="Transfer"/>
    <m/>
    <s v="10010 M&amp;T Bank - IntraFi Network Sweep"/>
    <x v="0"/>
    <x v="0"/>
    <n v="4137.8500000000004"/>
    <m/>
    <n v="-4137.8500000000004"/>
    <n v="499969.99999999959"/>
  </r>
  <r>
    <s v="02/13/2025"/>
    <x v="1"/>
    <x v="3"/>
    <s v="M&amp;T Operating"/>
    <m/>
    <s v="Expense"/>
    <s v="Bancorpsv (Benefit Deduction)"/>
    <s v="22335 Accrued Expenses:Accrued Expenses - Bankcorp Clearing"/>
    <x v="1"/>
    <x v="1"/>
    <n v="9.0500000000000007"/>
    <m/>
    <n v="-9.0500000000000007"/>
    <n v="499960.9499999996"/>
  </r>
  <r>
    <s v="02/13/2025"/>
    <x v="1"/>
    <x v="3"/>
    <s v="M&amp;T Operating"/>
    <m/>
    <s v="Expense"/>
    <s v="Paylocity"/>
    <s v="22205 Accrued Expenses:Accrued Expenses - Payroll Clearing"/>
    <x v="1"/>
    <x v="12"/>
    <n v="73937.13"/>
    <m/>
    <n v="-73937.13"/>
    <n v="426023.8199999996"/>
  </r>
  <r>
    <s v="02/13/2025"/>
    <x v="1"/>
    <x v="3"/>
    <s v="M&amp;T Operating"/>
    <m/>
    <s v="Expense"/>
    <s v="Paylocity"/>
    <s v="22205 Accrued Expenses:Accrued Expenses - Payroll Clearing"/>
    <x v="1"/>
    <x v="11"/>
    <n v="40314.19"/>
    <m/>
    <n v="-40314.19"/>
    <n v="385709.6299999996"/>
  </r>
  <r>
    <s v="02/13/2025"/>
    <x v="1"/>
    <x v="3"/>
    <s v="M&amp;T Operating"/>
    <m/>
    <s v="Expense"/>
    <s v="Paylocity"/>
    <s v="22205 Accrued Expenses:Accrued Expenses - Payroll Clearing"/>
    <x v="1"/>
    <x v="1"/>
    <n v="1035.5"/>
    <m/>
    <n v="-1035.5"/>
    <n v="384674.1299999996"/>
  </r>
  <r>
    <s v="02/13/2025"/>
    <x v="1"/>
    <x v="3"/>
    <s v="M&amp;T Operating"/>
    <m/>
    <s v="Transfer"/>
    <m/>
    <s v="10010 M&amp;T Bank - IntraFi Network Sweep"/>
    <x v="0"/>
    <x v="0"/>
    <m/>
    <n v="115295.87"/>
    <n v="115295.87"/>
    <n v="499969.99999999959"/>
  </r>
  <r>
    <s v="02/14/2025"/>
    <x v="1"/>
    <x v="3"/>
    <s v="M&amp;T Operating"/>
    <m/>
    <s v="Payment"/>
    <s v="Curonix LLC:Curonix Managed Services"/>
    <s v="11005 Accounts Receivable"/>
    <x v="2"/>
    <x v="2"/>
    <m/>
    <n v="3237.5"/>
    <n v="3237.5"/>
    <n v="503207.49999999959"/>
  </r>
  <r>
    <s v="02/14/2025"/>
    <x v="1"/>
    <x v="3"/>
    <s v="M&amp;T Operating"/>
    <m/>
    <s v="Bill Payment"/>
    <s v="Nemphos Braue LLC"/>
    <s v="20005 Accounts Payable"/>
    <x v="3"/>
    <x v="5"/>
    <n v="7862.5"/>
    <m/>
    <n v="-7862.5"/>
    <n v="495344.99999999959"/>
  </r>
  <r>
    <s v="02/14/2025"/>
    <x v="1"/>
    <x v="3"/>
    <s v="M&amp;T Operating"/>
    <m/>
    <s v="Bill Payment"/>
    <s v="Nemphos Braue LLC"/>
    <s v="20005 Accounts Payable"/>
    <x v="3"/>
    <x v="5"/>
    <n v="1149.5"/>
    <m/>
    <n v="-1149.5"/>
    <n v="494195.49999999959"/>
  </r>
  <r>
    <s v="02/14/2025"/>
    <x v="1"/>
    <x v="3"/>
    <s v="M&amp;T Operating"/>
    <m/>
    <s v="Bill Payment"/>
    <s v="Nemphos Braue LLC"/>
    <s v="20005 Accounts Payable"/>
    <x v="3"/>
    <x v="5"/>
    <n v="2098"/>
    <m/>
    <n v="-2098"/>
    <n v="492097.49999999959"/>
  </r>
  <r>
    <s v="02/14/2025"/>
    <x v="1"/>
    <x v="3"/>
    <s v="M&amp;T Operating"/>
    <m/>
    <s v="Expense"/>
    <s v="Paylocity"/>
    <s v="69215 General &amp; Administrative:G&amp;A - Payroll Fees"/>
    <x v="1"/>
    <x v="3"/>
    <n v="418.45"/>
    <m/>
    <n v="-418.45"/>
    <n v="491679.04999999958"/>
  </r>
  <r>
    <s v="02/14/2025"/>
    <x v="1"/>
    <x v="3"/>
    <s v="M&amp;T Operating"/>
    <m/>
    <s v="Bill Payment"/>
    <s v="Swantide, Inc."/>
    <s v="20005 Accounts Payable"/>
    <x v="4"/>
    <x v="19"/>
    <n v="5000"/>
    <m/>
    <n v="-5000"/>
    <n v="486679.04999999958"/>
  </r>
  <r>
    <s v="02/14/2025"/>
    <x v="1"/>
    <x v="3"/>
    <s v="M&amp;T Operating"/>
    <m/>
    <s v="Payment"/>
    <s v="Youreka Labs, Inc"/>
    <s v="11005 Accounts Receivable"/>
    <x v="2"/>
    <x v="2"/>
    <m/>
    <n v="165384"/>
    <n v="165384"/>
    <n v="652063.04999999958"/>
  </r>
  <r>
    <s v="02/14/2025"/>
    <x v="1"/>
    <x v="3"/>
    <s v="M&amp;T Operating"/>
    <m/>
    <s v="Transfer"/>
    <m/>
    <s v="10010 M&amp;T Bank - IntraFi Network Sweep"/>
    <x v="0"/>
    <x v="0"/>
    <n v="152093.04999999999"/>
    <m/>
    <n v="-152093.04999999999"/>
    <n v="499969.99999999959"/>
  </r>
  <r>
    <s v="02/18/2025"/>
    <x v="1"/>
    <x v="3"/>
    <s v="M&amp;T Operating"/>
    <m/>
    <s v="Credit Card Pmt"/>
    <s v="Brex Inc"/>
    <s v="21005 Brex Mastercard"/>
    <x v="5"/>
    <x v="13"/>
    <n v="5518.34"/>
    <m/>
    <n v="-5518.34"/>
    <n v="494451.65999999957"/>
  </r>
  <r>
    <s v="02/18/2025"/>
    <x v="1"/>
    <x v="3"/>
    <s v="M&amp;T Operating"/>
    <m/>
    <s v="Bill Payment"/>
    <s v="Raymond Der"/>
    <s v="20005 Accounts Payable"/>
    <x v="3"/>
    <x v="4"/>
    <n v="20"/>
    <m/>
    <n v="-20"/>
    <n v="494431.65999999957"/>
  </r>
  <r>
    <s v="02/18/2025"/>
    <x v="1"/>
    <x v="3"/>
    <s v="M&amp;T Operating"/>
    <m/>
    <s v="Expense"/>
    <s v="The Principal"/>
    <s v="22310 Accrued Expenses:Accrued Expenses - Principal Clearing"/>
    <x v="1"/>
    <x v="1"/>
    <n v="11622.88"/>
    <m/>
    <n v="-11622.88"/>
    <n v="482808.77999999956"/>
  </r>
  <r>
    <s v="02/18/2025"/>
    <x v="1"/>
    <x v="3"/>
    <s v="M&amp;T Operating"/>
    <m/>
    <s v="Expense"/>
    <s v="Wex Health, Inc."/>
    <s v="22320 Accrued Expenses:Accrued Expenses - WEX Clearing"/>
    <x v="1"/>
    <x v="1"/>
    <n v="208.34"/>
    <m/>
    <n v="-208.34"/>
    <n v="482600.43999999954"/>
  </r>
  <r>
    <s v="02/18/2025"/>
    <x v="1"/>
    <x v="3"/>
    <s v="M&amp;T Operating"/>
    <m/>
    <s v="Transfer"/>
    <m/>
    <s v="10010 M&amp;T Bank - IntraFi Network Sweep"/>
    <x v="0"/>
    <x v="0"/>
    <m/>
    <n v="17369.560000000001"/>
    <n v="17369.560000000001"/>
    <n v="499969.99999999953"/>
  </r>
  <r>
    <s v="02/19/2025"/>
    <x v="1"/>
    <x v="3"/>
    <s v="M&amp;T Operating"/>
    <m/>
    <s v="Expense"/>
    <s v="The Hartford"/>
    <s v="69800 General &amp; Administrative:G&amp;A - Insurance"/>
    <x v="3"/>
    <x v="14"/>
    <n v="3990.21"/>
    <m/>
    <n v="-3990.21"/>
    <n v="495979.78999999951"/>
  </r>
  <r>
    <s v="02/19/2025"/>
    <x v="1"/>
    <x v="3"/>
    <s v="M&amp;T Operating"/>
    <m/>
    <s v="Transfer"/>
    <m/>
    <s v="10010 M&amp;T Bank - IntraFi Network Sweep"/>
    <x v="0"/>
    <x v="0"/>
    <m/>
    <n v="3990.21"/>
    <n v="3990.21"/>
    <n v="499969.99999999953"/>
  </r>
  <r>
    <s v="02/20/2025"/>
    <x v="1"/>
    <x v="3"/>
    <s v="M&amp;T Operating"/>
    <m/>
    <s v="Expense"/>
    <s v="Cigna Healthcare"/>
    <s v="22305 Accrued Expenses:Accrued Expenses - Cigna Clearing"/>
    <x v="1"/>
    <x v="1"/>
    <n v="1100.3800000000001"/>
    <m/>
    <n v="-1100.3800000000001"/>
    <n v="498869.61999999953"/>
  </r>
  <r>
    <s v="02/20/2025"/>
    <x v="1"/>
    <x v="3"/>
    <s v="M&amp;T Operating"/>
    <m/>
    <s v="Transfer"/>
    <m/>
    <s v="10010 M&amp;T Bank - IntraFi Network Sweep"/>
    <x v="0"/>
    <x v="0"/>
    <m/>
    <n v="1100.3800000000001"/>
    <n v="1100.3800000000001"/>
    <n v="499969.99999999953"/>
  </r>
  <r>
    <s v="02/21/2025"/>
    <x v="1"/>
    <x v="3"/>
    <s v="M&amp;T Operating"/>
    <m/>
    <s v="Payment"/>
    <s v="Curonix LLC:Curonix Managed Services"/>
    <s v="11005 Accounts Receivable"/>
    <x v="2"/>
    <x v="2"/>
    <m/>
    <n v="8750"/>
    <n v="8750"/>
    <n v="508719.99999999953"/>
  </r>
  <r>
    <s v="02/21/2025"/>
    <x v="1"/>
    <x v="3"/>
    <s v="M&amp;T Operating"/>
    <m/>
    <s v="Payment"/>
    <s v="State of Virginia - State Corporation Commission:State of Virginia/Guidehouse"/>
    <s v="11005 Accounts Receivable"/>
    <x v="2"/>
    <x v="2"/>
    <m/>
    <n v="8680"/>
    <n v="8680"/>
    <n v="517399.99999999953"/>
  </r>
  <r>
    <s v="02/21/2025"/>
    <x v="1"/>
    <x v="3"/>
    <s v="M&amp;T Operating"/>
    <m/>
    <s v="Expense"/>
    <s v="The Hartford"/>
    <s v="69800 General &amp; Administrative:G&amp;A - Insurance"/>
    <x v="3"/>
    <x v="14"/>
    <n v="495.97"/>
    <m/>
    <n v="-495.97"/>
    <n v="516904.02999999956"/>
  </r>
  <r>
    <s v="02/21/2025"/>
    <x v="1"/>
    <x v="3"/>
    <s v="M&amp;T Operating"/>
    <m/>
    <s v="Transfer"/>
    <m/>
    <s v="10010 M&amp;T Bank - IntraFi Network Sweep"/>
    <x v="0"/>
    <x v="0"/>
    <n v="16934.03"/>
    <m/>
    <n v="-16934.03"/>
    <n v="499969.99999999953"/>
  </r>
  <r>
    <s v="02/24/2025"/>
    <x v="1"/>
    <x v="3"/>
    <s v="M&amp;T Operating"/>
    <m/>
    <s v="Bill Payment"/>
    <s v="Nikhil Patel"/>
    <s v="20005 Accounts Payable"/>
    <x v="3"/>
    <x v="4"/>
    <n v="24.1"/>
    <m/>
    <n v="-24.1"/>
    <n v="499945.89999999956"/>
  </r>
  <r>
    <s v="02/24/2025"/>
    <x v="1"/>
    <x v="3"/>
    <s v="M&amp;T Operating"/>
    <m/>
    <s v="Bill Payment"/>
    <s v="Nikhil Patel"/>
    <s v="20005 Accounts Payable"/>
    <x v="3"/>
    <x v="4"/>
    <n v="60"/>
    <m/>
    <n v="-60"/>
    <n v="499885.89999999956"/>
  </r>
  <r>
    <s v="02/24/2025"/>
    <x v="1"/>
    <x v="3"/>
    <s v="M&amp;T Operating"/>
    <m/>
    <s v="Bill Payment"/>
    <s v="Nikhil Patel"/>
    <s v="20005 Accounts Payable"/>
    <x v="3"/>
    <x v="4"/>
    <n v="226.42"/>
    <m/>
    <n v="-226.42"/>
    <n v="499659.47999999957"/>
  </r>
  <r>
    <s v="02/24/2025"/>
    <x v="1"/>
    <x v="3"/>
    <s v="M&amp;T Operating"/>
    <m/>
    <s v="Bill Payment"/>
    <s v="Whitehouse &amp; Cooper, PLCC"/>
    <s v="20005 Accounts Payable"/>
    <x v="3"/>
    <x v="5"/>
    <n v="2448.5"/>
    <m/>
    <n v="-2448.5"/>
    <n v="497210.97999999957"/>
  </r>
  <r>
    <s v="02/24/2025"/>
    <x v="1"/>
    <x v="3"/>
    <s v="M&amp;T Operating"/>
    <m/>
    <s v="Transfer"/>
    <m/>
    <s v="10010 M&amp;T Bank - IntraFi Network Sweep"/>
    <x v="0"/>
    <x v="0"/>
    <m/>
    <n v="2759.02"/>
    <n v="2759.02"/>
    <n v="499969.99999999959"/>
  </r>
  <r>
    <s v="02/25/2025"/>
    <x v="1"/>
    <x v="3"/>
    <s v="M&amp;T Operating"/>
    <m/>
    <s v="Payment"/>
    <s v="Acumen Solutions, Inc."/>
    <s v="11005 Accounts Receivable"/>
    <x v="2"/>
    <x v="2"/>
    <m/>
    <n v="19448"/>
    <n v="19448"/>
    <n v="519417.99999999959"/>
  </r>
  <r>
    <s v="02/25/2025"/>
    <x v="1"/>
    <x v="3"/>
    <s v="M&amp;T Operating"/>
    <m/>
    <s v="Payment"/>
    <s v="Acumen Solutions, Inc."/>
    <s v="11005 Accounts Receivable"/>
    <x v="2"/>
    <x v="2"/>
    <m/>
    <n v="20592"/>
    <n v="20592"/>
    <n v="540009.99999999953"/>
  </r>
  <r>
    <s v="02/25/2025"/>
    <x v="1"/>
    <x v="3"/>
    <s v="M&amp;T Operating"/>
    <m/>
    <s v="Bill Payment"/>
    <s v="International Computer Services Inc."/>
    <s v="20005 Accounts Payable"/>
    <x v="3"/>
    <x v="10"/>
    <n v="2948.9"/>
    <m/>
    <n v="-2948.9"/>
    <n v="537061.09999999951"/>
  </r>
  <r>
    <s v="02/25/2025"/>
    <x v="1"/>
    <x v="3"/>
    <s v="M&amp;T Operating"/>
    <m/>
    <s v="Expense"/>
    <s v="Wex Health, Inc."/>
    <s v="22320 Accrued Expenses:Accrued Expenses - WEX Clearing"/>
    <x v="1"/>
    <x v="1"/>
    <n v="61.8"/>
    <m/>
    <n v="-61.8"/>
    <n v="536999.29999999946"/>
  </r>
  <r>
    <s v="02/25/2025"/>
    <x v="1"/>
    <x v="3"/>
    <s v="M&amp;T Operating"/>
    <m/>
    <s v="Transfer"/>
    <m/>
    <s v="10010 M&amp;T Bank - IntraFi Network Sweep"/>
    <x v="0"/>
    <x v="0"/>
    <n v="37029.300000000003"/>
    <m/>
    <n v="-37029.300000000003"/>
    <n v="499969.99999999948"/>
  </r>
  <r>
    <s v="02/26/2025"/>
    <x v="1"/>
    <x v="3"/>
    <s v="M&amp;T Operating"/>
    <m/>
    <s v="Expense"/>
    <s v="Bancorpsv (Benefit Deduction)"/>
    <s v="22335 Accrued Expenses:Accrued Expenses - Bankcorp Clearing"/>
    <x v="1"/>
    <x v="1"/>
    <n v="25"/>
    <m/>
    <n v="-25"/>
    <n v="499944.99999999948"/>
  </r>
  <r>
    <s v="02/26/2025"/>
    <x v="1"/>
    <x v="3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14444.99999999948"/>
  </r>
  <r>
    <s v="02/26/2025"/>
    <x v="1"/>
    <x v="3"/>
    <s v="M&amp;T Operating"/>
    <m/>
    <s v="Expense"/>
    <s v="QuickBooks Payments"/>
    <s v="69805 General &amp; Administrative:G&amp;A - Bank Fees"/>
    <x v="0"/>
    <x v="6"/>
    <n v="20"/>
    <m/>
    <n v="-20"/>
    <n v="514424.99999999948"/>
  </r>
  <r>
    <s v="02/26/2025"/>
    <x v="1"/>
    <x v="3"/>
    <s v="M&amp;T Operating"/>
    <m/>
    <s v="Transfer"/>
    <m/>
    <s v="10010 M&amp;T Bank - IntraFi Network Sweep"/>
    <x v="0"/>
    <x v="0"/>
    <m/>
    <n v="25"/>
    <n v="25"/>
    <n v="514449.99999999948"/>
  </r>
  <r>
    <s v="02/27/2025"/>
    <x v="1"/>
    <x v="3"/>
    <s v="M&amp;T Operating"/>
    <m/>
    <s v="Bill Payment"/>
    <s v="Brian Reilly brreilly@yahoo.com USD"/>
    <s v="20005 Accounts Payable"/>
    <x v="4"/>
    <x v="9"/>
    <n v="8750"/>
    <m/>
    <n v="-8750"/>
    <n v="505699.99999999948"/>
  </r>
  <r>
    <s v="02/27/2025"/>
    <x v="1"/>
    <x v="3"/>
    <s v="M&amp;T Operating"/>
    <m/>
    <s v="Credit Card Pmt"/>
    <s v="Chase Visa"/>
    <s v="21010 Chase Visa"/>
    <x v="5"/>
    <x v="18"/>
    <n v="686.7"/>
    <m/>
    <n v="-686.7"/>
    <n v="505013.29999999946"/>
  </r>
  <r>
    <s v="02/27/2025"/>
    <x v="1"/>
    <x v="3"/>
    <s v="M&amp;T Operating"/>
    <m/>
    <s v="Payment"/>
    <s v="Currencies Direct Limited:Redpin - Salesforce Assessment/Healthcheck"/>
    <s v="11005 Accounts Receivable"/>
    <x v="2"/>
    <x v="2"/>
    <m/>
    <n v="3615"/>
    <n v="3615"/>
    <n v="508628.29999999946"/>
  </r>
  <r>
    <s v="02/27/2025"/>
    <x v="1"/>
    <x v="3"/>
    <s v="M&amp;T Operating"/>
    <m/>
    <s v="Bill Payment"/>
    <s v="Deel billing invoices deel@deel.com USD"/>
    <s v="20005 Accounts Payable"/>
    <x v="3"/>
    <x v="10"/>
    <n v="5"/>
    <m/>
    <n v="-5"/>
    <n v="508623.29999999946"/>
  </r>
  <r>
    <s v="02/27/2025"/>
    <x v="1"/>
    <x v="3"/>
    <s v="M&amp;T Operating"/>
    <m/>
    <s v="Bill Payment"/>
    <s v="Duane Nelson duanen@gmail.com USD"/>
    <s v="20005 Accounts Payable"/>
    <x v="4"/>
    <x v="9"/>
    <n v="50.48"/>
    <m/>
    <n v="-50.48"/>
    <n v="508572.81999999948"/>
  </r>
  <r>
    <s v="02/27/2025"/>
    <x v="1"/>
    <x v="3"/>
    <s v="M&amp;T Operating"/>
    <m/>
    <s v="Bill Payment"/>
    <s v="Duane Nelson duanen@gmail.com USD"/>
    <s v="20005 Accounts Payable"/>
    <x v="4"/>
    <x v="9"/>
    <n v="32.74"/>
    <m/>
    <n v="-32.74"/>
    <n v="508540.07999999949"/>
  </r>
  <r>
    <s v="02/27/2025"/>
    <x v="1"/>
    <x v="3"/>
    <s v="M&amp;T Operating"/>
    <m/>
    <s v="Expense"/>
    <s v="Paylocity"/>
    <s v="22205 Accrued Expenses:Accrued Expenses - Payroll Clearing"/>
    <x v="1"/>
    <x v="1"/>
    <n v="937"/>
    <m/>
    <n v="-937"/>
    <n v="507603.07999999949"/>
  </r>
  <r>
    <s v="02/27/2025"/>
    <x v="1"/>
    <x v="3"/>
    <s v="M&amp;T Operating"/>
    <m/>
    <s v="Expense"/>
    <s v="Paylocity"/>
    <s v="22205 Accrued Expenses:Accrued Expenses - Payroll Clearing"/>
    <x v="1"/>
    <x v="11"/>
    <n v="129269.72"/>
    <m/>
    <n v="-129269.72"/>
    <n v="378333.35999999952"/>
  </r>
  <r>
    <s v="02/27/2025"/>
    <x v="1"/>
    <x v="3"/>
    <s v="M&amp;T Operating"/>
    <m/>
    <s v="Expense"/>
    <s v="Paylocity"/>
    <s v="22205 Accrued Expenses:Accrued Expenses - Payroll Clearing"/>
    <x v="1"/>
    <x v="12"/>
    <n v="188851.23"/>
    <m/>
    <n v="-188851.23"/>
    <n v="189482.12999999951"/>
  </r>
  <r>
    <s v="02/27/2025"/>
    <x v="1"/>
    <x v="3"/>
    <s v="M&amp;T Operating"/>
    <m/>
    <s v="Bill Payment"/>
    <s v="Shazib Mahmood shazibm91@gmail.com USD"/>
    <s v="20005 Accounts Payable"/>
    <x v="4"/>
    <x v="7"/>
    <n v="19634"/>
    <m/>
    <n v="-19634"/>
    <n v="169848.12999999951"/>
  </r>
  <r>
    <s v="02/27/2025"/>
    <x v="1"/>
    <x v="3"/>
    <s v="M&amp;T Operating"/>
    <m/>
    <s v="Transfer"/>
    <m/>
    <s v="10010 M&amp;T Bank - IntraFi Network Sweep"/>
    <x v="0"/>
    <x v="0"/>
    <m/>
    <n v="329435.17"/>
    <n v="329435.17"/>
    <n v="499283.29999999946"/>
  </r>
  <r>
    <s v="02/28/2025"/>
    <x v="1"/>
    <x v="3"/>
    <s v="M&amp;T Operating"/>
    <m/>
    <s v="Expense"/>
    <s v="Bancorpsv (Benefit Deduction)"/>
    <s v="22335 Accrued Expenses:Accrued Expenses - Bankcorp Clearing"/>
    <x v="1"/>
    <x v="1"/>
    <n v="377.78"/>
    <m/>
    <n v="-377.78"/>
    <n v="498905.51999999944"/>
  </r>
  <r>
    <s v="02/28/2025"/>
    <x v="1"/>
    <x v="3"/>
    <s v="M&amp;T Operating"/>
    <m/>
    <s v="Deposit"/>
    <s v="Freedom Service Dogs Inc.:Managed Services"/>
    <s v="14005 Undeposited Funds"/>
    <x v="2"/>
    <x v="2"/>
    <m/>
    <n v="1500"/>
    <n v="1500"/>
    <n v="500405.51999999944"/>
  </r>
  <r>
    <s v="02/28/2025"/>
    <x v="1"/>
    <x v="3"/>
    <s v="M&amp;T Operating"/>
    <m/>
    <s v="Payment"/>
    <s v="Great Expressions Dental Centers:Great Expressions Dental - Marketing Managed Services"/>
    <s v="11005 Accounts Receivable"/>
    <x v="2"/>
    <x v="2"/>
    <m/>
    <n v="8400"/>
    <n v="8400"/>
    <n v="508805.51999999944"/>
  </r>
  <r>
    <s v="02/28/2025"/>
    <x v="1"/>
    <x v="3"/>
    <s v="M&amp;T Operating"/>
    <m/>
    <s v="Bill Payment"/>
    <s v="Ijaz, Safa"/>
    <s v="20005 Accounts Payable"/>
    <x v="1"/>
    <x v="1"/>
    <n v="30"/>
    <m/>
    <n v="-30"/>
    <n v="508775.51999999944"/>
  </r>
  <r>
    <s v="02/28/2025"/>
    <x v="1"/>
    <x v="3"/>
    <s v="M&amp;T Operating"/>
    <m/>
    <s v="Deposit"/>
    <s v="M&amp;T Bank"/>
    <s v="71005 Interest"/>
    <x v="0"/>
    <x v="17"/>
    <m/>
    <n v="8351.2900000000009"/>
    <n v="8351.2900000000009"/>
    <n v="517126.80999999942"/>
  </r>
  <r>
    <s v="02/28/2025"/>
    <x v="1"/>
    <x v="3"/>
    <s v="M&amp;T Operating"/>
    <m/>
    <s v="Expense"/>
    <s v="Paylocity"/>
    <s v="22205 Accrued Expenses:Accrued Expenses - Payroll Clearing"/>
    <x v="1"/>
    <x v="3"/>
    <n v="309.8"/>
    <m/>
    <n v="-309.8"/>
    <n v="516817.00999999943"/>
  </r>
  <r>
    <s v="02/28/2025"/>
    <x v="1"/>
    <x v="3"/>
    <s v="M&amp;T Operating"/>
    <m/>
    <s v="Expense"/>
    <s v="QuickBooks Payments"/>
    <s v="69805 General &amp; Administrative:G&amp;A - Bank Fees"/>
    <x v="0"/>
    <x v="6"/>
    <n v="15"/>
    <m/>
    <n v="-15"/>
    <n v="516802.00999999943"/>
  </r>
  <r>
    <s v="02/28/2025"/>
    <x v="1"/>
    <x v="3"/>
    <s v="M&amp;T Operating"/>
    <m/>
    <s v="Payment"/>
    <s v="Total Solutions, Inc"/>
    <s v="11005 Accounts Receivable"/>
    <x v="2"/>
    <x v="2"/>
    <m/>
    <n v="24777.599999999999"/>
    <n v="24777.599999999999"/>
    <n v="541579.6099999994"/>
  </r>
  <r>
    <s v="02/28/2025"/>
    <x v="1"/>
    <x v="3"/>
    <s v="M&amp;T Operating"/>
    <m/>
    <s v="Transfer"/>
    <m/>
    <s v="10010 M&amp;T Bank - IntraFi Network Sweep"/>
    <x v="0"/>
    <x v="0"/>
    <n v="40811.31"/>
    <m/>
    <n v="-40811.31"/>
    <n v="500768.29999999941"/>
  </r>
  <r>
    <s v="03/03/2025"/>
    <x v="1"/>
    <x v="1"/>
    <s v="M&amp;T Operating"/>
    <m/>
    <s v="Expense"/>
    <s v="CareFirst Blue Cross Blue Shield"/>
    <s v="22300 Accrued Expenses:Accrued Expenses - BCBS Clearing"/>
    <x v="1"/>
    <x v="1"/>
    <n v="12890.92"/>
    <m/>
    <n v="-12890.92"/>
    <n v="487877.37999999942"/>
  </r>
  <r>
    <s v="03/03/2025"/>
    <x v="1"/>
    <x v="1"/>
    <s v="M&amp;T Operating"/>
    <m/>
    <s v="Expense"/>
    <s v="The Principal"/>
    <s v="22310 Accrued Expenses:Accrued Expenses - Principal Clearing"/>
    <x v="1"/>
    <x v="1"/>
    <n v="15444.88"/>
    <m/>
    <n v="-15444.88"/>
    <n v="472432.49999999942"/>
  </r>
  <r>
    <s v="03/03/2025"/>
    <x v="1"/>
    <x v="1"/>
    <s v="M&amp;T Operating"/>
    <m/>
    <s v="Expense"/>
    <s v="Wex Health, Inc."/>
    <s v="22320 Accrued Expenses:Accrued Expenses - WEX Clearing"/>
    <x v="1"/>
    <x v="1"/>
    <n v="208.34"/>
    <m/>
    <n v="-208.34"/>
    <n v="472224.15999999939"/>
  </r>
  <r>
    <s v="03/03/2025"/>
    <x v="1"/>
    <x v="1"/>
    <s v="M&amp;T Operating"/>
    <m/>
    <s v="Transfer"/>
    <m/>
    <s v="10010 M&amp;T Bank - IntraFi Network Sweep"/>
    <x v="0"/>
    <x v="0"/>
    <m/>
    <n v="27745.84"/>
    <n v="27745.84"/>
    <n v="499969.99999999942"/>
  </r>
  <r>
    <s v="03/04/2025"/>
    <x v="1"/>
    <x v="1"/>
    <s v="M&amp;T Operating"/>
    <m/>
    <s v="Expense"/>
    <s v="Bancorpsv (Benefit Deduction)"/>
    <s v="22335 Accrued Expenses:Accrued Expenses - Bankcorp Clearing"/>
    <x v="1"/>
    <x v="1"/>
    <n v="6.56"/>
    <m/>
    <n v="-6.56"/>
    <n v="499963.43999999942"/>
  </r>
  <r>
    <s v="03/04/2025"/>
    <x v="1"/>
    <x v="1"/>
    <s v="M&amp;T Operating"/>
    <m/>
    <s v="Expense"/>
    <s v="Paylocity"/>
    <s v="69215 General &amp; Administrative:G&amp;A - Payroll Fees"/>
    <x v="1"/>
    <x v="3"/>
    <n v="4"/>
    <m/>
    <n v="-4"/>
    <n v="499959.43999999942"/>
  </r>
  <r>
    <s v="03/04/2025"/>
    <x v="1"/>
    <x v="1"/>
    <s v="M&amp;T Operating"/>
    <m/>
    <s v="Transfer"/>
    <m/>
    <s v="10010 M&amp;T Bank - IntraFi Network Sweep"/>
    <x v="0"/>
    <x v="0"/>
    <m/>
    <n v="10.56"/>
    <n v="10.56"/>
    <n v="499969.99999999942"/>
  </r>
  <r>
    <s v="03/05/2025"/>
    <x v="1"/>
    <x v="1"/>
    <s v="M&amp;T Operating"/>
    <m/>
    <s v="Expense"/>
    <s v="Bancorpsv (Benefit Deduction)"/>
    <s v="22335 Accrued Expenses:Accrued Expenses - Bankcorp Clearing"/>
    <x v="1"/>
    <x v="1"/>
    <n v="25"/>
    <m/>
    <n v="-25"/>
    <n v="499944.99999999942"/>
  </r>
  <r>
    <s v="03/05/2025"/>
    <x v="1"/>
    <x v="1"/>
    <s v="M&amp;T Operating"/>
    <m/>
    <s v="Expense"/>
    <s v="Wex Health, Inc."/>
    <s v="22320 Accrued Expenses:Accrued Expenses - WEX Clearing"/>
    <x v="1"/>
    <x v="1"/>
    <n v="824.49"/>
    <m/>
    <n v="-824.49"/>
    <n v="499120.50999999943"/>
  </r>
  <r>
    <s v="03/05/2025"/>
    <x v="1"/>
    <x v="1"/>
    <s v="M&amp;T Operating"/>
    <m/>
    <s v="Transfer"/>
    <m/>
    <s v="10010 M&amp;T Bank - IntraFi Network Sweep"/>
    <x v="0"/>
    <x v="0"/>
    <m/>
    <n v="849.49"/>
    <n v="849.49"/>
    <n v="499969.99999999942"/>
  </r>
  <r>
    <s v="03/06/2025"/>
    <x v="1"/>
    <x v="1"/>
    <s v="M&amp;T Operating"/>
    <m/>
    <s v="Expense"/>
    <s v="New York Life"/>
    <s v="22315 Accrued Expenses:Accrued Expenses - NY Life Clearing"/>
    <x v="1"/>
    <x v="1"/>
    <n v="1055.21"/>
    <m/>
    <n v="-1055.21"/>
    <n v="498914.7899999994"/>
  </r>
  <r>
    <s v="03/06/2025"/>
    <x v="1"/>
    <x v="1"/>
    <s v="M&amp;T Operating"/>
    <m/>
    <s v="Transfer"/>
    <m/>
    <s v="10010 M&amp;T Bank - IntraFi Network Sweep"/>
    <x v="0"/>
    <x v="0"/>
    <m/>
    <n v="1055.21"/>
    <n v="1055.21"/>
    <n v="499969.99999999942"/>
  </r>
  <r>
    <s v="03/07/2025"/>
    <x v="1"/>
    <x v="1"/>
    <s v="M&amp;T Operating"/>
    <m/>
    <s v="Bill Payment"/>
    <s v="Investigo LLC"/>
    <s v="20005 Accounts Payable"/>
    <x v="4"/>
    <x v="9"/>
    <n v="4891.6099999999997"/>
    <m/>
    <n v="-4891.6099999999997"/>
    <n v="495078.38999999943"/>
  </r>
  <r>
    <s v="03/07/2025"/>
    <x v="1"/>
    <x v="1"/>
    <s v="M&amp;T Operating"/>
    <m/>
    <s v="Bill Payment"/>
    <s v="Investigo LLC"/>
    <s v="20005 Accounts Payable"/>
    <x v="4"/>
    <x v="9"/>
    <n v="20"/>
    <m/>
    <n v="-20"/>
    <n v="495058.38999999943"/>
  </r>
  <r>
    <s v="03/07/2025"/>
    <x v="1"/>
    <x v="1"/>
    <s v="M&amp;T Operating"/>
    <m/>
    <s v="Bill Payment"/>
    <s v="Investigo LLC"/>
    <s v="20005 Accounts Payable"/>
    <x v="4"/>
    <x v="9"/>
    <n v="5250"/>
    <m/>
    <n v="-5250"/>
    <n v="489808.38999999943"/>
  </r>
  <r>
    <s v="03/07/2025"/>
    <x v="1"/>
    <x v="1"/>
    <s v="M&amp;T Operating"/>
    <m/>
    <s v="Bill Payment"/>
    <s v="Investigo LLC"/>
    <s v="20005 Accounts Payable"/>
    <x v="4"/>
    <x v="9"/>
    <n v="3600"/>
    <m/>
    <n v="-3600"/>
    <n v="486208.38999999943"/>
  </r>
  <r>
    <s v="03/07/2025"/>
    <x v="1"/>
    <x v="1"/>
    <s v="M&amp;T Operating"/>
    <m/>
    <s v="Bill Payment"/>
    <s v="Investigo LLC"/>
    <s v="20005 Accounts Payable"/>
    <x v="4"/>
    <x v="9"/>
    <n v="3750"/>
    <m/>
    <n v="-3750"/>
    <n v="482458.38999999943"/>
  </r>
  <r>
    <s v="03/07/2025"/>
    <x v="1"/>
    <x v="1"/>
    <s v="M&amp;T Operating"/>
    <m/>
    <s v="Bill Payment"/>
    <s v="Investigo LLC"/>
    <s v="20005 Accounts Payable"/>
    <x v="4"/>
    <x v="9"/>
    <n v="5175"/>
    <m/>
    <n v="-5175"/>
    <n v="477283.38999999943"/>
  </r>
  <r>
    <s v="03/07/2025"/>
    <x v="1"/>
    <x v="1"/>
    <s v="M&amp;T Operating"/>
    <m/>
    <s v="Bill Payment"/>
    <s v="Investigo LLC"/>
    <s v="20005 Accounts Payable"/>
    <x v="4"/>
    <x v="9"/>
    <n v="2025"/>
    <m/>
    <n v="-2025"/>
    <n v="475258.38999999943"/>
  </r>
  <r>
    <s v="03/07/2025"/>
    <x v="1"/>
    <x v="1"/>
    <s v="M&amp;T Operating"/>
    <m/>
    <s v="Bill Payment"/>
    <s v="Salesforce.com Inc"/>
    <s v="20005 Accounts Payable"/>
    <x v="3"/>
    <x v="10"/>
    <n v="9482.5"/>
    <m/>
    <n v="-9482.5"/>
    <n v="465775.88999999943"/>
  </r>
  <r>
    <s v="03/07/2025"/>
    <x v="1"/>
    <x v="1"/>
    <s v="M&amp;T Operating"/>
    <m/>
    <s v="Transfer"/>
    <m/>
    <s v="10010 M&amp;T Bank - IntraFi Network Sweep"/>
    <x v="0"/>
    <x v="0"/>
    <m/>
    <n v="34194.11"/>
    <n v="34194.11"/>
    <n v="499969.99999999942"/>
  </r>
  <r>
    <s v="03/08/2025"/>
    <x v="1"/>
    <x v="1"/>
    <s v="M&amp;T Operating"/>
    <m/>
    <s v="Bill Payment"/>
    <s v="Andrew Benjamin Klajman andrewklajman78@gmail.com USD"/>
    <s v="20005 Accounts Payable"/>
    <x v="4"/>
    <x v="7"/>
    <n v="308.75"/>
    <m/>
    <n v="-308.75"/>
    <n v="499661.24999999942"/>
  </r>
  <r>
    <s v="03/08/2025"/>
    <x v="1"/>
    <x v="1"/>
    <s v="M&amp;T Operating"/>
    <m/>
    <s v="Bill Payment"/>
    <s v="Ashley MacArthur ashley@getboss.io USD"/>
    <s v="20005 Accounts Payable"/>
    <x v="3"/>
    <x v="8"/>
    <n v="2970"/>
    <m/>
    <n v="-2970"/>
    <n v="496691.24999999942"/>
  </r>
  <r>
    <s v="03/08/2025"/>
    <x v="1"/>
    <x v="1"/>
    <s v="M&amp;T Operating"/>
    <m/>
    <s v="Bill Payment"/>
    <s v="Ashley MacArthur ashley@getboss.io USD"/>
    <s v="20005 Accounts Payable"/>
    <x v="3"/>
    <x v="8"/>
    <n v="1700"/>
    <m/>
    <n v="-1700"/>
    <n v="494991.24999999942"/>
  </r>
  <r>
    <s v="03/08/2025"/>
    <x v="1"/>
    <x v="1"/>
    <s v="M&amp;T Operating"/>
    <m/>
    <s v="Bill Payment"/>
    <s v="Ashley MacArthur ashley@getboss.io USD"/>
    <s v="20005 Accounts Payable"/>
    <x v="3"/>
    <x v="8"/>
    <n v="3090"/>
    <m/>
    <n v="-3090"/>
    <n v="491901.24999999942"/>
  </r>
  <r>
    <s v="03/08/2025"/>
    <x v="1"/>
    <x v="1"/>
    <s v="M&amp;T Operating"/>
    <m/>
    <s v="Bill Payment"/>
    <s v="Bartosz Juriewicz bartosz.juriewicz@gmail.com USD"/>
    <s v="20005 Accounts Payable"/>
    <x v="4"/>
    <x v="7"/>
    <n v="11200"/>
    <m/>
    <n v="-11200"/>
    <n v="480701.24999999942"/>
  </r>
  <r>
    <s v="03/08/2025"/>
    <x v="1"/>
    <x v="1"/>
    <s v="M&amp;T Operating"/>
    <m/>
    <s v="Bill Payment"/>
    <s v="Candy Marte Garcia candymartegarcia@gmail.com USD"/>
    <s v="20005 Accounts Payable"/>
    <x v="4"/>
    <x v="7"/>
    <n v="2823.75"/>
    <m/>
    <n v="-2823.75"/>
    <n v="477877.49999999942"/>
  </r>
  <r>
    <s v="03/08/2025"/>
    <x v="1"/>
    <x v="1"/>
    <s v="M&amp;T Operating"/>
    <m/>
    <s v="Bill Payment"/>
    <s v="Charles McGuinness charles@mcguinness.ai USD"/>
    <s v="20005 Accounts Payable"/>
    <x v="4"/>
    <x v="9"/>
    <n v="20000"/>
    <m/>
    <n v="-20000"/>
    <n v="457877.49999999942"/>
  </r>
  <r>
    <s v="03/08/2025"/>
    <x v="1"/>
    <x v="1"/>
    <s v="M&amp;T Operating"/>
    <m/>
    <s v="Bill Payment"/>
    <s v="Dane Kim dane.w.kim@gmail.com USD"/>
    <s v="20005 Accounts Payable"/>
    <x v="4"/>
    <x v="7"/>
    <n v="2531.25"/>
    <m/>
    <n v="-2531.25"/>
    <n v="455346.24999999942"/>
  </r>
  <r>
    <s v="03/08/2025"/>
    <x v="1"/>
    <x v="1"/>
    <s v="M&amp;T Operating"/>
    <m/>
    <s v="Bill Payment"/>
    <s v="Deel billing invoices deel@deel.com USD"/>
    <s v="20005 Accounts Payable"/>
    <x v="3"/>
    <x v="10"/>
    <n v="5"/>
    <m/>
    <n v="-5"/>
    <n v="455341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292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243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194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145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096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047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998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949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900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851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802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753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704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655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606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557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508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459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410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361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312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263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214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165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116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067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018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969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920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871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822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773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724.24999999942"/>
  </r>
  <r>
    <s v="03/08/2025"/>
    <x v="1"/>
    <x v="1"/>
    <s v="M&amp;T Operating"/>
    <m/>
    <s v="Bill Payment"/>
    <s v="Duane Nelson duanen@gmail.com USD"/>
    <s v="20005 Accounts Payable"/>
    <x v="4"/>
    <x v="9"/>
    <n v="18615.88"/>
    <m/>
    <n v="-18615.88"/>
    <n v="435108.36999999941"/>
  </r>
  <r>
    <s v="03/08/2025"/>
    <x v="1"/>
    <x v="1"/>
    <s v="M&amp;T Operating"/>
    <m/>
    <s v="Bill Payment"/>
    <s v="Focus Fractional LLC"/>
    <s v="20005 Accounts Payable"/>
    <x v="3"/>
    <x v="8"/>
    <n v="22100"/>
    <m/>
    <n v="-22100"/>
    <n v="413008.36999999941"/>
  </r>
  <r>
    <s v="03/08/2025"/>
    <x v="1"/>
    <x v="1"/>
    <s v="M&amp;T Operating"/>
    <m/>
    <s v="Bill Payment"/>
    <s v="Herbert Donald Edwards don.edwards01@gmail.com USD"/>
    <s v="20005 Accounts Payable"/>
    <x v="4"/>
    <x v="7"/>
    <n v="8437.5"/>
    <m/>
    <n v="-8437.5"/>
    <n v="404570.86999999941"/>
  </r>
  <r>
    <s v="03/08/2025"/>
    <x v="1"/>
    <x v="1"/>
    <s v="M&amp;T Operating"/>
    <m/>
    <s v="Bill Payment"/>
    <s v="Jason Francis Crum jasonfcrum@gmail.com USD"/>
    <s v="20005 Accounts Payable"/>
    <x v="4"/>
    <x v="9"/>
    <n v="12000"/>
    <m/>
    <n v="-12000"/>
    <n v="392570.86999999941"/>
  </r>
  <r>
    <s v="03/08/2025"/>
    <x v="1"/>
    <x v="1"/>
    <s v="M&amp;T Operating"/>
    <m/>
    <s v="Bill Payment"/>
    <s v="Jeffrey Stephen Mcfarland jeffsmcfarland@gmail.com USD"/>
    <s v="20005 Accounts Payable"/>
    <x v="4"/>
    <x v="9"/>
    <n v="30"/>
    <m/>
    <n v="-30"/>
    <n v="392540.86999999941"/>
  </r>
  <r>
    <s v="03/08/2025"/>
    <x v="1"/>
    <x v="1"/>
    <s v="M&amp;T Operating"/>
    <m/>
    <s v="Bill Payment"/>
    <s v="Jenna Stahl jenna@bloomly.agency USD"/>
    <s v="20005 Accounts Payable"/>
    <x v="4"/>
    <x v="9"/>
    <n v="3375"/>
    <m/>
    <n v="-3375"/>
    <n v="389165.86999999941"/>
  </r>
  <r>
    <s v="03/08/2025"/>
    <x v="1"/>
    <x v="1"/>
    <s v="M&amp;T Operating"/>
    <m/>
    <s v="Bill Payment"/>
    <s v="Joseph Mallek joe@nimblefire.com USD"/>
    <s v="20005 Accounts Payable"/>
    <x v="4"/>
    <x v="9"/>
    <n v="10000"/>
    <m/>
    <n v="-10000"/>
    <n v="379165.86999999941"/>
  </r>
  <r>
    <s v="03/08/2025"/>
    <x v="1"/>
    <x v="1"/>
    <s v="M&amp;T Operating"/>
    <m/>
    <s v="Bill Payment"/>
    <s v="Kathleen Ferrie Marketing LLC"/>
    <s v="20005 Accounts Payable"/>
    <x v="4"/>
    <x v="9"/>
    <n v="7800"/>
    <m/>
    <n v="-7800"/>
    <n v="371365.86999999941"/>
  </r>
  <r>
    <s v="03/08/2025"/>
    <x v="1"/>
    <x v="1"/>
    <s v="M&amp;T Operating"/>
    <m/>
    <s v="Bill Payment"/>
    <s v="Kirk Leibert kleibert@gmail.com USD"/>
    <s v="20005 Accounts Payable"/>
    <x v="4"/>
    <x v="7"/>
    <n v="16800"/>
    <m/>
    <n v="-16800"/>
    <n v="354565.86999999941"/>
  </r>
  <r>
    <s v="03/08/2025"/>
    <x v="1"/>
    <x v="1"/>
    <s v="M&amp;T Operating"/>
    <m/>
    <s v="Bill Payment"/>
    <s v="McMax LLC"/>
    <s v="20005 Accounts Payable"/>
    <x v="4"/>
    <x v="7"/>
    <n v="4960"/>
    <m/>
    <n v="-4960"/>
    <n v="349605.86999999941"/>
  </r>
  <r>
    <s v="03/08/2025"/>
    <x v="1"/>
    <x v="1"/>
    <s v="M&amp;T Operating"/>
    <m/>
    <s v="Bill Payment"/>
    <s v="Paul Peterson paul.01.peterson@gmail.com USD"/>
    <s v="20005 Accounts Payable"/>
    <x v="4"/>
    <x v="7"/>
    <n v="16141.55"/>
    <m/>
    <n v="-16141.55"/>
    <n v="333464.31999999942"/>
  </r>
  <r>
    <s v="03/08/2025"/>
    <x v="1"/>
    <x v="1"/>
    <s v="M&amp;T Operating"/>
    <m/>
    <s v="Bill Payment"/>
    <s v="Pedro Rubio pedro@blackfyre.app USD"/>
    <s v="20005 Accounts Payable"/>
    <x v="4"/>
    <x v="9"/>
    <n v="199"/>
    <m/>
    <n v="-199"/>
    <n v="333265.31999999942"/>
  </r>
  <r>
    <s v="03/08/2025"/>
    <x v="1"/>
    <x v="1"/>
    <s v="M&amp;T Operating"/>
    <m/>
    <s v="Bill Payment"/>
    <s v="Prasanna Patel prasanna.patel@xtransmatrix.com USD"/>
    <s v="20005 Accounts Payable"/>
    <x v="4"/>
    <x v="9"/>
    <n v="800"/>
    <m/>
    <n v="-800"/>
    <n v="332465.31999999942"/>
  </r>
  <r>
    <s v="03/08/2025"/>
    <x v="1"/>
    <x v="1"/>
    <s v="M&amp;T Operating"/>
    <m/>
    <s v="Bill Payment"/>
    <s v="Prasanna Patel prasanna.patel@xtransmatrix.com USD"/>
    <s v="20005 Accounts Payable"/>
    <x v="4"/>
    <x v="9"/>
    <n v="5600"/>
    <m/>
    <n v="-5600"/>
    <n v="326865.31999999942"/>
  </r>
  <r>
    <s v="03/08/2025"/>
    <x v="1"/>
    <x v="1"/>
    <s v="M&amp;T Operating"/>
    <m/>
    <s v="Bill Payment"/>
    <s v="Prasanna Patel prasanna.patel@xtransmatrix.com USD"/>
    <s v="20005 Accounts Payable"/>
    <x v="4"/>
    <x v="9"/>
    <n v="4000"/>
    <m/>
    <n v="-4000"/>
    <n v="322865.31999999942"/>
  </r>
  <r>
    <s v="03/08/2025"/>
    <x v="1"/>
    <x v="1"/>
    <s v="M&amp;T Operating"/>
    <m/>
    <s v="Bill Payment"/>
    <s v="SALESFORCE CRM CONSULTING PTY LTD"/>
    <s v="20005 Accounts Payable"/>
    <x v="4"/>
    <x v="7"/>
    <n v="577.5"/>
    <m/>
    <n v="-577.5"/>
    <n v="322287.81999999942"/>
  </r>
  <r>
    <s v="03/08/2025"/>
    <x v="1"/>
    <x v="1"/>
    <s v="M&amp;T Operating"/>
    <m/>
    <s v="Bill Payment"/>
    <s v="SALESFORCE CRM CONSULTING PTY LTD"/>
    <s v="20005 Accounts Payable"/>
    <x v="4"/>
    <x v="7"/>
    <n v="52.5"/>
    <m/>
    <n v="-52.5"/>
    <n v="322235.31999999942"/>
  </r>
  <r>
    <s v="03/08/2025"/>
    <x v="1"/>
    <x v="1"/>
    <s v="M&amp;T Operating"/>
    <m/>
    <s v="Bill Payment"/>
    <s v="SALESFORCE CRM CONSULTING PTY LTD"/>
    <s v="20005 Accounts Payable"/>
    <x v="4"/>
    <x v="7"/>
    <n v="2257.5"/>
    <m/>
    <n v="-2257.5"/>
    <n v="319977.81999999942"/>
  </r>
  <r>
    <s v="03/08/2025"/>
    <x v="1"/>
    <x v="1"/>
    <s v="M&amp;T Operating"/>
    <m/>
    <s v="Bill Payment"/>
    <s v="SALESFORCE CRM CONSULTING PTY LTD"/>
    <s v="20005 Accounts Payable"/>
    <x v="4"/>
    <x v="7"/>
    <n v="5285"/>
    <m/>
    <n v="-5285"/>
    <n v="314692.81999999942"/>
  </r>
  <r>
    <s v="03/08/2025"/>
    <x v="1"/>
    <x v="1"/>
    <s v="M&amp;T Operating"/>
    <m/>
    <s v="Bill Payment"/>
    <s v="SALESFORCE CRM CONSULTING PTY LTD"/>
    <s v="20005 Accounts Payable"/>
    <x v="4"/>
    <x v="7"/>
    <n v="2160"/>
    <m/>
    <n v="-2160"/>
    <n v="312532.81999999942"/>
  </r>
  <r>
    <s v="03/08/2025"/>
    <x v="1"/>
    <x v="1"/>
    <s v="M&amp;T Operating"/>
    <m/>
    <s v="Bill Payment"/>
    <s v="SALESFORCE CRM CONSULTING PTY LTD"/>
    <s v="20005 Accounts Payable"/>
    <x v="4"/>
    <x v="7"/>
    <n v="5040"/>
    <m/>
    <n v="-5040"/>
    <n v="307492.81999999942"/>
  </r>
  <r>
    <s v="03/08/2025"/>
    <x v="1"/>
    <x v="1"/>
    <s v="M&amp;T Operating"/>
    <m/>
    <s v="Bill Payment"/>
    <s v="SALESFORCE CRM CONSULTING PTY LTD"/>
    <s v="20005 Accounts Payable"/>
    <x v="4"/>
    <x v="7"/>
    <n v="1312.5"/>
    <m/>
    <n v="-1312.5"/>
    <n v="306180.31999999942"/>
  </r>
  <r>
    <s v="03/08/2025"/>
    <x v="1"/>
    <x v="1"/>
    <s v="M&amp;T Operating"/>
    <m/>
    <s v="Bill Payment"/>
    <s v="SALESFORCE CRM CONSULTING PTY LTD"/>
    <s v="20005 Accounts Payable"/>
    <x v="4"/>
    <x v="7"/>
    <n v="187.5"/>
    <m/>
    <n v="-187.5"/>
    <n v="305992.81999999942"/>
  </r>
  <r>
    <s v="03/08/2025"/>
    <x v="1"/>
    <x v="1"/>
    <s v="M&amp;T Operating"/>
    <m/>
    <s v="Bill Payment"/>
    <s v="SALESFORCE CRM CONSULTING PTY LTD"/>
    <s v="20005 Accounts Payable"/>
    <x v="4"/>
    <x v="7"/>
    <n v="1400"/>
    <m/>
    <n v="-1400"/>
    <n v="304592.81999999942"/>
  </r>
  <r>
    <s v="03/08/2025"/>
    <x v="1"/>
    <x v="1"/>
    <s v="M&amp;T Operating"/>
    <m/>
    <s v="Bill Payment"/>
    <s v="Shazib Mahmood shazibm91@gmail.com USD"/>
    <s v="20005 Accounts Payable"/>
    <x v="4"/>
    <x v="7"/>
    <n v="18180"/>
    <m/>
    <n v="-18180"/>
    <n v="286412.81999999942"/>
  </r>
  <r>
    <s v="03/10/2025"/>
    <x v="1"/>
    <x v="1"/>
    <s v="M&amp;T Operating"/>
    <m/>
    <s v="Expense"/>
    <s v="M&amp;T Bank"/>
    <s v="69805 General &amp; Administrative:G&amp;A - Bank Fees"/>
    <x v="0"/>
    <x v="6"/>
    <n v="451.18"/>
    <m/>
    <n v="-451.18"/>
    <n v="285961.63999999943"/>
  </r>
  <r>
    <s v="03/10/2025"/>
    <x v="1"/>
    <x v="1"/>
    <s v="M&amp;T Operating"/>
    <m/>
    <s v="Payment"/>
    <s v="Msol Inc. DBA Macro Solutions"/>
    <s v="11005 Accounts Receivable"/>
    <x v="2"/>
    <x v="2"/>
    <m/>
    <n v="30357.5"/>
    <n v="30357.5"/>
    <n v="316319.13999999943"/>
  </r>
  <r>
    <s v="03/10/2025"/>
    <x v="1"/>
    <x v="1"/>
    <s v="M&amp;T Operating"/>
    <m/>
    <s v="Payment"/>
    <s v="RestorixHealth Inc:Managed Services"/>
    <s v="11005 Accounts Receivable"/>
    <x v="2"/>
    <x v="2"/>
    <m/>
    <n v="4200"/>
    <n v="4200"/>
    <n v="320519.13999999943"/>
  </r>
  <r>
    <s v="03/10/2025"/>
    <x v="1"/>
    <x v="1"/>
    <s v="M&amp;T Operating"/>
    <m/>
    <s v="Bill Payment"/>
    <s v="Venkatram B Reddy"/>
    <s v="20005 Accounts Payable"/>
    <x v="3"/>
    <x v="4"/>
    <n v="999"/>
    <m/>
    <n v="-999"/>
    <n v="319520.13999999943"/>
  </r>
  <r>
    <s v="03/10/2025"/>
    <x v="1"/>
    <x v="1"/>
    <s v="M&amp;T Operating"/>
    <m/>
    <s v="Bill Payment"/>
    <s v="Venkatram B Reddy"/>
    <s v="20005 Accounts Payable"/>
    <x v="3"/>
    <x v="4"/>
    <n v="339.13"/>
    <m/>
    <n v="-339.13"/>
    <n v="319181.00999999943"/>
  </r>
  <r>
    <s v="03/10/2025"/>
    <x v="1"/>
    <x v="1"/>
    <s v="M&amp;T Operating"/>
    <m/>
    <s v="Transfer"/>
    <m/>
    <s v="10010 M&amp;T Bank - IntraFi Network Sweep"/>
    <x v="0"/>
    <x v="0"/>
    <m/>
    <n v="180788.99"/>
    <n v="180788.99"/>
    <n v="499969.99999999942"/>
  </r>
  <r>
    <s v="03/11/2025"/>
    <x v="1"/>
    <x v="1"/>
    <s v="M&amp;T Operating"/>
    <m/>
    <s v="Deposit"/>
    <s v="American Benefit Cobra"/>
    <s v="22325 Accrued Expenses:Accrued Expenses - COBRA Clearing"/>
    <x v="1"/>
    <x v="1"/>
    <m/>
    <n v="476.36"/>
    <n v="476.36"/>
    <n v="500446.3599999994"/>
  </r>
  <r>
    <s v="03/11/2025"/>
    <x v="1"/>
    <x v="1"/>
    <s v="M&amp;T Operating"/>
    <m/>
    <s v="Expense"/>
    <s v="Bancorpsv (Benefit Deduction)"/>
    <s v="22335 Accrued Expenses:Accrued Expenses - Bankcorp Clearing"/>
    <x v="1"/>
    <x v="1"/>
    <n v="57.64"/>
    <m/>
    <n v="-57.64"/>
    <n v="500388.71999999939"/>
  </r>
  <r>
    <s v="03/11/2025"/>
    <x v="1"/>
    <x v="1"/>
    <s v="M&amp;T Operating"/>
    <m/>
    <s v="Transfer"/>
    <m/>
    <s v="10010 M&amp;T Bank - IntraFi Network Sweep"/>
    <x v="0"/>
    <x v="0"/>
    <n v="418.72"/>
    <m/>
    <n v="-418.72"/>
    <n v="499969.99999999942"/>
  </r>
  <r>
    <s v="03/12/2025"/>
    <x v="1"/>
    <x v="1"/>
    <s v="M&amp;T Operating"/>
    <m/>
    <s v="Expense"/>
    <s v="Bancorpsv (Benefit Deduction)"/>
    <s v="22335 Accrued Expenses:Accrued Expenses - Bankcorp Clearing"/>
    <x v="1"/>
    <x v="1"/>
    <n v="50"/>
    <m/>
    <n v="-50"/>
    <n v="499919.99999999942"/>
  </r>
  <r>
    <s v="03/12/2025"/>
    <x v="1"/>
    <x v="1"/>
    <s v="M&amp;T Operating"/>
    <m/>
    <s v="Transfer"/>
    <m/>
    <s v="10010 M&amp;T Bank - IntraFi Network Sweep"/>
    <x v="0"/>
    <x v="0"/>
    <m/>
    <n v="50"/>
    <n v="50"/>
    <n v="499969.99999999942"/>
  </r>
  <r>
    <s v="03/13/2025"/>
    <x v="1"/>
    <x v="1"/>
    <s v="M&amp;T Operating"/>
    <m/>
    <s v="Expense"/>
    <s v="Bancorpsv (Benefit Deduction)"/>
    <s v="22335 Accrued Expenses:Accrued Expenses - Bankcorp Clearing"/>
    <x v="1"/>
    <x v="1"/>
    <n v="45"/>
    <m/>
    <n v="-45"/>
    <n v="499924.99999999942"/>
  </r>
  <r>
    <s v="03/13/2025"/>
    <x v="1"/>
    <x v="1"/>
    <s v="M&amp;T Operating"/>
    <m/>
    <s v="Expense"/>
    <s v="Paylocity"/>
    <s v="22205 Accrued Expenses:Accrued Expenses - Payroll"/>
    <x v="1"/>
    <x v="12"/>
    <n v="78161.710000000006"/>
    <m/>
    <n v="-78161.710000000006"/>
    <n v="421763.2899999994"/>
  </r>
  <r>
    <s v="03/13/2025"/>
    <x v="1"/>
    <x v="1"/>
    <s v="M&amp;T Operating"/>
    <m/>
    <s v="Expense"/>
    <s v="Paylocity"/>
    <s v="22205 Accrued Expenses:Accrued Expenses - Payroll"/>
    <x v="1"/>
    <x v="11"/>
    <n v="41545.49"/>
    <m/>
    <n v="-41545.49"/>
    <n v="380217.79999999941"/>
  </r>
  <r>
    <s v="03/13/2025"/>
    <x v="1"/>
    <x v="1"/>
    <s v="M&amp;T Operating"/>
    <m/>
    <s v="Expense"/>
    <s v="Paylocity"/>
    <s v="22205 Accrued Expenses:Accrued Expenses - Payroll"/>
    <x v="1"/>
    <x v="1"/>
    <n v="949.5"/>
    <m/>
    <n v="-949.5"/>
    <n v="379268.29999999941"/>
  </r>
  <r>
    <s v="03/13/2025"/>
    <x v="1"/>
    <x v="1"/>
    <s v="M&amp;T Operating"/>
    <m/>
    <s v="Transfer"/>
    <m/>
    <s v="10010 M&amp;T Bank - IntraFi Network Sweep"/>
    <x v="0"/>
    <x v="0"/>
    <m/>
    <n v="120701.7"/>
    <n v="120701.7"/>
    <n v="499969.99999999942"/>
  </r>
  <r>
    <s v="03/14/2025"/>
    <x v="1"/>
    <x v="1"/>
    <s v="M&amp;T Operating"/>
    <m/>
    <s v="Expense"/>
    <s v="Bancorpsv (Benefit Deduction)"/>
    <s v="22335 Accrued Expenses:Accrued Expenses - Bankcorp Clearing"/>
    <x v="1"/>
    <x v="1"/>
    <n v="30"/>
    <m/>
    <n v="-30"/>
    <n v="499939.99999999942"/>
  </r>
  <r>
    <s v="03/14/2025"/>
    <x v="1"/>
    <x v="1"/>
    <s v="M&amp;T Operating"/>
    <m/>
    <s v="Bill Payment"/>
    <s v="Brenna Hawley-Craig"/>
    <s v="20005 Accounts Payable"/>
    <x v="3"/>
    <x v="4"/>
    <n v="120"/>
    <m/>
    <n v="-120"/>
    <n v="499819.99999999942"/>
  </r>
  <r>
    <s v="03/14/2025"/>
    <x v="1"/>
    <x v="1"/>
    <s v="M&amp;T Operating"/>
    <m/>
    <s v="Bill Payment"/>
    <s v="Investigo LLC"/>
    <s v="20005 Accounts Payable"/>
    <x v="4"/>
    <x v="9"/>
    <n v="5100"/>
    <m/>
    <n v="-5100"/>
    <n v="494719.99999999942"/>
  </r>
  <r>
    <s v="03/14/2025"/>
    <x v="1"/>
    <x v="1"/>
    <s v="M&amp;T Operating"/>
    <m/>
    <s v="Bill Payment"/>
    <s v="Michael Hartman"/>
    <s v="20005 Accounts Payable"/>
    <x v="3"/>
    <x v="4"/>
    <n v="60"/>
    <m/>
    <n v="-60"/>
    <n v="494659.99999999942"/>
  </r>
  <r>
    <s v="03/14/2025"/>
    <x v="1"/>
    <x v="1"/>
    <s v="M&amp;T Operating"/>
    <m/>
    <s v="Bill Payment"/>
    <s v="Nemphos Braue LLC"/>
    <s v="20005 Accounts Payable"/>
    <x v="3"/>
    <x v="5"/>
    <n v="1374"/>
    <m/>
    <n v="-1374"/>
    <n v="493285.99999999942"/>
  </r>
  <r>
    <s v="03/14/2025"/>
    <x v="1"/>
    <x v="1"/>
    <s v="M&amp;T Operating"/>
    <m/>
    <s v="Bill Payment"/>
    <s v="Nemphos Braue LLC"/>
    <s v="20005 Accounts Payable"/>
    <x v="3"/>
    <x v="5"/>
    <n v="17492"/>
    <m/>
    <n v="-17492"/>
    <n v="475793.99999999942"/>
  </r>
  <r>
    <s v="03/14/2025"/>
    <x v="1"/>
    <x v="1"/>
    <s v="M&amp;T Operating"/>
    <m/>
    <s v="Expense"/>
    <s v="Paylocity"/>
    <s v="69215 General &amp; Administrative:G&amp;A - Payroll Fees"/>
    <x v="1"/>
    <x v="3"/>
    <n v="142.44999999999999"/>
    <m/>
    <n v="-142.44999999999999"/>
    <n v="475651.54999999941"/>
  </r>
  <r>
    <s v="03/14/2025"/>
    <x v="1"/>
    <x v="1"/>
    <s v="M&amp;T Operating"/>
    <m/>
    <s v="Bill Payment"/>
    <s v="Raymond Der"/>
    <s v="20005 Accounts Payable"/>
    <x v="3"/>
    <x v="4"/>
    <n v="210"/>
    <m/>
    <n v="-210"/>
    <n v="475441.54999999941"/>
  </r>
  <r>
    <s v="03/14/2025"/>
    <x v="1"/>
    <x v="1"/>
    <s v="M&amp;T Operating"/>
    <m/>
    <s v="Payment"/>
    <s v="State of Virginia - State Corporation Commission:State of Virginia/Guidehouse"/>
    <s v="11005 Accounts Receivable"/>
    <x v="2"/>
    <x v="2"/>
    <m/>
    <n v="12400"/>
    <n v="12400"/>
    <n v="487841.54999999941"/>
  </r>
  <r>
    <s v="03/14/2025"/>
    <x v="1"/>
    <x v="1"/>
    <s v="M&amp;T Operating"/>
    <m/>
    <s v="Transfer"/>
    <m/>
    <s v="10010 M&amp;T Bank - IntraFi Network Sweep"/>
    <x v="0"/>
    <x v="0"/>
    <m/>
    <n v="12128.45"/>
    <n v="12128.45"/>
    <n v="499969.99999999942"/>
  </r>
  <r>
    <s v="03/17/2025"/>
    <x v="1"/>
    <x v="1"/>
    <s v="M&amp;T Operating"/>
    <m/>
    <s v="Expense"/>
    <s v="Wex Health, Inc."/>
    <s v="22320 Accrued Expenses:Accrued Expenses - WEX Clearing"/>
    <x v="1"/>
    <x v="1"/>
    <n v="208.34"/>
    <m/>
    <n v="-208.34"/>
    <n v="499761.65999999939"/>
  </r>
  <r>
    <s v="03/17/2025"/>
    <x v="1"/>
    <x v="1"/>
    <s v="M&amp;T Operating"/>
    <m/>
    <s v="Transfer"/>
    <m/>
    <s v="10010 M&amp;T Bank - IntraFi Network Sweep"/>
    <x v="0"/>
    <x v="0"/>
    <m/>
    <n v="208.34"/>
    <n v="208.34"/>
    <n v="499969.99999999942"/>
  </r>
  <r>
    <s v="03/18/2025"/>
    <x v="1"/>
    <x v="1"/>
    <s v="M&amp;T Operating"/>
    <m/>
    <s v="Credit Card Pmt"/>
    <s v="Brex Inc"/>
    <s v="21005 Brex Mastercard"/>
    <x v="5"/>
    <x v="13"/>
    <n v="4685.37"/>
    <m/>
    <n v="-4685.37"/>
    <n v="495284.62999999942"/>
  </r>
  <r>
    <s v="03/18/2025"/>
    <x v="1"/>
    <x v="1"/>
    <s v="M&amp;T Operating"/>
    <m/>
    <s v="Expense"/>
    <s v="Minnesota Department of Revenue"/>
    <s v="69815 General &amp; Administrative:G&amp;A - Business Taxes, Licenses &amp; Permits"/>
    <x v="3"/>
    <x v="20"/>
    <n v="4036"/>
    <m/>
    <n v="-4036"/>
    <n v="491248.62999999942"/>
  </r>
  <r>
    <s v="03/18/2025"/>
    <x v="1"/>
    <x v="1"/>
    <s v="M&amp;T Operating"/>
    <m/>
    <s v="Transfer"/>
    <m/>
    <s v="10010 M&amp;T Bank - IntraFi Network Sweep"/>
    <x v="0"/>
    <x v="0"/>
    <m/>
    <n v="8721.3700000000008"/>
    <n v="8721.3700000000008"/>
    <n v="499969.99999999942"/>
  </r>
  <r>
    <s v="03/19/2025"/>
    <x v="1"/>
    <x v="1"/>
    <s v="M&amp;T Operating"/>
    <m/>
    <s v="Expense"/>
    <s v="The Hartford"/>
    <s v="69800 General &amp; Administrative:G&amp;A - Insurance"/>
    <x v="3"/>
    <x v="14"/>
    <n v="1337.67"/>
    <m/>
    <n v="-1337.67"/>
    <n v="498632.32999999943"/>
  </r>
  <r>
    <s v="03/19/2025"/>
    <x v="1"/>
    <x v="1"/>
    <s v="M&amp;T Operating"/>
    <m/>
    <s v="Expense"/>
    <s v="The Principal"/>
    <s v="22310 Accrued Expenses:Accrued Expenses - Principal Clearing"/>
    <x v="1"/>
    <x v="1"/>
    <n v="10751.83"/>
    <m/>
    <n v="-10751.83"/>
    <n v="487880.49999999942"/>
  </r>
  <r>
    <s v="03/19/2025"/>
    <x v="1"/>
    <x v="1"/>
    <s v="M&amp;T Operating"/>
    <m/>
    <s v="Transfer"/>
    <m/>
    <s v="10010 M&amp;T Bank - IntraFi Network Sweep"/>
    <x v="0"/>
    <x v="0"/>
    <m/>
    <n v="12089.5"/>
    <n v="12089.5"/>
    <n v="499969.99999999942"/>
  </r>
  <r>
    <s v="03/20/2025"/>
    <x v="1"/>
    <x v="1"/>
    <s v="M&amp;T Operating"/>
    <m/>
    <s v="Expense"/>
    <s v="Cigna Healthcare"/>
    <s v="22305 Accrued Expenses:Accrued Expenses - Cigna Clearing"/>
    <x v="1"/>
    <x v="1"/>
    <n v="1251.92"/>
    <m/>
    <n v="-1251.92"/>
    <n v="498718.07999999943"/>
  </r>
  <r>
    <s v="03/20/2025"/>
    <x v="1"/>
    <x v="1"/>
    <s v="M&amp;T Operating"/>
    <m/>
    <s v="Transfer"/>
    <m/>
    <s v="10010 M&amp;T Bank - IntraFi Network Sweep"/>
    <x v="0"/>
    <x v="0"/>
    <m/>
    <n v="1251.92"/>
    <n v="1251.92"/>
    <n v="499969.99999999942"/>
  </r>
  <r>
    <s v="03/21/2025"/>
    <x v="1"/>
    <x v="1"/>
    <s v="M&amp;T Operating"/>
    <m/>
    <s v="Bill Payment"/>
    <s v="Areti Group Ltd"/>
    <s v="20005 Accounts Payable"/>
    <x v="3"/>
    <x v="21"/>
    <n v="18750"/>
    <m/>
    <n v="-18750"/>
    <n v="481219.99999999942"/>
  </r>
  <r>
    <s v="03/21/2025"/>
    <x v="1"/>
    <x v="1"/>
    <s v="M&amp;T Operating"/>
    <m/>
    <s v="Payment"/>
    <s v="Curonix LLC:Curonix Managed Services"/>
    <s v="11005 Accounts Receivable"/>
    <x v="2"/>
    <x v="2"/>
    <m/>
    <n v="8750"/>
    <n v="8750"/>
    <n v="489969.99999999942"/>
  </r>
  <r>
    <s v="03/21/2025"/>
    <x v="1"/>
    <x v="1"/>
    <s v="M&amp;T Operating"/>
    <m/>
    <s v="Payment"/>
    <s v="Curonix LLC:Curonix Managed Services"/>
    <s v="11005 Accounts Receivable"/>
    <x v="2"/>
    <x v="2"/>
    <m/>
    <n v="15575"/>
    <n v="15575"/>
    <n v="505544.99999999942"/>
  </r>
  <r>
    <s v="03/21/2025"/>
    <x v="1"/>
    <x v="1"/>
    <s v="M&amp;T Operating"/>
    <m/>
    <s v="Bill Payment"/>
    <s v="Investigo LLC"/>
    <s v="20005 Accounts Payable"/>
    <x v="4"/>
    <x v="9"/>
    <n v="8550"/>
    <m/>
    <n v="-8550"/>
    <n v="496994.99999999942"/>
  </r>
  <r>
    <s v="03/21/2025"/>
    <x v="1"/>
    <x v="1"/>
    <s v="M&amp;T Operating"/>
    <m/>
    <s v="Bill Payment"/>
    <s v="Investigo LLC"/>
    <s v="20005 Accounts Payable"/>
    <x v="3"/>
    <x v="21"/>
    <n v="45000"/>
    <m/>
    <n v="-45000"/>
    <n v="451994.99999999942"/>
  </r>
  <r>
    <s v="03/21/2025"/>
    <x v="1"/>
    <x v="1"/>
    <s v="M&amp;T Operating"/>
    <m/>
    <s v="Expense"/>
    <s v="The Hartford"/>
    <s v="69800 General &amp; Administrative:G&amp;A - Insurance"/>
    <x v="3"/>
    <x v="14"/>
    <n v="1752.22"/>
    <m/>
    <n v="-1752.22"/>
    <n v="450242.77999999945"/>
  </r>
  <r>
    <s v="03/21/2025"/>
    <x v="1"/>
    <x v="1"/>
    <s v="M&amp;T Operating"/>
    <m/>
    <s v="Transfer"/>
    <m/>
    <s v="10010 M&amp;T Bank - IntraFi Network Sweep"/>
    <x v="0"/>
    <x v="0"/>
    <m/>
    <n v="49727.22"/>
    <n v="49727.22"/>
    <n v="499969.99999999942"/>
  </r>
  <r>
    <s v="03/24/2025"/>
    <x v="1"/>
    <x v="1"/>
    <s v="M&amp;T Operating"/>
    <m/>
    <s v="Expense"/>
    <s v="Bancorpsv (Benefit Deduction)"/>
    <s v="22335 Accrued Expenses:Accrued Expenses - Bankcorp Clearing"/>
    <x v="1"/>
    <x v="1"/>
    <n v="65"/>
    <m/>
    <n v="-65"/>
    <n v="499904.99999999942"/>
  </r>
  <r>
    <s v="03/24/2025"/>
    <x v="1"/>
    <x v="1"/>
    <s v="M&amp;T Operating"/>
    <m/>
    <s v="Bill Payment"/>
    <s v="Brenna Hawley-Craig"/>
    <s v="20005 Accounts Payable"/>
    <x v="3"/>
    <x v="4"/>
    <n v="93.27"/>
    <m/>
    <n v="-93.27"/>
    <n v="499811.7299999994"/>
  </r>
  <r>
    <s v="03/24/2025"/>
    <x v="1"/>
    <x v="1"/>
    <s v="M&amp;T Operating"/>
    <m/>
    <s v="Bill Payment"/>
    <s v="Mark Miller"/>
    <s v="20005 Accounts Payable"/>
    <x v="3"/>
    <x v="10"/>
    <n v="1431.65"/>
    <m/>
    <n v="-1431.65"/>
    <n v="498380.07999999938"/>
  </r>
  <r>
    <s v="03/24/2025"/>
    <x v="1"/>
    <x v="1"/>
    <s v="M&amp;T Operating"/>
    <m/>
    <s v="Expense"/>
    <s v="Paylocity"/>
    <s v="22205 Accrued Expenses:Accrued Expenses - Payroll"/>
    <x v="1"/>
    <x v="1"/>
    <n v="250"/>
    <m/>
    <n v="-250"/>
    <n v="498130.07999999938"/>
  </r>
  <r>
    <s v="03/24/2025"/>
    <x v="1"/>
    <x v="1"/>
    <s v="M&amp;T Operating"/>
    <m/>
    <s v="Bill Payment"/>
    <s v="Raymond Der"/>
    <s v="20005 Accounts Payable"/>
    <x v="3"/>
    <x v="4"/>
    <n v="140"/>
    <m/>
    <n v="-140"/>
    <n v="497990.07999999938"/>
  </r>
  <r>
    <s v="03/24/2025"/>
    <x v="1"/>
    <x v="1"/>
    <s v="M&amp;T Operating"/>
    <m/>
    <s v="Transfer"/>
    <m/>
    <s v="10010 M&amp;T Bank - IntraFi Network Sweep"/>
    <x v="0"/>
    <x v="0"/>
    <m/>
    <n v="1979.92"/>
    <n v="1979.92"/>
    <n v="499969.99999999936"/>
  </r>
  <r>
    <s v="03/25/2025"/>
    <x v="1"/>
    <x v="1"/>
    <s v="M&amp;T Operating"/>
    <m/>
    <s v="Expense"/>
    <s v="Bancorpsv (Benefit Deduction)"/>
    <s v="22335 Accrued Expenses:Accrued Expenses - Bankcorp Clearing"/>
    <x v="1"/>
    <x v="1"/>
    <n v="18.73"/>
    <m/>
    <n v="-18.73"/>
    <n v="499951.26999999938"/>
  </r>
  <r>
    <s v="03/25/2025"/>
    <x v="1"/>
    <x v="1"/>
    <s v="M&amp;T Operating"/>
    <m/>
    <s v="Payment"/>
    <s v="Delta Dental Washington:Delta Dental Washington - Fixed Fee Scope A"/>
    <s v="11005 Accounts Receivable"/>
    <x v="2"/>
    <x v="2"/>
    <m/>
    <n v="29995"/>
    <n v="29995"/>
    <n v="529946.26999999932"/>
  </r>
  <r>
    <s v="03/25/2025"/>
    <x v="1"/>
    <x v="1"/>
    <s v="M&amp;T Operating"/>
    <m/>
    <s v="Payment"/>
    <s v="Delta Dental Washington:Delta Dental Washington - Fixed Fee Scope A"/>
    <s v="11005 Accounts Receivable"/>
    <x v="2"/>
    <x v="2"/>
    <m/>
    <n v="31667.66"/>
    <n v="31667.66"/>
    <n v="561613.92999999935"/>
  </r>
  <r>
    <s v="03/25/2025"/>
    <x v="1"/>
    <x v="1"/>
    <s v="M&amp;T Operating"/>
    <m/>
    <s v="Payment"/>
    <s v="Delta Dental Washington:Delta Dental Washington - Fixed Fee Scope A"/>
    <s v="11005 Accounts Receivable"/>
    <x v="2"/>
    <x v="2"/>
    <m/>
    <n v="31667.66"/>
    <n v="31667.66"/>
    <n v="593281.58999999939"/>
  </r>
  <r>
    <s v="03/25/2025"/>
    <x v="1"/>
    <x v="1"/>
    <s v="M&amp;T Operating"/>
    <m/>
    <s v="Payment"/>
    <s v="Delta Dental Washington:Delta Dental Washington - Fixed Fee Scope A"/>
    <s v="11005 Accounts Receivable"/>
    <x v="2"/>
    <x v="2"/>
    <m/>
    <n v="31667.66"/>
    <n v="31667.66"/>
    <n v="624949.24999999942"/>
  </r>
  <r>
    <s v="03/25/2025"/>
    <x v="1"/>
    <x v="1"/>
    <s v="M&amp;T Operating"/>
    <m/>
    <s v="Payment"/>
    <s v="Delta Dental Washington:Delta Dental Washington - T&amp;M Scope B"/>
    <s v="11005 Accounts Receivable"/>
    <x v="2"/>
    <x v="2"/>
    <m/>
    <n v="1295"/>
    <n v="1295"/>
    <n v="626244.24999999942"/>
  </r>
  <r>
    <s v="03/25/2025"/>
    <x v="1"/>
    <x v="1"/>
    <s v="M&amp;T Operating"/>
    <m/>
    <s v="Expense"/>
    <s v="Wex Health, Inc."/>
    <s v="22320 Accrued Expenses:Accrued Expenses - WEX Clearing"/>
    <x v="1"/>
    <x v="1"/>
    <n v="61.8"/>
    <m/>
    <n v="-61.8"/>
    <n v="626182.44999999937"/>
  </r>
  <r>
    <s v="03/25/2025"/>
    <x v="1"/>
    <x v="1"/>
    <s v="M&amp;T Operating"/>
    <m/>
    <s v="Transfer"/>
    <m/>
    <s v="10010 M&amp;T Bank - IntraFi Network Sweep"/>
    <x v="0"/>
    <x v="0"/>
    <n v="126212.45"/>
    <m/>
    <n v="-126212.45"/>
    <n v="499969.99999999936"/>
  </r>
  <r>
    <s v="03/26/2025"/>
    <x v="1"/>
    <x v="1"/>
    <s v="M&amp;T Operating"/>
    <m/>
    <s v="Expense"/>
    <s v="Bancorpsv (Benefit Deduction)"/>
    <s v="22335 Accrued Expenses:Accrued Expenses - Bankcorp Clearing"/>
    <x v="1"/>
    <x v="1"/>
    <n v="40.840000000000003"/>
    <m/>
    <n v="-40.840000000000003"/>
    <n v="499929.15999999933"/>
  </r>
  <r>
    <s v="03/26/2025"/>
    <x v="1"/>
    <x v="1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14429.15999999933"/>
  </r>
  <r>
    <s v="03/26/2025"/>
    <x v="1"/>
    <x v="1"/>
    <s v="M&amp;T Operating"/>
    <m/>
    <s v="Expense"/>
    <s v="QuickBooks Payments"/>
    <s v="69805 General &amp; Administrative:G&amp;A - Bank Fees"/>
    <x v="0"/>
    <x v="6"/>
    <n v="20"/>
    <m/>
    <n v="-20"/>
    <n v="514409.15999999933"/>
  </r>
  <r>
    <s v="03/26/2025"/>
    <x v="1"/>
    <x v="1"/>
    <s v="M&amp;T Operating"/>
    <m/>
    <s v="Transfer"/>
    <m/>
    <s v="10010 M&amp;T Bank - IntraFi Network Sweep"/>
    <x v="0"/>
    <x v="0"/>
    <m/>
    <n v="40.840000000000003"/>
    <n v="40.840000000000003"/>
    <n v="514449.99999999936"/>
  </r>
  <r>
    <s v="03/27/2025"/>
    <x v="1"/>
    <x v="1"/>
    <s v="M&amp;T Operating"/>
    <m/>
    <s v="Payment"/>
    <s v="Acumen Solutions, Inc."/>
    <s v="11005 Accounts Receivable"/>
    <x v="2"/>
    <x v="2"/>
    <m/>
    <n v="18447"/>
    <n v="18447"/>
    <n v="532896.9999999993"/>
  </r>
  <r>
    <s v="03/27/2025"/>
    <x v="1"/>
    <x v="1"/>
    <s v="M&amp;T Operating"/>
    <m/>
    <s v="Transfer"/>
    <m/>
    <s v="10010 M&amp;T Bank - IntraFi Network Sweep"/>
    <x v="0"/>
    <x v="0"/>
    <n v="32927"/>
    <m/>
    <n v="-32927"/>
    <n v="499969.9999999993"/>
  </r>
  <r>
    <s v="03/28/2025"/>
    <x v="1"/>
    <x v="1"/>
    <s v="M&amp;T Operating"/>
    <m/>
    <s v="Payment"/>
    <s v="Acumen Solutions, Inc."/>
    <s v="11005 Accounts Receivable"/>
    <x v="2"/>
    <x v="2"/>
    <m/>
    <n v="22880"/>
    <n v="22880"/>
    <n v="522849.9999999993"/>
  </r>
  <r>
    <s v="03/28/2025"/>
    <x v="1"/>
    <x v="1"/>
    <s v="M&amp;T Operating"/>
    <m/>
    <s v="Bill Payment"/>
    <s v="Focus Fractional LLC"/>
    <s v="20005 Accounts Payable"/>
    <x v="3"/>
    <x v="15"/>
    <n v="287.38"/>
    <m/>
    <n v="-287.38"/>
    <n v="522562.6199999993"/>
  </r>
  <r>
    <s v="03/28/2025"/>
    <x v="1"/>
    <x v="1"/>
    <s v="M&amp;T Operating"/>
    <m/>
    <s v="Payment"/>
    <s v="Great Expressions Dental Centers:Great Expressions Dental - Marketing Managed Services"/>
    <s v="11005 Accounts Receivable"/>
    <x v="2"/>
    <x v="2"/>
    <m/>
    <n v="5250"/>
    <n v="5250"/>
    <n v="527812.6199999993"/>
  </r>
  <r>
    <s v="03/28/2025"/>
    <x v="1"/>
    <x v="1"/>
    <s v="M&amp;T Operating"/>
    <m/>
    <s v="Bill Payment"/>
    <s v="HireRight"/>
    <s v="20005 Accounts Payable"/>
    <x v="3"/>
    <x v="15"/>
    <n v="269.18"/>
    <m/>
    <n v="-269.18"/>
    <n v="527543.43999999925"/>
  </r>
  <r>
    <s v="03/28/2025"/>
    <x v="1"/>
    <x v="1"/>
    <s v="M&amp;T Operating"/>
    <m/>
    <s v="Expense"/>
    <s v="Paylocity"/>
    <s v="22205 Accrued Expenses:Accrued Expenses - Payroll"/>
    <x v="1"/>
    <x v="11"/>
    <n v="39113.360000000001"/>
    <m/>
    <n v="-39113.360000000001"/>
    <n v="488430.07999999926"/>
  </r>
  <r>
    <s v="03/28/2025"/>
    <x v="1"/>
    <x v="1"/>
    <s v="M&amp;T Operating"/>
    <m/>
    <s v="Expense"/>
    <s v="Paylocity"/>
    <s v="22205 Accrued Expenses:Accrued Expenses - Payroll"/>
    <x v="1"/>
    <x v="12"/>
    <n v="69965"/>
    <m/>
    <n v="-69965"/>
    <n v="418465.07999999926"/>
  </r>
  <r>
    <s v="03/28/2025"/>
    <x v="1"/>
    <x v="1"/>
    <s v="M&amp;T Operating"/>
    <m/>
    <s v="Expense"/>
    <s v="Paylocity"/>
    <s v="22205 Accrued Expenses:Accrued Expenses - Payroll"/>
    <x v="1"/>
    <x v="1"/>
    <n v="937"/>
    <m/>
    <n v="-937"/>
    <n v="417528.07999999926"/>
  </r>
  <r>
    <s v="03/28/2025"/>
    <x v="1"/>
    <x v="1"/>
    <s v="M&amp;T Operating"/>
    <m/>
    <s v="Payment"/>
    <s v="State of Virginia - State Corporation Commission:State of Virginia/Guidehouse"/>
    <s v="11005 Accounts Receivable"/>
    <x v="2"/>
    <x v="2"/>
    <m/>
    <n v="12400"/>
    <n v="12400"/>
    <n v="429928.07999999926"/>
  </r>
  <r>
    <s v="03/28/2025"/>
    <x v="1"/>
    <x v="1"/>
    <s v="M&amp;T Operating"/>
    <m/>
    <s v="Transfer"/>
    <m/>
    <s v="10010 M&amp;T Bank - IntraFi Network Sweep"/>
    <x v="0"/>
    <x v="0"/>
    <m/>
    <n v="70041.919999999998"/>
    <n v="70041.919999999998"/>
    <n v="499969.99999999924"/>
  </r>
  <r>
    <s v="03/31/2025"/>
    <x v="1"/>
    <x v="1"/>
    <s v="M&amp;T Operating"/>
    <m/>
    <s v="Deposit"/>
    <s v="M&amp;T Bank"/>
    <s v="71005 Interest"/>
    <x v="0"/>
    <x v="17"/>
    <m/>
    <n v="8145.22"/>
    <n v="8145.22"/>
    <n v="508115.21999999922"/>
  </r>
  <r>
    <s v="03/31/2025"/>
    <x v="1"/>
    <x v="1"/>
    <s v="M&amp;T Operating"/>
    <m/>
    <s v="Expense"/>
    <s v="Paylocity"/>
    <s v="22205 Accrued Expenses:Accrued Expenses - Payroll"/>
    <x v="1"/>
    <x v="3"/>
    <n v="317.11"/>
    <m/>
    <n v="-317.11"/>
    <n v="507798.10999999923"/>
  </r>
  <r>
    <s v="03/31/2025"/>
    <x v="1"/>
    <x v="1"/>
    <s v="M&amp;T Operating"/>
    <m/>
    <s v="Payment"/>
    <s v="RestorixHealth Inc:Managed Services"/>
    <s v="11005 Accounts Receivable"/>
    <x v="2"/>
    <x v="2"/>
    <m/>
    <n v="4200"/>
    <n v="4200"/>
    <n v="511998.10999999923"/>
  </r>
  <r>
    <s v="03/31/2025"/>
    <x v="1"/>
    <x v="1"/>
    <s v="M&amp;T Operating"/>
    <m/>
    <s v="Bill Payment"/>
    <s v="Venkatram B Reddy"/>
    <s v="20005 Accounts Payable"/>
    <x v="3"/>
    <x v="4"/>
    <n v="269.10000000000002"/>
    <m/>
    <n v="-269.10000000000002"/>
    <n v="511729.00999999925"/>
  </r>
  <r>
    <s v="03/31/2025"/>
    <x v="1"/>
    <x v="1"/>
    <s v="M&amp;T Operating"/>
    <m/>
    <s v="Transfer"/>
    <m/>
    <s v="10010 M&amp;T Bank - IntraFi Network Sweep"/>
    <x v="0"/>
    <x v="0"/>
    <n v="11729.01"/>
    <m/>
    <n v="-11729.01"/>
    <n v="499999.99999999924"/>
  </r>
  <r>
    <s v="04/01/2025"/>
    <x v="1"/>
    <x v="4"/>
    <s v="M&amp;T Operating"/>
    <m/>
    <s v="Expense"/>
    <s v="Bancorpsv (Benefit Deduction)"/>
    <s v="22335 Accrued Expenses:Accrued Expenses - Bankcorp Clearing"/>
    <x v="1"/>
    <x v="1"/>
    <n v="40.03"/>
    <m/>
    <n v="-40.03"/>
    <n v="499959.96999999922"/>
  </r>
  <r>
    <s v="04/01/2025"/>
    <x v="1"/>
    <x v="4"/>
    <s v="M&amp;T Operating"/>
    <m/>
    <s v="Credit Card Pmt"/>
    <s v="Chase Visa"/>
    <s v="21010 Chase Visa"/>
    <x v="5"/>
    <x v="18"/>
    <n v="1222.92"/>
    <m/>
    <n v="-1222.92"/>
    <n v="498737.04999999923"/>
  </r>
  <r>
    <s v="04/01/2025"/>
    <x v="1"/>
    <x v="4"/>
    <s v="M&amp;T Operating"/>
    <m/>
    <s v="Deposit"/>
    <s v="Freedom Service Dogs Inc.:Managed Services"/>
    <s v="14005 Undeposited Funds"/>
    <x v="2"/>
    <x v="2"/>
    <m/>
    <n v="1500"/>
    <n v="1500"/>
    <n v="500237.04999999923"/>
  </r>
  <r>
    <s v="04/01/2025"/>
    <x v="1"/>
    <x v="4"/>
    <s v="M&amp;T Operating"/>
    <m/>
    <s v="Deposit"/>
    <s v="Further FKA SelctAccount"/>
    <s v="22330 Accrued Expenses:Accrued Expenses - Further Clearing"/>
    <x v="1"/>
    <x v="1"/>
    <m/>
    <n v="84.37"/>
    <n v="84.37"/>
    <n v="500321.41999999923"/>
  </r>
  <r>
    <s v="04/01/2025"/>
    <x v="1"/>
    <x v="4"/>
    <s v="M&amp;T Operating"/>
    <m/>
    <s v="Bill Payment"/>
    <s v="International Computer Services Inc."/>
    <s v="20005 Accounts Payable"/>
    <x v="3"/>
    <x v="10"/>
    <n v="1788"/>
    <m/>
    <n v="-1788"/>
    <n v="498533.41999999923"/>
  </r>
  <r>
    <s v="04/01/2025"/>
    <x v="1"/>
    <x v="4"/>
    <s v="M&amp;T Operating"/>
    <m/>
    <s v="Bill Payment"/>
    <s v="International Computer Services Inc."/>
    <s v="20005 Accounts Payable"/>
    <x v="3"/>
    <x v="10"/>
    <n v="2954.41"/>
    <m/>
    <n v="-2954.41"/>
    <n v="495579.00999999925"/>
  </r>
  <r>
    <s v="04/01/2025"/>
    <x v="1"/>
    <x v="4"/>
    <s v="M&amp;T Operating"/>
    <m/>
    <s v="Payment"/>
    <s v="Msol Inc. DBA Macro Solutions"/>
    <s v="11005 Accounts Receivable"/>
    <x v="2"/>
    <x v="2"/>
    <m/>
    <n v="38360"/>
    <n v="38360"/>
    <n v="533939.00999999931"/>
  </r>
  <r>
    <s v="04/01/2025"/>
    <x v="1"/>
    <x v="4"/>
    <s v="M&amp;T Operating"/>
    <m/>
    <s v="Expense"/>
    <s v="QuickBooks Payments"/>
    <s v="69805 General &amp; Administrative:G&amp;A - Bank Fees"/>
    <x v="0"/>
    <x v="6"/>
    <n v="15"/>
    <m/>
    <n v="-15"/>
    <n v="533924.00999999931"/>
  </r>
  <r>
    <s v="04/01/2025"/>
    <x v="1"/>
    <x v="4"/>
    <s v="M&amp;T Operating"/>
    <m/>
    <s v="Expense"/>
    <s v="The Principal"/>
    <s v="22310 Accrued Expenses:Accrued Expenses - Principal Clearing"/>
    <x v="1"/>
    <x v="1"/>
    <n v="14491.74"/>
    <m/>
    <n v="-14491.74"/>
    <n v="519432.26999999932"/>
  </r>
  <r>
    <s v="04/01/2025"/>
    <x v="1"/>
    <x v="4"/>
    <s v="M&amp;T Operating"/>
    <m/>
    <s v="Expense"/>
    <s v="Wex Health, Inc."/>
    <s v="22320 Accrued Expenses:Accrued Expenses - WEX Clearing"/>
    <x v="1"/>
    <x v="1"/>
    <n v="137.82"/>
    <m/>
    <n v="-137.82"/>
    <n v="519294.44999999931"/>
  </r>
  <r>
    <s v="04/01/2025"/>
    <x v="1"/>
    <x v="4"/>
    <s v="M&amp;T Operating"/>
    <m/>
    <s v="Bill Payment"/>
    <s v="William Karpovich"/>
    <s v="20005 Accounts Payable"/>
    <x v="3"/>
    <x v="4"/>
    <n v="10034.530000000001"/>
    <m/>
    <n v="-10034.530000000001"/>
    <n v="509259.91999999929"/>
  </r>
  <r>
    <s v="04/01/2025"/>
    <x v="1"/>
    <x v="4"/>
    <s v="M&amp;T Operating"/>
    <m/>
    <s v="Transfer"/>
    <m/>
    <s v="10010 M&amp;T Bank - IntraFi Network Sweep"/>
    <x v="0"/>
    <x v="0"/>
    <n v="10482.84"/>
    <m/>
    <n v="-10482.84"/>
    <n v="498777.07999999926"/>
  </r>
  <r>
    <s v="04/02/2025"/>
    <x v="1"/>
    <x v="4"/>
    <s v="M&amp;T Operating"/>
    <m/>
    <s v="Expense"/>
    <s v="Bancorpsv (Benefit Deduction)"/>
    <s v="22335 Accrued Expenses:Accrued Expenses - Bankcorp Clearing"/>
    <x v="1"/>
    <x v="1"/>
    <n v="149.1"/>
    <m/>
    <n v="-149.1"/>
    <n v="498627.97999999928"/>
  </r>
  <r>
    <s v="04/02/2025"/>
    <x v="1"/>
    <x v="4"/>
    <s v="M&amp;T Operating"/>
    <m/>
    <s v="Expense"/>
    <s v="CareFirst Blue Cross Blue Shield"/>
    <s v="22300 Accrued Expenses:Accrued Expenses - BCBS Clearing"/>
    <x v="1"/>
    <x v="1"/>
    <n v="18179.86"/>
    <m/>
    <n v="-18179.86"/>
    <n v="480448.1199999993"/>
  </r>
  <r>
    <s v="04/02/2025"/>
    <x v="1"/>
    <x v="4"/>
    <s v="M&amp;T Operating"/>
    <m/>
    <s v="Expense"/>
    <s v="CNA Insurance [AutoPay]"/>
    <s v="69800 General &amp; Administrative:G&amp;A - Insurance"/>
    <x v="3"/>
    <x v="14"/>
    <n v="3797"/>
    <m/>
    <n v="-3797"/>
    <n v="476651.1199999993"/>
  </r>
  <r>
    <s v="04/02/2025"/>
    <x v="1"/>
    <x v="4"/>
    <s v="M&amp;T Operating"/>
    <m/>
    <s v="Expense"/>
    <s v="New York Life"/>
    <s v="22315 Accrued Expenses:Accrued Expenses - NY Life Clearing"/>
    <x v="1"/>
    <x v="1"/>
    <n v="1097.31"/>
    <m/>
    <n v="-1097.31"/>
    <n v="475553.8099999993"/>
  </r>
  <r>
    <s v="04/02/2025"/>
    <x v="1"/>
    <x v="4"/>
    <s v="M&amp;T Operating"/>
    <m/>
    <s v="Transfer"/>
    <m/>
    <s v="10010 M&amp;T Bank - IntraFi Network Sweep"/>
    <x v="0"/>
    <x v="0"/>
    <m/>
    <n v="24446.19"/>
    <n v="24446.19"/>
    <n v="499999.9999999993"/>
  </r>
  <r>
    <s v="04/03/2025"/>
    <x v="1"/>
    <x v="4"/>
    <s v="M&amp;T Operating"/>
    <m/>
    <s v="Payment"/>
    <s v="Acumen Solutions, Inc."/>
    <s v="11005 Accounts Receivable"/>
    <x v="2"/>
    <x v="2"/>
    <m/>
    <n v="22880"/>
    <n v="22880"/>
    <n v="522879.9999999993"/>
  </r>
  <r>
    <s v="04/03/2025"/>
    <x v="1"/>
    <x v="4"/>
    <s v="M&amp;T Operating"/>
    <m/>
    <s v="Transfer"/>
    <m/>
    <s v="10010 M&amp;T Bank - IntraFi Network Sweep"/>
    <x v="0"/>
    <x v="0"/>
    <n v="22880"/>
    <m/>
    <n v="-22880"/>
    <n v="499999.9999999993"/>
  </r>
  <r>
    <s v="04/04/2025"/>
    <x v="1"/>
    <x v="4"/>
    <s v="M&amp;T Operating"/>
    <m/>
    <s v="Payment"/>
    <s v="Total Solutions, Inc"/>
    <s v="11005 Accounts Receivable"/>
    <x v="2"/>
    <x v="2"/>
    <m/>
    <n v="24777.599999999999"/>
    <n v="24777.599999999999"/>
    <n v="524777.59999999928"/>
  </r>
  <r>
    <s v="04/04/2025"/>
    <x v="1"/>
    <x v="4"/>
    <s v="M&amp;T Operating"/>
    <m/>
    <s v="Transfer"/>
    <m/>
    <s v="10010 M&amp;T Bank - IntraFi Network Sweep"/>
    <x v="0"/>
    <x v="0"/>
    <n v="24777.599999999999"/>
    <m/>
    <n v="-24777.599999999999"/>
    <n v="499999.9999999993"/>
  </r>
  <r>
    <s v="04/07/2025"/>
    <x v="1"/>
    <x v="4"/>
    <s v="M&amp;T Operating"/>
    <m/>
    <s v="Expense"/>
    <s v="Bancorpsv (Benefit Deduction)"/>
    <s v="22335 Accrued Expenses:Accrued Expenses - Bankcorp Clearing"/>
    <x v="1"/>
    <x v="1"/>
    <n v="25"/>
    <m/>
    <n v="-25"/>
    <n v="499974.9999999993"/>
  </r>
  <r>
    <s v="04/07/2025"/>
    <x v="1"/>
    <x v="4"/>
    <s v="M&amp;T Operating"/>
    <m/>
    <s v="Bill Payment"/>
    <s v="Haley Boosinger"/>
    <s v="20005 Accounts Payable"/>
    <x v="3"/>
    <x v="4"/>
    <n v="228.65"/>
    <m/>
    <n v="-228.65"/>
    <n v="499746.34999999928"/>
  </r>
  <r>
    <s v="04/07/2025"/>
    <x v="1"/>
    <x v="4"/>
    <s v="M&amp;T Operating"/>
    <m/>
    <s v="Transfer"/>
    <m/>
    <s v="10010 M&amp;T Bank - IntraFi Network Sweep"/>
    <x v="0"/>
    <x v="0"/>
    <m/>
    <n v="253.65"/>
    <n v="253.65"/>
    <n v="499999.9999999993"/>
  </r>
  <r>
    <s v="04/08/2025"/>
    <x v="1"/>
    <x v="4"/>
    <s v="M&amp;T Operating"/>
    <s v="REC20255_28871876"/>
    <s v="Bill Payment"/>
    <s v="Ashley MacArthur ashley@getboss.io USD"/>
    <s v="20005 Accounts Payable"/>
    <x v="3"/>
    <x v="8"/>
    <n v="2460"/>
    <m/>
    <n v="-2460"/>
    <n v="497539.9999999993"/>
  </r>
  <r>
    <s v="04/08/2025"/>
    <x v="1"/>
    <x v="4"/>
    <s v="M&amp;T Operating"/>
    <s v="REC20255_28864261"/>
    <s v="Bill Payment"/>
    <s v="Ashley MacArthur ashley@getboss.io USD"/>
    <s v="20005 Accounts Payable"/>
    <x v="3"/>
    <x v="8"/>
    <n v="1150"/>
    <m/>
    <n v="-1150"/>
    <n v="496389.9999999993"/>
  </r>
  <r>
    <s v="04/08/2025"/>
    <x v="1"/>
    <x v="4"/>
    <s v="M&amp;T Operating"/>
    <s v="REC20255_28864251"/>
    <s v="Bill Payment"/>
    <s v="Ashley MacArthur ashley@getboss.io USD"/>
    <s v="20005 Accounts Payable"/>
    <x v="3"/>
    <x v="8"/>
    <n v="2610"/>
    <m/>
    <n v="-2610"/>
    <n v="493779.9999999993"/>
  </r>
  <r>
    <s v="04/08/2025"/>
    <x v="1"/>
    <x v="4"/>
    <s v="M&amp;T Operating"/>
    <s v="REC20255_29966599"/>
    <s v="Bill Payment"/>
    <s v="Bartosz Juriewicz bartosz.juriewicz@gmail.com USD"/>
    <s v="20005 Accounts Payable"/>
    <x v="4"/>
    <x v="7"/>
    <n v="4585"/>
    <m/>
    <n v="-4585"/>
    <n v="489194.9999999993"/>
  </r>
  <r>
    <s v="04/08/2025"/>
    <x v="1"/>
    <x v="4"/>
    <s v="M&amp;T Operating"/>
    <s v="REC20255_29968194"/>
    <s v="Bill Payment"/>
    <s v="Candy Marte Garcia candymartegarcia@gmail.com USD"/>
    <s v="20005 Accounts Payable"/>
    <x v="4"/>
    <x v="7"/>
    <n v="1912.5"/>
    <m/>
    <n v="-1912.5"/>
    <n v="487282.4999999993"/>
  </r>
  <r>
    <s v="04/08/2025"/>
    <x v="1"/>
    <x v="4"/>
    <s v="M&amp;T Operating"/>
    <s v="REC20255_29996795"/>
    <s v="Bill Payment"/>
    <s v="Charles McGuinness charles@mcguinness.ai USD"/>
    <s v="20005 Accounts Payable"/>
    <x v="4"/>
    <x v="9"/>
    <n v="20228.689999999999"/>
    <m/>
    <n v="-20228.689999999999"/>
    <n v="467053.8099999993"/>
  </r>
  <r>
    <s v="04/08/2025"/>
    <x v="1"/>
    <x v="4"/>
    <s v="M&amp;T Operating"/>
    <m/>
    <s v="Payment"/>
    <s v="Currencies Direct Limited:Redpin - Salesforce Assessment/Healthcheck"/>
    <s v="11005 Accounts Receivable"/>
    <x v="2"/>
    <x v="2"/>
    <m/>
    <n v="495"/>
    <n v="495"/>
    <n v="467548.8099999993"/>
  </r>
  <r>
    <s v="04/08/2025"/>
    <x v="1"/>
    <x v="4"/>
    <s v="M&amp;T Operating"/>
    <s v="REC20255_29968193"/>
    <s v="Bill Payment"/>
    <s v="Dane Kim dane.w.kim@gmail.com USD"/>
    <s v="20005 Accounts Payable"/>
    <x v="4"/>
    <x v="7"/>
    <n v="2031.25"/>
    <m/>
    <n v="-2031.25"/>
    <n v="465517.5599999993"/>
  </r>
  <r>
    <s v="04/08/2025"/>
    <x v="1"/>
    <x v="4"/>
    <s v="M&amp;T Operating"/>
    <s v="REC20255_30059021"/>
    <s v="Bill Payment"/>
    <s v="Deel billing invoices deel@deel.com USD"/>
    <s v="20005 Accounts Payable"/>
    <x v="3"/>
    <x v="10"/>
    <n v="5"/>
    <m/>
    <n v="-5"/>
    <n v="465512.5599999993"/>
  </r>
  <r>
    <s v="04/08/2025"/>
    <x v="1"/>
    <x v="4"/>
    <s v="M&amp;T Operating"/>
    <s v="REC20255_29274329"/>
    <s v="Bill Payment"/>
    <s v="Deel billing invoices deel@deel.com USD"/>
    <s v="20005 Accounts Payable"/>
    <x v="3"/>
    <x v="10"/>
    <n v="49"/>
    <m/>
    <n v="-49"/>
    <n v="465463.5599999993"/>
  </r>
  <r>
    <s v="04/08/2025"/>
    <x v="1"/>
    <x v="4"/>
    <s v="M&amp;T Operating"/>
    <s v="REC20255_28892974"/>
    <s v="Bill Payment"/>
    <s v="Deel billing invoices deel@deel.com USD"/>
    <s v="20005 Accounts Payable"/>
    <x v="3"/>
    <x v="10"/>
    <n v="49"/>
    <m/>
    <n v="-49"/>
    <n v="465414.5599999993"/>
  </r>
  <r>
    <s v="04/08/2025"/>
    <x v="1"/>
    <x v="4"/>
    <s v="M&amp;T Operating"/>
    <s v="REC20255_28892944"/>
    <s v="Bill Payment"/>
    <s v="Deel billing invoices deel@deel.com USD"/>
    <s v="20005 Accounts Payable"/>
    <x v="3"/>
    <x v="10"/>
    <n v="49"/>
    <m/>
    <n v="-49"/>
    <n v="465365.5599999993"/>
  </r>
  <r>
    <s v="04/08/2025"/>
    <x v="1"/>
    <x v="4"/>
    <s v="M&amp;T Operating"/>
    <s v="REC20255_28671990"/>
    <s v="Bill Payment"/>
    <s v="Deel billing invoices deel@deel.com USD"/>
    <s v="20005 Accounts Payable"/>
    <x v="3"/>
    <x v="10"/>
    <n v="49"/>
    <m/>
    <n v="-49"/>
    <n v="465316.5599999993"/>
  </r>
  <r>
    <s v="04/08/2025"/>
    <x v="1"/>
    <x v="4"/>
    <s v="M&amp;T Operating"/>
    <s v="REC20255_28659888"/>
    <s v="Bill Payment"/>
    <s v="Deel billing invoices deel@deel.com USD"/>
    <s v="20005 Accounts Payable"/>
    <x v="3"/>
    <x v="10"/>
    <n v="49"/>
    <m/>
    <n v="-49"/>
    <n v="465267.5599999993"/>
  </r>
  <r>
    <s v="04/08/2025"/>
    <x v="1"/>
    <x v="4"/>
    <s v="M&amp;T Operating"/>
    <s v="REC20255_28658238"/>
    <s v="Bill Payment"/>
    <s v="Deel billing invoices deel@deel.com USD"/>
    <s v="20005 Accounts Payable"/>
    <x v="3"/>
    <x v="10"/>
    <n v="49"/>
    <m/>
    <n v="-49"/>
    <n v="465218.5599999993"/>
  </r>
  <r>
    <s v="04/08/2025"/>
    <x v="1"/>
    <x v="4"/>
    <s v="M&amp;T Operating"/>
    <s v="REC20255_28645861"/>
    <s v="Bill Payment"/>
    <s v="Deel billing invoices deel@deel.com USD"/>
    <s v="20005 Accounts Payable"/>
    <x v="3"/>
    <x v="10"/>
    <n v="49"/>
    <m/>
    <n v="-49"/>
    <n v="465169.5599999993"/>
  </r>
  <r>
    <s v="04/08/2025"/>
    <x v="1"/>
    <x v="4"/>
    <s v="M&amp;T Operating"/>
    <s v="REC20255_28645275"/>
    <s v="Bill Payment"/>
    <s v="Deel billing invoices deel@deel.com USD"/>
    <s v="20005 Accounts Payable"/>
    <x v="3"/>
    <x v="10"/>
    <n v="49"/>
    <m/>
    <n v="-49"/>
    <n v="465120.5599999993"/>
  </r>
  <r>
    <s v="04/08/2025"/>
    <x v="1"/>
    <x v="4"/>
    <s v="M&amp;T Operating"/>
    <s v="REC20255_28643300"/>
    <s v="Bill Payment"/>
    <s v="Deel billing invoices deel@deel.com USD"/>
    <s v="20005 Accounts Payable"/>
    <x v="3"/>
    <x v="10"/>
    <n v="49"/>
    <m/>
    <n v="-49"/>
    <n v="465071.5599999993"/>
  </r>
  <r>
    <s v="04/08/2025"/>
    <x v="1"/>
    <x v="4"/>
    <s v="M&amp;T Operating"/>
    <s v="REC20255_28643293"/>
    <s v="Bill Payment"/>
    <s v="Deel billing invoices deel@deel.com USD"/>
    <s v="20005 Accounts Payable"/>
    <x v="3"/>
    <x v="10"/>
    <n v="49"/>
    <m/>
    <n v="-49"/>
    <n v="465022.5599999993"/>
  </r>
  <r>
    <s v="04/08/2025"/>
    <x v="1"/>
    <x v="4"/>
    <s v="M&amp;T Operating"/>
    <s v="REC20255_28633962"/>
    <s v="Bill Payment"/>
    <s v="Deel billing invoices deel@deel.com USD"/>
    <s v="20005 Accounts Payable"/>
    <x v="3"/>
    <x v="10"/>
    <n v="49"/>
    <m/>
    <n v="-49"/>
    <n v="464973.5599999993"/>
  </r>
  <r>
    <s v="04/08/2025"/>
    <x v="1"/>
    <x v="4"/>
    <s v="M&amp;T Operating"/>
    <s v="REC20255_28626126"/>
    <s v="Bill Payment"/>
    <s v="Deel billing invoices deel@deel.com USD"/>
    <s v="20005 Accounts Payable"/>
    <x v="3"/>
    <x v="10"/>
    <n v="49"/>
    <m/>
    <n v="-49"/>
    <n v="464924.5599999993"/>
  </r>
  <r>
    <s v="04/08/2025"/>
    <x v="1"/>
    <x v="4"/>
    <s v="M&amp;T Operating"/>
    <s v="REC20255_28609995"/>
    <s v="Bill Payment"/>
    <s v="Deel billing invoices deel@deel.com USD"/>
    <s v="20005 Accounts Payable"/>
    <x v="3"/>
    <x v="10"/>
    <n v="49"/>
    <m/>
    <n v="-49"/>
    <n v="464875.5599999993"/>
  </r>
  <r>
    <s v="04/08/2025"/>
    <x v="1"/>
    <x v="4"/>
    <s v="M&amp;T Operating"/>
    <s v="REC20255_28595988"/>
    <s v="Bill Payment"/>
    <s v="Deel billing invoices deel@deel.com USD"/>
    <s v="20005 Accounts Payable"/>
    <x v="3"/>
    <x v="10"/>
    <n v="49"/>
    <m/>
    <n v="-49"/>
    <n v="464826.5599999993"/>
  </r>
  <r>
    <s v="04/08/2025"/>
    <x v="1"/>
    <x v="4"/>
    <s v="M&amp;T Operating"/>
    <s v="REC20255_28591735"/>
    <s v="Bill Payment"/>
    <s v="Deel billing invoices deel@deel.com USD"/>
    <s v="20005 Accounts Payable"/>
    <x v="3"/>
    <x v="10"/>
    <n v="49"/>
    <m/>
    <n v="-49"/>
    <n v="464777.5599999993"/>
  </r>
  <r>
    <s v="04/08/2025"/>
    <x v="1"/>
    <x v="4"/>
    <s v="M&amp;T Operating"/>
    <s v="REC20255_28589461"/>
    <s v="Bill Payment"/>
    <s v="Deel billing invoices deel@deel.com USD"/>
    <s v="20005 Accounts Payable"/>
    <x v="3"/>
    <x v="10"/>
    <n v="49"/>
    <m/>
    <n v="-49"/>
    <n v="464728.5599999993"/>
  </r>
  <r>
    <s v="04/08/2025"/>
    <x v="1"/>
    <x v="4"/>
    <s v="M&amp;T Operating"/>
    <s v="REC20255_28589294"/>
    <s v="Bill Payment"/>
    <s v="Deel billing invoices deel@deel.com USD"/>
    <s v="20005 Accounts Payable"/>
    <x v="3"/>
    <x v="10"/>
    <n v="49"/>
    <m/>
    <n v="-49"/>
    <n v="464679.5599999993"/>
  </r>
  <r>
    <s v="04/08/2025"/>
    <x v="1"/>
    <x v="4"/>
    <s v="M&amp;T Operating"/>
    <s v="REC20255_28579499"/>
    <s v="Bill Payment"/>
    <s v="Deel billing invoices deel@deel.com USD"/>
    <s v="20005 Accounts Payable"/>
    <x v="3"/>
    <x v="10"/>
    <n v="49"/>
    <m/>
    <n v="-49"/>
    <n v="464630.5599999993"/>
  </r>
  <r>
    <s v="04/08/2025"/>
    <x v="1"/>
    <x v="4"/>
    <s v="M&amp;T Operating"/>
    <s v="REC20255_28579198"/>
    <s v="Bill Payment"/>
    <s v="Deel billing invoices deel@deel.com USD"/>
    <s v="20005 Accounts Payable"/>
    <x v="3"/>
    <x v="10"/>
    <n v="49"/>
    <m/>
    <n v="-49"/>
    <n v="464581.5599999993"/>
  </r>
  <r>
    <s v="04/08/2025"/>
    <x v="1"/>
    <x v="4"/>
    <s v="M&amp;T Operating"/>
    <s v="REC20255_28564249"/>
    <s v="Bill Payment"/>
    <s v="Deel billing invoices deel@deel.com USD"/>
    <s v="20005 Accounts Payable"/>
    <x v="3"/>
    <x v="10"/>
    <n v="49"/>
    <m/>
    <n v="-49"/>
    <n v="464532.5599999993"/>
  </r>
  <r>
    <s v="04/08/2025"/>
    <x v="1"/>
    <x v="4"/>
    <s v="M&amp;T Operating"/>
    <s v="REC20255_28541762"/>
    <s v="Bill Payment"/>
    <s v="Deel billing invoices deel@deel.com USD"/>
    <s v="20005 Accounts Payable"/>
    <x v="3"/>
    <x v="10"/>
    <n v="49"/>
    <m/>
    <n v="-49"/>
    <n v="464483.5599999993"/>
  </r>
  <r>
    <s v="04/08/2025"/>
    <x v="1"/>
    <x v="4"/>
    <s v="M&amp;T Operating"/>
    <s v="REC20255_28541680"/>
    <s v="Bill Payment"/>
    <s v="Deel billing invoices deel@deel.com USD"/>
    <s v="20005 Accounts Payable"/>
    <x v="3"/>
    <x v="10"/>
    <n v="49"/>
    <m/>
    <n v="-49"/>
    <n v="464434.5599999993"/>
  </r>
  <r>
    <s v="04/08/2025"/>
    <x v="1"/>
    <x v="4"/>
    <s v="M&amp;T Operating"/>
    <s v="REC20255_28538927"/>
    <s v="Bill Payment"/>
    <s v="Deel billing invoices deel@deel.com USD"/>
    <s v="20005 Accounts Payable"/>
    <x v="3"/>
    <x v="10"/>
    <n v="49"/>
    <m/>
    <n v="-49"/>
    <n v="464385.5599999993"/>
  </r>
  <r>
    <s v="04/08/2025"/>
    <x v="1"/>
    <x v="4"/>
    <s v="M&amp;T Operating"/>
    <s v="REC20255_28538921"/>
    <s v="Bill Payment"/>
    <s v="Deel billing invoices deel@deel.com USD"/>
    <s v="20005 Accounts Payable"/>
    <x v="3"/>
    <x v="10"/>
    <n v="49"/>
    <m/>
    <n v="-49"/>
    <n v="464336.5599999993"/>
  </r>
  <r>
    <s v="04/08/2025"/>
    <x v="1"/>
    <x v="4"/>
    <s v="M&amp;T Operating"/>
    <s v="REC20255_28538914"/>
    <s v="Bill Payment"/>
    <s v="Deel billing invoices deel@deel.com USD"/>
    <s v="20005 Accounts Payable"/>
    <x v="3"/>
    <x v="10"/>
    <n v="49"/>
    <m/>
    <n v="-49"/>
    <n v="464287.5599999993"/>
  </r>
  <r>
    <s v="04/08/2025"/>
    <x v="1"/>
    <x v="4"/>
    <s v="M&amp;T Operating"/>
    <s v="REC20255_28538913"/>
    <s v="Bill Payment"/>
    <s v="Deel billing invoices deel@deel.com USD"/>
    <s v="20005 Accounts Payable"/>
    <x v="3"/>
    <x v="10"/>
    <n v="49"/>
    <m/>
    <n v="-49"/>
    <n v="464238.5599999993"/>
  </r>
  <r>
    <s v="04/08/2025"/>
    <x v="1"/>
    <x v="4"/>
    <s v="M&amp;T Operating"/>
    <s v="REC20255_28538743"/>
    <s v="Bill Payment"/>
    <s v="Deel billing invoices deel@deel.com USD"/>
    <s v="20005 Accounts Payable"/>
    <x v="3"/>
    <x v="10"/>
    <n v="49"/>
    <m/>
    <n v="-49"/>
    <n v="464189.5599999993"/>
  </r>
  <r>
    <s v="04/08/2025"/>
    <x v="1"/>
    <x v="4"/>
    <s v="M&amp;T Operating"/>
    <s v="REC20255_28532969"/>
    <s v="Bill Payment"/>
    <s v="Deel billing invoices deel@deel.com USD"/>
    <s v="20005 Accounts Payable"/>
    <x v="3"/>
    <x v="10"/>
    <n v="49"/>
    <m/>
    <n v="-49"/>
    <n v="464140.5599999993"/>
  </r>
  <r>
    <s v="04/08/2025"/>
    <x v="1"/>
    <x v="4"/>
    <s v="M&amp;T Operating"/>
    <s v="REC20255_28532523"/>
    <s v="Bill Payment"/>
    <s v="Deel billing invoices deel@deel.com USD"/>
    <s v="20005 Accounts Payable"/>
    <x v="3"/>
    <x v="10"/>
    <n v="49"/>
    <m/>
    <n v="-49"/>
    <n v="464091.5599999993"/>
  </r>
  <r>
    <s v="04/08/2025"/>
    <x v="1"/>
    <x v="4"/>
    <s v="M&amp;T Operating"/>
    <s v="REC20255_28532517"/>
    <s v="Bill Payment"/>
    <s v="Deel billing invoices deel@deel.com USD"/>
    <s v="20005 Accounts Payable"/>
    <x v="3"/>
    <x v="10"/>
    <n v="49"/>
    <m/>
    <n v="-49"/>
    <n v="464042.5599999993"/>
  </r>
  <r>
    <s v="04/08/2025"/>
    <x v="1"/>
    <x v="4"/>
    <s v="M&amp;T Operating"/>
    <s v="REC20255_28525876"/>
    <s v="Bill Payment"/>
    <s v="Deel billing invoices deel@deel.com USD"/>
    <s v="20005 Accounts Payable"/>
    <x v="3"/>
    <x v="10"/>
    <n v="49"/>
    <m/>
    <n v="-49"/>
    <n v="463993.5599999993"/>
  </r>
  <r>
    <s v="04/08/2025"/>
    <x v="1"/>
    <x v="4"/>
    <s v="M&amp;T Operating"/>
    <s v="REC20255_27448795"/>
    <s v="Bill Payment"/>
    <s v="Deel billing invoices deel@deel.com USD"/>
    <s v="20005 Accounts Payable"/>
    <x v="3"/>
    <x v="10"/>
    <n v="49"/>
    <m/>
    <n v="-49"/>
    <n v="463944.5599999993"/>
  </r>
  <r>
    <s v="04/08/2025"/>
    <x v="1"/>
    <x v="4"/>
    <s v="M&amp;T Operating"/>
    <s v="REC20255_30033443"/>
    <s v="Bill Payment"/>
    <s v="Duane Nelson duanen@gmail.com USD"/>
    <s v="20005 Accounts Payable"/>
    <x v="4"/>
    <x v="9"/>
    <n v="18600"/>
    <m/>
    <n v="-18600"/>
    <n v="445344.5599999993"/>
  </r>
  <r>
    <s v="04/08/2025"/>
    <x v="1"/>
    <x v="4"/>
    <s v="M&amp;T Operating"/>
    <s v="REC20255_28864263"/>
    <s v="Bill Payment"/>
    <s v="Focus Fractional LLC"/>
    <s v="20005 Accounts Payable"/>
    <x v="3"/>
    <x v="8"/>
    <n v="19900"/>
    <m/>
    <n v="-19900"/>
    <n v="425444.5599999993"/>
  </r>
  <r>
    <s v="04/08/2025"/>
    <x v="1"/>
    <x v="4"/>
    <s v="M&amp;T Operating"/>
    <m/>
    <s v="Expense"/>
    <s v="Further FKA SelctAccount"/>
    <s v="22330 Accrued Expenses:Accrued Expenses - Further Clearing"/>
    <x v="1"/>
    <x v="1"/>
    <n v="84.37"/>
    <m/>
    <n v="-84.37"/>
    <n v="425360.1899999993"/>
  </r>
  <r>
    <s v="04/08/2025"/>
    <x v="1"/>
    <x v="4"/>
    <s v="M&amp;T Operating"/>
    <s v="REC20255_29966600"/>
    <s v="Bill Payment"/>
    <s v="Herbert Donald Edwards don.edwards01@gmail.com USD"/>
    <s v="20005 Accounts Payable"/>
    <x v="4"/>
    <x v="7"/>
    <n v="8587.5"/>
    <m/>
    <n v="-8587.5"/>
    <n v="416772.6899999993"/>
  </r>
  <r>
    <s v="04/08/2025"/>
    <x v="1"/>
    <x v="4"/>
    <s v="M&amp;T Operating"/>
    <s v="REC20255_29935924"/>
    <s v="Bill Payment"/>
    <s v="Jason Francis Crum jasonfcrum@gmail.com USD"/>
    <s v="20005 Accounts Payable"/>
    <x v="4"/>
    <x v="9"/>
    <n v="4500"/>
    <m/>
    <n v="-4500"/>
    <n v="412272.6899999993"/>
  </r>
  <r>
    <s v="04/08/2025"/>
    <x v="1"/>
    <x v="4"/>
    <s v="M&amp;T Operating"/>
    <s v="REC20255_28892837"/>
    <s v="Bill Payment"/>
    <s v="Jeffrey Stephen Mcfarland jeffsmcfarland@gmail.com USD"/>
    <s v="20005 Accounts Payable"/>
    <x v="4"/>
    <x v="9"/>
    <n v="615"/>
    <m/>
    <n v="-615"/>
    <n v="411657.6899999993"/>
  </r>
  <r>
    <s v="04/08/2025"/>
    <x v="1"/>
    <x v="4"/>
    <s v="M&amp;T Operating"/>
    <s v="REC20255_29456055"/>
    <s v="Bill Payment"/>
    <s v="Jenna Stahl jenna@bloomly.agency USD"/>
    <s v="20005 Accounts Payable"/>
    <x v="4"/>
    <x v="9"/>
    <n v="5400"/>
    <m/>
    <n v="-5400"/>
    <n v="406257.6899999993"/>
  </r>
  <r>
    <s v="04/08/2025"/>
    <x v="1"/>
    <x v="4"/>
    <s v="M&amp;T Operating"/>
    <s v="REC20255_29456056"/>
    <s v="Bill Payment"/>
    <s v="Jose Atencio Jimenez hello@joseatencio.com USD"/>
    <s v="20005 Accounts Payable"/>
    <x v="4"/>
    <x v="9"/>
    <n v="249.6"/>
    <m/>
    <n v="-249.6"/>
    <n v="406008.08999999933"/>
  </r>
  <r>
    <s v="04/08/2025"/>
    <x v="1"/>
    <x v="4"/>
    <s v="M&amp;T Operating"/>
    <s v="REC20255_30033444"/>
    <s v="Bill Payment"/>
    <s v="Joseph Mallek joe@nimblefire.com USD"/>
    <s v="20005 Accounts Payable"/>
    <x v="4"/>
    <x v="9"/>
    <n v="10000"/>
    <m/>
    <n v="-10000"/>
    <n v="396008.08999999933"/>
  </r>
  <r>
    <s v="04/08/2025"/>
    <x v="1"/>
    <x v="4"/>
    <s v="M&amp;T Operating"/>
    <s v="REC20255_29774249"/>
    <s v="Bill Payment"/>
    <s v="Joseph Mallek joe@nimblefire.com USD"/>
    <s v="20005 Accounts Payable"/>
    <x v="4"/>
    <x v="9"/>
    <n v="45000"/>
    <m/>
    <n v="-45000"/>
    <n v="351008.08999999933"/>
  </r>
  <r>
    <s v="04/08/2025"/>
    <x v="1"/>
    <x v="4"/>
    <s v="M&amp;T Operating"/>
    <s v="REC20255_28864282"/>
    <s v="Bill Payment"/>
    <s v="Kathleen Ferrie Marketing LLC"/>
    <s v="20005 Accounts Payable"/>
    <x v="4"/>
    <x v="9"/>
    <n v="9300"/>
    <m/>
    <n v="-9300"/>
    <n v="341708.08999999933"/>
  </r>
  <r>
    <s v="04/08/2025"/>
    <x v="1"/>
    <x v="4"/>
    <s v="M&amp;T Operating"/>
    <m/>
    <s v="Expense"/>
    <s v="M&amp;T Bank"/>
    <s v="69805 General &amp; Administrative:G&amp;A - Bank Fees"/>
    <x v="0"/>
    <x v="6"/>
    <n v="311.98"/>
    <m/>
    <n v="-311.98"/>
    <n v="341396.10999999935"/>
  </r>
  <r>
    <s v="04/08/2025"/>
    <x v="1"/>
    <x v="4"/>
    <s v="M&amp;T Operating"/>
    <s v="REC20255_29966602"/>
    <s v="Bill Payment"/>
    <s v="McMax LLC"/>
    <s v="20005 Accounts Payable"/>
    <x v="4"/>
    <x v="7"/>
    <n v="5025"/>
    <m/>
    <n v="-5025"/>
    <n v="336371.10999999935"/>
  </r>
  <r>
    <s v="04/08/2025"/>
    <x v="1"/>
    <x v="4"/>
    <s v="M&amp;T Operating"/>
    <s v="REC20255_29968189"/>
    <s v="Bill Payment"/>
    <s v="Paul Peterson paul.01.peterson@gmail.com USD"/>
    <s v="20005 Accounts Payable"/>
    <x v="4"/>
    <x v="7"/>
    <n v="12000"/>
    <m/>
    <n v="-12000"/>
    <n v="324371.10999999935"/>
  </r>
  <r>
    <s v="04/08/2025"/>
    <x v="1"/>
    <x v="4"/>
    <s v="M&amp;T Operating"/>
    <m/>
    <s v="Expense"/>
    <s v="Paylocity"/>
    <s v="69215 General &amp; Administrative:G&amp;A - Payroll Fees"/>
    <x v="1"/>
    <x v="3"/>
    <n v="4"/>
    <m/>
    <n v="-4"/>
    <n v="324367.10999999935"/>
  </r>
  <r>
    <s v="04/08/2025"/>
    <x v="1"/>
    <x v="4"/>
    <s v="M&amp;T Operating"/>
    <s v="REC20255_29995767"/>
    <s v="Bill Payment"/>
    <s v="Pedro Rubio pedro@blackfyre.app USD"/>
    <s v="20005 Accounts Payable"/>
    <x v="4"/>
    <x v="9"/>
    <n v="199"/>
    <m/>
    <n v="-199"/>
    <n v="324168.10999999935"/>
  </r>
  <r>
    <s v="04/08/2025"/>
    <x v="1"/>
    <x v="4"/>
    <s v="M&amp;T Operating"/>
    <s v="REC20255_30056667"/>
    <s v="Bill Payment"/>
    <s v="Prasanna Patel prasanna.patel@xtransmatrix.com USD"/>
    <s v="20005 Accounts Payable"/>
    <x v="4"/>
    <x v="9"/>
    <n v="4200"/>
    <m/>
    <n v="-4200"/>
    <n v="319968.10999999935"/>
  </r>
  <r>
    <s v="04/08/2025"/>
    <x v="1"/>
    <x v="4"/>
    <s v="M&amp;T Operating"/>
    <s v="REC20255_29996509"/>
    <s v="Bill Payment"/>
    <s v="Prasanna Patel prasanna.patel@xtransmatrix.com USD"/>
    <s v="20005 Accounts Payable"/>
    <x v="4"/>
    <x v="9"/>
    <n v="3360"/>
    <m/>
    <n v="-3360"/>
    <n v="316608.10999999935"/>
  </r>
  <r>
    <s v="04/08/2025"/>
    <x v="1"/>
    <x v="4"/>
    <s v="M&amp;T Operating"/>
    <s v="REC20255_29996508"/>
    <s v="Bill Payment"/>
    <s v="Prasanna Patel prasanna.patel@xtransmatrix.com USD"/>
    <s v="20005 Accounts Payable"/>
    <x v="4"/>
    <x v="9"/>
    <n v="5880"/>
    <m/>
    <n v="-5880"/>
    <n v="310728.10999999935"/>
  </r>
  <r>
    <s v="04/08/2025"/>
    <x v="1"/>
    <x v="4"/>
    <s v="M&amp;T Operating"/>
    <s v="REC20255_29995337"/>
    <s v="Bill Payment"/>
    <s v="SALESFORCE CRM CONSULTING PTY LTD"/>
    <s v="20005 Accounts Payable"/>
    <x v="4"/>
    <x v="7"/>
    <n v="900"/>
    <m/>
    <n v="-900"/>
    <n v="309828.10999999935"/>
  </r>
  <r>
    <s v="04/08/2025"/>
    <x v="1"/>
    <x v="4"/>
    <s v="M&amp;T Operating"/>
    <s v="REC20255_29968221"/>
    <s v="Bill Payment"/>
    <s v="SALESFORCE CRM CONSULTING PTY LTD"/>
    <s v="20005 Accounts Payable"/>
    <x v="4"/>
    <x v="7"/>
    <n v="175"/>
    <m/>
    <n v="-175"/>
    <n v="309653.10999999935"/>
  </r>
  <r>
    <s v="04/08/2025"/>
    <x v="1"/>
    <x v="4"/>
    <s v="M&amp;T Operating"/>
    <s v="REC20255_29968199"/>
    <s v="Bill Payment"/>
    <s v="SALESFORCE CRM CONSULTING PTY LTD"/>
    <s v="20005 Accounts Payable"/>
    <x v="4"/>
    <x v="7"/>
    <n v="80"/>
    <m/>
    <n v="-80"/>
    <n v="309573.10999999935"/>
  </r>
  <r>
    <s v="04/08/2025"/>
    <x v="1"/>
    <x v="4"/>
    <s v="M&amp;T Operating"/>
    <s v="REC20255_29968198"/>
    <s v="Bill Payment"/>
    <s v="SALESFORCE CRM CONSULTING PTY LTD"/>
    <s v="20005 Accounts Payable"/>
    <x v="4"/>
    <x v="7"/>
    <n v="1056"/>
    <m/>
    <n v="-1056"/>
    <n v="308517.10999999935"/>
  </r>
  <r>
    <s v="04/08/2025"/>
    <x v="1"/>
    <x v="4"/>
    <s v="M&amp;T Operating"/>
    <s v="REC20255_29968197"/>
    <s v="Bill Payment"/>
    <s v="SALESFORCE CRM CONSULTING PTY LTD"/>
    <s v="20005 Accounts Payable"/>
    <x v="4"/>
    <x v="7"/>
    <n v="3024"/>
    <m/>
    <n v="-3024"/>
    <n v="305493.10999999935"/>
  </r>
  <r>
    <s v="04/08/2025"/>
    <x v="1"/>
    <x v="4"/>
    <s v="M&amp;T Operating"/>
    <s v="REC20255_29968196"/>
    <s v="Bill Payment"/>
    <s v="SALESFORCE CRM CONSULTING PTY LTD"/>
    <s v="20005 Accounts Payable"/>
    <x v="4"/>
    <x v="7"/>
    <n v="1190"/>
    <m/>
    <n v="-1190"/>
    <n v="304303.10999999935"/>
  </r>
  <r>
    <s v="04/08/2025"/>
    <x v="1"/>
    <x v="4"/>
    <s v="M&amp;T Operating"/>
    <s v="REC20255_29968195"/>
    <s v="Bill Payment"/>
    <s v="SALESFORCE CRM CONSULTING PTY LTD"/>
    <s v="20005 Accounts Payable"/>
    <x v="4"/>
    <x v="7"/>
    <n v="6650"/>
    <m/>
    <n v="-6650"/>
    <n v="297653.10999999935"/>
  </r>
  <r>
    <s v="04/08/2025"/>
    <x v="1"/>
    <x v="4"/>
    <s v="M&amp;T Operating"/>
    <s v="REC20255_29968191"/>
    <s v="Bill Payment"/>
    <s v="SALESFORCE CRM CONSULTING PTY LTD"/>
    <s v="20005 Accounts Payable"/>
    <x v="4"/>
    <x v="7"/>
    <n v="490"/>
    <m/>
    <n v="-490"/>
    <n v="297163.10999999935"/>
  </r>
  <r>
    <s v="04/08/2025"/>
    <x v="1"/>
    <x v="4"/>
    <s v="M&amp;T Operating"/>
    <s v="REC20255_29968190"/>
    <s v="Bill Payment"/>
    <s v="SALESFORCE CRM CONSULTING PTY LTD"/>
    <s v="20005 Accounts Payable"/>
    <x v="4"/>
    <x v="7"/>
    <n v="1750"/>
    <m/>
    <n v="-1750"/>
    <n v="295413.10999999935"/>
  </r>
  <r>
    <s v="04/08/2025"/>
    <x v="1"/>
    <x v="4"/>
    <s v="M&amp;T Operating"/>
    <s v="REC20255_29966601"/>
    <s v="Bill Payment"/>
    <s v="SALESFORCE CRM CONSULTING PTY LTD"/>
    <s v="20005 Accounts Payable"/>
    <x v="4"/>
    <x v="7"/>
    <n v="5530"/>
    <m/>
    <n v="-5530"/>
    <n v="289883.10999999935"/>
  </r>
  <r>
    <s v="04/08/2025"/>
    <x v="1"/>
    <x v="4"/>
    <s v="M&amp;T Operating"/>
    <s v="REC20255_29968192"/>
    <s v="Bill Payment"/>
    <s v="Shazib Mahmood shazibm91@gmail.com USD"/>
    <s v="20005 Accounts Payable"/>
    <x v="4"/>
    <x v="7"/>
    <n v="18544"/>
    <m/>
    <n v="-18544"/>
    <n v="271339.10999999935"/>
  </r>
  <r>
    <s v="04/08/2025"/>
    <x v="1"/>
    <x v="4"/>
    <s v="M&amp;T Operating"/>
    <m/>
    <s v="Expense"/>
    <s v="Wisconsin Dept of Revenue"/>
    <s v="69815 General &amp; Administrative:G&amp;A - Business Taxes, Licenses &amp; Permits"/>
    <x v="3"/>
    <x v="20"/>
    <n v="20"/>
    <m/>
    <n v="-20"/>
    <n v="271319.10999999935"/>
  </r>
  <r>
    <s v="04/08/2025"/>
    <x v="1"/>
    <x v="4"/>
    <s v="M&amp;T Operating"/>
    <m/>
    <s v="Transfer"/>
    <m/>
    <s v="10010 M&amp;T Bank - IntraFi Network Sweep"/>
    <x v="0"/>
    <x v="0"/>
    <m/>
    <n v="228680.89"/>
    <n v="228680.89"/>
    <n v="499999.99999999936"/>
  </r>
  <r>
    <s v="04/09/2025"/>
    <x v="1"/>
    <x v="4"/>
    <s v="M&amp;T Operating"/>
    <m/>
    <s v="Deposit"/>
    <s v="Wex Health, Inc."/>
    <s v="22320 Accrued Expenses:Accrued Expenses - WEX Clearing"/>
    <x v="1"/>
    <x v="1"/>
    <m/>
    <n v="292.77999999999997"/>
    <n v="292.77999999999997"/>
    <n v="500292.77999999939"/>
  </r>
  <r>
    <s v="04/09/2025"/>
    <x v="1"/>
    <x v="4"/>
    <s v="M&amp;T Operating"/>
    <m/>
    <s v="Transfer"/>
    <m/>
    <s v="10010 M&amp;T Bank - IntraFi Network Sweep"/>
    <x v="0"/>
    <x v="0"/>
    <n v="292.77999999999997"/>
    <m/>
    <n v="-292.77999999999997"/>
    <n v="499999.99999999936"/>
  </r>
  <r>
    <s v="04/10/2025"/>
    <x v="1"/>
    <x v="4"/>
    <s v="M&amp;T Operating"/>
    <m/>
    <s v="Bill Payment"/>
    <s v="Nemphos Braue LLC"/>
    <s v="20005 Accounts Payable"/>
    <x v="3"/>
    <x v="5"/>
    <n v="11432"/>
    <m/>
    <n v="-11432"/>
    <n v="488567.99999999936"/>
  </r>
  <r>
    <s v="04/10/2025"/>
    <x v="1"/>
    <x v="4"/>
    <s v="M&amp;T Operating"/>
    <m/>
    <s v="Bill Payment"/>
    <s v="Nemphos Braue LLC"/>
    <s v="20005 Accounts Payable"/>
    <x v="3"/>
    <x v="5"/>
    <n v="726"/>
    <m/>
    <n v="-726"/>
    <n v="487841.99999999936"/>
  </r>
  <r>
    <s v="04/10/2025"/>
    <x v="1"/>
    <x v="4"/>
    <s v="M&amp;T Operating"/>
    <m/>
    <s v="Bill Payment"/>
    <s v="Nemphos Braue LLC"/>
    <s v="20005 Accounts Payable"/>
    <x v="3"/>
    <x v="5"/>
    <n v="9787"/>
    <m/>
    <n v="-9787"/>
    <n v="478054.99999999936"/>
  </r>
  <r>
    <s v="04/10/2025"/>
    <x v="1"/>
    <x v="4"/>
    <s v="M&amp;T Operating"/>
    <m/>
    <s v="Transfer"/>
    <m/>
    <s v="10010 M&amp;T Bank - IntraFi Network Sweep"/>
    <x v="0"/>
    <x v="0"/>
    <m/>
    <n v="21945"/>
    <n v="21945"/>
    <n v="499999.99999999936"/>
  </r>
  <r>
    <s v="04/11/2025"/>
    <x v="1"/>
    <x v="4"/>
    <s v="M&amp;T Operating"/>
    <m/>
    <s v="Deposit"/>
    <s v="American Benefit Cobra"/>
    <s v="22325 Accrued Expenses:Accrued Expenses - COBRA Clearing"/>
    <x v="1"/>
    <x v="1"/>
    <m/>
    <n v="476.36"/>
    <n v="476.36"/>
    <n v="500476.35999999935"/>
  </r>
  <r>
    <s v="04/11/2025"/>
    <x v="1"/>
    <x v="4"/>
    <s v="M&amp;T Operating"/>
    <m/>
    <s v="Expense"/>
    <s v="Bancorpsv (Benefit Deduction)"/>
    <s v="22335 Accrued Expenses:Accrued Expenses - Bankcorp Clearing"/>
    <x v="1"/>
    <x v="1"/>
    <n v="50"/>
    <m/>
    <n v="-50"/>
    <n v="500426.35999999935"/>
  </r>
  <r>
    <s v="04/11/2025"/>
    <x v="1"/>
    <x v="4"/>
    <s v="M&amp;T Operating"/>
    <m/>
    <s v="Payment"/>
    <s v="State of Virginia - State Corporation Commission:State of Virginia/Guidehouse"/>
    <s v="11005 Accounts Receivable"/>
    <x v="2"/>
    <x v="2"/>
    <m/>
    <n v="13640"/>
    <n v="13640"/>
    <n v="514066.35999999935"/>
  </r>
  <r>
    <s v="04/11/2025"/>
    <x v="1"/>
    <x v="4"/>
    <s v="M&amp;T Operating"/>
    <m/>
    <s v="Transfer"/>
    <m/>
    <s v="10010 M&amp;T Bank - IntraFi Network Sweep"/>
    <x v="0"/>
    <x v="0"/>
    <n v="14066.36"/>
    <m/>
    <n v="-14066.36"/>
    <n v="499999.99999999936"/>
  </r>
  <r>
    <s v="04/14/2025"/>
    <x v="1"/>
    <x v="4"/>
    <s v="M&amp;T Operating"/>
    <m/>
    <s v="Expense"/>
    <s v="Bancorpsv (Benefit Deduction)"/>
    <s v="22335 Accrued Expenses:Accrued Expenses - Bankcorp Clearing"/>
    <x v="1"/>
    <x v="1"/>
    <n v="9.3000000000000007"/>
    <m/>
    <n v="-9.3000000000000007"/>
    <n v="499990.69999999937"/>
  </r>
  <r>
    <s v="04/14/2025"/>
    <x v="1"/>
    <x v="4"/>
    <s v="M&amp;T Operating"/>
    <m/>
    <s v="Expense"/>
    <s v="Paylocity"/>
    <s v="22205 Accrued Expenses:Accrued Expenses - Payroll"/>
    <x v="1"/>
    <x v="12"/>
    <n v="71927.87"/>
    <m/>
    <n v="-71927.87"/>
    <n v="428062.82999999938"/>
  </r>
  <r>
    <s v="04/14/2025"/>
    <x v="1"/>
    <x v="4"/>
    <s v="M&amp;T Operating"/>
    <m/>
    <s v="Expense"/>
    <s v="Paylocity"/>
    <s v="22205 Accrued Expenses:Accrued Expenses - Payroll"/>
    <x v="1"/>
    <x v="11"/>
    <n v="38927.22"/>
    <m/>
    <n v="-38927.22"/>
    <n v="389135.6099999994"/>
  </r>
  <r>
    <s v="04/14/2025"/>
    <x v="1"/>
    <x v="4"/>
    <s v="M&amp;T Operating"/>
    <m/>
    <s v="Expense"/>
    <s v="Paylocity"/>
    <s v="22205 Accrued Expenses:Accrued Expenses - Payroll"/>
    <x v="1"/>
    <x v="1"/>
    <n v="1462"/>
    <m/>
    <n v="-1462"/>
    <n v="387673.6099999994"/>
  </r>
  <r>
    <s v="04/14/2025"/>
    <x v="1"/>
    <x v="4"/>
    <s v="M&amp;T Operating"/>
    <m/>
    <s v="Transfer"/>
    <m/>
    <s v="10010 M&amp;T Bank - IntraFi Network Sweep"/>
    <x v="0"/>
    <x v="0"/>
    <m/>
    <n v="112326.39"/>
    <n v="112326.39"/>
    <n v="499999.99999999942"/>
  </r>
  <r>
    <s v="04/15/2025"/>
    <x v="1"/>
    <x v="4"/>
    <s v="M&amp;T Operating"/>
    <m/>
    <s v="Payment"/>
    <s v="Delta Dental Washington:Delta Dental Washington - T&amp;M Scope B"/>
    <s v="11005 Accounts Receivable"/>
    <x v="2"/>
    <x v="2"/>
    <m/>
    <n v="11377.5"/>
    <n v="11377.5"/>
    <n v="511377.49999999942"/>
  </r>
  <r>
    <s v="04/15/2025"/>
    <x v="1"/>
    <x v="4"/>
    <s v="M&amp;T Operating"/>
    <m/>
    <s v="Expense"/>
    <s v="Paylocity"/>
    <s v="69215 General &amp; Administrative:G&amp;A - Payroll Fees"/>
    <x v="1"/>
    <x v="3"/>
    <n v="140.32"/>
    <m/>
    <n v="-140.32"/>
    <n v="511237.17999999941"/>
  </r>
  <r>
    <s v="04/15/2025"/>
    <x v="1"/>
    <x v="4"/>
    <s v="M&amp;T Operating"/>
    <m/>
    <s v="Transfer"/>
    <m/>
    <s v="10010 M&amp;T Bank - IntraFi Network Sweep"/>
    <x v="0"/>
    <x v="0"/>
    <n v="11237.18"/>
    <m/>
    <n v="-11237.18"/>
    <n v="499999.99999999942"/>
  </r>
  <r>
    <s v="04/16/2025"/>
    <x v="1"/>
    <x v="4"/>
    <s v="M&amp;T Operating"/>
    <m/>
    <s v="Expense"/>
    <s v="Paylocity"/>
    <s v="22205 Accrued Expenses:Accrued Expenses - Payroll"/>
    <x v="1"/>
    <x v="11"/>
    <n v="1072.97"/>
    <m/>
    <n v="-1072.97"/>
    <n v="498927.02999999945"/>
  </r>
  <r>
    <s v="04/16/2025"/>
    <x v="1"/>
    <x v="4"/>
    <s v="M&amp;T Operating"/>
    <m/>
    <s v="Expense"/>
    <s v="The Principal"/>
    <s v="22310 Accrued Expenses:Accrued Expenses - Principal Clearing"/>
    <x v="1"/>
    <x v="1"/>
    <n v="12530.75"/>
    <m/>
    <n v="-12530.75"/>
    <n v="486396.27999999945"/>
  </r>
  <r>
    <s v="04/16/2025"/>
    <x v="1"/>
    <x v="4"/>
    <s v="M&amp;T Operating"/>
    <m/>
    <s v="Transfer"/>
    <m/>
    <s v="10010 M&amp;T Bank - IntraFi Network Sweep"/>
    <x v="0"/>
    <x v="0"/>
    <m/>
    <n v="13603.72"/>
    <n v="13603.72"/>
    <n v="499999.99999999942"/>
  </r>
  <r>
    <s v="04/17/2025"/>
    <x v="1"/>
    <x v="4"/>
    <s v="M&amp;T Operating"/>
    <m/>
    <s v="Expense"/>
    <s v="Wex Health, Inc."/>
    <s v="22320 Accrued Expenses:Accrued Expenses - WEX Clearing"/>
    <x v="1"/>
    <x v="1"/>
    <n v="1732.29"/>
    <m/>
    <n v="-1732.29"/>
    <n v="498267.70999999944"/>
  </r>
  <r>
    <s v="04/17/2025"/>
    <x v="1"/>
    <x v="4"/>
    <s v="M&amp;T Operating"/>
    <m/>
    <s v="Transfer"/>
    <m/>
    <s v="10010 M&amp;T Bank - IntraFi Network Sweep"/>
    <x v="0"/>
    <x v="0"/>
    <m/>
    <n v="1732.29"/>
    <n v="1732.29"/>
    <n v="499999.99999999942"/>
  </r>
  <r>
    <s v="04/18/2025"/>
    <x v="1"/>
    <x v="4"/>
    <s v="M&amp;T Operating"/>
    <m/>
    <s v="Credit Card Pmt"/>
    <s v="Brex Inc"/>
    <s v="21005 Brex Mastercard"/>
    <x v="5"/>
    <x v="13"/>
    <n v="3686.29"/>
    <m/>
    <n v="-3686.29"/>
    <n v="496313.70999999944"/>
  </r>
  <r>
    <s v="04/18/2025"/>
    <x v="1"/>
    <x v="4"/>
    <s v="M&amp;T Operating"/>
    <m/>
    <s v="Payment"/>
    <s v="Curonix LLC:Curonix Managed Services"/>
    <s v="11005 Accounts Receivable"/>
    <x v="2"/>
    <x v="2"/>
    <m/>
    <n v="8750"/>
    <n v="8750"/>
    <n v="505063.70999999944"/>
  </r>
  <r>
    <s v="04/18/2025"/>
    <x v="1"/>
    <x v="4"/>
    <s v="M&amp;T Operating"/>
    <m/>
    <s v="Payment"/>
    <s v="Curonix LLC:Curonix Managed Services"/>
    <s v="11005 Accounts Receivable"/>
    <x v="2"/>
    <x v="2"/>
    <m/>
    <n v="15575"/>
    <n v="15575"/>
    <n v="520638.70999999944"/>
  </r>
  <r>
    <s v="04/18/2025"/>
    <x v="1"/>
    <x v="4"/>
    <s v="M&amp;T Operating"/>
    <m/>
    <s v="Bill Payment"/>
    <s v="Whitehouse &amp; Cooper, PLCC"/>
    <s v="20005 Accounts Payable"/>
    <x v="3"/>
    <x v="5"/>
    <n v="6185"/>
    <m/>
    <n v="-6185"/>
    <n v="514453.70999999944"/>
  </r>
  <r>
    <s v="04/18/2025"/>
    <x v="1"/>
    <x v="4"/>
    <s v="M&amp;T Operating"/>
    <m/>
    <s v="Transfer"/>
    <m/>
    <s v="10010 M&amp;T Bank - IntraFi Network Sweep"/>
    <x v="0"/>
    <x v="0"/>
    <n v="14453.71"/>
    <m/>
    <n v="-14453.71"/>
    <n v="499999.99999999942"/>
  </r>
  <r>
    <s v="04/21/2025"/>
    <x v="1"/>
    <x v="4"/>
    <s v="M&amp;T Operating"/>
    <m/>
    <s v="Expense"/>
    <s v="Bancorpsv (Benefit Deduction)"/>
    <s v="22335 Accrued Expenses:Accrued Expenses - Bankcorp Clearing"/>
    <x v="1"/>
    <x v="1"/>
    <n v="50"/>
    <m/>
    <n v="-50"/>
    <n v="499949.99999999942"/>
  </r>
  <r>
    <s v="04/21/2025"/>
    <x v="1"/>
    <x v="4"/>
    <s v="M&amp;T Operating"/>
    <m/>
    <s v="Bill Payment"/>
    <s v="Brenna Hawley-Craig"/>
    <s v="20005 Accounts Payable"/>
    <x v="3"/>
    <x v="4"/>
    <n v="50"/>
    <m/>
    <n v="-50"/>
    <n v="499899.99999999942"/>
  </r>
  <r>
    <s v="04/21/2025"/>
    <x v="1"/>
    <x v="4"/>
    <s v="M&amp;T Operating"/>
    <m/>
    <s v="Bill Payment"/>
    <s v="Justin R Nichols"/>
    <s v="20005 Accounts Payable"/>
    <x v="3"/>
    <x v="4"/>
    <n v="150"/>
    <m/>
    <n v="-150"/>
    <n v="499749.99999999942"/>
  </r>
  <r>
    <s v="04/21/2025"/>
    <x v="1"/>
    <x v="4"/>
    <s v="M&amp;T Operating"/>
    <m/>
    <s v="Bill Payment"/>
    <s v="Justin R Nichols"/>
    <s v="20005 Accounts Payable"/>
    <x v="3"/>
    <x v="10"/>
    <n v="2116.94"/>
    <m/>
    <n v="-2116.94"/>
    <n v="497633.05999999942"/>
  </r>
  <r>
    <s v="04/21/2025"/>
    <x v="1"/>
    <x v="4"/>
    <s v="M&amp;T Operating"/>
    <m/>
    <s v="Bill Payment"/>
    <s v="Raymond Der"/>
    <s v="20005 Accounts Payable"/>
    <x v="3"/>
    <x v="4"/>
    <n v="20"/>
    <m/>
    <n v="-20"/>
    <n v="497613.05999999942"/>
  </r>
  <r>
    <s v="04/21/2025"/>
    <x v="1"/>
    <x v="4"/>
    <s v="M&amp;T Operating"/>
    <m/>
    <s v="Bill Payment"/>
    <s v="Sahil Kumar"/>
    <s v="20005 Accounts Payable"/>
    <x v="3"/>
    <x v="4"/>
    <n v="1272.18"/>
    <m/>
    <n v="-1272.18"/>
    <n v="496340.87999999942"/>
  </r>
  <r>
    <s v="04/21/2025"/>
    <x v="1"/>
    <x v="4"/>
    <s v="M&amp;T Operating"/>
    <m/>
    <s v="Expense"/>
    <s v="The Hartford"/>
    <s v="69800 General &amp; Administrative:G&amp;A - Insurance"/>
    <x v="3"/>
    <x v="14"/>
    <n v="3855"/>
    <m/>
    <n v="-3855"/>
    <n v="492485.87999999942"/>
  </r>
  <r>
    <s v="04/21/2025"/>
    <x v="1"/>
    <x v="4"/>
    <s v="M&amp;T Operating"/>
    <m/>
    <s v="Expense"/>
    <s v="The Hartford"/>
    <s v="69800 General &amp; Administrative:G&amp;A - Insurance"/>
    <x v="3"/>
    <x v="14"/>
    <n v="1332.89"/>
    <m/>
    <n v="-1332.89"/>
    <n v="491152.98999999941"/>
  </r>
  <r>
    <s v="04/21/2025"/>
    <x v="1"/>
    <x v="4"/>
    <s v="M&amp;T Operating"/>
    <m/>
    <s v="Transfer"/>
    <m/>
    <s v="10010 M&amp;T Bank - IntraFi Network Sweep"/>
    <x v="0"/>
    <x v="0"/>
    <m/>
    <n v="8847.01"/>
    <n v="8847.01"/>
    <n v="499999.99999999942"/>
  </r>
  <r>
    <s v="04/22/2025"/>
    <x v="1"/>
    <x v="4"/>
    <s v="M&amp;T Operating"/>
    <m/>
    <s v="Expense"/>
    <s v="Cigna Healthcare"/>
    <s v="22305 Accrued Expenses:Accrued Expenses - Cigna Clearing"/>
    <x v="1"/>
    <x v="1"/>
    <n v="656.55"/>
    <m/>
    <n v="-656.55"/>
    <n v="499343.44999999943"/>
  </r>
  <r>
    <s v="04/22/2025"/>
    <x v="1"/>
    <x v="4"/>
    <s v="M&amp;T Operating"/>
    <m/>
    <s v="Transfer"/>
    <m/>
    <s v="10010 M&amp;T Bank - IntraFi Network Sweep"/>
    <x v="0"/>
    <x v="0"/>
    <m/>
    <n v="656.55"/>
    <n v="656.55"/>
    <n v="499999.99999999942"/>
  </r>
  <r>
    <s v="04/24/2025"/>
    <x v="1"/>
    <x v="4"/>
    <s v="M&amp;T Operating"/>
    <m/>
    <s v="Expense"/>
    <s v="Bancorpsv (Benefit Deduction)"/>
    <s v="22335 Accrued Expenses:Accrued Expenses - Bankcorp Clearing"/>
    <x v="1"/>
    <x v="1"/>
    <n v="25"/>
    <m/>
    <n v="-25"/>
    <n v="499974.99999999942"/>
  </r>
  <r>
    <s v="04/24/2025"/>
    <x v="1"/>
    <x v="4"/>
    <s v="M&amp;T Operating"/>
    <m/>
    <s v="Expense"/>
    <s v="Wex Health, Inc."/>
    <s v="22320 Accrued Expenses:Accrued Expenses - WEX Clearing"/>
    <x v="1"/>
    <x v="1"/>
    <n v="11"/>
    <m/>
    <n v="-11"/>
    <n v="499963.99999999942"/>
  </r>
  <r>
    <s v="04/24/2025"/>
    <x v="1"/>
    <x v="4"/>
    <s v="M&amp;T Operating"/>
    <m/>
    <s v="Transfer"/>
    <m/>
    <s v="10010 M&amp;T Bank - IntraFi Network Sweep"/>
    <x v="0"/>
    <x v="0"/>
    <m/>
    <n v="36"/>
    <n v="36"/>
    <n v="499999.99999999942"/>
  </r>
  <r>
    <s v="04/25/2025"/>
    <x v="1"/>
    <x v="4"/>
    <s v="M&amp;T Operating"/>
    <m/>
    <s v="Payment"/>
    <s v="State of Virginia - State Corporation Commission:State of Virginia/Guidehouse"/>
    <s v="11005 Accounts Receivable"/>
    <x v="2"/>
    <x v="2"/>
    <m/>
    <n v="6200"/>
    <n v="6200"/>
    <n v="506199.99999999942"/>
  </r>
  <r>
    <s v="04/25/2025"/>
    <x v="1"/>
    <x v="4"/>
    <s v="M&amp;T Operating"/>
    <m/>
    <s v="Payment"/>
    <s v="Total Solutions, Inc"/>
    <s v="11005 Accounts Receivable"/>
    <x v="2"/>
    <x v="2"/>
    <m/>
    <n v="24777.599999999999"/>
    <n v="24777.599999999999"/>
    <n v="530977.59999999939"/>
  </r>
  <r>
    <s v="04/25/2025"/>
    <x v="1"/>
    <x v="4"/>
    <s v="M&amp;T Operating"/>
    <m/>
    <s v="Bill Payment"/>
    <s v="We Work"/>
    <s v="20005 Accounts Payable"/>
    <x v="3"/>
    <x v="15"/>
    <n v="556"/>
    <m/>
    <n v="-556"/>
    <n v="530421.59999999939"/>
  </r>
  <r>
    <s v="04/25/2025"/>
    <x v="1"/>
    <x v="4"/>
    <s v="M&amp;T Operating"/>
    <m/>
    <s v="Expense"/>
    <s v="Wex Health, Inc."/>
    <s v="22320 Accrued Expenses:Accrued Expenses - WEX Clearing"/>
    <x v="1"/>
    <x v="1"/>
    <n v="61.8"/>
    <m/>
    <n v="-61.8"/>
    <n v="530359.79999999935"/>
  </r>
  <r>
    <s v="04/25/2025"/>
    <x v="1"/>
    <x v="4"/>
    <s v="M&amp;T Operating"/>
    <m/>
    <s v="Transfer"/>
    <m/>
    <s v="10010 M&amp;T Bank - IntraFi Network Sweep"/>
    <x v="0"/>
    <x v="0"/>
    <n v="30359.8"/>
    <m/>
    <n v="-30359.8"/>
    <n v="499999.99999999936"/>
  </r>
  <r>
    <s v="04/28/2025"/>
    <x v="1"/>
    <x v="4"/>
    <s v="M&amp;T Operating"/>
    <m/>
    <s v="Expense"/>
    <s v="Bancorpsv (Benefit Deduction)"/>
    <s v="22335 Accrued Expenses:Accrued Expenses - Bankcorp Clearing"/>
    <x v="1"/>
    <x v="1"/>
    <n v="225"/>
    <m/>
    <n v="-225"/>
    <n v="499774.99999999936"/>
  </r>
  <r>
    <s v="04/28/2025"/>
    <x v="1"/>
    <x v="4"/>
    <s v="M&amp;T Operating"/>
    <m/>
    <s v="Bill Payment"/>
    <s v="Brenna Hawley-Craig"/>
    <s v="20005 Accounts Payable"/>
    <x v="3"/>
    <x v="4"/>
    <n v="46.23"/>
    <m/>
    <n v="-46.23"/>
    <n v="499728.76999999938"/>
  </r>
  <r>
    <s v="04/28/2025"/>
    <x v="1"/>
    <x v="4"/>
    <s v="M&amp;T Operating"/>
    <m/>
    <s v="Payment"/>
    <s v="Currencies Direct Limited:Redpin Payments"/>
    <s v="11005 Accounts Receivable"/>
    <x v="2"/>
    <x v="2"/>
    <m/>
    <n v="25000"/>
    <n v="25000"/>
    <n v="524728.76999999932"/>
  </r>
  <r>
    <s v="04/28/2025"/>
    <x v="1"/>
    <x v="4"/>
    <s v="M&amp;T Operating"/>
    <m/>
    <s v="Bill Payment"/>
    <s v="International Computer Services Inc."/>
    <s v="20005 Accounts Payable"/>
    <x v="3"/>
    <x v="10"/>
    <n v="2682"/>
    <m/>
    <n v="-2682"/>
    <n v="522046.76999999932"/>
  </r>
  <r>
    <s v="04/28/2025"/>
    <x v="1"/>
    <x v="4"/>
    <s v="M&amp;T Operating"/>
    <m/>
    <s v="Bill Payment"/>
    <s v="Justin R Nichols"/>
    <s v="20005 Accounts Payable"/>
    <x v="3"/>
    <x v="4"/>
    <n v="1988.11"/>
    <m/>
    <n v="-1988.11"/>
    <n v="520058.65999999933"/>
  </r>
  <r>
    <s v="04/28/2025"/>
    <x v="1"/>
    <x v="4"/>
    <s v="M&amp;T Operating"/>
    <m/>
    <s v="Bill Payment"/>
    <s v="Michael Hartman"/>
    <s v="20005 Accounts Payable"/>
    <x v="3"/>
    <x v="4"/>
    <n v="60"/>
    <m/>
    <n v="-60"/>
    <n v="519998.65999999933"/>
  </r>
  <r>
    <s v="04/28/2025"/>
    <x v="1"/>
    <x v="4"/>
    <s v="M&amp;T Operating"/>
    <m/>
    <s v="Transfer"/>
    <m/>
    <s v="10010 M&amp;T Bank - IntraFi Network Sweep"/>
    <x v="0"/>
    <x v="0"/>
    <n v="19998.66"/>
    <m/>
    <n v="-19998.66"/>
    <n v="499999.99999999936"/>
  </r>
  <r>
    <s v="04/29/2025"/>
    <x v="1"/>
    <x v="4"/>
    <s v="M&amp;T Operating"/>
    <m/>
    <s v="Expense"/>
    <s v="Bancorpsv (Benefit Deduction)"/>
    <s v="22335 Accrued Expenses:Accrued Expenses - Bankcorp Clearing"/>
    <x v="1"/>
    <x v="1"/>
    <n v="100"/>
    <m/>
    <n v="-100"/>
    <n v="499899.99999999936"/>
  </r>
  <r>
    <s v="04/29/2025"/>
    <x v="1"/>
    <x v="4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14399.99999999936"/>
  </r>
  <r>
    <s v="04/29/2025"/>
    <x v="1"/>
    <x v="4"/>
    <s v="M&amp;T Operating"/>
    <m/>
    <s v="Expense"/>
    <s v="Paylocity"/>
    <s v="22205 Accrued Expenses:Accrued Expenses - Payroll"/>
    <x v="1"/>
    <x v="12"/>
    <n v="87235.24"/>
    <m/>
    <n v="-87235.24"/>
    <n v="427164.75999999937"/>
  </r>
  <r>
    <s v="04/29/2025"/>
    <x v="1"/>
    <x v="4"/>
    <s v="M&amp;T Operating"/>
    <m/>
    <s v="Expense"/>
    <s v="Paylocity"/>
    <s v="22205 Accrued Expenses:Accrued Expenses - Payroll"/>
    <x v="1"/>
    <x v="1"/>
    <n v="1229"/>
    <m/>
    <n v="-1229"/>
    <n v="425935.75999999937"/>
  </r>
  <r>
    <s v="04/29/2025"/>
    <x v="1"/>
    <x v="4"/>
    <s v="M&amp;T Operating"/>
    <m/>
    <s v="Expense"/>
    <s v="Paylocity"/>
    <s v="22205 Accrued Expenses:Accrued Expenses - Payroll"/>
    <x v="1"/>
    <x v="11"/>
    <n v="42593.1"/>
    <m/>
    <n v="-42593.1"/>
    <n v="383342.65999999939"/>
  </r>
  <r>
    <s v="04/29/2025"/>
    <x v="1"/>
    <x v="4"/>
    <s v="M&amp;T Operating"/>
    <m/>
    <s v="Expense"/>
    <s v="QuickBooks Payments"/>
    <s v="69805 General &amp; Administrative:G&amp;A - Bank Fees"/>
    <x v="0"/>
    <x v="6"/>
    <n v="20"/>
    <m/>
    <n v="-20"/>
    <n v="383322.65999999939"/>
  </r>
  <r>
    <s v="04/29/2025"/>
    <x v="1"/>
    <x v="4"/>
    <s v="M&amp;T Operating"/>
    <m/>
    <s v="Transfer"/>
    <m/>
    <s v="10010 M&amp;T Bank - IntraFi Network Sweep"/>
    <x v="0"/>
    <x v="0"/>
    <m/>
    <n v="131157.34"/>
    <n v="131157.34"/>
    <n v="514479.99999999942"/>
  </r>
  <r>
    <s v="04/30/2025"/>
    <x v="1"/>
    <x v="4"/>
    <s v="M&amp;T Operating"/>
    <m/>
    <s v="Expense"/>
    <s v="Bancorpsv (Benefit Deduction)"/>
    <s v="22335 Accrued Expenses:Accrued Expenses - Bankcorp Clearing"/>
    <x v="1"/>
    <x v="1"/>
    <n v="99.1"/>
    <m/>
    <n v="-99.1"/>
    <n v="514380.89999999944"/>
  </r>
  <r>
    <s v="04/30/2025"/>
    <x v="1"/>
    <x v="4"/>
    <s v="M&amp;T Operating"/>
    <m/>
    <s v="Deposit"/>
    <s v="M&amp;T Bank"/>
    <s v="71005 Interest"/>
    <x v="0"/>
    <x v="17"/>
    <m/>
    <n v="6912.1"/>
    <n v="6912.1"/>
    <n v="521292.99999999942"/>
  </r>
  <r>
    <s v="04/30/2025"/>
    <x v="1"/>
    <x v="4"/>
    <s v="M&amp;T Operating"/>
    <m/>
    <s v="Expense"/>
    <s v="Paylocity"/>
    <s v="22205 Accrued Expenses:Accrued Expenses - Payroll"/>
    <x v="1"/>
    <x v="3"/>
    <n v="309.93"/>
    <m/>
    <n v="-309.93"/>
    <n v="520983.06999999942"/>
  </r>
  <r>
    <s v="04/30/2025"/>
    <x v="1"/>
    <x v="4"/>
    <s v="M&amp;T Operating"/>
    <m/>
    <s v="Payment"/>
    <s v="RestorixHealth Inc:Managed Services"/>
    <s v="11005 Accounts Receivable"/>
    <x v="2"/>
    <x v="2"/>
    <m/>
    <n v="4200"/>
    <n v="4200"/>
    <n v="525183.06999999937"/>
  </r>
  <r>
    <s v="04/30/2025"/>
    <x v="1"/>
    <x v="4"/>
    <s v="M&amp;T Operating"/>
    <m/>
    <s v="Transfer"/>
    <m/>
    <s v="10010 M&amp;T Bank - IntraFi Network Sweep"/>
    <x v="0"/>
    <x v="0"/>
    <n v="25183.07"/>
    <m/>
    <n v="-25183.07"/>
    <n v="499999.99999999936"/>
  </r>
  <r>
    <s v="05/01/2025"/>
    <x v="1"/>
    <x v="5"/>
    <s v="M&amp;T Operating"/>
    <m/>
    <s v="Payment"/>
    <s v="Msol Inc. DBA Macro Solutions"/>
    <s v="11005 Accounts Receivable"/>
    <x v="2"/>
    <x v="2"/>
    <m/>
    <n v="63412"/>
    <n v="63412"/>
    <n v="563411.9999999993"/>
  </r>
  <r>
    <s v="05/01/2025"/>
    <x v="1"/>
    <x v="5"/>
    <s v="M&amp;T Operating"/>
    <m/>
    <s v="Deposit"/>
    <s v="State of Connecticut Department of Revenue Services"/>
    <s v="69815 General &amp; Administrative:G&amp;A - Business Taxes, Licenses &amp; Permits"/>
    <x v="3"/>
    <x v="20"/>
    <m/>
    <n v="326.17"/>
    <n v="326.17"/>
    <n v="563738.16999999934"/>
  </r>
  <r>
    <s v="05/01/2025"/>
    <x v="1"/>
    <x v="5"/>
    <s v="M&amp;T Operating"/>
    <m/>
    <s v="Expense"/>
    <s v="The Principal"/>
    <s v="22310 Accrued Expenses:Accrued Expenses - Principal Clearing"/>
    <x v="1"/>
    <x v="1"/>
    <n v="12530.75"/>
    <m/>
    <n v="-12530.75"/>
    <n v="551207.41999999934"/>
  </r>
  <r>
    <s v="05/01/2025"/>
    <x v="1"/>
    <x v="5"/>
    <s v="M&amp;T Operating"/>
    <m/>
    <s v="Expense"/>
    <s v="Wex Health, Inc."/>
    <s v="22320 Accrued Expenses:Accrued Expenses - WEX Clearing"/>
    <x v="1"/>
    <x v="1"/>
    <n v="208.34"/>
    <m/>
    <n v="-208.34"/>
    <n v="550999.07999999938"/>
  </r>
  <r>
    <s v="05/01/2025"/>
    <x v="1"/>
    <x v="5"/>
    <s v="M&amp;T Operating"/>
    <m/>
    <s v="Transfer"/>
    <m/>
    <s v="10010 M&amp;T Bank - IntraFi Network Sweep"/>
    <x v="0"/>
    <x v="0"/>
    <n v="50923.08"/>
    <m/>
    <n v="-50923.08"/>
    <n v="500075.99999999936"/>
  </r>
  <r>
    <s v="05/02/2025"/>
    <x v="1"/>
    <x v="5"/>
    <s v="M&amp;T Operating"/>
    <m/>
    <s v="Expense"/>
    <s v="CareFirst Blue Cross Blue Shield"/>
    <s v="22300 Accrued Expenses:Accrued Expenses - BCBS Clearing"/>
    <x v="1"/>
    <x v="1"/>
    <n v="17374.64"/>
    <m/>
    <n v="-17374.64"/>
    <n v="482701.35999999935"/>
  </r>
  <r>
    <s v="05/02/2025"/>
    <x v="1"/>
    <x v="5"/>
    <s v="M&amp;T Operating"/>
    <m/>
    <s v="Credit Card Pmt"/>
    <s v="Chase Visa"/>
    <s v="21010 Chase Visa"/>
    <x v="5"/>
    <x v="18"/>
    <n v="2521.11"/>
    <m/>
    <n v="-2521.11"/>
    <n v="480180.24999999936"/>
  </r>
  <r>
    <s v="05/02/2025"/>
    <x v="1"/>
    <x v="5"/>
    <s v="M&amp;T Operating"/>
    <m/>
    <s v="Deposit"/>
    <s v="Freedom Service Dogs Inc.:Managed Services"/>
    <s v="14005 Undeposited Funds"/>
    <x v="2"/>
    <x v="2"/>
    <m/>
    <n v="1500"/>
    <n v="1500"/>
    <n v="481680.24999999936"/>
  </r>
  <r>
    <s v="05/02/2025"/>
    <x v="1"/>
    <x v="5"/>
    <s v="M&amp;T Operating"/>
    <m/>
    <s v="Payment"/>
    <s v="Great Expressions Dental Centers:Great Expressions Dental - Marketing Managed Services"/>
    <s v="11005 Accounts Receivable"/>
    <x v="2"/>
    <x v="2"/>
    <m/>
    <n v="5250"/>
    <n v="5250"/>
    <n v="486930.24999999936"/>
  </r>
  <r>
    <s v="05/02/2025"/>
    <x v="1"/>
    <x v="5"/>
    <s v="M&amp;T Operating"/>
    <m/>
    <s v="Bill Payment"/>
    <s v="HireRight"/>
    <s v="20005 Accounts Payable"/>
    <x v="3"/>
    <x v="15"/>
    <n v="354.79"/>
    <m/>
    <n v="-354.79"/>
    <n v="486575.45999999938"/>
  </r>
  <r>
    <s v="05/02/2025"/>
    <x v="1"/>
    <x v="5"/>
    <s v="M&amp;T Operating"/>
    <m/>
    <s v="Expense"/>
    <s v="QuickBooks Payments"/>
    <s v="69805 General &amp; Administrative:G&amp;A - Bank Fees"/>
    <x v="0"/>
    <x v="6"/>
    <n v="15"/>
    <m/>
    <n v="-15"/>
    <n v="486560.45999999938"/>
  </r>
  <r>
    <s v="05/02/2025"/>
    <x v="1"/>
    <x v="5"/>
    <s v="M&amp;T Operating"/>
    <m/>
    <s v="Bill Payment"/>
    <s v="William Karpovich"/>
    <s v="20005 Accounts Payable"/>
    <x v="3"/>
    <x v="4"/>
    <n v="4692.7299999999996"/>
    <m/>
    <n v="-4692.7299999999996"/>
    <n v="481867.7299999994"/>
  </r>
  <r>
    <s v="05/02/2025"/>
    <x v="1"/>
    <x v="5"/>
    <s v="M&amp;T Operating"/>
    <m/>
    <s v="Transfer"/>
    <m/>
    <s v="10010 M&amp;T Bank - IntraFi Network Sweep"/>
    <x v="0"/>
    <x v="0"/>
    <m/>
    <n v="18132.27"/>
    <n v="18132.27"/>
    <n v="499999.99999999942"/>
  </r>
  <r>
    <s v="05/04/2025"/>
    <x v="1"/>
    <x v="5"/>
    <s v="M&amp;T Operating"/>
    <m/>
    <s v="Bill Payment"/>
    <s v="Justin Nichols (justin@synaptic.build)"/>
    <s v="20005 Accounts Payable"/>
    <x v="3"/>
    <x v="4"/>
    <n v="532.53"/>
    <m/>
    <n v="-532.53"/>
    <n v="499467.46999999939"/>
  </r>
  <r>
    <s v="05/05/2025"/>
    <x v="1"/>
    <x v="5"/>
    <s v="M&amp;T Operating"/>
    <m/>
    <s v="Expense"/>
    <s v="Bancorpsv (Benefit Deduction)"/>
    <s v="22335 Accrued Expenses:Accrued Expenses - Bankcorp Clearing"/>
    <x v="1"/>
    <x v="1"/>
    <n v="28.34"/>
    <m/>
    <n v="-28.34"/>
    <n v="499439.12999999936"/>
  </r>
  <r>
    <s v="05/05/2025"/>
    <x v="1"/>
    <x v="5"/>
    <s v="M&amp;T Operating"/>
    <m/>
    <s v="Bill Payment"/>
    <s v="Brenna Hawley-Craig (brenna@synaptic.build)"/>
    <s v="20005 Accounts Payable"/>
    <x v="3"/>
    <x v="4"/>
    <n v="45.56"/>
    <m/>
    <n v="-45.56"/>
    <n v="499393.56999999937"/>
  </r>
  <r>
    <s v="05/05/2025"/>
    <x v="1"/>
    <x v="5"/>
    <s v="M&amp;T Operating"/>
    <m/>
    <s v="Bill Payment"/>
    <s v="Fort Offices LLC"/>
    <s v="20005 Accounts Payable"/>
    <x v="3"/>
    <x v="22"/>
    <n v="3545.63"/>
    <m/>
    <n v="-3545.63"/>
    <n v="495847.93999999936"/>
  </r>
  <r>
    <s v="05/05/2025"/>
    <x v="1"/>
    <x v="5"/>
    <s v="M&amp;T Operating"/>
    <m/>
    <s v="Bill Payment"/>
    <s v="Ijaz, Safa"/>
    <s v="20005 Accounts Payable"/>
    <x v="1"/>
    <x v="1"/>
    <n v="30"/>
    <m/>
    <n v="-30"/>
    <n v="495817.93999999936"/>
  </r>
  <r>
    <s v="05/05/2025"/>
    <x v="1"/>
    <x v="5"/>
    <s v="M&amp;T Operating"/>
    <m/>
    <s v="Bill Payment"/>
    <s v="International Computer Services Inc."/>
    <s v="20005 Accounts Payable"/>
    <x v="3"/>
    <x v="10"/>
    <n v="301.91000000000003"/>
    <m/>
    <n v="-301.91000000000003"/>
    <n v="495516.02999999939"/>
  </r>
  <r>
    <s v="05/05/2025"/>
    <x v="1"/>
    <x v="5"/>
    <s v="M&amp;T Operating"/>
    <m/>
    <s v="Bill Payment"/>
    <s v="International Computer Services Inc."/>
    <s v="20005 Accounts Payable"/>
    <x v="3"/>
    <x v="10"/>
    <n v="3463.35"/>
    <m/>
    <n v="-3463.35"/>
    <n v="492052.67999999941"/>
  </r>
  <r>
    <s v="05/05/2025"/>
    <x v="1"/>
    <x v="5"/>
    <s v="M&amp;T Operating"/>
    <m/>
    <s v="Expense"/>
    <s v="Paylocity"/>
    <s v="69215 General &amp; Administrative:G&amp;A - Payroll Fees"/>
    <x v="1"/>
    <x v="3"/>
    <n v="4"/>
    <m/>
    <n v="-4"/>
    <n v="492048.67999999941"/>
  </r>
  <r>
    <s v="05/05/2025"/>
    <x v="1"/>
    <x v="5"/>
    <s v="M&amp;T Operating"/>
    <m/>
    <s v="Transfer"/>
    <m/>
    <s v="10010 M&amp;T Bank - IntraFi Network Sweep"/>
    <x v="0"/>
    <x v="0"/>
    <m/>
    <n v="7418.79"/>
    <n v="7418.79"/>
    <n v="499467.46999999939"/>
  </r>
  <r>
    <s v="05/06/2025"/>
    <x v="1"/>
    <x v="5"/>
    <s v="M&amp;T Operating"/>
    <m/>
    <s v="Expense"/>
    <s v="Bancorpsv (Benefit Deduction)"/>
    <s v="22335 Accrued Expenses:Accrued Expenses - Bankcorp Clearing"/>
    <x v="1"/>
    <x v="1"/>
    <n v="1"/>
    <m/>
    <n v="-1"/>
    <n v="499466.46999999939"/>
  </r>
  <r>
    <s v="05/06/2025"/>
    <x v="1"/>
    <x v="5"/>
    <s v="M&amp;T Operating"/>
    <m/>
    <s v="Expense"/>
    <s v="Bancorpsv (Benefit Deduction)"/>
    <s v="22335 Accrued Expenses:Accrued Expenses - Bankcorp Clearing"/>
    <x v="1"/>
    <x v="1"/>
    <n v="20.170000000000002"/>
    <m/>
    <n v="-20.170000000000002"/>
    <n v="499446.29999999941"/>
  </r>
  <r>
    <s v="05/06/2025"/>
    <x v="1"/>
    <x v="5"/>
    <s v="M&amp;T Operating"/>
    <m/>
    <s v="Expense"/>
    <s v="Further FKA SelctAccount"/>
    <s v="22330 Accrued Expenses:Accrued Expenses - Further Clearing"/>
    <x v="1"/>
    <x v="1"/>
    <n v="41.84"/>
    <m/>
    <n v="-41.84"/>
    <n v="499404.45999999938"/>
  </r>
  <r>
    <s v="05/06/2025"/>
    <x v="1"/>
    <x v="5"/>
    <s v="M&amp;T Operating"/>
    <m/>
    <s v="Expense"/>
    <s v="New York Life"/>
    <s v="22315 Accrued Expenses:Accrued Expenses - NY Life Clearing"/>
    <x v="1"/>
    <x v="1"/>
    <n v="1115.94"/>
    <m/>
    <n v="-1115.94"/>
    <n v="498288.51999999938"/>
  </r>
  <r>
    <s v="05/06/2025"/>
    <x v="1"/>
    <x v="5"/>
    <s v="M&amp;T Operating"/>
    <m/>
    <s v="Transfer"/>
    <m/>
    <s v="10010 M&amp;T Bank - IntraFi Network Sweep"/>
    <x v="0"/>
    <x v="0"/>
    <m/>
    <n v="1178.95"/>
    <n v="1178.95"/>
    <n v="499467.46999999939"/>
  </r>
  <r>
    <s v="05/07/2025"/>
    <x v="1"/>
    <x v="5"/>
    <s v="M&amp;T Operating"/>
    <m/>
    <s v="Expense"/>
    <s v="Bancorpsv (Benefit Deduction)"/>
    <s v="22335 Accrued Expenses:Accrued Expenses - Bankcorp Clearing"/>
    <x v="1"/>
    <x v="1"/>
    <n v="25"/>
    <m/>
    <n v="-25"/>
    <n v="499442.46999999939"/>
  </r>
  <r>
    <s v="05/07/2025"/>
    <x v="1"/>
    <x v="5"/>
    <s v="M&amp;T Operating"/>
    <m/>
    <s v="Transfer"/>
    <m/>
    <s v="10010 M&amp;T Bank - IntraFi Network Sweep"/>
    <x v="0"/>
    <x v="0"/>
    <m/>
    <n v="25"/>
    <n v="25"/>
    <n v="499467.46999999939"/>
  </r>
  <r>
    <s v="05/08/2025"/>
    <x v="1"/>
    <x v="5"/>
    <s v="M&amp;T Operating"/>
    <s v="REC20256_31270060"/>
    <s v="Bill Payment"/>
    <s v="Andrew Fischer andrew@bigdoormarketing.com USD"/>
    <s v="20005 Accounts Payable"/>
    <x v="4"/>
    <x v="9"/>
    <n v="1400"/>
    <m/>
    <n v="-1400"/>
    <n v="498067.46999999939"/>
  </r>
  <r>
    <s v="05/08/2025"/>
    <x v="1"/>
    <x v="5"/>
    <s v="M&amp;T Operating"/>
    <s v="REC20256_30033449"/>
    <s v="Bill Payment"/>
    <s v="Ashley MacArthur ashley@getboss.io USD"/>
    <s v="20005 Accounts Payable"/>
    <x v="3"/>
    <x v="8"/>
    <n v="875"/>
    <m/>
    <n v="-875"/>
    <n v="497192.46999999939"/>
  </r>
  <r>
    <s v="05/08/2025"/>
    <x v="1"/>
    <x v="5"/>
    <s v="M&amp;T Operating"/>
    <s v="REC20256_30033448"/>
    <s v="Bill Payment"/>
    <s v="Ashley MacArthur ashley@getboss.io USD"/>
    <s v="20005 Accounts Payable"/>
    <x v="3"/>
    <x v="8"/>
    <n v="2520"/>
    <m/>
    <n v="-2520"/>
    <n v="494672.46999999939"/>
  </r>
  <r>
    <s v="05/08/2025"/>
    <x v="1"/>
    <x v="5"/>
    <s v="M&amp;T Operating"/>
    <s v="REC20256_30033446"/>
    <s v="Bill Payment"/>
    <s v="Ashley MacArthur ashley@getboss.io USD"/>
    <s v="20005 Accounts Payable"/>
    <x v="3"/>
    <x v="8"/>
    <n v="2550"/>
    <m/>
    <n v="-2550"/>
    <n v="492122.46999999939"/>
  </r>
  <r>
    <s v="05/08/2025"/>
    <x v="1"/>
    <x v="5"/>
    <s v="M&amp;T Operating"/>
    <s v="REC20256_31244080"/>
    <s v="Bill Payment"/>
    <s v="Bartosz Juriewicz bartosz.juriewicz@gmail.com USD"/>
    <s v="20005 Accounts Payable"/>
    <x v="4"/>
    <x v="7"/>
    <n v="4970"/>
    <m/>
    <n v="-4970"/>
    <n v="487152.46999999939"/>
  </r>
  <r>
    <s v="05/08/2025"/>
    <x v="1"/>
    <x v="5"/>
    <s v="M&amp;T Operating"/>
    <s v="REC20256_31269372"/>
    <s v="Bill Payment"/>
    <s v="Candy Marte Garcia candymartegarcia@gmail.com USD"/>
    <s v="20005 Accounts Payable"/>
    <x v="4"/>
    <x v="7"/>
    <n v="472.5"/>
    <m/>
    <n v="-472.5"/>
    <n v="486679.96999999939"/>
  </r>
  <r>
    <s v="05/08/2025"/>
    <x v="1"/>
    <x v="5"/>
    <s v="M&amp;T Operating"/>
    <s v="REC20256_31152639"/>
    <s v="Bill Payment"/>
    <s v="Charles McGuinness charles@mcguinness.ai USD"/>
    <s v="20005 Accounts Payable"/>
    <x v="4"/>
    <x v="9"/>
    <n v="20000"/>
    <m/>
    <n v="-20000"/>
    <n v="466679.96999999939"/>
  </r>
  <r>
    <s v="05/08/2025"/>
    <x v="1"/>
    <x v="5"/>
    <s v="M&amp;T Operating"/>
    <s v="REC20256_31292166"/>
    <s v="Bill Payment"/>
    <s v="Dane Kim dane.w.kim@gmail.com USD"/>
    <s v="20005 Accounts Payable"/>
    <x v="4"/>
    <x v="7"/>
    <n v="2218.75"/>
    <m/>
    <n v="-2218.75"/>
    <n v="464461.21999999939"/>
  </r>
  <r>
    <s v="05/08/2025"/>
    <x v="1"/>
    <x v="5"/>
    <s v="M&amp;T Operating"/>
    <m/>
    <s v="Bill Payment"/>
    <s v="Deel billing invoices deel@deel.com USD"/>
    <s v="20005 Accounts Payable"/>
    <x v="3"/>
    <x v="10"/>
    <n v="5"/>
    <m/>
    <n v="-5"/>
    <n v="464456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407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358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309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260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211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162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113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064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015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966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917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868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819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770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721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672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623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574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525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476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427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378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329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280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231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182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133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084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035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2986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2937.21999999939"/>
  </r>
  <r>
    <s v="05/08/2025"/>
    <x v="1"/>
    <x v="5"/>
    <s v="M&amp;T Operating"/>
    <m/>
    <s v="Expense"/>
    <s v="Deel billing invoices deel@deel.com USD"/>
    <s v="69805 General &amp; Administrative:G&amp;A - Bank Fees"/>
    <x v="0"/>
    <x v="6"/>
    <n v="0.39"/>
    <m/>
    <n v="-0.39"/>
    <n v="462936.82999999938"/>
  </r>
  <r>
    <s v="05/08/2025"/>
    <x v="1"/>
    <x v="5"/>
    <s v="M&amp;T Operating"/>
    <m/>
    <s v="Deposit"/>
    <s v="Deel billing invoices deel@deel.com USD"/>
    <s v="69805 General &amp; Administrative:G&amp;A - Bank Fees"/>
    <x v="0"/>
    <x v="6"/>
    <m/>
    <n v="0.26"/>
    <n v="0.26"/>
    <n v="462937.08999999939"/>
  </r>
  <r>
    <s v="05/08/2025"/>
    <x v="1"/>
    <x v="5"/>
    <s v="M&amp;T Operating"/>
    <m/>
    <s v="Deposit"/>
    <s v="Deel billing invoices deel@deel.com USD"/>
    <s v="69805 General &amp; Administrative:G&amp;A - Bank Fees"/>
    <x v="0"/>
    <x v="6"/>
    <m/>
    <n v="0.13"/>
    <n v="0.13"/>
    <n v="462937.21999999939"/>
  </r>
  <r>
    <s v="05/08/2025"/>
    <x v="1"/>
    <x v="5"/>
    <s v="M&amp;T Operating"/>
    <s v="REC20256_31269259"/>
    <s v="Bill Payment"/>
    <s v="Duane Nelson duanen@gmail.com USD"/>
    <s v="20005 Accounts Payable"/>
    <x v="4"/>
    <x v="9"/>
    <n v="19573.36"/>
    <m/>
    <n v="-19573.36"/>
    <n v="443363.8599999994"/>
  </r>
  <r>
    <s v="05/08/2025"/>
    <x v="1"/>
    <x v="5"/>
    <s v="M&amp;T Operating"/>
    <s v="REC20256_31269257"/>
    <s v="Bill Payment"/>
    <s v="Duane Nelson duanen@gmail.com USD"/>
    <s v="20005 Accounts Payable"/>
    <x v="4"/>
    <x v="9"/>
    <n v="437.93"/>
    <m/>
    <n v="-437.93"/>
    <n v="442925.92999999941"/>
  </r>
  <r>
    <s v="05/08/2025"/>
    <x v="1"/>
    <x v="5"/>
    <s v="M&amp;T Operating"/>
    <s v="REC20256_31152511"/>
    <s v="Bill Payment"/>
    <s v="Focus Fractional LLC"/>
    <s v="20005 Accounts Payable"/>
    <x v="3"/>
    <x v="8"/>
    <n v="20583.330000000002"/>
    <m/>
    <n v="-20583.330000000002"/>
    <n v="422342.59999999939"/>
  </r>
  <r>
    <s v="05/08/2025"/>
    <x v="1"/>
    <x v="5"/>
    <s v="M&amp;T Operating"/>
    <s v="REC20256_31244232"/>
    <s v="Bill Payment"/>
    <s v="Herbert Donald Edwards don.edwards01@gmail.com USD"/>
    <s v="20005 Accounts Payable"/>
    <x v="4"/>
    <x v="7"/>
    <n v="8325"/>
    <m/>
    <n v="-8325"/>
    <n v="414017.59999999939"/>
  </r>
  <r>
    <s v="05/08/2025"/>
    <x v="1"/>
    <x v="5"/>
    <s v="M&amp;T Operating"/>
    <s v="REC20256_31152691"/>
    <s v="Bill Payment"/>
    <s v="Jenna Stahl jenna@bloomly.agency USD"/>
    <s v="20005 Accounts Payable"/>
    <x v="4"/>
    <x v="9"/>
    <n v="5513.05"/>
    <m/>
    <n v="-5513.05"/>
    <n v="408504.54999999941"/>
  </r>
  <r>
    <s v="05/08/2025"/>
    <x v="1"/>
    <x v="5"/>
    <s v="M&amp;T Operating"/>
    <s v="REC20256_31152641"/>
    <s v="Bill Payment"/>
    <s v="Joseph Mallek joe@nimblefire.com USD"/>
    <s v="20005 Accounts Payable"/>
    <x v="4"/>
    <x v="9"/>
    <n v="20000"/>
    <m/>
    <n v="-20000"/>
    <n v="388504.54999999941"/>
  </r>
  <r>
    <s v="05/08/2025"/>
    <x v="1"/>
    <x v="5"/>
    <s v="M&amp;T Operating"/>
    <s v="REC20256_31152665"/>
    <s v="Bill Payment"/>
    <s v="Kathleen Ferrie Marketing LLC"/>
    <s v="20005 Accounts Payable"/>
    <x v="4"/>
    <x v="9"/>
    <n v="10950"/>
    <m/>
    <n v="-10950"/>
    <n v="377554.54999999941"/>
  </r>
  <r>
    <s v="05/08/2025"/>
    <x v="1"/>
    <x v="5"/>
    <s v="M&amp;T Operating"/>
    <m/>
    <s v="Expense"/>
    <s v="M&amp;T Bank"/>
    <s v="69805 General &amp; Administrative:G&amp;A - Bank Fees"/>
    <x v="0"/>
    <x v="6"/>
    <n v="313.79000000000002"/>
    <m/>
    <n v="-313.79000000000002"/>
    <n v="377240.75999999943"/>
  </r>
  <r>
    <s v="05/08/2025"/>
    <x v="1"/>
    <x v="5"/>
    <s v="M&amp;T Operating"/>
    <s v="REC20256_31244562"/>
    <s v="Bill Payment"/>
    <s v="McMax LLC"/>
    <s v="20005 Accounts Payable"/>
    <x v="4"/>
    <x v="7"/>
    <n v="4553.75"/>
    <m/>
    <n v="-4553.75"/>
    <n v="372687.00999999943"/>
  </r>
  <r>
    <s v="05/08/2025"/>
    <x v="1"/>
    <x v="5"/>
    <s v="M&amp;T Operating"/>
    <s v="REC20256_31269263"/>
    <s v="Bill Payment"/>
    <s v="Paul Peterson paul.01.peterson@gmail.com USD"/>
    <s v="20005 Accounts Payable"/>
    <x v="4"/>
    <x v="7"/>
    <n v="12199.26"/>
    <m/>
    <n v="-12199.26"/>
    <n v="360487.74999999942"/>
  </r>
  <r>
    <s v="05/08/2025"/>
    <x v="1"/>
    <x v="5"/>
    <s v="M&amp;T Operating"/>
    <s v="REC20256_31244582"/>
    <s v="Bill Payment"/>
    <s v="Pedro Rubio pedro@blackfyre.app USD"/>
    <s v="20005 Accounts Payable"/>
    <x v="4"/>
    <x v="9"/>
    <n v="199"/>
    <m/>
    <n v="-199"/>
    <n v="360288.74999999942"/>
  </r>
  <r>
    <s v="05/08/2025"/>
    <x v="1"/>
    <x v="5"/>
    <s v="M&amp;T Operating"/>
    <s v="REC20256_31298518"/>
    <s v="Bill Payment"/>
    <s v="Prasanna Patel prasanna.patel@xtransmatrix.com USD"/>
    <s v="20005 Accounts Payable"/>
    <x v="4"/>
    <x v="9"/>
    <n v="4400"/>
    <m/>
    <n v="-4400"/>
    <n v="355888.74999999942"/>
  </r>
  <r>
    <s v="05/08/2025"/>
    <x v="1"/>
    <x v="5"/>
    <s v="M&amp;T Operating"/>
    <s v="REC20256_31200710"/>
    <s v="Bill Payment"/>
    <s v="Prasanna Patel prasanna.patel@xtransmatrix.com USD"/>
    <s v="20005 Accounts Payable"/>
    <x v="4"/>
    <x v="9"/>
    <n v="6160"/>
    <m/>
    <n v="-6160"/>
    <n v="349728.74999999942"/>
  </r>
  <r>
    <s v="05/08/2025"/>
    <x v="1"/>
    <x v="5"/>
    <s v="M&amp;T Operating"/>
    <s v="REC20256_31200711"/>
    <s v="Bill Payment"/>
    <s v="Prasanna Patel prasanna.patel@xtransmatrix.com USD"/>
    <s v="20005 Accounts Payable"/>
    <x v="4"/>
    <x v="9"/>
    <n v="3520"/>
    <m/>
    <n v="-3520"/>
    <n v="346208.74999999942"/>
  </r>
  <r>
    <s v="05/08/2025"/>
    <x v="1"/>
    <x v="5"/>
    <s v="M&amp;T Operating"/>
    <s v="REC20256_31244047"/>
    <s v="Bill Payment"/>
    <s v="Resolute Creative Group, LLC"/>
    <s v="20005 Accounts Payable"/>
    <x v="4"/>
    <x v="7"/>
    <n v="62.5"/>
    <m/>
    <n v="-62.5"/>
    <n v="346146.24999999942"/>
  </r>
  <r>
    <s v="05/08/2025"/>
    <x v="1"/>
    <x v="5"/>
    <s v="M&amp;T Operating"/>
    <s v="REC20256_31298374"/>
    <s v="Bill Payment"/>
    <s v="SALESFORCE CRM CONSULTING PTY LTD"/>
    <s v="20005 Accounts Payable"/>
    <x v="4"/>
    <x v="9"/>
    <n v="3420"/>
    <m/>
    <n v="-3420"/>
    <n v="342726.24999999942"/>
  </r>
  <r>
    <s v="05/08/2025"/>
    <x v="1"/>
    <x v="5"/>
    <s v="M&amp;T Operating"/>
    <s v="REC20256_31269350"/>
    <s v="Bill Payment"/>
    <s v="SALESFORCE CRM CONSULTING PTY LTD"/>
    <s v="20005 Accounts Payable"/>
    <x v="4"/>
    <x v="7"/>
    <n v="3707"/>
    <m/>
    <n v="-3707"/>
    <n v="339019.24999999942"/>
  </r>
  <r>
    <s v="05/08/2025"/>
    <x v="1"/>
    <x v="5"/>
    <s v="M&amp;T Operating"/>
    <s v="REC20256_31244386"/>
    <s v="Bill Payment"/>
    <s v="SALESFORCE CRM CONSULTING PTY LTD"/>
    <s v="20005 Accounts Payable"/>
    <x v="4"/>
    <x v="7"/>
    <n v="525"/>
    <m/>
    <n v="-525"/>
    <n v="338494.24999999942"/>
  </r>
  <r>
    <s v="05/08/2025"/>
    <x v="1"/>
    <x v="5"/>
    <s v="M&amp;T Operating"/>
    <s v="REC20256_31244384"/>
    <s v="Bill Payment"/>
    <s v="SALESFORCE CRM CONSULTING PTY LTD"/>
    <s v="20005 Accounts Payable"/>
    <x v="4"/>
    <x v="7"/>
    <n v="5635"/>
    <m/>
    <n v="-5635"/>
    <n v="332859.24999999942"/>
  </r>
  <r>
    <s v="05/08/2025"/>
    <x v="1"/>
    <x v="5"/>
    <s v="M&amp;T Operating"/>
    <s v="REC20256_31244381"/>
    <s v="Bill Payment"/>
    <s v="SALESFORCE CRM CONSULTING PTY LTD"/>
    <s v="20005 Accounts Payable"/>
    <x v="4"/>
    <x v="7"/>
    <n v="6965"/>
    <m/>
    <n v="-6965"/>
    <n v="325894.24999999942"/>
  </r>
  <r>
    <s v="05/08/2025"/>
    <x v="1"/>
    <x v="5"/>
    <s v="M&amp;T Operating"/>
    <s v="REC20256_31244380"/>
    <s v="Bill Payment"/>
    <s v="SALESFORCE CRM CONSULTING PTY LTD"/>
    <s v="20005 Accounts Payable"/>
    <x v="4"/>
    <x v="7"/>
    <n v="3150"/>
    <m/>
    <n v="-3150"/>
    <n v="322744.24999999942"/>
  </r>
  <r>
    <s v="05/08/2025"/>
    <x v="1"/>
    <x v="5"/>
    <s v="M&amp;T Operating"/>
    <s v="REC20256_31244378"/>
    <s v="Bill Payment"/>
    <s v="SALESFORCE CRM CONSULTING PTY LTD"/>
    <s v="20005 Accounts Payable"/>
    <x v="4"/>
    <x v="7"/>
    <n v="280"/>
    <m/>
    <n v="-280"/>
    <n v="322464.24999999942"/>
  </r>
  <r>
    <s v="05/08/2025"/>
    <x v="1"/>
    <x v="5"/>
    <s v="M&amp;T Operating"/>
    <s v="REC20256_31244383"/>
    <s v="Bill Payment"/>
    <s v="SALESFORCE CRM CONSULTING PTY LTD"/>
    <s v="20005 Accounts Payable"/>
    <x v="4"/>
    <x v="7"/>
    <n v="3200"/>
    <m/>
    <n v="-3200"/>
    <n v="319264.24999999942"/>
  </r>
  <r>
    <s v="05/08/2025"/>
    <x v="1"/>
    <x v="5"/>
    <s v="M&amp;T Operating"/>
    <s v="REC20256_31244376"/>
    <s v="Bill Payment"/>
    <s v="SALESFORCE CRM CONSULTING PTY LTD"/>
    <s v="20005 Accounts Payable"/>
    <x v="4"/>
    <x v="7"/>
    <n v="2135"/>
    <m/>
    <n v="-2135"/>
    <n v="317129.24999999942"/>
  </r>
  <r>
    <s v="05/08/2025"/>
    <x v="1"/>
    <x v="5"/>
    <s v="M&amp;T Operating"/>
    <s v="REC20256_31244578"/>
    <s v="Bill Payment"/>
    <s v="Shazib Mahmood shazibm91@gmail.com USD"/>
    <s v="20005 Accounts Payable"/>
    <x v="4"/>
    <x v="7"/>
    <n v="18544"/>
    <m/>
    <n v="-18544"/>
    <n v="298585.24999999942"/>
  </r>
  <r>
    <s v="05/08/2025"/>
    <x v="1"/>
    <x v="5"/>
    <s v="M&amp;T Operating"/>
    <m/>
    <s v="Transfer"/>
    <m/>
    <s v="10010 M&amp;T Bank - IntraFi Network Sweep"/>
    <x v="0"/>
    <x v="0"/>
    <m/>
    <n v="200882.22"/>
    <n v="200882.22"/>
    <n v="499467.46999999939"/>
  </r>
  <r>
    <s v="05/09/2025"/>
    <x v="1"/>
    <x v="5"/>
    <s v="M&amp;T Operating"/>
    <m/>
    <s v="Expense"/>
    <s v="Ramp Business Corporation"/>
    <s v="69805 General &amp; Administrative:G&amp;A - Bank Fees"/>
    <x v="0"/>
    <x v="6"/>
    <n v="0.96"/>
    <m/>
    <n v="-0.96"/>
    <n v="499466.50999999937"/>
  </r>
  <r>
    <s v="05/09/2025"/>
    <x v="1"/>
    <x v="5"/>
    <s v="M&amp;T Operating"/>
    <m/>
    <s v="Deposit"/>
    <s v="Ramp Business Corporation"/>
    <s v="69805 General &amp; Administrative:G&amp;A - Bank Fees"/>
    <x v="0"/>
    <x v="6"/>
    <m/>
    <n v="0.66"/>
    <n v="0.66"/>
    <n v="499467.16999999934"/>
  </r>
  <r>
    <s v="05/09/2025"/>
    <x v="1"/>
    <x v="5"/>
    <s v="M&amp;T Operating"/>
    <m/>
    <s v="Deposit"/>
    <s v="Ramp Business Corporation"/>
    <s v="69805 General &amp; Administrative:G&amp;A - Bank Fees"/>
    <x v="0"/>
    <x v="6"/>
    <m/>
    <n v="0.3"/>
    <n v="0.3"/>
    <n v="499467.46999999933"/>
  </r>
  <r>
    <s v="05/11/2025"/>
    <x v="1"/>
    <x v="5"/>
    <s v="M&amp;T Operating"/>
    <m/>
    <s v="Bill Payment"/>
    <s v="Ray Der (ray@synaptic.build)"/>
    <s v="20005 Accounts Payable"/>
    <x v="3"/>
    <x v="4"/>
    <n v="20"/>
    <m/>
    <n v="-20"/>
    <n v="499447.46999999933"/>
  </r>
  <r>
    <s v="05/12/2025"/>
    <x v="1"/>
    <x v="5"/>
    <s v="M&amp;T Operating"/>
    <m/>
    <s v="Bill Payment"/>
    <s v="Carahsoft Technology Corp"/>
    <s v="20005 Accounts Payable"/>
    <x v="4"/>
    <x v="9"/>
    <n v="7500"/>
    <m/>
    <n v="-7500"/>
    <n v="491947.46999999933"/>
  </r>
  <r>
    <s v="05/12/2025"/>
    <x v="1"/>
    <x v="5"/>
    <s v="M&amp;T Operating"/>
    <m/>
    <s v="Payment"/>
    <s v="Currencies Direct Limited:Redpin Staff Aug"/>
    <s v="11005 Accounts Receivable"/>
    <x v="2"/>
    <x v="2"/>
    <m/>
    <n v="2628.8"/>
    <n v="2628.8"/>
    <n v="494576.26999999932"/>
  </r>
  <r>
    <s v="05/12/2025"/>
    <x v="1"/>
    <x v="5"/>
    <s v="M&amp;T Operating"/>
    <m/>
    <s v="Bill Payment"/>
    <s v="Joseph A Kennedy"/>
    <s v="20005 Accounts Payable"/>
    <x v="3"/>
    <x v="4"/>
    <n v="2661.19"/>
    <m/>
    <n v="-2661.19"/>
    <n v="491915.07999999932"/>
  </r>
  <r>
    <s v="05/12/2025"/>
    <x v="1"/>
    <x v="5"/>
    <s v="M&amp;T Operating"/>
    <m/>
    <s v="Bill Payment"/>
    <s v="Mark Miller"/>
    <s v="20005 Accounts Payable"/>
    <x v="3"/>
    <x v="4"/>
    <n v="1701.75"/>
    <m/>
    <n v="-1701.75"/>
    <n v="490213.32999999932"/>
  </r>
  <r>
    <s v="05/12/2025"/>
    <x v="1"/>
    <x v="5"/>
    <s v="M&amp;T Operating"/>
    <m/>
    <s v="Bill Payment"/>
    <s v="Nemphos Braue LLC"/>
    <s v="20005 Accounts Payable"/>
    <x v="3"/>
    <x v="5"/>
    <n v="5593.45"/>
    <m/>
    <n v="-5593.45"/>
    <n v="484619.87999999931"/>
  </r>
  <r>
    <s v="05/12/2025"/>
    <x v="1"/>
    <x v="5"/>
    <s v="M&amp;T Operating"/>
    <m/>
    <s v="Bill Payment"/>
    <s v="Rosen, Sappersteim &amp; Friedlander, LLC"/>
    <s v="20005 Accounts Payable"/>
    <x v="3"/>
    <x v="23"/>
    <n v="5503.75"/>
    <m/>
    <n v="-5503.75"/>
    <n v="479116.12999999931"/>
  </r>
  <r>
    <s v="05/12/2025"/>
    <x v="1"/>
    <x v="5"/>
    <s v="M&amp;T Operating"/>
    <m/>
    <s v="Bill Payment"/>
    <s v="Salesforce.com Inc"/>
    <s v="20005 Accounts Payable"/>
    <x v="3"/>
    <x v="10"/>
    <n v="11219.5"/>
    <m/>
    <n v="-11219.5"/>
    <n v="467896.62999999931"/>
  </r>
  <r>
    <s v="05/12/2025"/>
    <x v="1"/>
    <x v="5"/>
    <s v="M&amp;T Operating"/>
    <m/>
    <s v="Bill Payment"/>
    <s v="Whitehouse &amp; Cooper, PLCC"/>
    <s v="20005 Accounts Payable"/>
    <x v="3"/>
    <x v="5"/>
    <n v="7226"/>
    <m/>
    <n v="-7226"/>
    <n v="460670.62999999931"/>
  </r>
  <r>
    <s v="05/12/2025"/>
    <x v="1"/>
    <x v="5"/>
    <s v="M&amp;T Operating"/>
    <m/>
    <s v="Transfer"/>
    <m/>
    <s v="10010 M&amp;T Bank - IntraFi Network Sweep"/>
    <x v="0"/>
    <x v="0"/>
    <m/>
    <n v="38776.839999999997"/>
    <n v="38776.839999999997"/>
    <n v="499447.46999999927"/>
  </r>
  <r>
    <s v="05/13/2025"/>
    <x v="1"/>
    <x v="5"/>
    <s v="M&amp;T Operating"/>
    <m/>
    <s v="Deposit"/>
    <s v="American Benefit Cobra"/>
    <s v="22325 Accrued Expenses:Accrued Expenses - COBRA Clearing"/>
    <x v="1"/>
    <x v="1"/>
    <m/>
    <n v="476.36"/>
    <n v="476.36"/>
    <n v="499923.82999999926"/>
  </r>
  <r>
    <s v="05/13/2025"/>
    <x v="1"/>
    <x v="5"/>
    <s v="M&amp;T Operating"/>
    <m/>
    <s v="Expense"/>
    <s v="Bancorpsv (Benefit Deduction)"/>
    <s v="22335 Accrued Expenses:Accrued Expenses - Bankcorp Clearing"/>
    <x v="1"/>
    <x v="1"/>
    <n v="90"/>
    <m/>
    <n v="-90"/>
    <n v="499833.82999999926"/>
  </r>
  <r>
    <s v="05/13/2025"/>
    <x v="1"/>
    <x v="5"/>
    <s v="M&amp;T Operating"/>
    <m/>
    <s v="Expense"/>
    <s v="Further FKA SelctAccount"/>
    <s v="22330 Accrued Expenses:Accrued Expenses - Further Clearing"/>
    <x v="1"/>
    <x v="1"/>
    <n v="58.73"/>
    <m/>
    <n v="-58.73"/>
    <n v="499775.09999999928"/>
  </r>
  <r>
    <s v="05/13/2025"/>
    <x v="1"/>
    <x v="5"/>
    <s v="M&amp;T Operating"/>
    <m/>
    <s v="Bill Payment"/>
    <s v="Justin Nichols (justin@synaptic.build)"/>
    <s v="20005 Accounts Payable"/>
    <x v="3"/>
    <x v="4"/>
    <n v="351.19"/>
    <m/>
    <n v="-351.19"/>
    <n v="499423.90999999928"/>
  </r>
  <r>
    <s v="05/13/2025"/>
    <x v="1"/>
    <x v="5"/>
    <s v="M&amp;T Operating"/>
    <m/>
    <s v="Transfer"/>
    <m/>
    <s v="10010 M&amp;T Bank - IntraFi Network Sweep"/>
    <x v="0"/>
    <x v="0"/>
    <n v="327.63"/>
    <m/>
    <n v="-327.63"/>
    <n v="499096.27999999927"/>
  </r>
  <r>
    <s v="05/14/2025"/>
    <x v="1"/>
    <x v="5"/>
    <s v="M&amp;T Operating"/>
    <m/>
    <s v="Expense"/>
    <s v="Paylocity"/>
    <s v="22205 Accrued Expenses:Accrued Expenses - Payroll"/>
    <x v="1"/>
    <x v="1"/>
    <n v="1216"/>
    <m/>
    <n v="-1216"/>
    <n v="497880.27999999927"/>
  </r>
  <r>
    <s v="05/14/2025"/>
    <x v="1"/>
    <x v="5"/>
    <s v="M&amp;T Operating"/>
    <m/>
    <s v="Expense"/>
    <s v="Paylocity"/>
    <s v="22205 Accrued Expenses:Accrued Expenses - Payroll"/>
    <x v="1"/>
    <x v="11"/>
    <n v="38692.870000000003"/>
    <m/>
    <n v="-38692.870000000003"/>
    <n v="459187.40999999928"/>
  </r>
  <r>
    <s v="05/14/2025"/>
    <x v="1"/>
    <x v="5"/>
    <s v="M&amp;T Operating"/>
    <m/>
    <s v="Expense"/>
    <s v="Paylocity"/>
    <s v="22205 Accrued Expenses:Accrued Expenses - Payroll"/>
    <x v="1"/>
    <x v="12"/>
    <n v="81172.98"/>
    <m/>
    <n v="-81172.98"/>
    <n v="378014.42999999929"/>
  </r>
  <r>
    <s v="05/14/2025"/>
    <x v="1"/>
    <x v="5"/>
    <s v="M&amp;T Operating"/>
    <m/>
    <s v="Transfer"/>
    <m/>
    <s v="10010 M&amp;T Bank - IntraFi Network Sweep"/>
    <x v="0"/>
    <x v="0"/>
    <m/>
    <n v="121081.85"/>
    <n v="121081.85"/>
    <n v="499096.27999999933"/>
  </r>
  <r>
    <s v="05/15/2025"/>
    <x v="1"/>
    <x v="5"/>
    <s v="M&amp;T Operating"/>
    <m/>
    <s v="Expense"/>
    <s v="Paylocity"/>
    <s v="69215 General &amp; Administrative:G&amp;A - Payroll Fees"/>
    <x v="1"/>
    <x v="3"/>
    <n v="150.63"/>
    <m/>
    <n v="-150.63"/>
    <n v="498945.64999999932"/>
  </r>
  <r>
    <s v="05/15/2025"/>
    <x v="1"/>
    <x v="5"/>
    <s v="M&amp;T Operating"/>
    <m/>
    <s v="Transfer"/>
    <m/>
    <s v="10010 M&amp;T Bank - IntraFi Network Sweep"/>
    <x v="0"/>
    <x v="0"/>
    <m/>
    <n v="150.63"/>
    <n v="150.63"/>
    <n v="499096.27999999933"/>
  </r>
  <r>
    <s v="05/16/2025"/>
    <x v="1"/>
    <x v="5"/>
    <s v="M&amp;T Operating"/>
    <m/>
    <s v="Payment"/>
    <s v="Curonix LLC:Curonix Managed Services"/>
    <s v="11005 Accounts Receivable"/>
    <x v="2"/>
    <x v="2"/>
    <m/>
    <n v="8750"/>
    <n v="8750"/>
    <n v="507846.27999999933"/>
  </r>
  <r>
    <s v="05/16/2025"/>
    <x v="1"/>
    <x v="5"/>
    <s v="M&amp;T Operating"/>
    <m/>
    <s v="Bill Payment"/>
    <s v="KnowBe4 Inc."/>
    <s v="20005 Accounts Payable"/>
    <x v="3"/>
    <x v="10"/>
    <n v="1443"/>
    <m/>
    <n v="-1443"/>
    <n v="506403.27999999933"/>
  </r>
  <r>
    <s v="05/16/2025"/>
    <x v="1"/>
    <x v="5"/>
    <s v="M&amp;T Operating"/>
    <m/>
    <s v="Bill Payment"/>
    <s v="Salesforce.com Inc"/>
    <s v="20005 Accounts Payable"/>
    <x v="3"/>
    <x v="10"/>
    <n v="579"/>
    <m/>
    <n v="-579"/>
    <n v="505824.27999999933"/>
  </r>
  <r>
    <s v="05/16/2025"/>
    <x v="1"/>
    <x v="5"/>
    <s v="M&amp;T Operating"/>
    <m/>
    <s v="Expense"/>
    <s v="The Principal"/>
    <s v="22310 Accrued Expenses:Accrued Expenses - Principal Clearing"/>
    <x v="1"/>
    <x v="1"/>
    <n v="14015.12"/>
    <m/>
    <n v="-14015.12"/>
    <n v="491809.15999999933"/>
  </r>
  <r>
    <s v="05/16/2025"/>
    <x v="1"/>
    <x v="5"/>
    <s v="M&amp;T Operating"/>
    <m/>
    <s v="Expense"/>
    <s v="Wex Health, Inc."/>
    <s v="22320 Accrued Expenses:Accrued Expenses - WEX Clearing"/>
    <x v="1"/>
    <x v="1"/>
    <n v="208.34"/>
    <m/>
    <n v="-208.34"/>
    <n v="491600.81999999931"/>
  </r>
  <r>
    <s v="05/16/2025"/>
    <x v="1"/>
    <x v="5"/>
    <s v="M&amp;T Operating"/>
    <m/>
    <s v="Transfer"/>
    <m/>
    <s v="10010 M&amp;T Bank - IntraFi Network Sweep"/>
    <x v="0"/>
    <x v="0"/>
    <m/>
    <n v="7495.46"/>
    <n v="7495.46"/>
    <n v="499096.27999999933"/>
  </r>
  <r>
    <s v="05/19/2025"/>
    <x v="1"/>
    <x v="5"/>
    <s v="M&amp;T Operating"/>
    <m/>
    <s v="Bill Payment"/>
    <s v="Brenna Hawley-Craig (brenna@synaptic.build)"/>
    <s v="20005 Accounts Payable"/>
    <x v="3"/>
    <x v="4"/>
    <n v="20"/>
    <m/>
    <n v="-20"/>
    <n v="499076.27999999933"/>
  </r>
  <r>
    <s v="05/19/2025"/>
    <x v="1"/>
    <x v="5"/>
    <s v="M&amp;T Operating"/>
    <m/>
    <s v="Bill Payment"/>
    <s v="Brenna Hawley-Craig (brenna@synaptic.build)"/>
    <s v="20005 Accounts Payable"/>
    <x v="3"/>
    <x v="4"/>
    <n v="30"/>
    <m/>
    <n v="-30"/>
    <n v="499046.27999999933"/>
  </r>
  <r>
    <s v="05/19/2025"/>
    <x v="1"/>
    <x v="5"/>
    <s v="M&amp;T Operating"/>
    <m/>
    <s v="Bill Payment"/>
    <s v="Brenna Hawley-Craig (brenna@synaptic.build)"/>
    <s v="20005 Accounts Payable"/>
    <x v="3"/>
    <x v="4"/>
    <n v="30"/>
    <m/>
    <n v="-30"/>
    <n v="499016.27999999933"/>
  </r>
  <r>
    <s v="05/19/2025"/>
    <x v="1"/>
    <x v="5"/>
    <s v="M&amp;T Operating"/>
    <m/>
    <s v="Credit Card Pmt"/>
    <s v="Brex Inc"/>
    <s v="21005 Brex Mastercard"/>
    <x v="5"/>
    <x v="13"/>
    <n v="2784.15"/>
    <m/>
    <n v="-2784.15"/>
    <n v="496232.12999999931"/>
  </r>
  <r>
    <s v="05/19/2025"/>
    <x v="1"/>
    <x v="5"/>
    <s v="M&amp;T Operating"/>
    <m/>
    <s v="Bill Payment"/>
    <s v="Frank Recruitment Group, Inc."/>
    <s v="20005 Accounts Payable"/>
    <x v="3"/>
    <x v="21"/>
    <n v="25000"/>
    <m/>
    <n v="-25000"/>
    <n v="471232.12999999931"/>
  </r>
  <r>
    <s v="05/19/2025"/>
    <x v="1"/>
    <x v="5"/>
    <s v="M&amp;T Operating"/>
    <m/>
    <s v="Bill Payment"/>
    <s v="International Computer Services Inc."/>
    <s v="20005 Accounts Payable"/>
    <x v="3"/>
    <x v="10"/>
    <n v="3042.9"/>
    <m/>
    <n v="-3042.9"/>
    <n v="468189.22999999928"/>
  </r>
  <r>
    <s v="05/19/2025"/>
    <x v="1"/>
    <x v="5"/>
    <s v="M&amp;T Operating"/>
    <m/>
    <s v="Expense"/>
    <s v="The Hartford"/>
    <s v="69800 General &amp; Administrative:G&amp;A - Insurance"/>
    <x v="3"/>
    <x v="14"/>
    <n v="1332.89"/>
    <m/>
    <n v="-1332.89"/>
    <n v="466856.33999999927"/>
  </r>
  <r>
    <s v="05/19/2025"/>
    <x v="1"/>
    <x v="5"/>
    <s v="M&amp;T Operating"/>
    <m/>
    <s v="Transfer"/>
    <m/>
    <s v="10010 M&amp;T Bank - IntraFi Network Sweep"/>
    <x v="0"/>
    <x v="0"/>
    <m/>
    <n v="32159.94"/>
    <n v="32159.94"/>
    <n v="499016.27999999927"/>
  </r>
  <r>
    <s v="05/20/2025"/>
    <x v="1"/>
    <x v="5"/>
    <s v="M&amp;T Operating"/>
    <m/>
    <s v="Expense"/>
    <s v="Bancorpsv (Benefit Deduction)"/>
    <s v="22335 Accrued Expenses:Accrued Expenses - Bankcorp Clearing"/>
    <x v="1"/>
    <x v="1"/>
    <n v="25"/>
    <m/>
    <n v="-25"/>
    <n v="498991.27999999927"/>
  </r>
  <r>
    <s v="05/20/2025"/>
    <x v="1"/>
    <x v="5"/>
    <s v="M&amp;T Operating"/>
    <m/>
    <s v="Expense"/>
    <s v="Cigna Healthcare"/>
    <s v="22305 Accrued Expenses:Accrued Expenses - Cigna Clearing"/>
    <x v="1"/>
    <x v="1"/>
    <n v="1941.75"/>
    <m/>
    <n v="-1941.75"/>
    <n v="497049.52999999927"/>
  </r>
  <r>
    <s v="05/20/2025"/>
    <x v="1"/>
    <x v="5"/>
    <s v="M&amp;T Operating"/>
    <m/>
    <s v="Bill Payment"/>
    <s v="COTIVITI"/>
    <s v="20005 Accounts Payable"/>
    <x v="1"/>
    <x v="1"/>
    <n v="88.8"/>
    <m/>
    <n v="-88.8"/>
    <n v="496960.72999999928"/>
  </r>
  <r>
    <s v="05/20/2025"/>
    <x v="1"/>
    <x v="5"/>
    <s v="M&amp;T Operating"/>
    <m/>
    <s v="Bill Payment"/>
    <s v="Justin Nichols (justin@synaptic.build)"/>
    <s v="20005 Accounts Payable"/>
    <x v="3"/>
    <x v="4"/>
    <n v="95.77"/>
    <m/>
    <n v="-95.77"/>
    <n v="496864.95999999926"/>
  </r>
  <r>
    <s v="05/20/2025"/>
    <x v="1"/>
    <x v="5"/>
    <s v="M&amp;T Operating"/>
    <m/>
    <s v="Bill Payment"/>
    <s v="Justin Nichols (justin@synaptic.build)"/>
    <s v="20005 Accounts Payable"/>
    <x v="3"/>
    <x v="4"/>
    <n v="95.47"/>
    <m/>
    <n v="-95.47"/>
    <n v="496769.48999999929"/>
  </r>
  <r>
    <s v="05/20/2025"/>
    <x v="1"/>
    <x v="5"/>
    <s v="M&amp;T Operating"/>
    <m/>
    <s v="Bill Payment"/>
    <s v="Justin Nichols (justin@synaptic.build)"/>
    <s v="20005 Accounts Payable"/>
    <x v="3"/>
    <x v="4"/>
    <n v="63.28"/>
    <m/>
    <n v="-63.28"/>
    <n v="496706.20999999926"/>
  </r>
  <r>
    <s v="05/20/2025"/>
    <x v="1"/>
    <x v="5"/>
    <s v="M&amp;T Operating"/>
    <m/>
    <s v="Transfer"/>
    <m/>
    <s v="10010 M&amp;T Bank - IntraFi Network Sweep"/>
    <x v="0"/>
    <x v="0"/>
    <m/>
    <n v="2075.5500000000002"/>
    <n v="2075.5500000000002"/>
    <n v="498781.75999999925"/>
  </r>
  <r>
    <s v="05/21/2025"/>
    <x v="1"/>
    <x v="5"/>
    <s v="M&amp;T Operating"/>
    <m/>
    <s v="Expense"/>
    <s v="Bancorpsv (Benefit Deduction)"/>
    <s v="22335 Accrued Expenses:Accrued Expenses - Bankcorp Clearing"/>
    <x v="1"/>
    <x v="1"/>
    <n v="25"/>
    <m/>
    <n v="-25"/>
    <n v="498756.75999999925"/>
  </r>
  <r>
    <s v="05/21/2025"/>
    <x v="1"/>
    <x v="5"/>
    <s v="M&amp;T Operating"/>
    <m/>
    <s v="Bill Payment"/>
    <s v="Justin Nichols (justin@synaptic.build)"/>
    <s v="20005 Accounts Payable"/>
    <x v="3"/>
    <x v="4"/>
    <n v="94.48"/>
    <m/>
    <n v="-94.48"/>
    <n v="498662.27999999927"/>
  </r>
  <r>
    <s v="05/21/2025"/>
    <x v="1"/>
    <x v="5"/>
    <s v="M&amp;T Operating"/>
    <m/>
    <s v="Bill Payment"/>
    <s v="Justin Nichols (justin@synaptic.build)"/>
    <s v="20005 Accounts Payable"/>
    <x v="3"/>
    <x v="4"/>
    <n v="23.55"/>
    <m/>
    <n v="-23.55"/>
    <n v="498638.72999999928"/>
  </r>
  <r>
    <s v="05/21/2025"/>
    <x v="1"/>
    <x v="5"/>
    <s v="M&amp;T Operating"/>
    <m/>
    <s v="Bill Payment"/>
    <s v="Justin Nichols (justin@synaptic.build)"/>
    <s v="20005 Accounts Payable"/>
    <x v="3"/>
    <x v="4"/>
    <n v="43.17"/>
    <m/>
    <n v="-43.17"/>
    <n v="498595.5599999993"/>
  </r>
  <r>
    <s v="05/21/2025"/>
    <x v="1"/>
    <x v="5"/>
    <s v="M&amp;T Operating"/>
    <m/>
    <s v="Bill Payment"/>
    <s v="Justin Nichols (justin@synaptic.build)"/>
    <s v="20005 Accounts Payable"/>
    <x v="3"/>
    <x v="4"/>
    <n v="16.91"/>
    <m/>
    <n v="-16.91"/>
    <n v="498578.64999999932"/>
  </r>
  <r>
    <s v="05/21/2025"/>
    <x v="1"/>
    <x v="5"/>
    <s v="Ramp Card"/>
    <m/>
    <s v="Expense"/>
    <s v="Lucid Chart"/>
    <s v="69400 General &amp; Administrative:G&amp;A - Software Applications &amp; Licenses"/>
    <x v="3"/>
    <x v="10"/>
    <n v="372.28"/>
    <m/>
    <n v="-372.28"/>
    <n v="498206.3699999993"/>
  </r>
  <r>
    <s v="05/21/2025"/>
    <x v="1"/>
    <x v="5"/>
    <s v="M&amp;T Operating"/>
    <m/>
    <s v="Expense"/>
    <s v="The Hartford"/>
    <s v="69800 General &amp; Administrative:G&amp;A - Insurance"/>
    <x v="3"/>
    <x v="14"/>
    <n v="214.66"/>
    <m/>
    <n v="-214.66"/>
    <n v="497991.70999999932"/>
  </r>
  <r>
    <s v="05/21/2025"/>
    <x v="1"/>
    <x v="5"/>
    <s v="M&amp;T Operating"/>
    <m/>
    <s v="Expense"/>
    <s v="Wex Health, Inc."/>
    <s v="22320 Accrued Expenses:Accrued Expenses - WEX Clearing"/>
    <x v="1"/>
    <x v="1"/>
    <n v="113.47"/>
    <m/>
    <n v="-113.47"/>
    <n v="497878.23999999935"/>
  </r>
  <r>
    <s v="05/21/2025"/>
    <x v="1"/>
    <x v="5"/>
    <s v="M&amp;T Operating"/>
    <m/>
    <s v="Bill Payment"/>
    <s v="William Karpovich (bill@synaptic.build)"/>
    <s v="20005 Accounts Payable"/>
    <x v="3"/>
    <x v="4"/>
    <n v="16"/>
    <m/>
    <n v="-16"/>
    <n v="497862.23999999935"/>
  </r>
  <r>
    <s v="05/21/2025"/>
    <x v="1"/>
    <x v="5"/>
    <s v="M&amp;T Operating"/>
    <m/>
    <s v="Transfer"/>
    <m/>
    <s v="10010 M&amp;T Bank - IntraFi Network Sweep"/>
    <x v="0"/>
    <x v="0"/>
    <m/>
    <n v="353.13"/>
    <n v="353.13"/>
    <n v="498215.36999999936"/>
  </r>
  <r>
    <s v="05/22/2025"/>
    <x v="1"/>
    <x v="5"/>
    <s v="M&amp;T Operating"/>
    <m/>
    <s v="Bill Payment"/>
    <s v="Justin Nichols (justin@synaptic.build)"/>
    <s v="20005 Accounts Payable"/>
    <x v="3"/>
    <x v="4"/>
    <n v="651.9"/>
    <m/>
    <n v="-651.9"/>
    <n v="497563.46999999933"/>
  </r>
  <r>
    <s v="05/22/2025"/>
    <x v="1"/>
    <x v="5"/>
    <s v="Ramp Card"/>
    <m/>
    <s v="Expense"/>
    <s v="Openai Chatgpt"/>
    <s v="51400 Classic COGS - Delivery:Classic COGS - Delivery - Software Applications &amp; Licenses"/>
    <x v="3"/>
    <x v="10"/>
    <n v="20"/>
    <m/>
    <n v="-20"/>
    <n v="497543.46999999933"/>
  </r>
  <r>
    <s v="05/22/2025"/>
    <x v="1"/>
    <x v="5"/>
    <s v="M&amp;T Operating"/>
    <m/>
    <s v="Transfer"/>
    <m/>
    <s v="10010 M&amp;T Bank - IntraFi Network Sweep"/>
    <x v="0"/>
    <x v="0"/>
    <m/>
    <n v="80"/>
    <n v="80"/>
    <n v="497623.46999999933"/>
  </r>
  <r>
    <s v="05/23/2025"/>
    <x v="1"/>
    <x v="5"/>
    <s v="Ramp Card"/>
    <m/>
    <s v="Expense"/>
    <s v="Last Pass"/>
    <s v="69400 General &amp; Administrative:G&amp;A - Software Applications &amp; Licenses"/>
    <x v="3"/>
    <x v="10"/>
    <n v="20.45"/>
    <m/>
    <n v="-20.45"/>
    <n v="497603.01999999932"/>
  </r>
  <r>
    <s v="05/23/2025"/>
    <x v="1"/>
    <x v="5"/>
    <s v="Ramp Card"/>
    <m/>
    <s v="Expense"/>
    <s v="Ragged Coast Chocolates"/>
    <s v="65625 AppIQ - Marketing:AppIQ - Marketing - Client Gifts &amp; Entertainment"/>
    <x v="4"/>
    <x v="9"/>
    <n v="100.94"/>
    <m/>
    <n v="-100.94"/>
    <n v="497502.07999999932"/>
  </r>
  <r>
    <s v="05/23/2025"/>
    <x v="1"/>
    <x v="5"/>
    <s v="M&amp;T Operating"/>
    <m/>
    <s v="Payment"/>
    <s v="RestorixHealth Inc:Managed Services"/>
    <s v="11005 Accounts Receivable"/>
    <x v="2"/>
    <x v="2"/>
    <m/>
    <n v="4200"/>
    <n v="4200"/>
    <n v="501702.07999999932"/>
  </r>
  <r>
    <s v="05/23/2025"/>
    <x v="1"/>
    <x v="5"/>
    <s v="M&amp;T Operating"/>
    <m/>
    <s v="Bill Payment"/>
    <s v="Sahil Kumar (sahil@synaptic.build)"/>
    <s v="20005 Accounts Payable"/>
    <x v="3"/>
    <x v="4"/>
    <n v="25.31"/>
    <m/>
    <n v="-25.31"/>
    <n v="501676.76999999932"/>
  </r>
  <r>
    <s v="05/23/2025"/>
    <x v="1"/>
    <x v="5"/>
    <s v="M&amp;T Operating"/>
    <m/>
    <s v="Bill Payment"/>
    <s v="Sahil Kumar (sahil@synaptic.build)"/>
    <s v="20005 Accounts Payable"/>
    <x v="3"/>
    <x v="4"/>
    <n v="222"/>
    <m/>
    <n v="-222"/>
    <n v="501454.76999999932"/>
  </r>
  <r>
    <s v="05/23/2025"/>
    <x v="1"/>
    <x v="5"/>
    <s v="M&amp;T Operating"/>
    <m/>
    <s v="Bill Payment"/>
    <s v="Sahil Kumar (sahil@synaptic.build)"/>
    <s v="20005 Accounts Payable"/>
    <x v="3"/>
    <x v="4"/>
    <n v="381.03"/>
    <m/>
    <n v="-381.03"/>
    <n v="501073.73999999929"/>
  </r>
  <r>
    <s v="05/23/2025"/>
    <x v="1"/>
    <x v="5"/>
    <s v="M&amp;T Operating"/>
    <m/>
    <s v="Bill Payment"/>
    <s v="Sahil Kumar (sahil@synaptic.build)"/>
    <s v="20005 Accounts Payable"/>
    <x v="3"/>
    <x v="4"/>
    <n v="30.99"/>
    <m/>
    <n v="-30.99"/>
    <n v="501042.7499999993"/>
  </r>
  <r>
    <s v="05/23/2025"/>
    <x v="1"/>
    <x v="5"/>
    <s v="M&amp;T Operating"/>
    <m/>
    <s v="Bill Payment"/>
    <s v="Sahil Kumar (sahil@synaptic.build)"/>
    <s v="20005 Accounts Payable"/>
    <x v="3"/>
    <x v="4"/>
    <n v="14.27"/>
    <m/>
    <n v="-14.27"/>
    <n v="501028.47999999928"/>
  </r>
  <r>
    <s v="05/23/2025"/>
    <x v="1"/>
    <x v="5"/>
    <s v="M&amp;T Operating"/>
    <m/>
    <s v="Bill Payment"/>
    <s v="Sahil Kumar (sahil@synaptic.build)"/>
    <s v="20005 Accounts Payable"/>
    <x v="3"/>
    <x v="4"/>
    <n v="20.14"/>
    <m/>
    <n v="-20.14"/>
    <n v="501008.33999999927"/>
  </r>
  <r>
    <s v="05/23/2025"/>
    <x v="1"/>
    <x v="5"/>
    <s v="M&amp;T Operating"/>
    <m/>
    <s v="Bill Payment"/>
    <s v="Sahil Kumar (sahil@synaptic.build)"/>
    <s v="20005 Accounts Payable"/>
    <x v="3"/>
    <x v="4"/>
    <n v="25.61"/>
    <m/>
    <n v="-25.61"/>
    <n v="500982.72999999928"/>
  </r>
  <r>
    <s v="05/23/2025"/>
    <x v="1"/>
    <x v="5"/>
    <s v="M&amp;T Operating"/>
    <m/>
    <s v="Bill Payment"/>
    <s v="Sahil Kumar (sahil@synaptic.build)"/>
    <s v="20005 Accounts Payable"/>
    <x v="3"/>
    <x v="4"/>
    <n v="85.6"/>
    <m/>
    <n v="-85.6"/>
    <n v="500897.12999999931"/>
  </r>
  <r>
    <s v="05/23/2025"/>
    <x v="1"/>
    <x v="5"/>
    <s v="M&amp;T Operating"/>
    <m/>
    <s v="Payment"/>
    <s v="Total Solutions, Inc"/>
    <s v="11005 Accounts Receivable"/>
    <x v="2"/>
    <x v="2"/>
    <m/>
    <n v="24777.599999999999"/>
    <n v="24777.599999999999"/>
    <n v="525674.72999999928"/>
  </r>
  <r>
    <s v="05/23/2025"/>
    <x v="1"/>
    <x v="5"/>
    <s v="M&amp;T Operating"/>
    <m/>
    <s v="Transfer"/>
    <m/>
    <s v="10010 M&amp;T Bank - IntraFi Network Sweep"/>
    <x v="0"/>
    <x v="0"/>
    <n v="28961.599999999999"/>
    <m/>
    <n v="-28961.599999999999"/>
    <n v="496713.12999999931"/>
  </r>
  <r>
    <s v="05/25/2025"/>
    <x v="1"/>
    <x v="5"/>
    <s v="Ramp Card"/>
    <m/>
    <s v="Expense"/>
    <s v="Openai Chatgpt"/>
    <s v="51400 Classic COGS - Delivery:Classic COGS - Delivery - Software Applications &amp; Licenses"/>
    <x v="3"/>
    <x v="10"/>
    <n v="31.63"/>
    <m/>
    <n v="-31.63"/>
    <n v="496681.4999999993"/>
  </r>
  <r>
    <s v="05/27/2025"/>
    <x v="1"/>
    <x v="5"/>
    <s v="M&amp;T Operating"/>
    <m/>
    <s v="Bill Payment"/>
    <s v="Justin R Nichols"/>
    <s v="20005 Accounts Payable"/>
    <x v="3"/>
    <x v="4"/>
    <n v="3780.25"/>
    <m/>
    <n v="-3780.25"/>
    <n v="492901.2499999993"/>
  </r>
  <r>
    <s v="05/27/2025"/>
    <x v="1"/>
    <x v="5"/>
    <s v="M&amp;T Operating"/>
    <m/>
    <s v="Bill Payment"/>
    <s v="Justin R Nichols"/>
    <s v="20005 Accounts Payable"/>
    <x v="3"/>
    <x v="4"/>
    <n v="212.37"/>
    <m/>
    <n v="-212.37"/>
    <n v="492688.87999999931"/>
  </r>
  <r>
    <s v="05/27/2025"/>
    <x v="1"/>
    <x v="5"/>
    <s v="M&amp;T Operating"/>
    <m/>
    <s v="Bill Payment"/>
    <s v="Michael Hartman"/>
    <s v="20005 Accounts Payable"/>
    <x v="3"/>
    <x v="4"/>
    <n v="20"/>
    <m/>
    <n v="-20"/>
    <n v="492668.87999999931"/>
  </r>
  <r>
    <s v="05/27/2025"/>
    <x v="1"/>
    <x v="5"/>
    <s v="M&amp;T Operating"/>
    <m/>
    <s v="Expense"/>
    <s v="Wex Health, Inc."/>
    <s v="22320 Accrued Expenses:Accrued Expenses - WEX Clearing"/>
    <x v="1"/>
    <x v="1"/>
    <n v="56.65"/>
    <m/>
    <n v="-56.65"/>
    <n v="492612.22999999928"/>
  </r>
  <r>
    <s v="05/27/2025"/>
    <x v="1"/>
    <x v="5"/>
    <s v="M&amp;T Operating"/>
    <m/>
    <s v="Transfer"/>
    <m/>
    <s v="10010 M&amp;T Bank - IntraFi Network Sweep"/>
    <x v="0"/>
    <x v="0"/>
    <m/>
    <n v="4874.22"/>
    <n v="4874.22"/>
    <n v="497486.44999999925"/>
  </r>
  <r>
    <s v="05/28/2025"/>
    <x v="1"/>
    <x v="5"/>
    <s v="M&amp;T Operating"/>
    <m/>
    <s v="Expense"/>
    <s v="Bancorpsv (Benefit Deduction)"/>
    <s v="22335 Accrued Expenses:Accrued Expenses - Bankcorp Clearing"/>
    <x v="1"/>
    <x v="1"/>
    <n v="50"/>
    <m/>
    <n v="-50"/>
    <n v="497436.44999999925"/>
  </r>
  <r>
    <s v="05/28/2025"/>
    <x v="1"/>
    <x v="5"/>
    <s v="M&amp;T Operating"/>
    <m/>
    <s v="Expense"/>
    <s v="Further FKA SelctAccount"/>
    <s v="22330 Accrued Expenses:Accrued Expenses - Further Clearing"/>
    <x v="1"/>
    <x v="1"/>
    <n v="3.8"/>
    <m/>
    <n v="-3.8"/>
    <n v="497432.64999999927"/>
  </r>
  <r>
    <s v="05/28/2025"/>
    <x v="1"/>
    <x v="5"/>
    <s v="Ramp Card"/>
    <m/>
    <s v="Expense"/>
    <s v="Mms.Com"/>
    <s v="62625 Classic - Marketing:Classic - Marketing - Client Gifts &amp; Entertainment"/>
    <x v="4"/>
    <x v="9"/>
    <n v="620.57000000000005"/>
    <m/>
    <n v="-620.57000000000005"/>
    <n v="496812.07999999926"/>
  </r>
  <r>
    <s v="05/28/2025"/>
    <x v="1"/>
    <x v="5"/>
    <s v="M&amp;T Operating"/>
    <s v="20250528 Website"/>
    <s v="Bill Payment"/>
    <s v="Rosen, Sappersteim &amp; Friedlander, LLC"/>
    <s v="20005 Accounts Payable"/>
    <x v="3"/>
    <x v="23"/>
    <n v="16978.75"/>
    <m/>
    <n v="-16978.75"/>
    <n v="479833.32999999926"/>
  </r>
  <r>
    <s v="05/28/2025"/>
    <x v="1"/>
    <x v="5"/>
    <s v="M&amp;T Operating"/>
    <m/>
    <s v="Bill Payment"/>
    <s v="Safa Ijaz (safa@synaptic.build)"/>
    <s v="20005 Accounts Payable"/>
    <x v="3"/>
    <x v="4"/>
    <n v="30"/>
    <m/>
    <n v="-30"/>
    <n v="479803.32999999926"/>
  </r>
  <r>
    <s v="05/28/2025"/>
    <x v="1"/>
    <x v="5"/>
    <s v="Ramp Card"/>
    <m/>
    <s v="Expense"/>
    <s v="Smartsheet"/>
    <s v="13005 Prepaid Expenses"/>
    <x v="3"/>
    <x v="10"/>
    <n v="2736"/>
    <m/>
    <n v="-2736"/>
    <n v="477067.32999999926"/>
  </r>
  <r>
    <s v="05/28/2025"/>
    <x v="1"/>
    <x v="5"/>
    <s v="M&amp;T Operating"/>
    <s v="20250528 Website"/>
    <s v="Bill Payment"/>
    <s v="Whitehouse &amp; Cooper, PLCC"/>
    <s v="20005 Accounts Payable"/>
    <x v="3"/>
    <x v="5"/>
    <n v="1914"/>
    <m/>
    <n v="-1914"/>
    <n v="475153.32999999926"/>
  </r>
  <r>
    <s v="05/28/2025"/>
    <x v="1"/>
    <x v="5"/>
    <s v="M&amp;T Operating"/>
    <m/>
    <s v="Transfer"/>
    <m/>
    <s v="10010 M&amp;T Bank - IntraFi Network Sweep"/>
    <x v="0"/>
    <x v="0"/>
    <m/>
    <n v="53.8"/>
    <n v="53.8"/>
    <n v="475207.12999999925"/>
  </r>
  <r>
    <s v="05/29/2025"/>
    <x v="1"/>
    <x v="5"/>
    <s v="M&amp;T Operating"/>
    <m/>
    <s v="Bill Payment"/>
    <s v="Joseph A Kennedy"/>
    <s v="20005 Accounts Payable"/>
    <x v="3"/>
    <x v="4"/>
    <n v="3827.74"/>
    <m/>
    <n v="-3827.74"/>
    <n v="471379.38999999926"/>
  </r>
  <r>
    <s v="05/29/2025"/>
    <x v="1"/>
    <x v="5"/>
    <s v="M&amp;T Operating"/>
    <m/>
    <s v="Bill Payment"/>
    <s v="Nemphos Braue LLC"/>
    <s v="20005 Accounts Payable"/>
    <x v="3"/>
    <x v="5"/>
    <n v="8295.9500000000007"/>
    <m/>
    <n v="-8295.9500000000007"/>
    <n v="463083.43999999925"/>
  </r>
  <r>
    <s v="05/29/2025"/>
    <x v="1"/>
    <x v="5"/>
    <s v="M&amp;T Operating"/>
    <m/>
    <s v="Expense"/>
    <s v="Paylocity"/>
    <s v="22205 Accrued Expenses:Accrued Expenses - Payroll"/>
    <x v="1"/>
    <x v="12"/>
    <n v="87599.14"/>
    <m/>
    <n v="-87599.14"/>
    <n v="375484.29999999923"/>
  </r>
  <r>
    <s v="05/29/2025"/>
    <x v="1"/>
    <x v="5"/>
    <s v="M&amp;T Operating"/>
    <m/>
    <s v="Expense"/>
    <s v="Paylocity"/>
    <s v="22205 Accrued Expenses:Accrued Expenses - Payroll"/>
    <x v="1"/>
    <x v="11"/>
    <n v="42189.65"/>
    <m/>
    <n v="-42189.65"/>
    <n v="333294.64999999921"/>
  </r>
  <r>
    <s v="05/29/2025"/>
    <x v="1"/>
    <x v="5"/>
    <s v="M&amp;T Operating"/>
    <m/>
    <s v="Expense"/>
    <s v="Paylocity"/>
    <s v="22205 Accrued Expenses:Accrued Expenses - Payroll"/>
    <x v="1"/>
    <x v="1"/>
    <n v="1234.75"/>
    <m/>
    <n v="-1234.75"/>
    <n v="332059.89999999921"/>
  </r>
  <r>
    <s v="05/29/2025"/>
    <x v="1"/>
    <x v="5"/>
    <s v="Ramp Card"/>
    <m/>
    <s v="Expense"/>
    <s v="Perplexity"/>
    <s v="51400 Classic COGS - Delivery:Classic COGS - Delivery - Software Applications &amp; Licenses"/>
    <x v="3"/>
    <x v="10"/>
    <n v="20"/>
    <m/>
    <n v="-20"/>
    <n v="332039.89999999921"/>
  </r>
  <r>
    <s v="05/29/2025"/>
    <x v="1"/>
    <x v="5"/>
    <s v="M&amp;T Operating"/>
    <m/>
    <s v="Bill Payment"/>
    <s v="Ray Der (ray@synaptic.build)"/>
    <s v="20005 Accounts Payable"/>
    <x v="3"/>
    <x v="4"/>
    <n v="163.24"/>
    <m/>
    <n v="-163.24"/>
    <n v="331876.65999999922"/>
  </r>
  <r>
    <s v="05/29/2025"/>
    <x v="1"/>
    <x v="5"/>
    <s v="M&amp;T Operating"/>
    <m/>
    <s v="Transfer"/>
    <m/>
    <s v="10010 M&amp;T Bank - IntraFi Network Sweep"/>
    <x v="0"/>
    <x v="0"/>
    <m/>
    <n v="162069.98000000001"/>
    <n v="162069.98000000001"/>
    <n v="493946.6399999992"/>
  </r>
  <r>
    <s v="05/30/2025"/>
    <x v="1"/>
    <x v="5"/>
    <s v="M&amp;T Operating"/>
    <m/>
    <s v="Expense"/>
    <s v="Bancorpsv (Benefit Deduction)"/>
    <s v="22335 Accrued Expenses:Accrued Expenses - Bankcorp Clearing"/>
    <x v="1"/>
    <x v="1"/>
    <n v="50"/>
    <m/>
    <n v="-50"/>
    <n v="493896.6399999992"/>
  </r>
  <r>
    <s v="05/30/2025"/>
    <x v="1"/>
    <x v="5"/>
    <s v="M&amp;T Operating"/>
    <m/>
    <s v="Payment"/>
    <s v="Great Expressions Dental Centers:Great Expressions Dental - Marketing Managed Services"/>
    <s v="11005 Accounts Receivable"/>
    <x v="2"/>
    <x v="2"/>
    <m/>
    <n v="5250"/>
    <n v="5250"/>
    <n v="499146.6399999992"/>
  </r>
  <r>
    <s v="05/30/2025"/>
    <x v="1"/>
    <x v="5"/>
    <s v="M&amp;T Operating"/>
    <m/>
    <s v="Deposit"/>
    <s v="M&amp;T Bank"/>
    <s v="71005 Interest"/>
    <x v="0"/>
    <x v="17"/>
    <m/>
    <n v="5204.78"/>
    <n v="5204.78"/>
    <n v="504351.41999999923"/>
  </r>
  <r>
    <s v="05/30/2025"/>
    <x v="1"/>
    <x v="5"/>
    <s v="M&amp;T Operating"/>
    <m/>
    <s v="Payment"/>
    <s v="Msol Inc. DBA Macro Solutions"/>
    <s v="11005 Accounts Receivable"/>
    <x v="2"/>
    <x v="2"/>
    <m/>
    <n v="77014"/>
    <n v="77014"/>
    <n v="581365.41999999923"/>
  </r>
  <r>
    <s v="05/30/2025"/>
    <x v="1"/>
    <x v="5"/>
    <s v="M&amp;T Operating"/>
    <m/>
    <s v="Expense"/>
    <s v="Paylocity"/>
    <s v="69215 General &amp; Administrative:G&amp;A - Payroll Fees"/>
    <x v="1"/>
    <x v="3"/>
    <n v="322.47000000000003"/>
    <m/>
    <n v="-322.47000000000003"/>
    <n v="581042.94999999925"/>
  </r>
  <r>
    <s v="05/30/2025"/>
    <x v="1"/>
    <x v="5"/>
    <s v="M&amp;T Operating"/>
    <m/>
    <s v="Transfer"/>
    <m/>
    <s v="10010 M&amp;T Bank - IntraFi Network Sweep"/>
    <x v="0"/>
    <x v="0"/>
    <n v="86933.07"/>
    <m/>
    <n v="-86933.07"/>
    <n v="494109.87999999925"/>
  </r>
  <r>
    <s v="05/31/2025"/>
    <x v="1"/>
    <x v="5"/>
    <s v="Ramp Card"/>
    <m/>
    <s v="Expense"/>
    <s v="Amazon.com"/>
    <s v="62625 Classic - Marketing:Classic - Marketing - Client Gifts &amp; Entertainment"/>
    <x v="4"/>
    <x v="9"/>
    <n v="213.96"/>
    <m/>
    <n v="-213.96"/>
    <n v="493895.91999999923"/>
  </r>
  <r>
    <s v="06/01/2025"/>
    <x v="1"/>
    <x v="6"/>
    <s v="M&amp;T Operating"/>
    <m/>
    <s v="Credit Card Pmt"/>
    <s v="Chase Visa"/>
    <s v="21010 Chase Visa"/>
    <x v="5"/>
    <x v="18"/>
    <n v="1124.19"/>
    <m/>
    <n v="-1124.19"/>
    <n v="492771.72999999922"/>
  </r>
  <r>
    <s v="06/01/2025"/>
    <x v="1"/>
    <x v="6"/>
    <s v="Ramp Card"/>
    <m/>
    <s v="Expense"/>
    <s v="Intuit"/>
    <s v="69400 General &amp; Administrative:G&amp;A - Software Applications &amp; Licenses"/>
    <x v="3"/>
    <x v="10"/>
    <n v="235"/>
    <m/>
    <n v="-235"/>
    <n v="492536.72999999922"/>
  </r>
  <r>
    <s v="06/01/2025"/>
    <x v="1"/>
    <x v="6"/>
    <s v="Ramp Card"/>
    <m/>
    <s v="Expense"/>
    <s v="Legal Zoom"/>
    <s v="69400 General &amp; Administrative:G&amp;A - Software Applications &amp; Licenses"/>
    <x v="3"/>
    <x v="10"/>
    <n v="79"/>
    <m/>
    <n v="-79"/>
    <n v="492457.72999999922"/>
  </r>
  <r>
    <s v="06/02/2025"/>
    <x v="1"/>
    <x v="6"/>
    <s v="M&amp;T Operating"/>
    <m/>
    <s v="Expense"/>
    <s v="Bancorpsv (Benefit Deduction)"/>
    <s v="22335 Accrued Expenses:Accrued Expenses - Bancorpsv Clearing"/>
    <x v="1"/>
    <x v="1"/>
    <n v="43.18"/>
    <m/>
    <n v="-43.18"/>
    <n v="492414.54999999923"/>
  </r>
  <r>
    <s v="06/02/2025"/>
    <x v="1"/>
    <x v="6"/>
    <s v="M&amp;T Operating"/>
    <m/>
    <s v="Expense"/>
    <s v="CareFirst Blue Cross Blue Shield"/>
    <s v="22300 Accrued Expenses:Accrued Expenses - BCBS Clearing"/>
    <x v="1"/>
    <x v="1"/>
    <n v="22347.64"/>
    <m/>
    <n v="-22347.64"/>
    <n v="470066.90999999922"/>
  </r>
  <r>
    <s v="06/02/2025"/>
    <x v="1"/>
    <x v="6"/>
    <s v="M&amp;T Operating"/>
    <m/>
    <s v="Bill Payment"/>
    <s v="Joseph A Kennedy"/>
    <s v="20005 Accounts Payable"/>
    <x v="3"/>
    <x v="4"/>
    <n v="6595.89"/>
    <m/>
    <n v="-6595.89"/>
    <n v="463471.0199999992"/>
  </r>
  <r>
    <s v="06/02/2025"/>
    <x v="1"/>
    <x v="6"/>
    <s v="M&amp;T Operating"/>
    <m/>
    <s v="Bill Payment"/>
    <s v="Justin R Nichols"/>
    <s v="20005 Accounts Payable"/>
    <x v="3"/>
    <x v="4"/>
    <n v="2972.54"/>
    <m/>
    <n v="-2972.54"/>
    <n v="460498.47999999922"/>
  </r>
  <r>
    <s v="06/02/2025"/>
    <x v="1"/>
    <x v="6"/>
    <s v="Ramp Card"/>
    <m/>
    <s v="Expense"/>
    <s v="Last Pass"/>
    <s v="69400 General &amp; Administrative:G&amp;A - Software Applications &amp; Licenses"/>
    <x v="3"/>
    <x v="10"/>
    <n v="18.010000000000002"/>
    <m/>
    <n v="-18.010000000000002"/>
    <n v="460480.46999999922"/>
  </r>
  <r>
    <s v="06/02/2025"/>
    <x v="1"/>
    <x v="6"/>
    <s v="Ramp Card"/>
    <m/>
    <s v="Expense"/>
    <s v="Last Pass"/>
    <s v="69400 General &amp; Administrative:G&amp;A - Software Applications &amp; Licenses"/>
    <x v="3"/>
    <x v="10"/>
    <n v="36.020000000000003"/>
    <m/>
    <n v="-36.020000000000003"/>
    <n v="460444.4499999992"/>
  </r>
  <r>
    <s v="06/02/2025"/>
    <x v="1"/>
    <x v="6"/>
    <s v="M&amp;T Operating"/>
    <m/>
    <s v="Expense"/>
    <s v="QuickBooks Payments"/>
    <s v="69805 General &amp; Administrative:G&amp;A - Bank Fees"/>
    <x v="0"/>
    <x v="6"/>
    <n v="35"/>
    <m/>
    <n v="-35"/>
    <n v="460409.4499999992"/>
  </r>
  <r>
    <s v="06/02/2025"/>
    <x v="1"/>
    <x v="6"/>
    <s v="M&amp;T Operating"/>
    <m/>
    <s v="Expense"/>
    <s v="The Principal"/>
    <s v="22310 Accrued Expenses:Accrued Expenses - Principal Clearing"/>
    <x v="1"/>
    <x v="1"/>
    <n v="14965.12"/>
    <m/>
    <n v="-14965.12"/>
    <n v="445444.3299999992"/>
  </r>
  <r>
    <s v="06/02/2025"/>
    <x v="1"/>
    <x v="6"/>
    <s v="M&amp;T Operating"/>
    <m/>
    <s v="Expense"/>
    <s v="Wex Health, Inc."/>
    <s v="22320 Accrued Expenses:Accrued Expenses - WEX Clearing"/>
    <x v="1"/>
    <x v="1"/>
    <n v="208.34"/>
    <m/>
    <n v="-208.34"/>
    <n v="445235.98999999918"/>
  </r>
  <r>
    <s v="06/02/2025"/>
    <x v="1"/>
    <x v="6"/>
    <s v="M&amp;T Operating"/>
    <m/>
    <s v="Transfer"/>
    <m/>
    <s v="10010 M&amp;T Bank - IntraFi Network Sweep"/>
    <x v="0"/>
    <x v="0"/>
    <m/>
    <n v="32291.9"/>
    <n v="32291.9"/>
    <n v="477527.8899999992"/>
  </r>
  <r>
    <s v="06/02/2025"/>
    <x v="1"/>
    <x v="6"/>
    <s v="M&amp;T Operating"/>
    <m/>
    <s v="Deposit"/>
    <m/>
    <m/>
    <x v="2"/>
    <x v="2"/>
    <m/>
    <n v="16000"/>
    <n v="16000"/>
    <n v="493527.8899999992"/>
  </r>
  <r>
    <s v="06/03/2025"/>
    <x v="1"/>
    <x v="6"/>
    <s v="M&amp;T Operating"/>
    <m/>
    <s v="Expense"/>
    <s v="Bancorpsv (Benefit Deduction)"/>
    <s v="22335 Accrued Expenses:Accrued Expenses - Bancorpsv Clearing"/>
    <x v="1"/>
    <x v="1"/>
    <n v="625"/>
    <m/>
    <n v="-625"/>
    <n v="492902.8899999992"/>
  </r>
  <r>
    <s v="06/03/2025"/>
    <x v="1"/>
    <x v="6"/>
    <s v="M&amp;T Operating"/>
    <m/>
    <s v="Bill Payment"/>
    <s v="Fort Offices LLC"/>
    <s v="20005 Accounts Payable"/>
    <x v="3"/>
    <x v="22"/>
    <n v="3545.63"/>
    <m/>
    <n v="-3545.63"/>
    <n v="489357.25999999919"/>
  </r>
  <r>
    <s v="06/03/2025"/>
    <x v="1"/>
    <x v="6"/>
    <s v="M&amp;T Operating"/>
    <m/>
    <s v="Expense"/>
    <s v="New York Life"/>
    <s v="22315 Accrued Expenses:Accrued Expenses - NY Life Clearing"/>
    <x v="1"/>
    <x v="1"/>
    <n v="1115.94"/>
    <m/>
    <n v="-1115.94"/>
    <n v="488241.31999999919"/>
  </r>
  <r>
    <s v="06/03/2025"/>
    <x v="1"/>
    <x v="6"/>
    <s v="M&amp;T Operating"/>
    <m/>
    <s v="Expense"/>
    <s v="Paylocity"/>
    <s v="69215 General &amp; Administrative:G&amp;A - Payroll Fees"/>
    <x v="1"/>
    <x v="3"/>
    <n v="4"/>
    <m/>
    <n v="-4"/>
    <n v="488237.31999999919"/>
  </r>
  <r>
    <s v="06/03/2025"/>
    <x v="1"/>
    <x v="6"/>
    <s v="M&amp;T Operating"/>
    <m/>
    <s v="Transfer"/>
    <m/>
    <s v="10010 M&amp;T Bank - IntraFi Network Sweep"/>
    <x v="0"/>
    <x v="0"/>
    <m/>
    <n v="5290.57"/>
    <n v="5290.57"/>
    <n v="493527.8899999992"/>
  </r>
  <r>
    <s v="06/04/2025"/>
    <x v="1"/>
    <x v="6"/>
    <s v="Ramp Card"/>
    <m/>
    <s v="Expense"/>
    <s v="Adobe"/>
    <s v="69400 General &amp; Administrative:G&amp;A - Software Applications &amp; Licenses"/>
    <x v="3"/>
    <x v="10"/>
    <n v="21.19"/>
    <m/>
    <n v="-21.19"/>
    <n v="493506.6999999992"/>
  </r>
  <r>
    <s v="06/04/2025"/>
    <x v="1"/>
    <x v="6"/>
    <s v="M&amp;T Operating"/>
    <m/>
    <s v="Expense"/>
    <s v="Bancorpsv (Benefit Deduction)"/>
    <s v="22335 Accrued Expenses:Accrued Expenses - Bancorpsv Clearing"/>
    <x v="1"/>
    <x v="1"/>
    <n v="25"/>
    <m/>
    <n v="-25"/>
    <n v="493481.6999999992"/>
  </r>
  <r>
    <s v="06/04/2025"/>
    <x v="1"/>
    <x v="6"/>
    <s v="M&amp;T Operating"/>
    <m/>
    <s v="Payment"/>
    <s v="Delta Dental Washington:Delta Dental Washington - T&amp;M Scope B"/>
    <s v="11005 Accounts Receivable"/>
    <x v="2"/>
    <x v="2"/>
    <m/>
    <n v="27472.5"/>
    <n v="27472.5"/>
    <n v="520954.1999999992"/>
  </r>
  <r>
    <s v="06/04/2025"/>
    <x v="1"/>
    <x v="6"/>
    <s v="Ramp Card"/>
    <m/>
    <s v="Expense"/>
    <s v="Last Pass"/>
    <s v="69400 General &amp; Administrative:G&amp;A - Software Applications &amp; Licenses"/>
    <x v="3"/>
    <x v="10"/>
    <n v="17.53"/>
    <m/>
    <n v="-17.53"/>
    <n v="520936.66999999917"/>
  </r>
  <r>
    <s v="06/04/2025"/>
    <x v="1"/>
    <x v="6"/>
    <s v="M&amp;T Operating"/>
    <m/>
    <s v="Bill Payment"/>
    <s v="Mark Miller (mark.miller@synaptic.build)"/>
    <s v="20005 Accounts Payable"/>
    <x v="3"/>
    <x v="4"/>
    <n v="122.89"/>
    <m/>
    <n v="-122.89"/>
    <n v="520813.77999999915"/>
  </r>
  <r>
    <s v="06/04/2025"/>
    <x v="1"/>
    <x v="6"/>
    <s v="M&amp;T Operating"/>
    <m/>
    <s v="Bill Payment"/>
    <s v="Mark Miller (mark.miller@synaptic.build)"/>
    <s v="20005 Accounts Payable"/>
    <x v="3"/>
    <x v="4"/>
    <n v="82.86"/>
    <m/>
    <n v="-82.86"/>
    <n v="520730.91999999917"/>
  </r>
  <r>
    <s v="06/04/2025"/>
    <x v="1"/>
    <x v="6"/>
    <s v="M&amp;T Operating"/>
    <m/>
    <s v="Bill Payment"/>
    <s v="Mark Miller (mark.miller@synaptic.build)"/>
    <s v="20005 Accounts Payable"/>
    <x v="3"/>
    <x v="4"/>
    <n v="32.380000000000003"/>
    <m/>
    <n v="-32.380000000000003"/>
    <n v="520698.53999999916"/>
  </r>
  <r>
    <s v="06/04/2025"/>
    <x v="1"/>
    <x v="6"/>
    <s v="M&amp;T Operating"/>
    <m/>
    <s v="Bill Payment"/>
    <s v="Mark Miller (mark.miller@synaptic.build)"/>
    <s v="20005 Accounts Payable"/>
    <x v="3"/>
    <x v="4"/>
    <n v="105"/>
    <m/>
    <n v="-105"/>
    <n v="520593.53999999916"/>
  </r>
  <r>
    <s v="06/04/2025"/>
    <x v="1"/>
    <x v="6"/>
    <s v="M&amp;T Operating"/>
    <m/>
    <s v="Bill Payment"/>
    <s v="Mark Miller (mark.miller@synaptic.build)"/>
    <s v="20005 Accounts Payable"/>
    <x v="3"/>
    <x v="4"/>
    <n v="495.18"/>
    <m/>
    <n v="-495.18"/>
    <n v="520098.35999999917"/>
  </r>
  <r>
    <s v="06/04/2025"/>
    <x v="1"/>
    <x v="6"/>
    <s v="M&amp;T Operating"/>
    <m/>
    <s v="Bill Payment"/>
    <s v="Mark Miller (mark.miller@synaptic.build)"/>
    <s v="20005 Accounts Payable"/>
    <x v="3"/>
    <x v="4"/>
    <n v="16.86"/>
    <m/>
    <n v="-16.86"/>
    <n v="520081.49999999919"/>
  </r>
  <r>
    <s v="06/04/2025"/>
    <x v="1"/>
    <x v="6"/>
    <s v="M&amp;T Operating"/>
    <m/>
    <s v="Bill Payment"/>
    <s v="Mark Miller (mark.miller@synaptic.build)"/>
    <s v="20005 Accounts Payable"/>
    <x v="3"/>
    <x v="4"/>
    <n v="476.69"/>
    <m/>
    <n v="-476.69"/>
    <n v="519604.80999999918"/>
  </r>
  <r>
    <s v="06/04/2025"/>
    <x v="1"/>
    <x v="6"/>
    <s v="M&amp;T Operating"/>
    <m/>
    <s v="Bill Payment"/>
    <s v="Mark Miller (mark.miller@synaptic.build)"/>
    <s v="20005 Accounts Payable"/>
    <x v="3"/>
    <x v="4"/>
    <n v="22.82"/>
    <m/>
    <n v="-22.82"/>
    <n v="519581.98999999918"/>
  </r>
  <r>
    <s v="06/04/2025"/>
    <x v="1"/>
    <x v="6"/>
    <s v="M&amp;T Operating"/>
    <m/>
    <s v="Transfer"/>
    <m/>
    <s v="10010 M&amp;T Bank - IntraFi Network Sweep"/>
    <x v="0"/>
    <x v="0"/>
    <n v="27447.5"/>
    <m/>
    <n v="-27447.5"/>
    <n v="492134.48999999918"/>
  </r>
  <r>
    <s v="06/05/2025"/>
    <x v="1"/>
    <x v="6"/>
    <s v="M&amp;T Operating"/>
    <m/>
    <s v="Transfer"/>
    <m/>
    <s v="10010 M&amp;T Bank - IntraFi Network Sweep"/>
    <x v="0"/>
    <x v="0"/>
    <m/>
    <n v="1354.68"/>
    <n v="1354.68"/>
    <n v="493489.16999999917"/>
  </r>
  <r>
    <s v="06/06/2025"/>
    <x v="1"/>
    <x v="6"/>
    <s v="M&amp;T Operating"/>
    <s v="32540128_31439931"/>
    <s v="Bill Payment"/>
    <s v="Andrew Benjamin Klajman andrewklajman78@gmail.com USD"/>
    <s v="20005 Accounts Payable"/>
    <x v="4"/>
    <x v="7"/>
    <n v="118.75"/>
    <m/>
    <n v="-118.75"/>
    <n v="493370.41999999917"/>
  </r>
  <r>
    <s v="06/06/2025"/>
    <x v="1"/>
    <x v="6"/>
    <s v="M&amp;T Operating"/>
    <s v="32540128_32455856"/>
    <s v="Bill Payment"/>
    <s v="Andrew Fischer andrew@bigdoormarketing.com USD"/>
    <s v="20005 Accounts Payable"/>
    <x v="4"/>
    <x v="9"/>
    <n v="1150"/>
    <m/>
    <n v="-1150"/>
    <n v="492220.41999999917"/>
  </r>
  <r>
    <s v="06/06/2025"/>
    <x v="1"/>
    <x v="6"/>
    <s v="M&amp;T Operating"/>
    <s v="32540128_31519852"/>
    <s v="Bill Payment"/>
    <s v="Ashley MacArthur ashley@getboss.io USD"/>
    <s v="20005 Accounts Payable"/>
    <x v="3"/>
    <x v="8"/>
    <n v="100"/>
    <m/>
    <n v="-100"/>
    <n v="492120.41999999917"/>
  </r>
  <r>
    <s v="06/06/2025"/>
    <x v="1"/>
    <x v="6"/>
    <s v="M&amp;T Operating"/>
    <s v="32540128_31438565"/>
    <s v="Bill Payment"/>
    <s v="Ashley MacArthur ashley@getboss.io USD"/>
    <s v="20005 Accounts Payable"/>
    <x v="3"/>
    <x v="8"/>
    <n v="2220"/>
    <m/>
    <n v="-2220"/>
    <n v="489900.41999999917"/>
  </r>
  <r>
    <s v="06/06/2025"/>
    <x v="1"/>
    <x v="6"/>
    <s v="M&amp;T Operating"/>
    <s v="32540128_31269284"/>
    <s v="Bill Payment"/>
    <s v="Ashley MacArthur ashley@getboss.io USD"/>
    <s v="20005 Accounts Payable"/>
    <x v="3"/>
    <x v="8"/>
    <n v="2580"/>
    <m/>
    <n v="-2580"/>
    <n v="487320.41999999917"/>
  </r>
  <r>
    <s v="06/06/2025"/>
    <x v="1"/>
    <x v="6"/>
    <s v="M&amp;T Operating"/>
    <s v="32540128_32481603"/>
    <s v="Bill Payment"/>
    <s v="Bartosz Juriewicz bartosz.juriewicz@gmail.com USD"/>
    <s v="20005 Accounts Payable"/>
    <x v="4"/>
    <x v="7"/>
    <n v="10570"/>
    <m/>
    <n v="-10570"/>
    <n v="476750.41999999917"/>
  </r>
  <r>
    <s v="06/06/2025"/>
    <x v="1"/>
    <x v="6"/>
    <s v="M&amp;T Operating"/>
    <s v="32540128_32488601"/>
    <s v="Bill Payment"/>
    <s v="Candy Marte Garcia candymartegarcia@gmail.com USD"/>
    <s v="20005 Accounts Payable"/>
    <x v="4"/>
    <x v="7"/>
    <n v="1125"/>
    <m/>
    <n v="-1125"/>
    <n v="475625.41999999917"/>
  </r>
  <r>
    <s v="06/06/2025"/>
    <x v="1"/>
    <x v="6"/>
    <s v="M&amp;T Operating"/>
    <s v="32540128_31244576"/>
    <s v="Bill Payment"/>
    <s v="Charles McGuinness charles@mcguinness.ai USD"/>
    <s v="20005 Accounts Payable"/>
    <x v="4"/>
    <x v="9"/>
    <n v="25000"/>
    <m/>
    <n v="-25000"/>
    <n v="450625.41999999917"/>
  </r>
  <r>
    <s v="06/06/2025"/>
    <x v="1"/>
    <x v="6"/>
    <s v="M&amp;T Operating"/>
    <m/>
    <s v="Bill Payment"/>
    <s v="Cogency Global Inc."/>
    <s v="20005 Accounts Payable"/>
    <x v="3"/>
    <x v="20"/>
    <n v="196"/>
    <m/>
    <n v="-196"/>
    <n v="450429.41999999917"/>
  </r>
  <r>
    <s v="06/06/2025"/>
    <x v="1"/>
    <x v="6"/>
    <s v="M&amp;T Operating"/>
    <s v="32540128_32539732"/>
    <s v="Bill Payment"/>
    <s v="Dane Kim dane.w.kim@gmail.com USD"/>
    <s v="20005 Accounts Payable"/>
    <x v="4"/>
    <x v="7"/>
    <n v="2437.5"/>
    <m/>
    <n v="-2437.5"/>
    <n v="447991.91999999917"/>
  </r>
  <r>
    <s v="06/06/2025"/>
    <x v="1"/>
    <x v="6"/>
    <s v="M&amp;T Operating"/>
    <s v="32540128_32540131"/>
    <s v="Bill Payment"/>
    <s v="Deel billing invoices deel@deel.com USD"/>
    <s v="20005 Accounts Payable"/>
    <x v="3"/>
    <x v="10"/>
    <n v="5"/>
    <m/>
    <n v="-5"/>
    <n v="447986.91999999917"/>
  </r>
  <r>
    <s v="06/06/2025"/>
    <x v="1"/>
    <x v="6"/>
    <s v="M&amp;T Operating"/>
    <s v="32540128_31034669"/>
    <s v="Bill Payment"/>
    <s v="Deel billing invoices deel@deel.com USD"/>
    <s v="20005 Accounts Payable"/>
    <x v="3"/>
    <x v="10"/>
    <n v="49"/>
    <m/>
    <n v="-49"/>
    <n v="447937.91999999917"/>
  </r>
  <r>
    <s v="06/06/2025"/>
    <x v="1"/>
    <x v="6"/>
    <s v="M&amp;T Operating"/>
    <s v="32540128_31188502"/>
    <s v="Bill Payment"/>
    <s v="Deel billing invoices deel@deel.com USD"/>
    <s v="20005 Accounts Payable"/>
    <x v="3"/>
    <x v="10"/>
    <n v="49"/>
    <m/>
    <n v="-49"/>
    <n v="447888.91999999917"/>
  </r>
  <r>
    <s v="06/06/2025"/>
    <x v="1"/>
    <x v="6"/>
    <s v="M&amp;T Operating"/>
    <s v="32540128_31094644"/>
    <s v="Bill Payment"/>
    <s v="Deel billing invoices deel@deel.com USD"/>
    <s v="20005 Accounts Payable"/>
    <x v="3"/>
    <x v="10"/>
    <n v="49"/>
    <m/>
    <n v="-49"/>
    <n v="447839.91999999917"/>
  </r>
  <r>
    <s v="06/06/2025"/>
    <x v="1"/>
    <x v="6"/>
    <s v="M&amp;T Operating"/>
    <s v="32540128_31014778"/>
    <s v="Bill Payment"/>
    <s v="Deel billing invoices deel@deel.com USD"/>
    <s v="20005 Accounts Payable"/>
    <x v="3"/>
    <x v="10"/>
    <n v="49"/>
    <m/>
    <n v="-49"/>
    <n v="447790.91999999917"/>
  </r>
  <r>
    <s v="06/06/2025"/>
    <x v="1"/>
    <x v="6"/>
    <s v="M&amp;T Operating"/>
    <s v="32540128_31122996"/>
    <s v="Bill Payment"/>
    <s v="Deel billing invoices deel@deel.com USD"/>
    <s v="20005 Accounts Payable"/>
    <x v="3"/>
    <x v="10"/>
    <n v="49"/>
    <m/>
    <n v="-49"/>
    <n v="447741.91999999917"/>
  </r>
  <r>
    <s v="06/06/2025"/>
    <x v="1"/>
    <x v="6"/>
    <s v="M&amp;T Operating"/>
    <s v="32540128_31017938"/>
    <s v="Bill Payment"/>
    <s v="Deel billing invoices deel@deel.com USD"/>
    <s v="20005 Accounts Payable"/>
    <x v="3"/>
    <x v="10"/>
    <n v="49"/>
    <m/>
    <n v="-49"/>
    <n v="447692.91999999917"/>
  </r>
  <r>
    <s v="06/06/2025"/>
    <x v="1"/>
    <x v="6"/>
    <s v="M&amp;T Operating"/>
    <s v="32540128_31065940"/>
    <s v="Bill Payment"/>
    <s v="Deel billing invoices deel@deel.com USD"/>
    <s v="20005 Accounts Payable"/>
    <x v="3"/>
    <x v="10"/>
    <n v="49"/>
    <m/>
    <n v="-49"/>
    <n v="447643.91999999917"/>
  </r>
  <r>
    <s v="06/06/2025"/>
    <x v="1"/>
    <x v="6"/>
    <s v="M&amp;T Operating"/>
    <s v="32540128_31205562"/>
    <s v="Bill Payment"/>
    <s v="Deel billing invoices deel@deel.com USD"/>
    <s v="20005 Accounts Payable"/>
    <x v="3"/>
    <x v="10"/>
    <n v="49"/>
    <m/>
    <n v="-49"/>
    <n v="447594.91999999917"/>
  </r>
  <r>
    <s v="06/06/2025"/>
    <x v="1"/>
    <x v="6"/>
    <s v="M&amp;T Operating"/>
    <s v="32540128_31455323"/>
    <s v="Bill Payment"/>
    <s v="Deel billing invoices deel@deel.com USD"/>
    <s v="20005 Accounts Payable"/>
    <x v="3"/>
    <x v="10"/>
    <n v="49"/>
    <m/>
    <n v="-49"/>
    <n v="447545.91999999917"/>
  </r>
  <r>
    <s v="06/06/2025"/>
    <x v="1"/>
    <x v="6"/>
    <s v="M&amp;T Operating"/>
    <s v="32540128_31079870"/>
    <s v="Bill Payment"/>
    <s v="Deel billing invoices deel@deel.com USD"/>
    <s v="20005 Accounts Payable"/>
    <x v="3"/>
    <x v="10"/>
    <n v="49"/>
    <m/>
    <n v="-49"/>
    <n v="447496.91999999917"/>
  </r>
  <r>
    <s v="06/06/2025"/>
    <x v="1"/>
    <x v="6"/>
    <s v="M&amp;T Operating"/>
    <s v="32540128_31121868"/>
    <s v="Bill Payment"/>
    <s v="Deel billing invoices deel@deel.com USD"/>
    <s v="20005 Accounts Payable"/>
    <x v="3"/>
    <x v="10"/>
    <n v="49"/>
    <m/>
    <n v="-49"/>
    <n v="447447.91999999917"/>
  </r>
  <r>
    <s v="06/06/2025"/>
    <x v="1"/>
    <x v="6"/>
    <s v="M&amp;T Operating"/>
    <s v="32540128_31005925"/>
    <s v="Bill Payment"/>
    <s v="Deel billing invoices deel@deel.com USD"/>
    <s v="20005 Accounts Payable"/>
    <x v="3"/>
    <x v="10"/>
    <n v="49"/>
    <m/>
    <n v="-49"/>
    <n v="447398.91999999917"/>
  </r>
  <r>
    <s v="06/06/2025"/>
    <x v="1"/>
    <x v="6"/>
    <s v="M&amp;T Operating"/>
    <s v="32540128_31118921"/>
    <s v="Bill Payment"/>
    <s v="Deel billing invoices deel@deel.com USD"/>
    <s v="20005 Accounts Payable"/>
    <x v="3"/>
    <x v="10"/>
    <n v="49"/>
    <m/>
    <n v="-49"/>
    <n v="447349.91999999917"/>
  </r>
  <r>
    <s v="06/06/2025"/>
    <x v="1"/>
    <x v="6"/>
    <s v="M&amp;T Operating"/>
    <s v="32540128_31148743"/>
    <s v="Bill Payment"/>
    <s v="Deel billing invoices deel@deel.com USD"/>
    <s v="20005 Accounts Payable"/>
    <x v="3"/>
    <x v="10"/>
    <n v="49"/>
    <m/>
    <n v="-49"/>
    <n v="447300.91999999917"/>
  </r>
  <r>
    <s v="06/06/2025"/>
    <x v="1"/>
    <x v="6"/>
    <s v="M&amp;T Operating"/>
    <s v="32540128_31015642"/>
    <s v="Bill Payment"/>
    <s v="Deel billing invoices deel@deel.com USD"/>
    <s v="20005 Accounts Payable"/>
    <x v="3"/>
    <x v="10"/>
    <n v="49"/>
    <m/>
    <n v="-49"/>
    <n v="447251.91999999917"/>
  </r>
  <r>
    <s v="06/06/2025"/>
    <x v="1"/>
    <x v="6"/>
    <s v="M&amp;T Operating"/>
    <s v="32540128_31015486"/>
    <s v="Bill Payment"/>
    <s v="Deel billing invoices deel@deel.com USD"/>
    <s v="20005 Accounts Payable"/>
    <x v="3"/>
    <x v="10"/>
    <n v="49"/>
    <m/>
    <n v="-49"/>
    <n v="447202.91999999917"/>
  </r>
  <r>
    <s v="06/06/2025"/>
    <x v="1"/>
    <x v="6"/>
    <s v="M&amp;T Operating"/>
    <s v="32540128_31109558"/>
    <s v="Bill Payment"/>
    <s v="Deel billing invoices deel@deel.com USD"/>
    <s v="20005 Accounts Payable"/>
    <x v="3"/>
    <x v="10"/>
    <n v="49"/>
    <m/>
    <n v="-49"/>
    <n v="447153.91999999917"/>
  </r>
  <r>
    <s v="06/06/2025"/>
    <x v="1"/>
    <x v="6"/>
    <s v="M&amp;T Operating"/>
    <s v="32540128_31478841"/>
    <s v="Bill Payment"/>
    <s v="Deel billing invoices deel@deel.com USD"/>
    <s v="20005 Accounts Payable"/>
    <x v="3"/>
    <x v="10"/>
    <n v="49"/>
    <m/>
    <n v="-49"/>
    <n v="447104.91999999917"/>
  </r>
  <r>
    <s v="06/06/2025"/>
    <x v="1"/>
    <x v="6"/>
    <s v="M&amp;T Operating"/>
    <s v="32540128_31065947"/>
    <s v="Bill Payment"/>
    <s v="Deel billing invoices deel@deel.com USD"/>
    <s v="20005 Accounts Payable"/>
    <x v="3"/>
    <x v="10"/>
    <n v="49"/>
    <m/>
    <n v="-49"/>
    <n v="447055.91999999917"/>
  </r>
  <r>
    <s v="06/06/2025"/>
    <x v="1"/>
    <x v="6"/>
    <s v="M&amp;T Operating"/>
    <s v="32540128_31057083"/>
    <s v="Bill Payment"/>
    <s v="Deel billing invoices deel@deel.com USD"/>
    <s v="20005 Accounts Payable"/>
    <x v="3"/>
    <x v="10"/>
    <n v="49"/>
    <m/>
    <n v="-49"/>
    <n v="447006.91999999917"/>
  </r>
  <r>
    <s v="06/06/2025"/>
    <x v="1"/>
    <x v="6"/>
    <s v="M&amp;T Operating"/>
    <s v="32540128_31081581"/>
    <s v="Bill Payment"/>
    <s v="Deel billing invoices deel@deel.com USD"/>
    <s v="20005 Accounts Payable"/>
    <x v="3"/>
    <x v="10"/>
    <n v="49"/>
    <m/>
    <n v="-49"/>
    <n v="446957.91999999917"/>
  </r>
  <r>
    <s v="06/06/2025"/>
    <x v="1"/>
    <x v="6"/>
    <s v="M&amp;T Operating"/>
    <s v="32540128_30969254"/>
    <s v="Bill Payment"/>
    <s v="Deel billing invoices deel@deel.com USD"/>
    <s v="20005 Accounts Payable"/>
    <x v="3"/>
    <x v="10"/>
    <n v="49"/>
    <m/>
    <n v="-49"/>
    <n v="446908.91999999917"/>
  </r>
  <r>
    <s v="06/06/2025"/>
    <x v="1"/>
    <x v="6"/>
    <s v="M&amp;T Operating"/>
    <s v="32540128_30991748"/>
    <s v="Bill Payment"/>
    <s v="Deel billing invoices deel@deel.com USD"/>
    <s v="20005 Accounts Payable"/>
    <x v="3"/>
    <x v="10"/>
    <n v="49"/>
    <m/>
    <n v="-49"/>
    <n v="446859.91999999917"/>
  </r>
  <r>
    <s v="06/06/2025"/>
    <x v="1"/>
    <x v="6"/>
    <s v="M&amp;T Operating"/>
    <s v="32540128_30971205"/>
    <s v="Bill Payment"/>
    <s v="Deel billing invoices deel@deel.com USD"/>
    <s v="20005 Accounts Payable"/>
    <x v="3"/>
    <x v="10"/>
    <n v="49"/>
    <m/>
    <n v="-49"/>
    <n v="446810.91999999917"/>
  </r>
  <r>
    <s v="06/06/2025"/>
    <x v="1"/>
    <x v="6"/>
    <s v="M&amp;T Operating"/>
    <s v="32540128_30969139"/>
    <s v="Bill Payment"/>
    <s v="Deel billing invoices deel@deel.com USD"/>
    <s v="20005 Accounts Payable"/>
    <x v="3"/>
    <x v="10"/>
    <n v="49"/>
    <m/>
    <n v="-49"/>
    <n v="446761.91999999917"/>
  </r>
  <r>
    <s v="06/06/2025"/>
    <x v="1"/>
    <x v="6"/>
    <s v="M&amp;T Operating"/>
    <s v="32540128_30965505"/>
    <s v="Bill Payment"/>
    <s v="Deel billing invoices deel@deel.com USD"/>
    <s v="20005 Accounts Payable"/>
    <x v="3"/>
    <x v="10"/>
    <n v="49"/>
    <m/>
    <n v="-49"/>
    <n v="446712.91999999917"/>
  </r>
  <r>
    <s v="06/06/2025"/>
    <x v="1"/>
    <x v="6"/>
    <s v="M&amp;T Operating"/>
    <s v="32540128_30965499"/>
    <s v="Bill Payment"/>
    <s v="Deel billing invoices deel@deel.com USD"/>
    <s v="20005 Accounts Payable"/>
    <x v="3"/>
    <x v="10"/>
    <n v="49"/>
    <m/>
    <n v="-49"/>
    <n v="446663.91999999917"/>
  </r>
  <r>
    <s v="06/06/2025"/>
    <x v="1"/>
    <x v="6"/>
    <s v="M&amp;T Operating"/>
    <s v="32540128_30959387"/>
    <s v="Bill Payment"/>
    <s v="Deel billing invoices deel@deel.com USD"/>
    <s v="20005 Accounts Payable"/>
    <x v="3"/>
    <x v="10"/>
    <n v="49"/>
    <m/>
    <n v="-49"/>
    <n v="446614.91999999917"/>
  </r>
  <r>
    <s v="06/06/2025"/>
    <x v="1"/>
    <x v="6"/>
    <s v="M&amp;T Operating"/>
    <s v="32540128_30965754"/>
    <s v="Bill Payment"/>
    <s v="Deel billing invoices deel@deel.com USD"/>
    <s v="20005 Accounts Payable"/>
    <x v="3"/>
    <x v="10"/>
    <n v="49"/>
    <m/>
    <n v="-49"/>
    <n v="446565.91999999917"/>
  </r>
  <r>
    <s v="06/06/2025"/>
    <x v="1"/>
    <x v="6"/>
    <s v="M&amp;T Operating"/>
    <s v="32540128_30969262"/>
    <s v="Bill Payment"/>
    <s v="Deel billing invoices deel@deel.com USD"/>
    <s v="20005 Accounts Payable"/>
    <x v="3"/>
    <x v="10"/>
    <n v="49"/>
    <m/>
    <n v="-49"/>
    <n v="446516.91999999917"/>
  </r>
  <r>
    <s v="06/06/2025"/>
    <x v="1"/>
    <x v="6"/>
    <s v="M&amp;T Operating"/>
    <s v="32540128_30965460"/>
    <s v="Bill Payment"/>
    <s v="Deel billing invoices deel@deel.com USD"/>
    <s v="20005 Accounts Payable"/>
    <x v="3"/>
    <x v="10"/>
    <n v="49"/>
    <m/>
    <n v="-49"/>
    <n v="446467.91999999917"/>
  </r>
  <r>
    <s v="06/06/2025"/>
    <x v="1"/>
    <x v="6"/>
    <s v="M&amp;T Operating"/>
    <s v="32540128_30969267"/>
    <s v="Bill Payment"/>
    <s v="Deel billing invoices deel@deel.com USD"/>
    <s v="20005 Accounts Payable"/>
    <x v="3"/>
    <x v="10"/>
    <n v="49"/>
    <m/>
    <n v="-49"/>
    <n v="446418.91999999917"/>
  </r>
  <r>
    <s v="06/06/2025"/>
    <x v="1"/>
    <x v="6"/>
    <s v="M&amp;T Operating"/>
    <s v="32540128_32420334"/>
    <s v="Bill Payment"/>
    <s v="Duane Nelson duanen@gmail.com USD"/>
    <s v="20005 Accounts Payable"/>
    <x v="4"/>
    <x v="9"/>
    <n v="18600"/>
    <m/>
    <n v="-18600"/>
    <n v="427818.91999999917"/>
  </r>
  <r>
    <s v="06/06/2025"/>
    <x v="1"/>
    <x v="6"/>
    <s v="M&amp;T Operating"/>
    <s v="32540128_32420317"/>
    <s v="Bill Payment"/>
    <s v="Focus Fractional LLC"/>
    <s v="20005 Accounts Payable"/>
    <x v="3"/>
    <x v="8"/>
    <n v="20583.330000000002"/>
    <m/>
    <n v="-20583.330000000002"/>
    <n v="407235.58999999915"/>
  </r>
  <r>
    <s v="06/06/2025"/>
    <x v="1"/>
    <x v="6"/>
    <s v="M&amp;T Operating"/>
    <s v="32540128_31438617"/>
    <s v="Bill Payment"/>
    <s v="Focus Fractional LLC"/>
    <s v="20005 Accounts Payable"/>
    <x v="3"/>
    <x v="8"/>
    <n v="595"/>
    <m/>
    <n v="-595"/>
    <n v="406640.58999999915"/>
  </r>
  <r>
    <s v="06/06/2025"/>
    <x v="1"/>
    <x v="6"/>
    <s v="M&amp;T Operating"/>
    <s v="32540128_32485713"/>
    <s v="Bill Payment"/>
    <s v="Herbert Donald Edwards don.edwards01@gmail.com USD"/>
    <s v="20005 Accounts Payable"/>
    <x v="4"/>
    <x v="7"/>
    <n v="8887.5"/>
    <m/>
    <n v="-8887.5"/>
    <n v="397753.08999999915"/>
  </r>
  <r>
    <s v="06/06/2025"/>
    <x v="1"/>
    <x v="6"/>
    <s v="M&amp;T Operating"/>
    <m/>
    <s v="Bill Payment"/>
    <s v="HireRight"/>
    <s v="20005 Accounts Payable"/>
    <x v="3"/>
    <x v="15"/>
    <n v="801.98"/>
    <m/>
    <n v="-801.98"/>
    <n v="396951.10999999917"/>
  </r>
  <r>
    <s v="06/06/2025"/>
    <x v="1"/>
    <x v="6"/>
    <s v="M&amp;T Operating"/>
    <s v="32540128_31758485"/>
    <s v="Bill Payment"/>
    <s v="Jenna Stahl jenna@bloomly.agency USD"/>
    <s v="20005 Accounts Payable"/>
    <x v="4"/>
    <x v="9"/>
    <n v="2700"/>
    <m/>
    <n v="-2700"/>
    <n v="394251.10999999917"/>
  </r>
  <r>
    <s v="06/06/2025"/>
    <x v="1"/>
    <x v="6"/>
    <s v="M&amp;T Operating"/>
    <s v="32540128_32420635"/>
    <s v="Bill Payment"/>
    <s v="Joseph Mallek joe@nimblefire.com USD"/>
    <s v="20005 Accounts Payable"/>
    <x v="4"/>
    <x v="9"/>
    <n v="20000"/>
    <m/>
    <n v="-20000"/>
    <n v="374251.10999999917"/>
  </r>
  <r>
    <s v="06/06/2025"/>
    <x v="1"/>
    <x v="6"/>
    <s v="M&amp;T Operating"/>
    <s v="32540128_32481947"/>
    <s v="Bill Payment"/>
    <s v="McMax LLC"/>
    <s v="20005 Accounts Payable"/>
    <x v="4"/>
    <x v="7"/>
    <n v="3497.5"/>
    <m/>
    <n v="-3497.5"/>
    <n v="370753.60999999917"/>
  </r>
  <r>
    <s v="06/06/2025"/>
    <x v="1"/>
    <x v="6"/>
    <s v="M&amp;T Operating"/>
    <s v="32540128_31574478"/>
    <s v="Bill Payment"/>
    <s v="Paul Peterson paul.01.peterson@gmail.com USD"/>
    <s v="20005 Accounts Payable"/>
    <x v="4"/>
    <x v="7"/>
    <n v="12000"/>
    <m/>
    <n v="-12000"/>
    <n v="358753.60999999917"/>
  </r>
  <r>
    <s v="06/06/2025"/>
    <x v="1"/>
    <x v="6"/>
    <s v="M&amp;T Operating"/>
    <s v="32540128_31574471"/>
    <s v="Bill Payment"/>
    <s v="Pedro Rubio pedro@blackfyre.app USD"/>
    <s v="20005 Accounts Payable"/>
    <x v="4"/>
    <x v="9"/>
    <n v="199"/>
    <m/>
    <n v="-199"/>
    <n v="358554.60999999917"/>
  </r>
  <r>
    <s v="06/06/2025"/>
    <x v="1"/>
    <x v="6"/>
    <s v="M&amp;T Operating"/>
    <s v="32540128_32455841"/>
    <s v="Bill Payment"/>
    <s v="Prasanna Patel prasanna.patel@xtransmatrix.com USD"/>
    <s v="20005 Accounts Payable"/>
    <x v="4"/>
    <x v="9"/>
    <n v="2600"/>
    <m/>
    <n v="-2600"/>
    <n v="355954.60999999917"/>
  </r>
  <r>
    <s v="06/06/2025"/>
    <x v="1"/>
    <x v="6"/>
    <s v="M&amp;T Operating"/>
    <s v="32540128_32432063"/>
    <s v="Bill Payment"/>
    <s v="Prasanna Patel prasanna.patel@xtransmatrix.com USD"/>
    <s v="20005 Accounts Payable"/>
    <x v="4"/>
    <x v="9"/>
    <n v="3520"/>
    <m/>
    <n v="-3520"/>
    <n v="352434.60999999917"/>
  </r>
  <r>
    <s v="06/06/2025"/>
    <x v="1"/>
    <x v="6"/>
    <s v="M&amp;T Operating"/>
    <s v="32540128_32432050"/>
    <s v="Bill Payment"/>
    <s v="Prasanna Patel prasanna.patel@xtransmatrix.com USD"/>
    <s v="20005 Accounts Payable"/>
    <x v="4"/>
    <x v="9"/>
    <n v="6440"/>
    <m/>
    <n v="-6440"/>
    <n v="345994.60999999917"/>
  </r>
  <r>
    <s v="06/06/2025"/>
    <x v="1"/>
    <x v="6"/>
    <s v="M&amp;T Operating"/>
    <s v="32540128_32521087"/>
    <s v="Bill Payment"/>
    <s v="SALESFORCE CRM CONSULTING PTY LTD"/>
    <s v="20005 Accounts Payable"/>
    <x v="4"/>
    <x v="7"/>
    <n v="1295"/>
    <m/>
    <n v="-1295"/>
    <n v="344699.60999999917"/>
  </r>
  <r>
    <s v="06/06/2025"/>
    <x v="1"/>
    <x v="6"/>
    <s v="M&amp;T Operating"/>
    <s v="32540128_32521083"/>
    <s v="Bill Payment"/>
    <s v="SALESFORCE CRM CONSULTING PTY LTD"/>
    <s v="20005 Accounts Payable"/>
    <x v="4"/>
    <x v="7"/>
    <n v="2012.5"/>
    <m/>
    <n v="-2012.5"/>
    <n v="342687.10999999917"/>
  </r>
  <r>
    <s v="06/06/2025"/>
    <x v="1"/>
    <x v="6"/>
    <s v="M&amp;T Operating"/>
    <s v="32540128_32521080"/>
    <s v="Bill Payment"/>
    <s v="SALESFORCE CRM CONSULTING PTY LTD"/>
    <s v="20005 Accounts Payable"/>
    <x v="4"/>
    <x v="7"/>
    <n v="70"/>
    <m/>
    <n v="-70"/>
    <n v="342617.10999999917"/>
  </r>
  <r>
    <s v="06/06/2025"/>
    <x v="1"/>
    <x v="6"/>
    <s v="M&amp;T Operating"/>
    <s v="32540128_32485816"/>
    <s v="Bill Payment"/>
    <s v="SALESFORCE CRM CONSULTING PTY LTD"/>
    <s v="20005 Accounts Payable"/>
    <x v="4"/>
    <x v="7"/>
    <n v="2241"/>
    <m/>
    <n v="-2241"/>
    <n v="340376.10999999917"/>
  </r>
  <r>
    <s v="06/06/2025"/>
    <x v="1"/>
    <x v="6"/>
    <s v="M&amp;T Operating"/>
    <s v="32540128_32485815"/>
    <s v="Bill Payment"/>
    <s v="SALESFORCE CRM CONSULTING PTY LTD"/>
    <s v="20005 Accounts Payable"/>
    <x v="4"/>
    <x v="7"/>
    <n v="4228"/>
    <m/>
    <n v="-4228"/>
    <n v="336148.10999999917"/>
  </r>
  <r>
    <s v="06/06/2025"/>
    <x v="1"/>
    <x v="6"/>
    <s v="M&amp;T Operating"/>
    <s v="32540128_32485814"/>
    <s v="Bill Payment"/>
    <s v="SALESFORCE CRM CONSULTING PTY LTD"/>
    <s v="20005 Accounts Payable"/>
    <x v="4"/>
    <x v="7"/>
    <n v="87.5"/>
    <m/>
    <n v="-87.5"/>
    <n v="336060.60999999917"/>
  </r>
  <r>
    <s v="06/06/2025"/>
    <x v="1"/>
    <x v="6"/>
    <s v="M&amp;T Operating"/>
    <s v="32540128_32485813"/>
    <s v="Bill Payment"/>
    <s v="SALESFORCE CRM CONSULTING PTY LTD"/>
    <s v="20005 Accounts Payable"/>
    <x v="4"/>
    <x v="7"/>
    <n v="3520"/>
    <m/>
    <n v="-3520"/>
    <n v="332540.60999999917"/>
  </r>
  <r>
    <s v="06/06/2025"/>
    <x v="1"/>
    <x v="6"/>
    <s v="M&amp;T Operating"/>
    <s v="32540128_32485812"/>
    <s v="Bill Payment"/>
    <s v="SALESFORCE CRM CONSULTING PTY LTD"/>
    <s v="20005 Accounts Payable"/>
    <x v="4"/>
    <x v="7"/>
    <n v="3710"/>
    <m/>
    <n v="-3710"/>
    <n v="328830.60999999917"/>
  </r>
  <r>
    <s v="06/06/2025"/>
    <x v="1"/>
    <x v="6"/>
    <s v="M&amp;T Operating"/>
    <s v="32540128_32485811"/>
    <s v="Bill Payment"/>
    <s v="SALESFORCE CRM CONSULTING PTY LTD"/>
    <s v="20005 Accounts Payable"/>
    <x v="4"/>
    <x v="7"/>
    <n v="2178"/>
    <m/>
    <n v="-2178"/>
    <n v="326652.60999999917"/>
  </r>
  <r>
    <s v="06/06/2025"/>
    <x v="1"/>
    <x v="6"/>
    <s v="M&amp;T Operating"/>
    <s v="32540128_32485810"/>
    <s v="Bill Payment"/>
    <s v="SALESFORCE CRM CONSULTING PTY LTD"/>
    <s v="20005 Accounts Payable"/>
    <x v="4"/>
    <x v="7"/>
    <n v="3360"/>
    <m/>
    <n v="-3360"/>
    <n v="323292.60999999917"/>
  </r>
  <r>
    <s v="06/06/2025"/>
    <x v="1"/>
    <x v="6"/>
    <s v="M&amp;T Operating"/>
    <s v="32540128_32455830"/>
    <s v="Bill Payment"/>
    <s v="SALESFORCE CRM CONSULTING PTY LTD"/>
    <s v="20005 Accounts Payable"/>
    <x v="4"/>
    <x v="7"/>
    <n v="3474"/>
    <m/>
    <n v="-3474"/>
    <n v="319818.60999999917"/>
  </r>
  <r>
    <s v="06/06/2025"/>
    <x v="1"/>
    <x v="6"/>
    <s v="M&amp;T Operating"/>
    <m/>
    <s v="Bill Payment"/>
    <s v="Salesforce.com Inc"/>
    <s v="20005 Accounts Payable"/>
    <x v="3"/>
    <x v="10"/>
    <n v="5769.24"/>
    <m/>
    <n v="-5769.24"/>
    <n v="314049.36999999918"/>
  </r>
  <r>
    <s v="06/06/2025"/>
    <x v="1"/>
    <x v="6"/>
    <s v="M&amp;T Operating"/>
    <s v="32540128_31574473"/>
    <s v="Bill Payment"/>
    <s v="Shazib Mahmood shazibm91@gmail.com USD"/>
    <s v="20005 Accounts Payable"/>
    <x v="4"/>
    <x v="7"/>
    <n v="18544"/>
    <m/>
    <n v="-18544"/>
    <n v="295505.36999999918"/>
  </r>
  <r>
    <s v="06/06/2025"/>
    <x v="1"/>
    <x v="6"/>
    <s v="M&amp;T Operating"/>
    <m/>
    <s v="Transfer"/>
    <m/>
    <s v="10010 M&amp;T Bank - IntraFi Network Sweep"/>
    <x v="0"/>
    <x v="0"/>
    <m/>
    <n v="197983.8"/>
    <n v="197983.8"/>
    <n v="493489.16999999917"/>
  </r>
  <r>
    <s v="06/07/2025"/>
    <x v="1"/>
    <x v="6"/>
    <s v="Ramp Card"/>
    <m/>
    <s v="Expense"/>
    <s v="Openai Chatgpt"/>
    <s v="51400 Classic COGS - Delivery:Classic COGS - Delivery - Software Applications &amp; Licenses"/>
    <x v="3"/>
    <x v="10"/>
    <n v="20"/>
    <m/>
    <n v="-20"/>
    <n v="493469.16999999917"/>
  </r>
  <r>
    <s v="06/09/2025"/>
    <x v="1"/>
    <x v="6"/>
    <s v="M&amp;T Operating"/>
    <m/>
    <s v="Expense"/>
    <s v="M&amp;T Bank"/>
    <s v="69805 General &amp; Administrative:G&amp;A - Bank Fees"/>
    <x v="0"/>
    <x v="6"/>
    <n v="317.19"/>
    <m/>
    <n v="-317.19"/>
    <n v="493151.97999999917"/>
  </r>
  <r>
    <s v="06/09/2025"/>
    <x v="1"/>
    <x v="6"/>
    <s v="M&amp;T Operating"/>
    <m/>
    <s v="Bill Payment"/>
    <s v="Ray Der (ray@synaptic.build)"/>
    <s v="20005 Accounts Payable"/>
    <x v="3"/>
    <x v="4"/>
    <n v="90"/>
    <m/>
    <n v="-90"/>
    <n v="493061.97999999917"/>
  </r>
  <r>
    <s v="06/09/2025"/>
    <x v="1"/>
    <x v="6"/>
    <s v="Ramp Card"/>
    <m/>
    <s v="Expense"/>
    <s v="United Airlines"/>
    <s v="66500 AppIQ - Research &amp; Development:AppIQ - R&amp;D - Travel"/>
    <x v="3"/>
    <x v="4"/>
    <n v="516.96"/>
    <m/>
    <n v="-516.96"/>
    <n v="492545.01999999915"/>
  </r>
  <r>
    <s v="06/09/2025"/>
    <x v="1"/>
    <x v="6"/>
    <s v="Ramp Card"/>
    <m/>
    <s v="Expense"/>
    <s v="UPS"/>
    <s v="61410 Classic - Sales:Classic - Sales - Office &amp; Supplies"/>
    <x v="3"/>
    <x v="15"/>
    <n v="214.46"/>
    <m/>
    <n v="-214.46"/>
    <n v="492330.55999999912"/>
  </r>
  <r>
    <s v="06/09/2025"/>
    <x v="1"/>
    <x v="6"/>
    <s v="M&amp;T Operating"/>
    <m/>
    <s v="Transfer"/>
    <m/>
    <s v="10010 M&amp;T Bank - IntraFi Network Sweep"/>
    <x v="0"/>
    <x v="0"/>
    <m/>
    <n v="317.19"/>
    <n v="317.19"/>
    <n v="492647.74999999913"/>
  </r>
  <r>
    <s v="06/10/2025"/>
    <x v="1"/>
    <x v="6"/>
    <s v="M&amp;T Operating"/>
    <m/>
    <s v="Transfer"/>
    <m/>
    <s v="10010 M&amp;T Bank - IntraFi Network Sweep"/>
    <x v="0"/>
    <x v="0"/>
    <m/>
    <n v="90"/>
    <n v="90"/>
    <n v="492737.74999999913"/>
  </r>
  <r>
    <s v="06/11/2025"/>
    <x v="1"/>
    <x v="6"/>
    <s v="M&amp;T Operating"/>
    <m/>
    <s v="Deposit"/>
    <s v="American Benefit Cobra"/>
    <s v="22325 Accrued Expenses:Accrued Expenses - COBRA Clearing"/>
    <x v="1"/>
    <x v="1"/>
    <m/>
    <n v="476.36"/>
    <n v="476.36"/>
    <n v="493214.10999999911"/>
  </r>
  <r>
    <s v="06/11/2025"/>
    <x v="1"/>
    <x v="6"/>
    <s v="M&amp;T Operating"/>
    <m/>
    <s v="Bill Payment"/>
    <s v="Carahsoft Technology Corp"/>
    <s v="20005 Accounts Payable"/>
    <x v="4"/>
    <x v="9"/>
    <n v="3000"/>
    <m/>
    <n v="-3000"/>
    <n v="490214.10999999911"/>
  </r>
  <r>
    <s v="06/11/2025"/>
    <x v="1"/>
    <x v="6"/>
    <s v="Ramp Card"/>
    <m/>
    <s v="Expense"/>
    <s v="OpenAI"/>
    <s v="51400 Classic COGS - Delivery:Classic COGS - Delivery - Software Applications &amp; Licenses"/>
    <x v="3"/>
    <x v="10"/>
    <n v="20"/>
    <m/>
    <n v="-20"/>
    <n v="490194.10999999911"/>
  </r>
  <r>
    <s v="06/11/2025"/>
    <x v="1"/>
    <x v="6"/>
    <s v="M&amp;T Operating"/>
    <m/>
    <s v="Bill Payment"/>
    <s v="SalesCraft, LLC"/>
    <s v="20005 Accounts Payable"/>
    <x v="0"/>
    <x v="16"/>
    <n v="25000"/>
    <m/>
    <n v="-25000"/>
    <n v="465194.10999999911"/>
  </r>
  <r>
    <s v="06/11/2025"/>
    <x v="1"/>
    <x v="6"/>
    <s v="Ramp Card"/>
    <m/>
    <s v="Expense"/>
    <s v="Yeti"/>
    <s v="65625 AppIQ - Marketing:AppIQ - Marketing - Client Gifts &amp; Entertainment"/>
    <x v="3"/>
    <x v="15"/>
    <n v="43.12"/>
    <m/>
    <n v="-43.12"/>
    <n v="465150.98999999912"/>
  </r>
  <r>
    <s v="06/11/2025"/>
    <x v="1"/>
    <x v="6"/>
    <s v="M&amp;T Operating"/>
    <m/>
    <s v="Transfer"/>
    <m/>
    <s v="10010 M&amp;T Bank - IntraFi Network Sweep"/>
    <x v="0"/>
    <x v="0"/>
    <m/>
    <n v="27523.64"/>
    <n v="27523.64"/>
    <n v="492674.62999999913"/>
  </r>
  <r>
    <s v="06/12/2025"/>
    <x v="1"/>
    <x v="6"/>
    <s v="Ramp Card"/>
    <m/>
    <s v="Expense"/>
    <s v="Atlassian"/>
    <s v="69400 General &amp; Administrative:G&amp;A - Software Applications &amp; Licenses"/>
    <x v="3"/>
    <x v="10"/>
    <n v="1144.3499999999999"/>
    <m/>
    <n v="-1144.3499999999999"/>
    <n v="491530.27999999915"/>
  </r>
  <r>
    <s v="06/12/2025"/>
    <x v="1"/>
    <x v="6"/>
    <s v="M&amp;T Operating"/>
    <m/>
    <s v="Expense"/>
    <s v="Bancorpsv (Benefit Deduction)"/>
    <s v="22335 Accrued Expenses:Accrued Expenses - Bancorpsv Clearing"/>
    <x v="1"/>
    <x v="1"/>
    <n v="15.84"/>
    <m/>
    <n v="-15.84"/>
    <n v="491514.43999999913"/>
  </r>
  <r>
    <s v="06/12/2025"/>
    <x v="1"/>
    <x v="6"/>
    <s v="M&amp;T Operating"/>
    <m/>
    <s v="Bill Payment"/>
    <s v="Brenna Hawley-Craig (brenna@synaptic.build)"/>
    <s v="20005 Accounts Payable"/>
    <x v="3"/>
    <x v="4"/>
    <n v="50"/>
    <m/>
    <n v="-50"/>
    <n v="491464.43999999913"/>
  </r>
  <r>
    <s v="06/12/2025"/>
    <x v="1"/>
    <x v="6"/>
    <s v="Ramp Card"/>
    <m/>
    <s v="Expense"/>
    <s v="Cookiebot"/>
    <s v="69400 General &amp; Administrative:G&amp;A - Software Applications &amp; Licenses"/>
    <x v="3"/>
    <x v="10"/>
    <n v="32"/>
    <m/>
    <n v="-32"/>
    <n v="491432.43999999913"/>
  </r>
  <r>
    <s v="06/12/2025"/>
    <x v="1"/>
    <x v="6"/>
    <s v="M&amp;T Operating"/>
    <m/>
    <s v="Expense"/>
    <s v="Paylocity"/>
    <s v="22205 Accrued Expenses:Accrued Expenses - Payroll"/>
    <x v="1"/>
    <x v="12"/>
    <n v="80025.539999999994"/>
    <m/>
    <n v="-80025.539999999994"/>
    <n v="411406.89999999915"/>
  </r>
  <r>
    <s v="06/12/2025"/>
    <x v="1"/>
    <x v="6"/>
    <s v="M&amp;T Operating"/>
    <m/>
    <s v="Expense"/>
    <s v="Paylocity"/>
    <s v="22205 Accrued Expenses:Accrued Expenses - Payroll"/>
    <x v="1"/>
    <x v="11"/>
    <n v="39238.78"/>
    <m/>
    <n v="-39238.78"/>
    <n v="372168.11999999918"/>
  </r>
  <r>
    <s v="06/12/2025"/>
    <x v="1"/>
    <x v="6"/>
    <s v="M&amp;T Operating"/>
    <m/>
    <s v="Expense"/>
    <s v="Paylocity"/>
    <s v="22205 Accrued Expenses:Accrued Expenses - Payroll"/>
    <x v="1"/>
    <x v="1"/>
    <n v="1234.75"/>
    <m/>
    <n v="-1234.75"/>
    <n v="370933.36999999918"/>
  </r>
  <r>
    <s v="06/12/2025"/>
    <x v="1"/>
    <x v="6"/>
    <s v="Ramp Card"/>
    <m/>
    <s v="Expense"/>
    <s v="Stone Mill Bakery"/>
    <s v="69505 General &amp; Administrative:G&amp;A - Meals &amp; Entertainment"/>
    <x v="3"/>
    <x v="4"/>
    <n v="38.54"/>
    <m/>
    <n v="-38.54"/>
    <n v="370894.8299999992"/>
  </r>
  <r>
    <s v="06/12/2025"/>
    <x v="1"/>
    <x v="6"/>
    <s v="Ramp Card"/>
    <m/>
    <s v="Expense"/>
    <s v="Vidyard"/>
    <s v="69400 General &amp; Administrative:G&amp;A - Software Applications &amp; Licenses"/>
    <x v="3"/>
    <x v="10"/>
    <n v="29"/>
    <m/>
    <n v="-29"/>
    <n v="370865.8299999992"/>
  </r>
  <r>
    <s v="06/12/2025"/>
    <x v="1"/>
    <x v="6"/>
    <s v="M&amp;T Operating"/>
    <m/>
    <s v="Transfer"/>
    <m/>
    <s v="10010 M&amp;T Bank - IntraFi Network Sweep"/>
    <x v="0"/>
    <x v="0"/>
    <m/>
    <n v="120514.91"/>
    <n v="120514.91"/>
    <n v="491380.73999999918"/>
  </r>
  <r>
    <s v="06/13/2025"/>
    <x v="1"/>
    <x v="6"/>
    <s v="M&amp;T Operating"/>
    <m/>
    <s v="Expense"/>
    <s v="Bancorpsv (Benefit Deduction)"/>
    <s v="22335 Accrued Expenses:Accrued Expenses - Bancorpsv Clearing"/>
    <x v="1"/>
    <x v="1"/>
    <n v="20"/>
    <m/>
    <n v="-20"/>
    <n v="491360.73999999918"/>
  </r>
  <r>
    <s v="06/13/2025"/>
    <x v="1"/>
    <x v="6"/>
    <s v="M&amp;T Operating"/>
    <m/>
    <s v="Payment"/>
    <s v="Curonix LLC:Curonix Managed Services"/>
    <s v="11005 Accounts Receivable"/>
    <x v="2"/>
    <x v="2"/>
    <m/>
    <n v="8750"/>
    <n v="8750"/>
    <n v="500110.73999999918"/>
  </r>
  <r>
    <s v="06/13/2025"/>
    <x v="1"/>
    <x v="6"/>
    <s v="M&amp;T Operating"/>
    <m/>
    <s v="Payment"/>
    <s v="Curonix LLC:Curonix Managed Services"/>
    <s v="11005 Accounts Receivable"/>
    <x v="2"/>
    <x v="2"/>
    <m/>
    <n v="3456.25"/>
    <n v="3456.25"/>
    <n v="503566.98999999918"/>
  </r>
  <r>
    <s v="06/13/2025"/>
    <x v="1"/>
    <x v="6"/>
    <s v="M&amp;T Operating"/>
    <m/>
    <s v="Expense"/>
    <s v="Paylocity"/>
    <s v="69215 General &amp; Administrative:G&amp;A - Payroll Fees"/>
    <x v="1"/>
    <x v="3"/>
    <n v="150.63"/>
    <m/>
    <n v="-150.63"/>
    <n v="503416.35999999917"/>
  </r>
  <r>
    <s v="06/13/2025"/>
    <x v="1"/>
    <x v="6"/>
    <s v="Ramp Card"/>
    <m/>
    <s v="Expense"/>
    <s v="Verizon"/>
    <s v="69405 General &amp; Administrative:G&amp;A - Telecom, Internet &amp; Hardware"/>
    <x v="3"/>
    <x v="10"/>
    <n v="68.459999999999994"/>
    <m/>
    <n v="-68.459999999999994"/>
    <n v="503347.89999999915"/>
  </r>
  <r>
    <s v="06/13/2025"/>
    <x v="1"/>
    <x v="6"/>
    <s v="Ramp Card"/>
    <m/>
    <s v="Expense"/>
    <s v="Xfinity"/>
    <s v="69405 General &amp; Administrative:G&amp;A - Telecom, Internet &amp; Hardware"/>
    <x v="3"/>
    <x v="10"/>
    <n v="946.58"/>
    <m/>
    <n v="-946.58"/>
    <n v="502401.31999999913"/>
  </r>
  <r>
    <s v="06/13/2025"/>
    <x v="1"/>
    <x v="6"/>
    <s v="M&amp;T Operating"/>
    <m/>
    <s v="Transfer"/>
    <m/>
    <s v="10010 M&amp;T Bank - IntraFi Network Sweep"/>
    <x v="0"/>
    <x v="0"/>
    <n v="11985.62"/>
    <m/>
    <n v="-11985.62"/>
    <n v="490415.69999999914"/>
  </r>
  <r>
    <s v="06/14/2025"/>
    <x v="1"/>
    <x v="6"/>
    <s v="Ramp Card"/>
    <m/>
    <s v="Expense"/>
    <s v="Uber"/>
    <s v="64500 AppIQ - Sales:AppIQ - Sales - Travel"/>
    <x v="3"/>
    <x v="4"/>
    <n v="39.96"/>
    <m/>
    <n v="-39.96"/>
    <n v="490375.73999999912"/>
  </r>
  <r>
    <s v="06/14/2025"/>
    <x v="1"/>
    <x v="6"/>
    <s v="Ramp Card"/>
    <m/>
    <s v="Expense"/>
    <s v="Uber"/>
    <s v="64500 AppIQ - Sales:AppIQ - Sales - Travel"/>
    <x v="3"/>
    <x v="4"/>
    <n v="4"/>
    <m/>
    <n v="-4"/>
    <n v="490371.73999999912"/>
  </r>
  <r>
    <s v="06/14/2025"/>
    <x v="1"/>
    <x v="6"/>
    <s v="Ramp Card"/>
    <m/>
    <s v="Expense"/>
    <s v="Wynn Las Vegas"/>
    <s v="64500 AppIQ - Sales:AppIQ - Sales - Travel"/>
    <x v="3"/>
    <x v="4"/>
    <n v="1277.9000000000001"/>
    <m/>
    <n v="-1277.9000000000001"/>
    <n v="489093.83999999909"/>
  </r>
  <r>
    <s v="06/15/2025"/>
    <x v="1"/>
    <x v="6"/>
    <s v="Ramp Card"/>
    <m/>
    <s v="Expense"/>
    <s v="Conoco"/>
    <s v="64500 AppIQ - Sales:AppIQ - Sales - Travel"/>
    <x v="3"/>
    <x v="4"/>
    <n v="7.5"/>
    <m/>
    <n v="-7.5"/>
    <n v="489086.33999999909"/>
  </r>
  <r>
    <s v="06/15/2025"/>
    <x v="1"/>
    <x v="6"/>
    <s v="Ramp Card"/>
    <m/>
    <s v="Expense"/>
    <s v="Uber"/>
    <s v="64500 AppIQ - Sales:AppIQ - Sales - Travel"/>
    <x v="3"/>
    <x v="4"/>
    <n v="27.93"/>
    <m/>
    <n v="-27.93"/>
    <n v="489058.4099999991"/>
  </r>
  <r>
    <s v="06/15/2025"/>
    <x v="1"/>
    <x v="6"/>
    <s v="Ramp Card"/>
    <m/>
    <s v="Expense"/>
    <s v="Wynn Las Vegas"/>
    <s v="64505 AppIQ - Sales:AppIQ - Sales - Meals &amp; Entertainment"/>
    <x v="3"/>
    <x v="4"/>
    <n v="9.1199999999999992"/>
    <m/>
    <n v="-9.1199999999999992"/>
    <n v="489049.28999999911"/>
  </r>
  <r>
    <s v="06/16/2025"/>
    <x v="1"/>
    <x v="6"/>
    <s v="Ramp Card"/>
    <m/>
    <s v="Expense"/>
    <s v="Amazon.com"/>
    <s v="69405 General &amp; Administrative:G&amp;A - Telecom, Internet &amp; Hardware"/>
    <x v="3"/>
    <x v="10"/>
    <n v="39.200000000000003"/>
    <m/>
    <n v="-39.200000000000003"/>
    <n v="489010.08999999909"/>
  </r>
  <r>
    <s v="06/16/2025"/>
    <x v="1"/>
    <x v="6"/>
    <s v="M&amp;T Operating"/>
    <m/>
    <s v="Payment"/>
    <s v="Currencies Direct Limited:Redpin Staff Aug"/>
    <s v="11005 Accounts Receivable"/>
    <x v="2"/>
    <x v="2"/>
    <m/>
    <n v="17046.8"/>
    <n v="17046.8"/>
    <n v="506056.88999999908"/>
  </r>
  <r>
    <s v="06/16/2025"/>
    <x v="1"/>
    <x v="6"/>
    <s v="Ramp Card"/>
    <m/>
    <s v="Expense"/>
    <s v="Grand Lux Cafe"/>
    <s v="64505 AppIQ - Sales:AppIQ - Sales - Meals &amp; Entertainment"/>
    <x v="3"/>
    <x v="4"/>
    <n v="55.21"/>
    <m/>
    <n v="-55.21"/>
    <n v="506001.67999999906"/>
  </r>
  <r>
    <s v="06/16/2025"/>
    <x v="1"/>
    <x v="6"/>
    <s v="Ramp Card"/>
    <m/>
    <s v="Expense"/>
    <s v="LinkedIn"/>
    <s v="64400 AppIQ - Sales:AppIQ - Sales - Software Applications &amp; Licenses"/>
    <x v="3"/>
    <x v="10"/>
    <n v="150"/>
    <m/>
    <n v="-150"/>
    <n v="505851.67999999906"/>
  </r>
  <r>
    <s v="06/16/2025"/>
    <x v="1"/>
    <x v="6"/>
    <s v="Ramp Card"/>
    <m/>
    <s v="Expense"/>
    <s v="The Cafe"/>
    <s v="64505 AppIQ - Sales:AppIQ - Sales - Meals &amp; Entertainment"/>
    <x v="3"/>
    <x v="4"/>
    <n v="11.82"/>
    <m/>
    <n v="-11.82"/>
    <n v="505839.85999999905"/>
  </r>
  <r>
    <s v="06/16/2025"/>
    <x v="1"/>
    <x v="6"/>
    <s v="M&amp;T Operating"/>
    <m/>
    <s v="Expense"/>
    <s v="The Principal"/>
    <s v="22310 Accrued Expenses:Accrued Expenses - Principal Clearing"/>
    <x v="1"/>
    <x v="1"/>
    <n v="14549.5"/>
    <m/>
    <n v="-14549.5"/>
    <n v="491290.35999999905"/>
  </r>
  <r>
    <s v="06/16/2025"/>
    <x v="1"/>
    <x v="6"/>
    <s v="Ramp Card"/>
    <m/>
    <s v="Expense"/>
    <s v="Uber"/>
    <s v="64500 AppIQ - Sales:AppIQ - Sales - Travel"/>
    <x v="3"/>
    <x v="4"/>
    <n v="4"/>
    <m/>
    <n v="-4"/>
    <n v="491286.35999999905"/>
  </r>
  <r>
    <s v="06/16/2025"/>
    <x v="1"/>
    <x v="6"/>
    <s v="M&amp;T Operating"/>
    <m/>
    <s v="Transfer"/>
    <m/>
    <s v="10010 M&amp;T Bank - IntraFi Network Sweep"/>
    <x v="0"/>
    <x v="0"/>
    <n v="2497.3000000000002"/>
    <m/>
    <n v="-2497.3000000000002"/>
    <n v="488789.05999999907"/>
  </r>
  <r>
    <s v="06/17/2025"/>
    <x v="1"/>
    <x v="6"/>
    <s v="Ramp Card"/>
    <m/>
    <s v="Expense"/>
    <s v="Amazon.com"/>
    <s v="69405 General &amp; Administrative:G&amp;A - Telecom, Internet &amp; Hardware"/>
    <x v="3"/>
    <x v="10"/>
    <n v="60.18"/>
    <m/>
    <n v="-60.18"/>
    <n v="488728.87999999907"/>
  </r>
  <r>
    <s v="06/17/2025"/>
    <x v="1"/>
    <x v="6"/>
    <s v="Ramp Card"/>
    <m/>
    <s v="Expense"/>
    <s v="American Airlines"/>
    <s v="64500 AppIQ - Sales:AppIQ - Sales - Travel"/>
    <x v="3"/>
    <x v="4"/>
    <n v="851.37"/>
    <m/>
    <n v="-851.37"/>
    <n v="487877.50999999908"/>
  </r>
  <r>
    <s v="06/17/2025"/>
    <x v="1"/>
    <x v="6"/>
    <s v="M&amp;T Operating"/>
    <m/>
    <s v="Expense"/>
    <s v="Bancorpsv (Benefit Deduction)"/>
    <s v="22335 Accrued Expenses:Accrued Expenses - Bancorpsv Clearing"/>
    <x v="1"/>
    <x v="1"/>
    <n v="25"/>
    <m/>
    <n v="-25"/>
    <n v="487852.50999999908"/>
  </r>
  <r>
    <s v="06/17/2025"/>
    <x v="1"/>
    <x v="6"/>
    <s v="M&amp;T Operating"/>
    <m/>
    <s v="Expense"/>
    <s v="Further FKA SelctAccount"/>
    <s v="22330 Accrued Expenses:Accrued Expenses - Further Clearing"/>
    <x v="1"/>
    <x v="1"/>
    <n v="895.63"/>
    <m/>
    <n v="-895.63"/>
    <n v="486956.87999999907"/>
  </r>
  <r>
    <s v="06/17/2025"/>
    <x v="1"/>
    <x v="6"/>
    <s v="M&amp;T Operating"/>
    <m/>
    <s v="Credit Card Pmt"/>
    <s v="Ramp Business Corporation"/>
    <s v="21020 Ramp Card"/>
    <x v="5"/>
    <x v="24"/>
    <n v="6562.47"/>
    <m/>
    <n v="-6562.47"/>
    <n v="480394.4099999991"/>
  </r>
  <r>
    <s v="06/17/2025"/>
    <x v="1"/>
    <x v="6"/>
    <s v="Ramp Card"/>
    <m/>
    <s v="Credit Card Pmt"/>
    <s v="Ramp Business Corporation"/>
    <s v="10005 M&amp;T Bank - Operating"/>
    <x v="5"/>
    <x v="24"/>
    <m/>
    <n v="6562.47"/>
    <n v="6562.47"/>
    <n v="486956.87999999907"/>
  </r>
  <r>
    <s v="06/17/2025"/>
    <x v="1"/>
    <x v="6"/>
    <s v="Ramp Card"/>
    <m/>
    <s v="Expense"/>
    <s v="The Cafe"/>
    <s v="64505 AppIQ - Sales:AppIQ - Sales - Meals &amp; Entertainment"/>
    <x v="3"/>
    <x v="4"/>
    <n v="21.1"/>
    <m/>
    <n v="-21.1"/>
    <n v="486935.7799999991"/>
  </r>
  <r>
    <s v="06/17/2025"/>
    <x v="1"/>
    <x v="6"/>
    <s v="M&amp;T Operating"/>
    <m/>
    <s v="Expense"/>
    <s v="Wex Health, Inc."/>
    <s v="22320 Accrued Expenses:Accrued Expenses - WEX Clearing"/>
    <x v="1"/>
    <x v="1"/>
    <n v="208.34"/>
    <m/>
    <n v="-208.34"/>
    <n v="486727.43999999907"/>
  </r>
  <r>
    <s v="06/17/2025"/>
    <x v="1"/>
    <x v="6"/>
    <s v="M&amp;T Operating"/>
    <m/>
    <s v="Transfer"/>
    <m/>
    <s v="10010 M&amp;T Bank - IntraFi Network Sweep"/>
    <x v="0"/>
    <x v="0"/>
    <m/>
    <n v="7691.44"/>
    <n v="7691.44"/>
    <n v="494418.87999999907"/>
  </r>
  <r>
    <s v="06/18/2025"/>
    <x v="1"/>
    <x v="6"/>
    <s v="Ramp Card"/>
    <m/>
    <s v="Expense"/>
    <s v="Avas Flowers"/>
    <s v="51410 Classic COGS - Delivery:Classic COGS - Delivery - Office &amp; Supplies"/>
    <x v="3"/>
    <x v="15"/>
    <n v="114.13"/>
    <m/>
    <n v="-114.13"/>
    <n v="494304.74999999907"/>
  </r>
  <r>
    <s v="06/18/2025"/>
    <x v="1"/>
    <x v="6"/>
    <s v="M&amp;T Operating"/>
    <m/>
    <s v="Expense"/>
    <s v="Bancorpsv (Benefit Deduction)"/>
    <s v="22335 Accrued Expenses:Accrued Expenses - Bancorpsv Clearing"/>
    <x v="1"/>
    <x v="1"/>
    <n v="50"/>
    <m/>
    <n v="-50"/>
    <n v="494254.74999999907"/>
  </r>
  <r>
    <s v="06/18/2025"/>
    <x v="1"/>
    <x v="6"/>
    <s v="M&amp;T Operating"/>
    <m/>
    <s v="Bill Payment"/>
    <s v="Brenna Hawley-Craig (brenna@synaptic.build)"/>
    <s v="20005 Accounts Payable"/>
    <x v="3"/>
    <x v="4"/>
    <n v="30"/>
    <m/>
    <n v="-30"/>
    <n v="494224.74999999907"/>
  </r>
  <r>
    <s v="06/18/2025"/>
    <x v="1"/>
    <x v="6"/>
    <s v="M&amp;T Operating"/>
    <m/>
    <s v="Credit Card Pmt"/>
    <s v="Brex Inc"/>
    <s v="21005 Brex Mastercard"/>
    <x v="5"/>
    <x v="13"/>
    <n v="957.06"/>
    <m/>
    <n v="-957.06"/>
    <n v="493267.68999999907"/>
  </r>
  <r>
    <s v="06/18/2025"/>
    <x v="1"/>
    <x v="6"/>
    <s v="M&amp;T Operating"/>
    <m/>
    <s v="Payment"/>
    <s v="Delta Dental Washington:Delta Dental Washington - T&amp;M Scope B"/>
    <s v="11005 Accounts Receivable"/>
    <x v="2"/>
    <x v="2"/>
    <m/>
    <n v="2855"/>
    <n v="2855"/>
    <n v="496122.68999999907"/>
  </r>
  <r>
    <s v="06/18/2025"/>
    <x v="1"/>
    <x v="6"/>
    <s v="M&amp;T Operating"/>
    <m/>
    <s v="Bill Payment"/>
    <s v="Joseph Kennedy (joey.kennedy@synaptic.build)"/>
    <s v="20005 Accounts Payable"/>
    <x v="3"/>
    <x v="4"/>
    <n v="119.99"/>
    <m/>
    <n v="-119.99"/>
    <n v="496002.69999999908"/>
  </r>
  <r>
    <s v="06/18/2025"/>
    <x v="1"/>
    <x v="6"/>
    <s v="Ramp Card"/>
    <m/>
    <s v="Expense"/>
    <s v="McDonald's"/>
    <s v="66505 AppIQ - Research &amp; Development:AppIQ - R&amp;D - Meals &amp; Entertainment"/>
    <x v="3"/>
    <x v="4"/>
    <n v="12.45"/>
    <m/>
    <n v="-12.45"/>
    <n v="495990.24999999907"/>
  </r>
  <r>
    <s v="06/18/2025"/>
    <x v="1"/>
    <x v="6"/>
    <s v="M&amp;T Operating"/>
    <m/>
    <s v="Bill Payment"/>
    <s v="Safa Ijaz (safa@synaptic.build)"/>
    <s v="20005 Accounts Payable"/>
    <x v="3"/>
    <x v="4"/>
    <n v="100"/>
    <m/>
    <n v="-100"/>
    <n v="495890.24999999907"/>
  </r>
  <r>
    <s v="06/18/2025"/>
    <x v="1"/>
    <x v="6"/>
    <s v="Ramp Card"/>
    <m/>
    <s v="Expense"/>
    <s v="Southwest Airlines"/>
    <s v="69500 General &amp; Administrative:G&amp;A - Travel"/>
    <x v="3"/>
    <x v="4"/>
    <n v="20"/>
    <m/>
    <n v="-20"/>
    <n v="495870.24999999907"/>
  </r>
  <r>
    <s v="06/18/2025"/>
    <x v="1"/>
    <x v="6"/>
    <s v="Ramp Card"/>
    <m/>
    <s v="Expense"/>
    <s v="Southwest Airlines"/>
    <s v="69500 General &amp; Administrative:G&amp;A - Travel"/>
    <x v="3"/>
    <x v="4"/>
    <n v="260.48"/>
    <m/>
    <n v="-260.48"/>
    <n v="495609.76999999909"/>
  </r>
  <r>
    <s v="06/18/2025"/>
    <x v="1"/>
    <x v="6"/>
    <s v="Ramp Card"/>
    <m/>
    <s v="Expense"/>
    <s v="Southwest Airlines"/>
    <s v="69500 General &amp; Administrative:G&amp;A - Travel"/>
    <x v="3"/>
    <x v="4"/>
    <n v="188.19"/>
    <m/>
    <n v="-188.19"/>
    <n v="495421.57999999908"/>
  </r>
  <r>
    <s v="06/18/2025"/>
    <x v="1"/>
    <x v="6"/>
    <s v="Ramp Card"/>
    <m/>
    <s v="Expense"/>
    <s v="Southwest Airlines"/>
    <s v="69500 General &amp; Administrative:G&amp;A - Travel"/>
    <x v="3"/>
    <x v="4"/>
    <n v="215"/>
    <m/>
    <n v="-215"/>
    <n v="495206.57999999908"/>
  </r>
  <r>
    <s v="06/18/2025"/>
    <x v="1"/>
    <x v="6"/>
    <s v="Ramp Card"/>
    <m/>
    <s v="Expense"/>
    <s v="Southwest Airlines"/>
    <s v="69500 General &amp; Administrative:G&amp;A - Travel"/>
    <x v="3"/>
    <x v="4"/>
    <n v="20.2"/>
    <m/>
    <n v="-20.2"/>
    <n v="495186.37999999907"/>
  </r>
  <r>
    <s v="06/18/2025"/>
    <x v="1"/>
    <x v="6"/>
    <s v="Ramp Card"/>
    <m/>
    <s v="Expense"/>
    <s v="The Cafe"/>
    <s v="64505 AppIQ - Sales:AppIQ - Sales - Meals &amp; Entertainment"/>
    <x v="3"/>
    <x v="4"/>
    <n v="11.82"/>
    <m/>
    <n v="-11.82"/>
    <n v="495174.55999999907"/>
  </r>
  <r>
    <s v="06/18/2025"/>
    <x v="1"/>
    <x v="6"/>
    <s v="Ramp Card"/>
    <m/>
    <s v="Expense"/>
    <s v="The Palm"/>
    <s v="64505 AppIQ - Sales:AppIQ - Sales - Meals &amp; Entertainment"/>
    <x v="3"/>
    <x v="4"/>
    <n v="59.85"/>
    <m/>
    <n v="-59.85"/>
    <n v="495114.70999999909"/>
  </r>
  <r>
    <s v="06/18/2025"/>
    <x v="1"/>
    <x v="6"/>
    <s v="Ramp Card"/>
    <m/>
    <s v="Expense"/>
    <s v="Uber"/>
    <s v="64500 AppIQ - Sales:AppIQ - Sales - Travel"/>
    <x v="3"/>
    <x v="4"/>
    <n v="20.96"/>
    <m/>
    <n v="-20.96"/>
    <n v="495093.74999999907"/>
  </r>
  <r>
    <s v="06/18/2025"/>
    <x v="1"/>
    <x v="6"/>
    <s v="Ramp Card"/>
    <m/>
    <s v="Expense"/>
    <s v="United"/>
    <s v="66500 AppIQ - Research &amp; Development:AppIQ - R&amp;D - Travel"/>
    <x v="3"/>
    <x v="4"/>
    <n v="366.96"/>
    <m/>
    <n v="-366.96"/>
    <n v="494726.78999999905"/>
  </r>
  <r>
    <s v="06/18/2025"/>
    <x v="1"/>
    <x v="6"/>
    <s v="M&amp;T Operating"/>
    <m/>
    <s v="Expense"/>
    <s v="Wex Health, Inc."/>
    <s v="22320 Accrued Expenses:Accrued Expenses - WEX Clearing"/>
    <x v="1"/>
    <x v="1"/>
    <n v="89.61"/>
    <m/>
    <n v="-89.61"/>
    <n v="494637.17999999906"/>
  </r>
  <r>
    <s v="06/18/2025"/>
    <x v="1"/>
    <x v="6"/>
    <s v="M&amp;T Operating"/>
    <m/>
    <s v="Transfer"/>
    <m/>
    <s v="10010 M&amp;T Bank - IntraFi Network Sweep"/>
    <x v="0"/>
    <x v="0"/>
    <n v="1758.33"/>
    <m/>
    <n v="-1758.33"/>
    <n v="492878.84999999905"/>
  </r>
  <r>
    <s v="06/19/2025"/>
    <x v="1"/>
    <x v="6"/>
    <s v="Ramp Card"/>
    <m/>
    <s v="Expense"/>
    <s v="Bellwood Coffee"/>
    <s v="66505 AppIQ - Research &amp; Development:AppIQ - R&amp;D - Meals &amp; Entertainment"/>
    <x v="3"/>
    <x v="4"/>
    <n v="6.36"/>
    <m/>
    <n v="-6.36"/>
    <n v="492872.48999999906"/>
  </r>
  <r>
    <s v="06/19/2025"/>
    <x v="1"/>
    <x v="6"/>
    <s v="Ramp Card"/>
    <m/>
    <s v="Expense"/>
    <s v="CALI"/>
    <s v="64505 AppIQ - Sales:AppIQ - Sales - Meals &amp; Entertainment"/>
    <x v="3"/>
    <x v="4"/>
    <n v="22.9"/>
    <m/>
    <n v="-22.9"/>
    <n v="492849.58999999904"/>
  </r>
  <r>
    <s v="06/19/2025"/>
    <x v="1"/>
    <x v="6"/>
    <s v="Ramp Card"/>
    <m/>
    <s v="Expense"/>
    <s v="ElevenLabs"/>
    <s v="69400 General &amp; Administrative:G&amp;A - Software Applications &amp; Licenses"/>
    <x v="3"/>
    <x v="10"/>
    <n v="1.06"/>
    <m/>
    <n v="-1.06"/>
    <n v="492848.52999999904"/>
  </r>
  <r>
    <s v="06/19/2025"/>
    <x v="1"/>
    <x v="6"/>
    <s v="Ramp Card"/>
    <m/>
    <s v="Expense"/>
    <s v="EZCater"/>
    <s v="66505 AppIQ - Research &amp; Development:AppIQ - R&amp;D - Meals &amp; Entertainment"/>
    <x v="3"/>
    <x v="4"/>
    <n v="244.84"/>
    <m/>
    <n v="-244.84"/>
    <n v="492603.68999999901"/>
  </r>
  <r>
    <s v="06/19/2025"/>
    <x v="1"/>
    <x v="6"/>
    <s v="Ramp Card"/>
    <m/>
    <s v="Expense"/>
    <s v="McDonald's"/>
    <s v="64505 AppIQ - Sales:AppIQ - Sales - Meals &amp; Entertainment"/>
    <x v="3"/>
    <x v="4"/>
    <n v="10.79"/>
    <m/>
    <n v="-10.79"/>
    <n v="492592.89999999903"/>
  </r>
  <r>
    <s v="06/19/2025"/>
    <x v="1"/>
    <x v="6"/>
    <s v="Ramp Card"/>
    <m/>
    <s v="Expense"/>
    <s v="Southern National"/>
    <s v="66505 AppIQ - Research &amp; Development:AppIQ - R&amp;D - Meals &amp; Entertainment"/>
    <x v="3"/>
    <x v="4"/>
    <n v="25.16"/>
    <m/>
    <n v="-25.16"/>
    <n v="492567.73999999906"/>
  </r>
  <r>
    <s v="06/19/2025"/>
    <x v="1"/>
    <x v="6"/>
    <s v="Ramp Card"/>
    <m/>
    <s v="Expense"/>
    <s v="Taxi"/>
    <s v="66500 AppIQ - Research &amp; Development:AppIQ - R&amp;D - Travel"/>
    <x v="3"/>
    <x v="4"/>
    <n v="90"/>
    <m/>
    <n v="-90"/>
    <n v="492477.73999999906"/>
  </r>
  <r>
    <s v="06/19/2025"/>
    <x v="1"/>
    <x v="6"/>
    <s v="Ramp Card"/>
    <m/>
    <s v="Expense"/>
    <s v="Uber"/>
    <s v="64500 AppIQ - Sales:AppIQ - Sales - Travel"/>
    <x v="3"/>
    <x v="4"/>
    <n v="66.97"/>
    <m/>
    <n v="-66.97"/>
    <n v="492410.76999999909"/>
  </r>
  <r>
    <s v="06/19/2025"/>
    <x v="1"/>
    <x v="6"/>
    <s v="Ramp Card"/>
    <m/>
    <s v="Expense"/>
    <s v="Uber"/>
    <s v="66500 AppIQ - Research &amp; Development:AppIQ - R&amp;D - Travel"/>
    <x v="3"/>
    <x v="4"/>
    <n v="76.02"/>
    <m/>
    <n v="-76.02"/>
    <n v="492334.74999999907"/>
  </r>
  <r>
    <s v="06/19/2025"/>
    <x v="1"/>
    <x v="6"/>
    <s v="Ramp Card"/>
    <m/>
    <s v="Expense"/>
    <s v="Wyndham"/>
    <s v="66500 AppIQ - Research &amp; Development:AppIQ - R&amp;D - Travel"/>
    <x v="3"/>
    <x v="4"/>
    <n v="172.92"/>
    <m/>
    <n v="-172.92"/>
    <n v="492161.82999999908"/>
  </r>
  <r>
    <s v="06/20/2025"/>
    <x v="1"/>
    <x v="6"/>
    <s v="M&amp;T Operating"/>
    <m/>
    <s v="Deposit"/>
    <s v="Advisory Council on Historic Preservation (ACHP)"/>
    <s v="14005 Undeposited Funds"/>
    <x v="2"/>
    <x v="2"/>
    <m/>
    <n v="9987"/>
    <n v="9987"/>
    <n v="502148.82999999908"/>
  </r>
  <r>
    <s v="06/20/2025"/>
    <x v="1"/>
    <x v="6"/>
    <s v="Ramp Card"/>
    <m/>
    <s v="CC-Credit"/>
    <s v="American Airlines"/>
    <s v="64500 AppIQ - Sales:AppIQ - Sales - Travel"/>
    <x v="3"/>
    <x v="4"/>
    <m/>
    <n v="95"/>
    <n v="95"/>
    <n v="502243.82999999908"/>
  </r>
  <r>
    <s v="06/20/2025"/>
    <x v="1"/>
    <x v="6"/>
    <s v="M&amp;T Operating"/>
    <m/>
    <s v="Expense"/>
    <s v="Bancorpsv (Benefit Deduction)"/>
    <s v="22335 Accrued Expenses:Accrued Expenses - Bancorpsv Clearing"/>
    <x v="1"/>
    <x v="1"/>
    <n v="124.1"/>
    <m/>
    <n v="-124.1"/>
    <n v="502119.72999999911"/>
  </r>
  <r>
    <s v="06/20/2025"/>
    <x v="1"/>
    <x v="6"/>
    <s v="Ramp Card"/>
    <m/>
    <s v="Expense"/>
    <s v="Denver Airport Parking"/>
    <s v="66500 AppIQ - Research &amp; Development:AppIQ - R&amp;D - Travel"/>
    <x v="3"/>
    <x v="4"/>
    <n v="70"/>
    <m/>
    <n v="-70"/>
    <n v="502049.72999999911"/>
  </r>
  <r>
    <s v="06/20/2025"/>
    <x v="1"/>
    <x v="6"/>
    <s v="Ramp Card"/>
    <m/>
    <s v="Expense"/>
    <s v="Foxtail Coffee"/>
    <s v="64505 AppIQ - Sales:AppIQ - Sales - Meals &amp; Entertainment"/>
    <x v="3"/>
    <x v="4"/>
    <n v="17.100000000000001"/>
    <m/>
    <n v="-17.100000000000001"/>
    <n v="502032.62999999913"/>
  </r>
  <r>
    <s v="06/20/2025"/>
    <x v="1"/>
    <x v="6"/>
    <s v="M&amp;T Operating"/>
    <m/>
    <s v="Bill Payment"/>
    <s v="Joseph Kennedy (joey.kennedy@synaptic.build)"/>
    <s v="20005 Accounts Payable"/>
    <x v="3"/>
    <x v="4"/>
    <n v="13.44"/>
    <m/>
    <n v="-13.44"/>
    <n v="502019.18999999913"/>
  </r>
  <r>
    <s v="06/20/2025"/>
    <x v="1"/>
    <x v="6"/>
    <s v="M&amp;T Operating"/>
    <m/>
    <s v="Bill Payment"/>
    <s v="Joseph Kennedy (joey.kennedy@synaptic.build)"/>
    <s v="20005 Accounts Payable"/>
    <x v="3"/>
    <x v="4"/>
    <n v="29.34"/>
    <m/>
    <n v="-29.34"/>
    <n v="501989.8499999991"/>
  </r>
  <r>
    <s v="06/20/2025"/>
    <x v="1"/>
    <x v="6"/>
    <s v="M&amp;T Operating"/>
    <m/>
    <s v="Bill Payment"/>
    <s v="Joseph Kennedy (joey.kennedy@synaptic.build)"/>
    <s v="20005 Accounts Payable"/>
    <x v="3"/>
    <x v="4"/>
    <n v="488.36"/>
    <m/>
    <n v="-488.36"/>
    <n v="501501.48999999912"/>
  </r>
  <r>
    <s v="06/20/2025"/>
    <x v="1"/>
    <x v="6"/>
    <s v="Ramp Card"/>
    <m/>
    <s v="Expense"/>
    <s v="Movio"/>
    <s v="69400 General &amp; Administrative:G&amp;A - Software Applications &amp; Licenses"/>
    <x v="3"/>
    <x v="10"/>
    <n v="78"/>
    <m/>
    <n v="-78"/>
    <n v="501423.48999999912"/>
  </r>
  <r>
    <s v="06/20/2025"/>
    <x v="1"/>
    <x v="6"/>
    <s v="Ramp Card"/>
    <m/>
    <s v="Expense"/>
    <s v="Movio"/>
    <s v="69400 General &amp; Administrative:G&amp;A - Software Applications &amp; Licenses"/>
    <x v="3"/>
    <x v="10"/>
    <n v="15"/>
    <m/>
    <n v="-15"/>
    <n v="501408.48999999912"/>
  </r>
  <r>
    <s v="06/20/2025"/>
    <x v="1"/>
    <x v="6"/>
    <s v="M&amp;T Operating"/>
    <m/>
    <s v="Expense"/>
    <s v="QuickBooks Payments"/>
    <s v="69805 General &amp; Administrative:G&amp;A - Bank Fees"/>
    <x v="0"/>
    <x v="6"/>
    <n v="339.81"/>
    <m/>
    <n v="-339.81"/>
    <n v="501068.67999999912"/>
  </r>
  <r>
    <s v="06/20/2025"/>
    <x v="1"/>
    <x v="6"/>
    <s v="M&amp;T Operating"/>
    <m/>
    <s v="Bill Payment"/>
    <s v="Rosen, Sappersteim &amp; Friedlander, LLC"/>
    <s v="20005 Accounts Payable"/>
    <x v="3"/>
    <x v="23"/>
    <n v="287.5"/>
    <m/>
    <n v="-287.5"/>
    <n v="500781.17999999912"/>
  </r>
  <r>
    <s v="06/20/2025"/>
    <x v="1"/>
    <x v="6"/>
    <s v="M&amp;T Operating"/>
    <m/>
    <s v="Expense"/>
    <s v="The Hartford"/>
    <s v="69800 General &amp; Administrative:G&amp;A - Insurance"/>
    <x v="3"/>
    <x v="14"/>
    <n v="1332.89"/>
    <m/>
    <n v="-1332.89"/>
    <n v="499448.28999999911"/>
  </r>
  <r>
    <s v="06/20/2025"/>
    <x v="1"/>
    <x v="6"/>
    <s v="M&amp;T Operating"/>
    <m/>
    <s v="Bill Payment"/>
    <s v="Whitehouse &amp; Cooper, PLCC"/>
    <s v="20005 Accounts Payable"/>
    <x v="3"/>
    <x v="5"/>
    <n v="3818"/>
    <m/>
    <n v="-3818"/>
    <n v="495630.28999999911"/>
  </r>
  <r>
    <s v="06/20/2025"/>
    <x v="1"/>
    <x v="6"/>
    <s v="M&amp;T Operating"/>
    <m/>
    <s v="Bill Payment"/>
    <s v="William Karpovich (bill@synaptic.build)"/>
    <s v="20005 Accounts Payable"/>
    <x v="3"/>
    <x v="4"/>
    <n v="6832.56"/>
    <m/>
    <n v="-6832.56"/>
    <n v="488797.72999999911"/>
  </r>
  <r>
    <s v="06/20/2025"/>
    <x v="1"/>
    <x v="6"/>
    <s v="M&amp;T Operating"/>
    <m/>
    <s v="Bill Payment"/>
    <s v="William Karpovich (bill@synaptic.build)"/>
    <s v="20005 Accounts Payable"/>
    <x v="3"/>
    <x v="4"/>
    <n v="6206.23"/>
    <m/>
    <n v="-6206.23"/>
    <n v="482591.49999999913"/>
  </r>
  <r>
    <s v="06/20/2025"/>
    <x v="1"/>
    <x v="6"/>
    <s v="M&amp;T Operating"/>
    <m/>
    <s v="Transfer"/>
    <m/>
    <s v="10010 M&amp;T Bank - IntraFi Network Sweep"/>
    <x v="0"/>
    <x v="0"/>
    <m/>
    <n v="18851.27"/>
    <n v="18851.27"/>
    <n v="501442.76999999915"/>
  </r>
  <r>
    <s v="06/21/2025"/>
    <x v="1"/>
    <x v="6"/>
    <s v="Ramp Card"/>
    <m/>
    <s v="Expense"/>
    <s v="Lucid Chart"/>
    <s v="69400 General &amp; Administrative:G&amp;A - Software Applications &amp; Licenses"/>
    <x v="3"/>
    <x v="10"/>
    <n v="372.28"/>
    <m/>
    <n v="-372.28"/>
    <n v="501070.48999999912"/>
  </r>
  <r>
    <s v="06/21/2025"/>
    <x v="1"/>
    <x v="6"/>
    <s v="Ramp Card"/>
    <m/>
    <s v="Expense"/>
    <s v="Zoom"/>
    <s v="69400 General &amp; Administrative:G&amp;A - Software Applications &amp; Licenses"/>
    <x v="3"/>
    <x v="10"/>
    <n v="16.989999999999998"/>
    <m/>
    <n v="-16.989999999999998"/>
    <n v="501053.49999999913"/>
  </r>
  <r>
    <s v="06/22/2025"/>
    <x v="1"/>
    <x v="6"/>
    <s v="Ramp Card"/>
    <m/>
    <s v="Expense"/>
    <s v="OpenAI"/>
    <s v="51400 Classic COGS - Delivery:Classic COGS - Delivery - Software Applications &amp; Licenses"/>
    <x v="3"/>
    <x v="10"/>
    <n v="20"/>
    <m/>
    <n v="-20"/>
    <n v="501033.49999999913"/>
  </r>
  <r>
    <s v="06/23/2025"/>
    <x v="1"/>
    <x v="6"/>
    <s v="M&amp;T Operating"/>
    <m/>
    <s v="Expense"/>
    <s v="Cigna Healthcare"/>
    <s v="22305 Accrued Expenses:Accrued Expenses - Cigna Clearing"/>
    <x v="1"/>
    <x v="1"/>
    <n v="1463.18"/>
    <m/>
    <n v="-1463.18"/>
    <n v="499570.31999999913"/>
  </r>
  <r>
    <s v="06/23/2025"/>
    <x v="1"/>
    <x v="6"/>
    <s v="M&amp;T Operating"/>
    <m/>
    <s v="Bill Payment"/>
    <s v="International Computer Services Inc."/>
    <s v="20005 Accounts Payable"/>
    <x v="3"/>
    <x v="10"/>
    <n v="3061.89"/>
    <m/>
    <n v="-3061.89"/>
    <n v="496508.42999999912"/>
  </r>
  <r>
    <s v="06/23/2025"/>
    <x v="1"/>
    <x v="6"/>
    <s v="M&amp;T Operating"/>
    <m/>
    <s v="Bill Payment"/>
    <s v="Joseph Kennedy (joey.kennedy@synaptic.build)"/>
    <s v="20005 Accounts Payable"/>
    <x v="3"/>
    <x v="4"/>
    <n v="304.99"/>
    <m/>
    <n v="-304.99"/>
    <n v="496203.43999999913"/>
  </r>
  <r>
    <s v="06/23/2025"/>
    <x v="1"/>
    <x v="6"/>
    <s v="M&amp;T Operating"/>
    <m/>
    <s v="Bill Payment"/>
    <s v="Joseph Kennedy (joey.kennedy@synaptic.build)"/>
    <s v="20005 Accounts Payable"/>
    <x v="3"/>
    <x v="4"/>
    <n v="23.6"/>
    <m/>
    <n v="-23.6"/>
    <n v="496179.83999999915"/>
  </r>
  <r>
    <s v="06/23/2025"/>
    <x v="1"/>
    <x v="6"/>
    <s v="M&amp;T Operating"/>
    <m/>
    <s v="Expense"/>
    <s v="The Hartford"/>
    <s v="69800 General &amp; Administrative:G&amp;A - Insurance"/>
    <x v="3"/>
    <x v="14"/>
    <n v="1706.6"/>
    <m/>
    <n v="-1706.6"/>
    <n v="494473.23999999918"/>
  </r>
  <r>
    <s v="06/23/2025"/>
    <x v="1"/>
    <x v="6"/>
    <s v="M&amp;T Operating"/>
    <m/>
    <s v="Bill Payment"/>
    <s v="William Karpovich (bill@synaptic.build)"/>
    <s v="20005 Accounts Payable"/>
    <x v="3"/>
    <x v="4"/>
    <n v="4762.0600000000004"/>
    <m/>
    <n v="-4762.0600000000004"/>
    <n v="489711.17999999918"/>
  </r>
  <r>
    <s v="06/23/2025"/>
    <x v="1"/>
    <x v="6"/>
    <s v="M&amp;T Operating"/>
    <m/>
    <s v="Transfer"/>
    <m/>
    <s v="10010 M&amp;T Bank - IntraFi Network Sweep"/>
    <x v="0"/>
    <x v="0"/>
    <m/>
    <n v="1877.68"/>
    <n v="1877.68"/>
    <n v="491588.85999999917"/>
  </r>
  <r>
    <s v="06/24/2025"/>
    <x v="1"/>
    <x v="6"/>
    <s v="Ramp Card"/>
    <m/>
    <s v="Expense"/>
    <s v="Caves Valley Golf Club"/>
    <s v="69505 General &amp; Administrative:G&amp;A - Meals &amp; Entertainment"/>
    <x v="3"/>
    <x v="4"/>
    <n v="46.64"/>
    <m/>
    <n v="-46.64"/>
    <n v="491542.21999999916"/>
  </r>
  <r>
    <s v="06/24/2025"/>
    <x v="1"/>
    <x v="6"/>
    <s v="Ramp Card"/>
    <m/>
    <s v="Expense"/>
    <s v="Uber"/>
    <s v="64500 AppIQ - Sales:AppIQ - Sales - Travel"/>
    <x v="3"/>
    <x v="4"/>
    <n v="41.9"/>
    <m/>
    <n v="-41.9"/>
    <n v="491500.31999999913"/>
  </r>
  <r>
    <s v="06/24/2025"/>
    <x v="1"/>
    <x v="6"/>
    <s v="M&amp;T Operating"/>
    <m/>
    <s v="Transfer"/>
    <m/>
    <s v="10010 M&amp;T Bank - IntraFi Network Sweep"/>
    <x v="0"/>
    <x v="0"/>
    <m/>
    <n v="328.59"/>
    <n v="328.59"/>
    <n v="491828.90999999916"/>
  </r>
  <r>
    <s v="06/25/2025"/>
    <x v="1"/>
    <x v="6"/>
    <s v="M&amp;T Operating"/>
    <m/>
    <s v="Expense"/>
    <s v="Bancorpsv (Benefit Deduction)"/>
    <s v="22335 Accrued Expenses:Accrued Expenses - Bancorpsv Clearing"/>
    <x v="1"/>
    <x v="1"/>
    <n v="50"/>
    <m/>
    <n v="-50"/>
    <n v="491778.90999999916"/>
  </r>
  <r>
    <s v="06/25/2025"/>
    <x v="1"/>
    <x v="6"/>
    <s v="M&amp;T Operating"/>
    <m/>
    <s v="Bill Payment"/>
    <s v="Carahsoft Technology Corp"/>
    <s v="20005 Accounts Payable"/>
    <x v="4"/>
    <x v="9"/>
    <n v="2500"/>
    <m/>
    <n v="-2500"/>
    <n v="489278.90999999916"/>
  </r>
  <r>
    <s v="06/25/2025"/>
    <x v="1"/>
    <x v="6"/>
    <s v="M&amp;T Operating"/>
    <m/>
    <s v="Bill Payment"/>
    <s v="Concur Technologies [Auto Pay MV]"/>
    <s v="20005 Accounts Payable"/>
    <x v="3"/>
    <x v="10"/>
    <n v="112.07"/>
    <m/>
    <n v="-112.07"/>
    <n v="489166.83999999915"/>
  </r>
  <r>
    <s v="06/25/2025"/>
    <x v="1"/>
    <x v="6"/>
    <s v="Ramp Card"/>
    <m/>
    <s v="Expense"/>
    <s v="J. Pace &amp; Son"/>
    <s v="64505 AppIQ - Sales:AppIQ - Sales - Meals &amp; Entertainment"/>
    <x v="3"/>
    <x v="4"/>
    <n v="16.09"/>
    <m/>
    <n v="-16.09"/>
    <n v="489150.74999999913"/>
  </r>
  <r>
    <s v="06/25/2025"/>
    <x v="1"/>
    <x v="6"/>
    <s v="M&amp;T Operating"/>
    <m/>
    <s v="Bill Payment"/>
    <s v="Nemphos Braue LLC"/>
    <s v="20005 Accounts Payable"/>
    <x v="3"/>
    <x v="5"/>
    <n v="2848"/>
    <m/>
    <n v="-2848"/>
    <n v="486302.74999999913"/>
  </r>
  <r>
    <s v="06/25/2025"/>
    <x v="1"/>
    <x v="6"/>
    <s v="M&amp;T Operating"/>
    <m/>
    <s v="Bill Payment"/>
    <s v="Nemphos Braue LLC"/>
    <s v="20005 Accounts Payable"/>
    <x v="3"/>
    <x v="5"/>
    <n v="3720.45"/>
    <m/>
    <n v="-3720.45"/>
    <n v="482582.29999999912"/>
  </r>
  <r>
    <s v="06/25/2025"/>
    <x v="1"/>
    <x v="6"/>
    <s v="Ramp Card"/>
    <m/>
    <s v="Expense"/>
    <s v="Samos Greek Island Grill"/>
    <s v="69505 General &amp; Administrative:G&amp;A - Meals &amp; Entertainment"/>
    <x v="3"/>
    <x v="4"/>
    <n v="38.85"/>
    <m/>
    <n v="-38.85"/>
    <n v="482543.44999999914"/>
  </r>
  <r>
    <s v="06/25/2025"/>
    <x v="1"/>
    <x v="6"/>
    <s v="Ramp Card"/>
    <m/>
    <s v="Expense"/>
    <s v="The Westin"/>
    <s v="64500 AppIQ - Sales:AppIQ - Sales - Travel"/>
    <x v="3"/>
    <x v="4"/>
    <n v="720.83"/>
    <m/>
    <n v="-720.83"/>
    <n v="481822.61999999912"/>
  </r>
  <r>
    <s v="06/25/2025"/>
    <x v="1"/>
    <x v="6"/>
    <s v="Ramp Card"/>
    <m/>
    <s v="Expense"/>
    <s v="Uber"/>
    <s v="64500 AppIQ - Sales:AppIQ - Sales - Travel"/>
    <x v="3"/>
    <x v="4"/>
    <n v="15.76"/>
    <m/>
    <n v="-15.76"/>
    <n v="481806.85999999911"/>
  </r>
  <r>
    <s v="06/25/2025"/>
    <x v="1"/>
    <x v="6"/>
    <s v="Ramp Card"/>
    <m/>
    <s v="Expense"/>
    <s v="Uber"/>
    <s v="64500 AppIQ - Sales:AppIQ - Sales - Travel"/>
    <x v="3"/>
    <x v="4"/>
    <n v="33.99"/>
    <m/>
    <n v="-33.99"/>
    <n v="481772.86999999912"/>
  </r>
  <r>
    <s v="06/25/2025"/>
    <x v="1"/>
    <x v="6"/>
    <s v="Ramp Card"/>
    <m/>
    <s v="Expense"/>
    <s v="Uber"/>
    <s v="64500 AppIQ - Sales:AppIQ - Sales - Travel"/>
    <x v="3"/>
    <x v="4"/>
    <n v="23.9"/>
    <m/>
    <n v="-23.9"/>
    <n v="481748.9699999991"/>
  </r>
  <r>
    <s v="06/25/2025"/>
    <x v="1"/>
    <x v="6"/>
    <s v="Ramp Card"/>
    <m/>
    <s v="Expense"/>
    <s v="Uber"/>
    <s v="64500 AppIQ - Sales:AppIQ - Sales - Travel"/>
    <x v="3"/>
    <x v="4"/>
    <n v="4"/>
    <m/>
    <n v="-4"/>
    <n v="481744.9699999991"/>
  </r>
  <r>
    <s v="06/25/2025"/>
    <x v="1"/>
    <x v="6"/>
    <s v="M&amp;T Operating"/>
    <m/>
    <s v="Expense"/>
    <s v="Wex Health, Inc."/>
    <s v="22320 Accrued Expenses:Accrued Expenses - WEX Clearing"/>
    <x v="1"/>
    <x v="1"/>
    <n v="61.8"/>
    <m/>
    <n v="-61.8"/>
    <n v="481683.16999999911"/>
  </r>
  <r>
    <s v="06/25/2025"/>
    <x v="1"/>
    <x v="6"/>
    <s v="M&amp;T Operating"/>
    <m/>
    <s v="Payment"/>
    <s v="Youreka Labs, Inc"/>
    <s v="11005 Accounts Receivable"/>
    <x v="2"/>
    <x v="2"/>
    <m/>
    <n v="5722.25"/>
    <n v="5722.25"/>
    <n v="487405.41999999911"/>
  </r>
  <r>
    <s v="06/25/2025"/>
    <x v="1"/>
    <x v="6"/>
    <s v="Ramp Card"/>
    <m/>
    <s v="Expense"/>
    <s v="Yume Ga Arukara"/>
    <s v="64505 AppIQ - Sales:AppIQ - Sales - Meals &amp; Entertainment"/>
    <x v="3"/>
    <x v="4"/>
    <n v="24.4"/>
    <m/>
    <n v="-24.4"/>
    <n v="487381.01999999909"/>
  </r>
  <r>
    <s v="06/25/2025"/>
    <x v="1"/>
    <x v="6"/>
    <s v="M&amp;T Operating"/>
    <m/>
    <s v="Transfer"/>
    <m/>
    <s v="10010 M&amp;T Bank - IntraFi Network Sweep"/>
    <x v="0"/>
    <x v="0"/>
    <m/>
    <n v="3570.07"/>
    <n v="3570.07"/>
    <n v="490951.08999999909"/>
  </r>
  <r>
    <s v="06/26/2025"/>
    <x v="1"/>
    <x v="6"/>
    <s v="Ramp Card"/>
    <m/>
    <s v="Expense"/>
    <s v="7-Eleven"/>
    <s v="64505 AppIQ - Sales:AppIQ - Sales - Meals &amp; Entertainment"/>
    <x v="3"/>
    <x v="4"/>
    <n v="4.04"/>
    <m/>
    <n v="-4.04"/>
    <n v="490947.04999999912"/>
  </r>
  <r>
    <s v="06/26/2025"/>
    <x v="1"/>
    <x v="6"/>
    <s v="Ramp Card"/>
    <m/>
    <s v="Expense"/>
    <s v="Air Ventures"/>
    <s v="69505 General &amp; Administrative:G&amp;A - Meals &amp; Entertainment"/>
    <x v="3"/>
    <x v="4"/>
    <n v="25.44"/>
    <m/>
    <n v="-25.44"/>
    <n v="490921.60999999911"/>
  </r>
  <r>
    <s v="06/26/2025"/>
    <x v="1"/>
    <x v="6"/>
    <s v="Ramp Card"/>
    <m/>
    <s v="Expense"/>
    <s v="Curb Taxi App"/>
    <s v="69500 General &amp; Administrative:G&amp;A - Travel"/>
    <x v="3"/>
    <x v="4"/>
    <n v="31.74"/>
    <m/>
    <n v="-31.74"/>
    <n v="490889.86999999912"/>
  </r>
  <r>
    <s v="06/26/2025"/>
    <x v="1"/>
    <x v="6"/>
    <s v="Ramp Card"/>
    <m/>
    <s v="Expense"/>
    <s v="Curb Taxi App"/>
    <s v="69500 General &amp; Administrative:G&amp;A - Travel"/>
    <x v="3"/>
    <x v="4"/>
    <n v="32.04"/>
    <m/>
    <n v="-32.04"/>
    <n v="490857.82999999914"/>
  </r>
  <r>
    <s v="06/26/2025"/>
    <x v="1"/>
    <x v="6"/>
    <s v="Ramp Card"/>
    <m/>
    <s v="Expense"/>
    <s v="Del Frisco's Double Eagle Steakhouse"/>
    <s v="64505 AppIQ - Sales:AppIQ - Sales - Meals &amp; Entertainment"/>
    <x v="3"/>
    <x v="4"/>
    <n v="523.75"/>
    <m/>
    <n v="-523.75"/>
    <n v="490334.07999999914"/>
  </r>
  <r>
    <s v="06/26/2025"/>
    <x v="1"/>
    <x v="6"/>
    <s v="Ramp Card"/>
    <m/>
    <s v="Expense"/>
    <s v="J. Pace &amp; Son"/>
    <s v="64505 AppIQ - Sales:AppIQ - Sales - Meals &amp; Entertainment"/>
    <x v="3"/>
    <x v="4"/>
    <n v="20"/>
    <m/>
    <n v="-20"/>
    <n v="490314.07999999914"/>
  </r>
  <r>
    <s v="06/26/2025"/>
    <x v="1"/>
    <x v="6"/>
    <s v="Ramp Card"/>
    <m/>
    <s v="Expense"/>
    <s v="Kestra"/>
    <s v="64505 AppIQ - Sales:AppIQ - Sales - Meals &amp; Entertainment"/>
    <x v="3"/>
    <x v="4"/>
    <n v="46.52"/>
    <m/>
    <n v="-46.52"/>
    <n v="490267.55999999912"/>
  </r>
  <r>
    <s v="06/26/2025"/>
    <x v="1"/>
    <x v="6"/>
    <s v="Ramp Card"/>
    <m/>
    <s v="Expense"/>
    <s v="Levain Bakery"/>
    <s v="64505 AppIQ - Sales:AppIQ - Sales - Meals &amp; Entertainment"/>
    <x v="3"/>
    <x v="4"/>
    <n v="27.2"/>
    <m/>
    <n v="-27.2"/>
    <n v="490240.35999999911"/>
  </r>
  <r>
    <s v="06/26/2025"/>
    <x v="1"/>
    <x v="6"/>
    <s v="Ramp Card"/>
    <m/>
    <s v="Expense"/>
    <s v="M.J. O'Connor's"/>
    <s v="64505 AppIQ - Sales:AppIQ - Sales - Meals &amp; Entertainment"/>
    <x v="3"/>
    <x v="4"/>
    <n v="51.8"/>
    <m/>
    <n v="-51.8"/>
    <n v="490188.55999999912"/>
  </r>
  <r>
    <s v="06/26/2025"/>
    <x v="1"/>
    <x v="6"/>
    <s v="Ramp Card"/>
    <m/>
    <s v="Expense"/>
    <s v="Not Your Average Joe"/>
    <s v="69505 General &amp; Administrative:G&amp;A - Meals &amp; Entertainment"/>
    <x v="3"/>
    <x v="4"/>
    <n v="56.44"/>
    <m/>
    <n v="-56.44"/>
    <n v="490132.11999999912"/>
  </r>
  <r>
    <s v="06/26/2025"/>
    <x v="1"/>
    <x v="6"/>
    <s v="Ramp Card"/>
    <m/>
    <s v="Expense"/>
    <s v="Starbucks"/>
    <s v="64505 AppIQ - Sales:AppIQ - Sales - Meals &amp; Entertainment"/>
    <x v="3"/>
    <x v="4"/>
    <n v="32.76"/>
    <m/>
    <n v="-32.76"/>
    <n v="490099.35999999911"/>
  </r>
  <r>
    <s v="06/26/2025"/>
    <x v="1"/>
    <x v="6"/>
    <s v="Ramp Card"/>
    <m/>
    <s v="Expense"/>
    <s v="Trillium"/>
    <s v="64505 AppIQ - Sales:AppIQ - Sales - Meals &amp; Entertainment"/>
    <x v="3"/>
    <x v="4"/>
    <n v="55.88"/>
    <m/>
    <n v="-55.88"/>
    <n v="490043.47999999911"/>
  </r>
  <r>
    <s v="06/26/2025"/>
    <x v="1"/>
    <x v="6"/>
    <s v="Ramp Card"/>
    <m/>
    <s v="Expense"/>
    <s v="Uber"/>
    <s v="64500 AppIQ - Sales:AppIQ - Sales - Travel"/>
    <x v="3"/>
    <x v="4"/>
    <n v="15.76"/>
    <m/>
    <n v="-15.76"/>
    <n v="490027.7199999991"/>
  </r>
  <r>
    <s v="06/26/2025"/>
    <x v="1"/>
    <x v="6"/>
    <s v="Ramp Card"/>
    <m/>
    <s v="Expense"/>
    <s v="Uber"/>
    <s v="64500 AppIQ - Sales:AppIQ - Sales - Travel"/>
    <x v="3"/>
    <x v="4"/>
    <n v="18.07"/>
    <m/>
    <n v="-18.07"/>
    <n v="490009.64999999909"/>
  </r>
  <r>
    <s v="06/26/2025"/>
    <x v="1"/>
    <x v="6"/>
    <s v="Ramp Card"/>
    <m/>
    <s v="Expense"/>
    <s v="Uber"/>
    <s v="64500 AppIQ - Sales:AppIQ - Sales - Travel"/>
    <x v="3"/>
    <x v="4"/>
    <n v="12.97"/>
    <m/>
    <n v="-12.97"/>
    <n v="489996.67999999912"/>
  </r>
  <r>
    <s v="06/26/2025"/>
    <x v="1"/>
    <x v="6"/>
    <s v="Ramp Card"/>
    <m/>
    <s v="Expense"/>
    <s v="Uber"/>
    <s v="64500 AppIQ - Sales:AppIQ - Sales - Travel"/>
    <x v="3"/>
    <x v="4"/>
    <n v="14.91"/>
    <m/>
    <n v="-14.91"/>
    <n v="489981.76999999915"/>
  </r>
  <r>
    <s v="06/26/2025"/>
    <x v="1"/>
    <x v="6"/>
    <s v="Ramp Card"/>
    <m/>
    <s v="Expense"/>
    <s v="Uber"/>
    <s v="64500 AppIQ - Sales:AppIQ - Sales - Travel"/>
    <x v="3"/>
    <x v="4"/>
    <n v="11.97"/>
    <m/>
    <n v="-11.97"/>
    <n v="489969.79999999917"/>
  </r>
  <r>
    <s v="06/27/2025"/>
    <x v="1"/>
    <x v="6"/>
    <s v="Ramp Card"/>
    <m/>
    <s v="Expense"/>
    <s v="Alma Gaucha"/>
    <s v="64505 AppIQ - Sales:AppIQ - Sales - Meals &amp; Entertainment"/>
    <x v="3"/>
    <x v="4"/>
    <n v="299.51"/>
    <m/>
    <n v="-299.51"/>
    <n v="489670.28999999916"/>
  </r>
  <r>
    <s v="06/27/2025"/>
    <x v="1"/>
    <x v="6"/>
    <s v="Ramp Card"/>
    <m/>
    <s v="Expense"/>
    <s v="Atlassian"/>
    <s v="69400 General &amp; Administrative:G&amp;A - Software Applications &amp; Licenses"/>
    <x v="3"/>
    <x v="10"/>
    <n v="15.02"/>
    <m/>
    <n v="-15.02"/>
    <n v="489655.26999999915"/>
  </r>
  <r>
    <s v="06/27/2025"/>
    <x v="1"/>
    <x v="6"/>
    <s v="Ramp Card"/>
    <m/>
    <s v="Expense"/>
    <s v="Bwi Taxi 416"/>
    <s v="69500 General &amp; Administrative:G&amp;A - Travel"/>
    <x v="3"/>
    <x v="4"/>
    <n v="72"/>
    <m/>
    <n v="-72"/>
    <n v="489583.26999999915"/>
  </r>
  <r>
    <s v="06/27/2025"/>
    <x v="1"/>
    <x v="6"/>
    <s v="Ramp Card"/>
    <m/>
    <s v="Expense"/>
    <s v="Corolla Raceway"/>
    <s v="69505 General &amp; Administrative:G&amp;A - Meals &amp; Entertainment"/>
    <x v="3"/>
    <x v="4"/>
    <n v="44.72"/>
    <m/>
    <n v="-44.72"/>
    <n v="489538.54999999917"/>
  </r>
  <r>
    <s v="06/27/2025"/>
    <x v="1"/>
    <x v="6"/>
    <s v="Ramp Card"/>
    <m/>
    <s v="Expense"/>
    <s v="Empire"/>
    <s v="64505 AppIQ - Sales:AppIQ - Sales - Meals &amp; Entertainment"/>
    <x v="3"/>
    <x v="4"/>
    <n v="87.76"/>
    <m/>
    <n v="-87.76"/>
    <n v="489450.78999999916"/>
  </r>
  <r>
    <s v="06/27/2025"/>
    <x v="1"/>
    <x v="6"/>
    <s v="Ramp Card"/>
    <m/>
    <s v="Expense"/>
    <s v="Farmer'S Mkt Kiosk Bwi Restaurant"/>
    <s v="69505 General &amp; Administrative:G&amp;A - Meals &amp; Entertainment"/>
    <x v="3"/>
    <x v="4"/>
    <n v="16.93"/>
    <m/>
    <n v="-16.93"/>
    <n v="489433.85999999917"/>
  </r>
  <r>
    <s v="06/27/2025"/>
    <x v="1"/>
    <x v="6"/>
    <s v="Ramp Card"/>
    <m/>
    <s v="Expense"/>
    <s v="Mke Smartpark"/>
    <s v="64500 AppIQ - Sales:AppIQ - Sales - Travel"/>
    <x v="3"/>
    <x v="4"/>
    <n v="44"/>
    <m/>
    <n v="-44"/>
    <n v="489389.85999999917"/>
  </r>
  <r>
    <s v="06/27/2025"/>
    <x v="1"/>
    <x v="6"/>
    <s v="Ramp Card"/>
    <m/>
    <s v="Expense"/>
    <s v="Obrycki's Restaurant and Bar"/>
    <s v="69505 General &amp; Administrative:G&amp;A - Meals &amp; Entertainment"/>
    <x v="3"/>
    <x v="4"/>
    <n v="44.86"/>
    <m/>
    <n v="-44.86"/>
    <n v="489344.99999999919"/>
  </r>
  <r>
    <s v="06/27/2025"/>
    <x v="1"/>
    <x v="6"/>
    <s v="M&amp;T Operating"/>
    <m/>
    <s v="Expense"/>
    <s v="Paylocity"/>
    <s v="22205 Accrued Expenses:Accrued Expenses - Payroll"/>
    <x v="1"/>
    <x v="1"/>
    <n v="1234.75"/>
    <m/>
    <n v="-1234.75"/>
    <n v="488110.24999999919"/>
  </r>
  <r>
    <s v="06/27/2025"/>
    <x v="1"/>
    <x v="6"/>
    <s v="M&amp;T Operating"/>
    <m/>
    <s v="Expense"/>
    <s v="Paylocity"/>
    <s v="22205 Accrued Expenses:Accrued Expenses - Payroll"/>
    <x v="1"/>
    <x v="11"/>
    <n v="45423.74"/>
    <m/>
    <n v="-45423.74"/>
    <n v="442686.50999999919"/>
  </r>
  <r>
    <s v="06/27/2025"/>
    <x v="1"/>
    <x v="6"/>
    <s v="M&amp;T Operating"/>
    <m/>
    <s v="Expense"/>
    <s v="Paylocity"/>
    <s v="22205 Accrued Expenses:Accrued Expenses - Payroll"/>
    <x v="1"/>
    <x v="12"/>
    <n v="90021.59"/>
    <m/>
    <n v="-90021.59"/>
    <n v="352664.91999999923"/>
  </r>
  <r>
    <s v="06/27/2025"/>
    <x v="1"/>
    <x v="6"/>
    <s v="Ramp Card"/>
    <m/>
    <s v="Expense"/>
    <s v="Silver Diner"/>
    <s v="69505 General &amp; Administrative:G&amp;A - Meals &amp; Entertainment"/>
    <x v="3"/>
    <x v="4"/>
    <n v="26.19"/>
    <m/>
    <n v="-26.19"/>
    <n v="352638.72999999922"/>
  </r>
  <r>
    <s v="06/27/2025"/>
    <x v="1"/>
    <x v="6"/>
    <s v="Ramp Card"/>
    <m/>
    <s v="Expense"/>
    <s v="Southwest Airlines"/>
    <s v="69500 General &amp; Administrative:G&amp;A - Travel"/>
    <x v="3"/>
    <x v="4"/>
    <n v="8"/>
    <m/>
    <n v="-8"/>
    <n v="352630.72999999922"/>
  </r>
  <r>
    <s v="06/27/2025"/>
    <x v="1"/>
    <x v="6"/>
    <s v="M&amp;T Operating"/>
    <m/>
    <s v="Payment"/>
    <s v="Total Solutions, Inc"/>
    <s v="11005 Accounts Receivable"/>
    <x v="2"/>
    <x v="2"/>
    <m/>
    <n v="24777.599999999999"/>
    <n v="24777.599999999999"/>
    <n v="377408.3299999992"/>
  </r>
  <r>
    <s v="06/27/2025"/>
    <x v="1"/>
    <x v="6"/>
    <s v="Ramp Card"/>
    <m/>
    <s v="Expense"/>
    <s v="Uber"/>
    <s v="64500 AppIQ - Sales:AppIQ - Sales - Travel"/>
    <x v="3"/>
    <x v="4"/>
    <n v="18.55"/>
    <m/>
    <n v="-18.55"/>
    <n v="377389.77999999921"/>
  </r>
  <r>
    <s v="06/27/2025"/>
    <x v="1"/>
    <x v="6"/>
    <s v="Ramp Card"/>
    <m/>
    <s v="Expense"/>
    <s v="Uber"/>
    <s v="64500 AppIQ - Sales:AppIQ - Sales - Travel"/>
    <x v="3"/>
    <x v="4"/>
    <n v="12.76"/>
    <m/>
    <n v="-12.76"/>
    <n v="377377.0199999992"/>
  </r>
  <r>
    <s v="06/27/2025"/>
    <x v="1"/>
    <x v="6"/>
    <s v="Ramp Card"/>
    <m/>
    <s v="Expense"/>
    <s v="Uber"/>
    <s v="64500 AppIQ - Sales:AppIQ - Sales - Travel"/>
    <x v="3"/>
    <x v="4"/>
    <n v="11.96"/>
    <m/>
    <n v="-11.96"/>
    <n v="377365.05999999918"/>
  </r>
  <r>
    <s v="06/27/2025"/>
    <x v="1"/>
    <x v="6"/>
    <s v="Ramp Card"/>
    <m/>
    <s v="Expense"/>
    <s v="Uber"/>
    <s v="64500 AppIQ - Sales:AppIQ - Sales - Travel"/>
    <x v="3"/>
    <x v="4"/>
    <n v="5"/>
    <m/>
    <n v="-5"/>
    <n v="377360.05999999918"/>
  </r>
  <r>
    <s v="06/27/2025"/>
    <x v="1"/>
    <x v="6"/>
    <s v="Ramp Card"/>
    <m/>
    <s v="Expense"/>
    <s v="Uber"/>
    <s v="64500 AppIQ - Sales:AppIQ - Sales - Travel"/>
    <x v="3"/>
    <x v="4"/>
    <n v="22.38"/>
    <m/>
    <n v="-22.38"/>
    <n v="377337.67999999918"/>
  </r>
  <r>
    <s v="06/27/2025"/>
    <x v="1"/>
    <x v="6"/>
    <s v="Ramp Card"/>
    <m/>
    <s v="Expense"/>
    <s v="Uber"/>
    <s v="64500 AppIQ - Sales:AppIQ - Sales - Travel"/>
    <x v="3"/>
    <x v="4"/>
    <n v="11.11"/>
    <m/>
    <n v="-11.11"/>
    <n v="377326.56999999919"/>
  </r>
  <r>
    <s v="06/27/2025"/>
    <x v="1"/>
    <x v="6"/>
    <s v="Ramp Card"/>
    <m/>
    <s v="Expense"/>
    <s v="Uber"/>
    <s v="64500 AppIQ - Sales:AppIQ - Sales - Travel"/>
    <x v="3"/>
    <x v="4"/>
    <n v="29.26"/>
    <m/>
    <n v="-29.26"/>
    <n v="377297.30999999918"/>
  </r>
  <r>
    <s v="06/27/2025"/>
    <x v="1"/>
    <x v="6"/>
    <s v="Ramp Card"/>
    <m/>
    <s v="Expense"/>
    <s v="Uber"/>
    <s v="64500 AppIQ - Sales:AppIQ - Sales - Travel"/>
    <x v="3"/>
    <x v="4"/>
    <n v="9.69"/>
    <m/>
    <n v="-9.69"/>
    <n v="377287.61999999918"/>
  </r>
  <r>
    <s v="06/27/2025"/>
    <x v="1"/>
    <x v="6"/>
    <s v="Ramp Card"/>
    <m/>
    <s v="Expense"/>
    <s v="Uber"/>
    <s v="64500 AppIQ - Sales:AppIQ - Sales - Travel"/>
    <x v="3"/>
    <x v="4"/>
    <n v="49.67"/>
    <m/>
    <n v="-49.67"/>
    <n v="377237.9499999992"/>
  </r>
  <r>
    <s v="06/27/2025"/>
    <x v="1"/>
    <x v="6"/>
    <s v="M&amp;T Operating"/>
    <m/>
    <s v="Transfer"/>
    <m/>
    <s v="10010 M&amp;T Bank - IntraFi Network Sweep"/>
    <x v="0"/>
    <x v="0"/>
    <m/>
    <n v="111902.48"/>
    <n v="111902.48"/>
    <n v="489140.42999999918"/>
  </r>
  <r>
    <s v="06/28/2025"/>
    <x v="1"/>
    <x v="6"/>
    <s v="Ramp Card"/>
    <m/>
    <s v="Expense"/>
    <s v="Uber"/>
    <s v="64500 AppIQ - Sales:AppIQ - Sales - Travel"/>
    <x v="3"/>
    <x v="4"/>
    <n v="44.97"/>
    <m/>
    <n v="-44.97"/>
    <n v="489095.45999999921"/>
  </r>
  <r>
    <s v="06/28/2025"/>
    <x v="1"/>
    <x v="6"/>
    <s v="Ramp Card"/>
    <m/>
    <s v="Expense"/>
    <s v="Via Italia"/>
    <s v="64505 AppIQ - Sales:AppIQ - Sales - Meals &amp; Entertainment"/>
    <x v="3"/>
    <x v="4"/>
    <n v="32.47"/>
    <m/>
    <n v="-32.47"/>
    <n v="489062.98999999923"/>
  </r>
  <r>
    <s v="06/29/2025"/>
    <x v="1"/>
    <x v="6"/>
    <s v="Ramp Card"/>
    <m/>
    <s v="Expense"/>
    <s v="Perplexity AI"/>
    <s v="51400 Classic COGS - Delivery:Classic COGS - Delivery - Software Applications &amp; Licenses"/>
    <x v="3"/>
    <x v="10"/>
    <n v="20"/>
    <m/>
    <n v="-20"/>
    <n v="489042.98999999923"/>
  </r>
  <r>
    <s v="06/30/2025"/>
    <x v="1"/>
    <x v="6"/>
    <s v="Ramp Card"/>
    <m/>
    <s v="Expense"/>
    <s v="Amtrak"/>
    <s v="66500 AppIQ - Research &amp; Development:AppIQ - R&amp;D - Travel"/>
    <x v="3"/>
    <x v="4"/>
    <n v="266"/>
    <m/>
    <n v="-266"/>
    <n v="488776.98999999923"/>
  </r>
  <r>
    <s v="06/30/2025"/>
    <x v="1"/>
    <x v="6"/>
    <s v="M&amp;T Operating"/>
    <m/>
    <s v="Expense"/>
    <s v="Carta Inc"/>
    <s v="13005 Prepaid Expenses"/>
    <x v="3"/>
    <x v="10"/>
    <n v="2500"/>
    <m/>
    <n v="-2500"/>
    <n v="486276.98999999923"/>
  </r>
  <r>
    <s v="06/30/2025"/>
    <x v="1"/>
    <x v="6"/>
    <s v="M&amp;T Operating"/>
    <m/>
    <s v="Expense"/>
    <s v="Carta Inc"/>
    <s v="13005 Prepaid Expenses"/>
    <x v="3"/>
    <x v="10"/>
    <n v="3900"/>
    <m/>
    <n v="-3900"/>
    <n v="482376.98999999923"/>
  </r>
  <r>
    <s v="06/30/2025"/>
    <x v="1"/>
    <x v="6"/>
    <s v="Ramp Card"/>
    <m/>
    <s v="Expense"/>
    <s v="Delta Air Lines"/>
    <s v="64500 AppIQ - Sales:AppIQ - Sales - Travel"/>
    <x v="3"/>
    <x v="4"/>
    <n v="350.36"/>
    <m/>
    <n v="-350.36"/>
    <n v="482026.62999999925"/>
  </r>
  <r>
    <s v="06/30/2025"/>
    <x v="1"/>
    <x v="6"/>
    <s v="M&amp;T Operating"/>
    <m/>
    <s v="Deposit"/>
    <s v="M&amp;T Bank"/>
    <s v="71005 Interest"/>
    <x v="0"/>
    <x v="17"/>
    <m/>
    <n v="3887.72"/>
    <n v="3887.72"/>
    <n v="485914.34999999922"/>
  </r>
  <r>
    <s v="06/30/2025"/>
    <x v="1"/>
    <x v="6"/>
    <s v="M&amp;T Operating"/>
    <m/>
    <s v="Expense"/>
    <s v="Paylocity"/>
    <s v="69215 General &amp; Administrative:G&amp;A - Payroll Fees"/>
    <x v="1"/>
    <x v="3"/>
    <n v="341.44"/>
    <m/>
    <n v="-341.44"/>
    <n v="485572.90999999922"/>
  </r>
  <r>
    <s v="06/30/2025"/>
    <x v="1"/>
    <x v="6"/>
    <s v="M&amp;T Operating"/>
    <m/>
    <s v="Bill Payment"/>
    <s v="Salesforce.com Inc"/>
    <s v="20005 Accounts Payable"/>
    <x v="3"/>
    <x v="10"/>
    <n v="2747.25"/>
    <m/>
    <n v="-2747.25"/>
    <n v="482825.65999999922"/>
  </r>
  <r>
    <s v="06/30/2025"/>
    <x v="1"/>
    <x v="6"/>
    <s v="M&amp;T Operating"/>
    <m/>
    <s v="Transfer"/>
    <m/>
    <s v="10010 M&amp;T Bank - IntraFi Network Sweep"/>
    <x v="0"/>
    <x v="0"/>
    <m/>
    <n v="5600.97"/>
    <n v="5600.97"/>
    <n v="488426.62999999919"/>
  </r>
  <r>
    <s v="07/01/2025"/>
    <x v="1"/>
    <x v="7"/>
    <s v="M&amp;T Operating"/>
    <m/>
    <s v="Expense"/>
    <s v="Bancorpsv (Benefit Deduction)"/>
    <s v="22335 Accrued Expenses:Accrued Expenses - Bancorpsv Clearing"/>
    <x v="1"/>
    <x v="1"/>
    <n v="65"/>
    <m/>
    <n v="-65"/>
    <n v="488361.62999999919"/>
  </r>
  <r>
    <s v="07/01/2025"/>
    <x v="1"/>
    <x v="7"/>
    <s v="M&amp;T Operating"/>
    <m/>
    <s v="Credit Card Pmt"/>
    <s v="Chase Visa"/>
    <s v="21010 Chase Visa"/>
    <x v="5"/>
    <x v="18"/>
    <n v="820.37"/>
    <m/>
    <n v="-820.37"/>
    <n v="487541.25999999919"/>
  </r>
  <r>
    <s v="07/01/2025"/>
    <x v="1"/>
    <x v="7"/>
    <s v="Ramp Card"/>
    <m/>
    <s v="Expense"/>
    <s v="Courtyard by Marriott"/>
    <s v="66500 AppIQ - Research &amp; Development:AppIQ - R&amp;D - Travel"/>
    <x v="3"/>
    <x v="4"/>
    <n v="343.1"/>
    <m/>
    <n v="-343.1"/>
    <n v="487198.15999999922"/>
  </r>
  <r>
    <s v="07/01/2025"/>
    <x v="1"/>
    <x v="7"/>
    <s v="Ramp Card"/>
    <m/>
    <s v="Expense"/>
    <s v="Courtyard by Marriott"/>
    <s v="66500 AppIQ - Research &amp; Development:AppIQ - R&amp;D - Travel"/>
    <x v="3"/>
    <x v="4"/>
    <n v="175.08"/>
    <m/>
    <n v="-175.08"/>
    <n v="487023.0799999992"/>
  </r>
  <r>
    <s v="07/01/2025"/>
    <x v="1"/>
    <x v="7"/>
    <s v="Ramp Card"/>
    <m/>
    <s v="Expense"/>
    <s v="Diamondback Brewing Company"/>
    <s v="69505 General &amp; Administrative:G&amp;A - Meals &amp; Entertainment"/>
    <x v="3"/>
    <x v="4"/>
    <n v="98.4"/>
    <m/>
    <n v="-98.4"/>
    <n v="486924.67999999918"/>
  </r>
  <r>
    <s v="07/01/2025"/>
    <x v="1"/>
    <x v="7"/>
    <s v="Ramp Card"/>
    <m/>
    <s v="Expense"/>
    <s v="Doordash"/>
    <s v="69505 General &amp; Administrative:G&amp;A - Meals &amp; Entertainment"/>
    <x v="3"/>
    <x v="4"/>
    <n v="96.89"/>
    <m/>
    <n v="-96.89"/>
    <n v="486827.78999999916"/>
  </r>
  <r>
    <s v="07/01/2025"/>
    <x v="1"/>
    <x v="7"/>
    <s v="Ramp Card"/>
    <m/>
    <s v="Expense"/>
    <s v="Earth Class Mail"/>
    <s v="69400 General &amp; Administrative:G&amp;A - Software Applications &amp; Licenses"/>
    <x v="3"/>
    <x v="10"/>
    <n v="80.5"/>
    <m/>
    <n v="-80.5"/>
    <n v="486747.28999999916"/>
  </r>
  <r>
    <s v="07/01/2025"/>
    <x v="1"/>
    <x v="7"/>
    <s v="Ramp Card"/>
    <m/>
    <s v="Expense"/>
    <s v="Google Workspace"/>
    <s v="69400 General &amp; Administrative:G&amp;A - Software Applications &amp; Licenses"/>
    <x v="3"/>
    <x v="10"/>
    <n v="45.79"/>
    <m/>
    <n v="-45.79"/>
    <n v="486701.49999999919"/>
  </r>
  <r>
    <s v="07/01/2025"/>
    <x v="1"/>
    <x v="7"/>
    <s v="Ramp Card"/>
    <m/>
    <s v="Expense"/>
    <s v="Intuit"/>
    <s v="69400 General &amp; Administrative:G&amp;A - Software Applications &amp; Licenses"/>
    <x v="3"/>
    <x v="10"/>
    <n v="283.25"/>
    <m/>
    <n v="-283.25"/>
    <n v="486418.24999999919"/>
  </r>
  <r>
    <s v="07/01/2025"/>
    <x v="1"/>
    <x v="7"/>
    <s v="M&amp;T Operating"/>
    <m/>
    <s v="Bill Payment"/>
    <s v="Joseph Kennedy (joey.kennedy@synaptic.build)"/>
    <s v="20005 Accounts Payable"/>
    <x v="3"/>
    <x v="4"/>
    <n v="173.39"/>
    <m/>
    <n v="-173.39"/>
    <n v="486244.85999999917"/>
  </r>
  <r>
    <s v="07/01/2025"/>
    <x v="1"/>
    <x v="7"/>
    <s v="M&amp;T Operating"/>
    <m/>
    <s v="Bill Payment"/>
    <s v="Joseph Kennedy (joey.kennedy@synaptic.build)"/>
    <s v="20005 Accounts Payable"/>
    <x v="3"/>
    <x v="4"/>
    <n v="11.37"/>
    <m/>
    <n v="-11.37"/>
    <n v="486233.48999999918"/>
  </r>
  <r>
    <s v="07/01/2025"/>
    <x v="1"/>
    <x v="7"/>
    <s v="M&amp;T Operating"/>
    <m/>
    <s v="Bill Payment"/>
    <s v="Joseph Kennedy (joey.kennedy@synaptic.build)"/>
    <s v="20005 Accounts Payable"/>
    <x v="3"/>
    <x v="4"/>
    <n v="331.97"/>
    <m/>
    <n v="-331.97"/>
    <n v="485901.5199999992"/>
  </r>
  <r>
    <s v="07/01/2025"/>
    <x v="1"/>
    <x v="7"/>
    <s v="M&amp;T Operating"/>
    <m/>
    <s v="Bill Payment"/>
    <s v="Joseph Kennedy (joey.kennedy@synaptic.build)"/>
    <s v="20005 Accounts Payable"/>
    <x v="3"/>
    <x v="4"/>
    <n v="681.25"/>
    <m/>
    <n v="-681.25"/>
    <n v="485220.2699999992"/>
  </r>
  <r>
    <s v="07/01/2025"/>
    <x v="1"/>
    <x v="7"/>
    <s v="Ramp Card"/>
    <m/>
    <s v="Expense"/>
    <s v="LinkedIn"/>
    <s v="64400 AppIQ - Sales:AppIQ - Sales - Software Applications &amp; Licenses"/>
    <x v="3"/>
    <x v="10"/>
    <n v="150"/>
    <m/>
    <n v="-150"/>
    <n v="485070.2699999992"/>
  </r>
  <r>
    <s v="07/01/2025"/>
    <x v="1"/>
    <x v="7"/>
    <s v="Ramp Card"/>
    <m/>
    <s v="Expense"/>
    <s v="LinkedIn"/>
    <s v="65605 AppIQ - Marketing:AppIQ - Marketing - Lead Gen &amp; Social Media"/>
    <x v="3"/>
    <x v="10"/>
    <n v="21"/>
    <m/>
    <n v="-21"/>
    <n v="485049.2699999992"/>
  </r>
  <r>
    <s v="07/01/2025"/>
    <x v="1"/>
    <x v="7"/>
    <s v="Ramp Card"/>
    <m/>
    <s v="Expense"/>
    <s v="Lyft"/>
    <s v="66500 AppIQ - Research &amp; Development:AppIQ - R&amp;D - Travel"/>
    <x v="3"/>
    <x v="4"/>
    <n v="17.989999999999998"/>
    <m/>
    <n v="-17.989999999999998"/>
    <n v="485031.27999999921"/>
  </r>
  <r>
    <s v="07/01/2025"/>
    <x v="1"/>
    <x v="7"/>
    <s v="M&amp;T Operating"/>
    <m/>
    <s v="Payment"/>
    <s v="Msol Inc. DBA Macro Solutions"/>
    <s v="11005 Accounts Receivable"/>
    <x v="2"/>
    <x v="2"/>
    <m/>
    <n v="68320"/>
    <n v="68320"/>
    <n v="553351.27999999921"/>
  </r>
  <r>
    <s v="07/01/2025"/>
    <x v="1"/>
    <x v="7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67851.27999999921"/>
  </r>
  <r>
    <s v="07/01/2025"/>
    <x v="1"/>
    <x v="7"/>
    <s v="M&amp;T Operating"/>
    <m/>
    <s v="Expense"/>
    <s v="QuickBooks Payments"/>
    <s v="69805 General &amp; Administrative:G&amp;A - Bank Fees"/>
    <x v="0"/>
    <x v="6"/>
    <n v="20"/>
    <m/>
    <n v="-20"/>
    <n v="567831.27999999921"/>
  </r>
  <r>
    <s v="07/01/2025"/>
    <x v="1"/>
    <x v="7"/>
    <s v="M&amp;T Operating"/>
    <m/>
    <s v="Expense"/>
    <s v="The Principal"/>
    <s v="22310 Accrued Expenses:Accrued Expenses - Principal Clearing"/>
    <x v="1"/>
    <x v="1"/>
    <n v="15497.74"/>
    <m/>
    <n v="-15497.74"/>
    <n v="552333.53999999922"/>
  </r>
  <r>
    <s v="07/01/2025"/>
    <x v="1"/>
    <x v="7"/>
    <s v="M&amp;T Operating"/>
    <m/>
    <s v="Expense"/>
    <s v="Wex Health, Inc."/>
    <s v="22320 Accrued Expenses:Accrued Expenses - WEX Clearing"/>
    <x v="1"/>
    <x v="1"/>
    <n v="208.34"/>
    <m/>
    <n v="-208.34"/>
    <n v="552125.19999999925"/>
  </r>
  <r>
    <s v="07/01/2025"/>
    <x v="1"/>
    <x v="7"/>
    <s v="Ramp Card"/>
    <m/>
    <s v="Expense"/>
    <s v="Yitayewleab Yirgu"/>
    <s v="66500 AppIQ - Research &amp; Development:AppIQ - R&amp;D - Travel"/>
    <x v="3"/>
    <x v="4"/>
    <n v="36.44"/>
    <m/>
    <n v="-36.44"/>
    <n v="552088.75999999931"/>
  </r>
  <r>
    <s v="07/01/2025"/>
    <x v="1"/>
    <x v="7"/>
    <s v="M&amp;T Operating"/>
    <m/>
    <s v="Transfer"/>
    <m/>
    <s v="10010 M&amp;T Bank - IntraFi Network Sweep"/>
    <x v="0"/>
    <x v="0"/>
    <n v="65830.94"/>
    <m/>
    <n v="-65830.94"/>
    <n v="486257.81999999931"/>
  </r>
  <r>
    <s v="07/02/2025"/>
    <x v="1"/>
    <x v="7"/>
    <s v="Ramp Card"/>
    <m/>
    <s v="Expense"/>
    <s v="American Airlines"/>
    <s v="64500 AppIQ - Sales:AppIQ - Sales - Travel"/>
    <x v="3"/>
    <x v="4"/>
    <n v="376.18"/>
    <m/>
    <n v="-376.18"/>
    <n v="485881.63999999932"/>
  </r>
  <r>
    <s v="07/02/2025"/>
    <x v="1"/>
    <x v="7"/>
    <s v="Ramp Card"/>
    <m/>
    <s v="Expense"/>
    <s v="Amtrak"/>
    <s v="66500 AppIQ - Research &amp; Development:AppIQ - R&amp;D - Travel"/>
    <x v="3"/>
    <x v="4"/>
    <n v="142"/>
    <m/>
    <n v="-142"/>
    <n v="485739.63999999932"/>
  </r>
  <r>
    <s v="07/02/2025"/>
    <x v="1"/>
    <x v="7"/>
    <s v="M&amp;T Operating"/>
    <m/>
    <s v="Expense"/>
    <s v="CareFirst Blue Cross Blue Shield"/>
    <s v="22300 Accrued Expenses:Accrued Expenses - BCBS Clearing"/>
    <x v="1"/>
    <x v="1"/>
    <n v="16996.64"/>
    <m/>
    <n v="-16996.64"/>
    <n v="468742.9999999993"/>
  </r>
  <r>
    <s v="07/02/2025"/>
    <x v="1"/>
    <x v="7"/>
    <s v="M&amp;T Operating"/>
    <m/>
    <s v="Expense"/>
    <s v="CNA Insurance [AutoPay]"/>
    <s v="69800 General &amp; Administrative:G&amp;A - Insurance"/>
    <x v="3"/>
    <x v="14"/>
    <n v="3797"/>
    <m/>
    <n v="-3797"/>
    <n v="464945.9999999993"/>
  </r>
  <r>
    <s v="07/02/2025"/>
    <x v="1"/>
    <x v="7"/>
    <s v="Ramp Card"/>
    <m/>
    <s v="Expense"/>
    <s v="Delta Air Lines"/>
    <s v="64500 AppIQ - Sales:AppIQ - Sales - Travel"/>
    <x v="3"/>
    <x v="4"/>
    <n v="231.19"/>
    <m/>
    <n v="-231.19"/>
    <n v="464714.8099999993"/>
  </r>
  <r>
    <s v="07/02/2025"/>
    <x v="1"/>
    <x v="7"/>
    <s v="Ramp Card"/>
    <m/>
    <s v="Expense"/>
    <s v="Doordash"/>
    <s v="69505 General &amp; Administrative:G&amp;A - Meals &amp; Entertainment"/>
    <x v="3"/>
    <x v="4"/>
    <n v="22.46"/>
    <m/>
    <n v="-22.46"/>
    <n v="464692.34999999928"/>
  </r>
  <r>
    <s v="07/02/2025"/>
    <x v="1"/>
    <x v="7"/>
    <s v="Ramp Card"/>
    <m/>
    <s v="Expense"/>
    <s v="Elastic"/>
    <s v="57020 Hosting Costs:Hosting Website Maintenance"/>
    <x v="4"/>
    <x v="19"/>
    <n v="464.08"/>
    <m/>
    <n v="-464.08"/>
    <n v="464228.26999999926"/>
  </r>
  <r>
    <s v="07/02/2025"/>
    <x v="1"/>
    <x v="7"/>
    <s v="Ramp Card"/>
    <m/>
    <s v="Expense"/>
    <s v="Lyft"/>
    <s v="66500 AppIQ - Research &amp; Development:AppIQ - R&amp;D - Travel"/>
    <x v="3"/>
    <x v="4"/>
    <n v="63.57"/>
    <m/>
    <n v="-63.57"/>
    <n v="464164.69999999925"/>
  </r>
  <r>
    <s v="07/02/2025"/>
    <x v="1"/>
    <x v="7"/>
    <s v="M&amp;T Operating"/>
    <m/>
    <s v="Deposit"/>
    <s v="Ray Der (ray@synaptic.build)"/>
    <s v="51500 Classic COGS - Delivery:Classic COGS - Delivery - Travel"/>
    <x v="3"/>
    <x v="4"/>
    <m/>
    <n v="36.58"/>
    <n v="36.58"/>
    <n v="464201.27999999927"/>
  </r>
  <r>
    <s v="07/02/2025"/>
    <x v="1"/>
    <x v="7"/>
    <s v="M&amp;T Operating"/>
    <m/>
    <s v="Payment"/>
    <s v="RestorixHealth Inc:Managed Services"/>
    <s v="11005 Accounts Receivable"/>
    <x v="2"/>
    <x v="2"/>
    <m/>
    <n v="4200"/>
    <n v="4200"/>
    <n v="468401.27999999927"/>
  </r>
  <r>
    <s v="07/02/2025"/>
    <x v="1"/>
    <x v="7"/>
    <s v="Ramp Card"/>
    <m/>
    <s v="Expense"/>
    <s v="Samos Greek Island Grill"/>
    <s v="69505 General &amp; Administrative:G&amp;A - Meals &amp; Entertainment"/>
    <x v="3"/>
    <x v="4"/>
    <n v="37.58"/>
    <m/>
    <n v="-37.58"/>
    <n v="468363.69999999925"/>
  </r>
  <r>
    <s v="07/02/2025"/>
    <x v="1"/>
    <x v="7"/>
    <s v="Ramp Card"/>
    <m/>
    <s v="Expense"/>
    <s v="THB Bagelry &amp; Deli"/>
    <s v="69505 General &amp; Administrative:G&amp;A - Meals &amp; Entertainment"/>
    <x v="3"/>
    <x v="4"/>
    <n v="13.14"/>
    <m/>
    <n v="-13.14"/>
    <n v="468350.55999999924"/>
  </r>
  <r>
    <s v="07/02/2025"/>
    <x v="1"/>
    <x v="7"/>
    <s v="Ramp Card"/>
    <m/>
    <s v="Expense"/>
    <s v="The Greene Turtle"/>
    <s v="66505 AppIQ - Research &amp; Development:AppIQ - R&amp;D - Meals &amp; Entertainment"/>
    <x v="3"/>
    <x v="4"/>
    <n v="20.47"/>
    <m/>
    <n v="-20.47"/>
    <n v="468330.08999999927"/>
  </r>
  <r>
    <s v="07/02/2025"/>
    <x v="1"/>
    <x v="7"/>
    <s v="Ramp Card"/>
    <m/>
    <s v="Expense"/>
    <s v="True Lacrosse"/>
    <s v="51500 Classic COGS - Delivery:Classic COGS - Delivery - Travel"/>
    <x v="3"/>
    <x v="4"/>
    <n v="36.58"/>
    <m/>
    <n v="-36.58"/>
    <n v="468293.50999999925"/>
  </r>
  <r>
    <s v="07/02/2025"/>
    <x v="1"/>
    <x v="7"/>
    <s v="Ramp Card"/>
    <m/>
    <s v="Expense"/>
    <s v="Uber"/>
    <s v="66500 AppIQ - Research &amp; Development:AppIQ - R&amp;D - Travel"/>
    <x v="3"/>
    <x v="4"/>
    <n v="33.979999999999997"/>
    <m/>
    <n v="-33.979999999999997"/>
    <n v="468259.52999999927"/>
  </r>
  <r>
    <s v="07/02/2025"/>
    <x v="1"/>
    <x v="7"/>
    <s v="M&amp;T Operating"/>
    <m/>
    <s v="Transfer"/>
    <m/>
    <s v="10010 M&amp;T Bank - IntraFi Network Sweep"/>
    <x v="0"/>
    <x v="0"/>
    <m/>
    <n v="17377.43"/>
    <n v="17377.43"/>
    <n v="485636.95999999926"/>
  </r>
  <r>
    <s v="07/03/2025"/>
    <x v="1"/>
    <x v="7"/>
    <s v="M&amp;T Operating"/>
    <m/>
    <s v="Expense"/>
    <s v="Bancorpsv (Benefit Deduction)"/>
    <s v="22335 Accrued Expenses:Accrued Expenses - Bancorpsv Clearing"/>
    <x v="1"/>
    <x v="1"/>
    <n v="25"/>
    <m/>
    <n v="-25"/>
    <n v="485611.95999999926"/>
  </r>
  <r>
    <s v="07/03/2025"/>
    <x v="1"/>
    <x v="7"/>
    <s v="Ramp Card"/>
    <m/>
    <s v="Expense"/>
    <s v="Denver Airport Parking"/>
    <s v="66500 AppIQ - Research &amp; Development:AppIQ - R&amp;D - Travel"/>
    <x v="3"/>
    <x v="4"/>
    <n v="105"/>
    <m/>
    <n v="-105"/>
    <n v="485506.95999999926"/>
  </r>
  <r>
    <s v="07/03/2025"/>
    <x v="1"/>
    <x v="7"/>
    <s v="M&amp;T Operating"/>
    <m/>
    <s v="Bill Payment"/>
    <s v="Fort Offices LLC"/>
    <s v="20005 Accounts Payable"/>
    <x v="3"/>
    <x v="22"/>
    <n v="3545.63"/>
    <m/>
    <n v="-3545.63"/>
    <n v="481961.32999999926"/>
  </r>
  <r>
    <s v="07/03/2025"/>
    <x v="1"/>
    <x v="7"/>
    <s v="M&amp;T Operating"/>
    <m/>
    <s v="Deposit"/>
    <s v="Freedom Service Dogs Inc.:Managed Services"/>
    <s v="14005 Undeposited Funds"/>
    <x v="2"/>
    <x v="2"/>
    <m/>
    <n v="1500"/>
    <n v="1500"/>
    <n v="483461.32999999926"/>
  </r>
  <r>
    <s v="07/03/2025"/>
    <x v="1"/>
    <x v="7"/>
    <s v="M&amp;T Operating"/>
    <m/>
    <s v="Bill Payment"/>
    <s v="Investigo LLC"/>
    <s v="20005 Accounts Payable"/>
    <x v="4"/>
    <x v="9"/>
    <n v="15921.25"/>
    <m/>
    <n v="-15921.25"/>
    <n v="467540.07999999926"/>
  </r>
  <r>
    <s v="07/03/2025"/>
    <x v="1"/>
    <x v="7"/>
    <s v="M&amp;T Operating"/>
    <m/>
    <s v="Bill Payment"/>
    <s v="Investigo LLC"/>
    <s v="20005 Accounts Payable"/>
    <x v="4"/>
    <x v="9"/>
    <n v="4200.5"/>
    <m/>
    <n v="-4200.5"/>
    <n v="463339.57999999926"/>
  </r>
  <r>
    <s v="07/03/2025"/>
    <x v="1"/>
    <x v="7"/>
    <s v="M&amp;T Operating"/>
    <m/>
    <s v="Bill Payment"/>
    <s v="Investigo LLC"/>
    <s v="20005 Accounts Payable"/>
    <x v="4"/>
    <x v="9"/>
    <n v="4810.25"/>
    <m/>
    <n v="-4810.25"/>
    <n v="458529.32999999926"/>
  </r>
  <r>
    <s v="07/03/2025"/>
    <x v="1"/>
    <x v="7"/>
    <s v="M&amp;T Operating"/>
    <m/>
    <s v="Bill Payment"/>
    <s v="Investigo LLC"/>
    <s v="20005 Accounts Payable"/>
    <x v="4"/>
    <x v="9"/>
    <n v="13888.75"/>
    <m/>
    <n v="-13888.75"/>
    <n v="444640.57999999926"/>
  </r>
  <r>
    <s v="07/03/2025"/>
    <x v="1"/>
    <x v="7"/>
    <s v="M&amp;T Operating"/>
    <m/>
    <s v="Bill Payment"/>
    <s v="Investigo LLC"/>
    <s v="20005 Accounts Payable"/>
    <x v="4"/>
    <x v="9"/>
    <n v="1081.73"/>
    <m/>
    <n v="-1081.73"/>
    <n v="443558.84999999928"/>
  </r>
  <r>
    <s v="07/03/2025"/>
    <x v="1"/>
    <x v="7"/>
    <s v="M&amp;T Operating"/>
    <m/>
    <s v="Bill Payment"/>
    <s v="Investigo LLC"/>
    <s v="20005 Accounts Payable"/>
    <x v="4"/>
    <x v="9"/>
    <n v="1407.48"/>
    <m/>
    <n v="-1407.48"/>
    <n v="442151.3699999993"/>
  </r>
  <r>
    <s v="07/03/2025"/>
    <x v="1"/>
    <x v="7"/>
    <s v="M&amp;T Operating"/>
    <m/>
    <s v="Expense"/>
    <s v="New York Life"/>
    <s v="22315 Accrued Expenses:Accrued Expenses - NY Life Clearing"/>
    <x v="1"/>
    <x v="1"/>
    <n v="1162.69"/>
    <m/>
    <n v="-1162.69"/>
    <n v="440988.67999999929"/>
  </r>
  <r>
    <s v="07/03/2025"/>
    <x v="1"/>
    <x v="7"/>
    <s v="Ramp Card"/>
    <m/>
    <s v="Expense"/>
    <s v="Perplexity AI"/>
    <s v="69400 General &amp; Administrative:G&amp;A - Software Applications &amp; Licenses"/>
    <x v="3"/>
    <x v="10"/>
    <n v="21.2"/>
    <m/>
    <n v="-21.2"/>
    <n v="440967.47999999928"/>
  </r>
  <r>
    <s v="07/03/2025"/>
    <x v="1"/>
    <x v="7"/>
    <s v="M&amp;T Operating"/>
    <m/>
    <s v="Expense"/>
    <s v="QuickBooks Payments"/>
    <s v="69805 General &amp; Administrative:G&amp;A - Bank Fees"/>
    <x v="0"/>
    <x v="6"/>
    <n v="15"/>
    <m/>
    <n v="-15"/>
    <n v="440952.47999999928"/>
  </r>
  <r>
    <s v="07/03/2025"/>
    <x v="1"/>
    <x v="7"/>
    <s v="Ramp Card"/>
    <m/>
    <s v="Expense"/>
    <s v="Uber"/>
    <s v="69500 General &amp; Administrative:G&amp;A - Travel"/>
    <x v="3"/>
    <x v="4"/>
    <n v="22.7"/>
    <m/>
    <n v="-22.7"/>
    <n v="440929.77999999927"/>
  </r>
  <r>
    <s v="07/03/2025"/>
    <x v="1"/>
    <x v="7"/>
    <s v="M&amp;T Operating"/>
    <m/>
    <s v="Transfer"/>
    <m/>
    <s v="10010 M&amp;T Bank - IntraFi Network Sweep"/>
    <x v="0"/>
    <x v="0"/>
    <m/>
    <n v="44558.28"/>
    <n v="44558.28"/>
    <n v="485488.05999999924"/>
  </r>
  <r>
    <s v="07/04/2025"/>
    <x v="1"/>
    <x v="7"/>
    <s v="Ramp Card"/>
    <m/>
    <s v="Expense"/>
    <s v="184215385.20220510.032"/>
    <s v="66500 AppIQ - Research &amp; Development:AppIQ - R&amp;D - Travel"/>
    <x v="3"/>
    <x v="4"/>
    <n v="56.36"/>
    <m/>
    <n v="-56.36"/>
    <n v="485431.69999999925"/>
  </r>
  <r>
    <s v="07/04/2025"/>
    <x v="1"/>
    <x v="7"/>
    <s v="Ramp Card"/>
    <m/>
    <s v="Expense"/>
    <s v="Adobe"/>
    <s v="69400 General &amp; Administrative:G&amp;A - Software Applications &amp; Licenses"/>
    <x v="3"/>
    <x v="10"/>
    <n v="21.19"/>
    <m/>
    <n v="-21.19"/>
    <n v="485410.50999999925"/>
  </r>
  <r>
    <s v="07/04/2025"/>
    <x v="1"/>
    <x v="7"/>
    <s v="Ramp Card"/>
    <m/>
    <s v="Expense"/>
    <s v="LOOI Robot"/>
    <s v="69405 General &amp; Administrative:G&amp;A - Telecom, Internet &amp; Hardware"/>
    <x v="3"/>
    <x v="10"/>
    <n v="188.99"/>
    <m/>
    <n v="-188.99"/>
    <n v="485221.51999999926"/>
  </r>
  <r>
    <s v="07/04/2025"/>
    <x v="1"/>
    <x v="7"/>
    <s v="Ramp Card"/>
    <m/>
    <s v="Expense"/>
    <s v="LOOI Robot"/>
    <s v="69505 General &amp; Administrative:G&amp;A - Meals &amp; Entertainment"/>
    <x v="3"/>
    <x v="10"/>
    <n v="188.99"/>
    <m/>
    <n v="-188.99"/>
    <n v="485032.52999999927"/>
  </r>
  <r>
    <s v="07/05/2025"/>
    <x v="1"/>
    <x v="7"/>
    <s v="Ramp Card"/>
    <m/>
    <s v="Expense"/>
    <s v="LinkedIn"/>
    <s v="64400 AppIQ - Sales:AppIQ - Sales - Software Applications &amp; Licenses"/>
    <x v="3"/>
    <x v="10"/>
    <n v="127.19"/>
    <m/>
    <n v="-127.19"/>
    <n v="484905.33999999927"/>
  </r>
  <r>
    <s v="07/05/2025"/>
    <x v="1"/>
    <x v="7"/>
    <s v="Ramp Card"/>
    <m/>
    <s v="Expense"/>
    <s v="Otter"/>
    <s v="69400 General &amp; Administrative:G&amp;A - Software Applications &amp; Licenses"/>
    <x v="3"/>
    <x v="10"/>
    <n v="31.8"/>
    <m/>
    <n v="-31.8"/>
    <n v="484873.53999999928"/>
  </r>
  <r>
    <s v="07/06/2025"/>
    <x v="1"/>
    <x v="7"/>
    <s v="Ramp Card"/>
    <m/>
    <s v="Expense"/>
    <s v="United Airlines"/>
    <s v="66505 AppIQ - Research &amp; Development:AppIQ - R&amp;D - Meals &amp; Entertainment"/>
    <x v="3"/>
    <x v="4"/>
    <n v="10"/>
    <m/>
    <n v="-10"/>
    <n v="484863.53999999928"/>
  </r>
  <r>
    <s v="07/07/2025"/>
    <x v="1"/>
    <x v="7"/>
    <s v="M&amp;T Operating"/>
    <m/>
    <s v="Bill Payment"/>
    <s v="Fort Offices LLC"/>
    <s v="20005 Accounts Payable"/>
    <x v="3"/>
    <x v="22"/>
    <n v="3545.63"/>
    <m/>
    <n v="-3545.63"/>
    <n v="481317.90999999928"/>
  </r>
  <r>
    <s v="07/07/2025"/>
    <x v="1"/>
    <x v="7"/>
    <s v="M&amp;T Operating"/>
    <m/>
    <s v="Credit Card Pmt"/>
    <s v="M&amp;T Bank"/>
    <s v="21010 Chase Visa"/>
    <x v="5"/>
    <x v="18"/>
    <n v="305.74"/>
    <m/>
    <n v="-305.74"/>
    <n v="481012.16999999929"/>
  </r>
  <r>
    <s v="07/07/2025"/>
    <x v="1"/>
    <x v="7"/>
    <s v="Ramp Card"/>
    <m/>
    <s v="Expense"/>
    <s v="OpenAI"/>
    <s v="51400 Classic COGS - Delivery:Classic COGS - Delivery - Software Applications &amp; Licenses"/>
    <x v="3"/>
    <x v="10"/>
    <n v="20"/>
    <m/>
    <n v="-20"/>
    <n v="480992.16999999929"/>
  </r>
  <r>
    <s v="07/07/2025"/>
    <x v="1"/>
    <x v="7"/>
    <s v="M&amp;T Operating"/>
    <m/>
    <s v="Expense"/>
    <s v="Paylocity"/>
    <s v="69215 General &amp; Administrative:G&amp;A - Payroll Fees"/>
    <x v="1"/>
    <x v="3"/>
    <n v="4"/>
    <m/>
    <n v="-4"/>
    <n v="480988.16999999929"/>
  </r>
  <r>
    <s v="07/07/2025"/>
    <x v="1"/>
    <x v="7"/>
    <s v="M&amp;T Operating"/>
    <m/>
    <s v="Deposit"/>
    <s v="William Karpovich (bill@synaptic.build)"/>
    <s v="69500 General &amp; Administrative:G&amp;A - Travel"/>
    <x v="3"/>
    <x v="4"/>
    <m/>
    <n v="44.72"/>
    <n v="44.72"/>
    <n v="481032.88999999926"/>
  </r>
  <r>
    <s v="07/07/2025"/>
    <x v="1"/>
    <x v="7"/>
    <s v="M&amp;T Operating"/>
    <m/>
    <s v="Transfer"/>
    <m/>
    <s v="10010 M&amp;T Bank - IntraFi Network Sweep"/>
    <x v="0"/>
    <x v="0"/>
    <m/>
    <n v="3504.91"/>
    <n v="3504.91"/>
    <n v="484537.79999999923"/>
  </r>
  <r>
    <s v="07/08/2025"/>
    <x v="1"/>
    <x v="7"/>
    <s v="M&amp;T Operating"/>
    <m/>
    <s v="Bill Payment"/>
    <s v="Andrew Fischer andrew@bigdoormarketing.com USD"/>
    <s v="20005 Accounts Payable"/>
    <x v="4"/>
    <x v="9"/>
    <n v="1100"/>
    <m/>
    <n v="-1100"/>
    <n v="483437.79999999923"/>
  </r>
  <r>
    <s v="07/08/2025"/>
    <x v="1"/>
    <x v="7"/>
    <s v="M&amp;T Operating"/>
    <m/>
    <s v="Bill Payment"/>
    <s v="Ashley MacArthur ashley@getboss.io USD"/>
    <s v="20005 Accounts Payable"/>
    <x v="3"/>
    <x v="8"/>
    <n v="1740"/>
    <m/>
    <n v="-1740"/>
    <n v="481697.79999999923"/>
  </r>
  <r>
    <s v="07/08/2025"/>
    <x v="1"/>
    <x v="7"/>
    <s v="M&amp;T Operating"/>
    <m/>
    <s v="Bill Payment"/>
    <s v="Ashley MacArthur ashley@getboss.io USD"/>
    <s v="20005 Accounts Payable"/>
    <x v="3"/>
    <x v="8"/>
    <n v="900"/>
    <m/>
    <n v="-900"/>
    <n v="480797.79999999923"/>
  </r>
  <r>
    <s v="07/08/2025"/>
    <x v="1"/>
    <x v="7"/>
    <s v="M&amp;T Operating"/>
    <m/>
    <s v="Bill Payment"/>
    <s v="Ashley MacArthur ashley@getboss.io USD"/>
    <s v="20005 Accounts Payable"/>
    <x v="3"/>
    <x v="8"/>
    <n v="2610"/>
    <m/>
    <n v="-2610"/>
    <n v="478187.79999999923"/>
  </r>
  <r>
    <s v="07/08/2025"/>
    <x v="1"/>
    <x v="7"/>
    <s v="M&amp;T Operating"/>
    <m/>
    <s v="Bill Payment"/>
    <s v="Bartosz Juriewicz bartosz.juriewicz@gmail.com USD"/>
    <s v="20005 Accounts Payable"/>
    <x v="4"/>
    <x v="7"/>
    <n v="5250"/>
    <m/>
    <n v="-5250"/>
    <n v="472937.79999999923"/>
  </r>
  <r>
    <s v="07/08/2025"/>
    <x v="1"/>
    <x v="7"/>
    <s v="M&amp;T Operating"/>
    <m/>
    <s v="Bill Payment"/>
    <s v="Candy Marte Garcia candymartegarcia@gmail.com USD"/>
    <s v="20005 Accounts Payable"/>
    <x v="4"/>
    <x v="7"/>
    <n v="22.5"/>
    <m/>
    <n v="-22.5"/>
    <n v="472915.29999999923"/>
  </r>
  <r>
    <s v="07/08/2025"/>
    <x v="1"/>
    <x v="7"/>
    <s v="M&amp;T Operating"/>
    <m/>
    <s v="Bill Payment"/>
    <s v="Charles McGuinness charles@mcguinness.ai USD"/>
    <s v="20005 Accounts Payable"/>
    <x v="4"/>
    <x v="9"/>
    <n v="20000"/>
    <m/>
    <n v="-20000"/>
    <n v="452915.29999999923"/>
  </r>
  <r>
    <s v="07/08/2025"/>
    <x v="1"/>
    <x v="7"/>
    <s v="M&amp;T Operating"/>
    <m/>
    <s v="Bill Payment"/>
    <s v="Dane Kim dane.w.kim@gmail.com USD"/>
    <s v="20005 Accounts Payable"/>
    <x v="4"/>
    <x v="7"/>
    <n v="3500"/>
    <m/>
    <n v="-3500"/>
    <n v="449415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366.29999999923"/>
  </r>
  <r>
    <s v="07/08/2025"/>
    <x v="1"/>
    <x v="7"/>
    <s v="M&amp;T Operating"/>
    <m/>
    <s v="Bill Payment"/>
    <s v="Deel billing invoices deel@deel.com USD"/>
    <s v="20005 Accounts Payable"/>
    <x v="3"/>
    <x v="10"/>
    <n v="5"/>
    <m/>
    <n v="-5"/>
    <n v="449361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312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263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214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165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116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067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018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969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920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871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822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773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724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675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626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577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528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479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430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381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332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283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234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185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136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087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038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989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940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891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842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793.29999999923"/>
  </r>
  <r>
    <s v="07/08/2025"/>
    <x v="1"/>
    <x v="7"/>
    <s v="M&amp;T Operating"/>
    <m/>
    <s v="Bill Payment"/>
    <s v="Duane Nelson duanen@gmail.com USD"/>
    <s v="20005 Accounts Payable"/>
    <x v="4"/>
    <x v="9"/>
    <n v="18600"/>
    <m/>
    <n v="-18600"/>
    <n v="429193.29999999923"/>
  </r>
  <r>
    <s v="07/08/2025"/>
    <x v="1"/>
    <x v="7"/>
    <s v="M&amp;T Operating"/>
    <m/>
    <s v="Payment"/>
    <s v="Federation of State Massage Therapy Boards (FSMTB):FSMTB - Advisory"/>
    <s v="11005 Accounts Receivable"/>
    <x v="2"/>
    <x v="2"/>
    <m/>
    <n v="34500"/>
    <n v="34500"/>
    <n v="463693.29999999923"/>
  </r>
  <r>
    <s v="07/08/2025"/>
    <x v="1"/>
    <x v="7"/>
    <s v="M&amp;T Operating"/>
    <m/>
    <s v="Payment"/>
    <s v="Federation of State Massage Therapy Boards (FSMTB):FSMTB - Managed Services"/>
    <s v="11005 Accounts Receivable"/>
    <x v="2"/>
    <x v="2"/>
    <m/>
    <n v="10000"/>
    <n v="10000"/>
    <n v="473693.29999999923"/>
  </r>
  <r>
    <s v="07/08/2025"/>
    <x v="1"/>
    <x v="7"/>
    <s v="M&amp;T Operating"/>
    <m/>
    <s v="Bill Payment"/>
    <s v="Focus Fractional LLC"/>
    <s v="20005 Accounts Payable"/>
    <x v="3"/>
    <x v="8"/>
    <n v="20583.330000000002"/>
    <m/>
    <n v="-20583.330000000002"/>
    <n v="453109.96999999922"/>
  </r>
  <r>
    <s v="07/08/2025"/>
    <x v="1"/>
    <x v="7"/>
    <s v="M&amp;T Operating"/>
    <m/>
    <s v="Bill Payment"/>
    <s v="Focus Fractional LLC"/>
    <s v="20005 Accounts Payable"/>
    <x v="3"/>
    <x v="8"/>
    <n v="1147.5"/>
    <m/>
    <n v="-1147.5"/>
    <n v="451962.46999999922"/>
  </r>
  <r>
    <s v="07/08/2025"/>
    <x v="1"/>
    <x v="7"/>
    <s v="M&amp;T Operating"/>
    <m/>
    <s v="Bill Payment"/>
    <s v="Herbert Donald Edwards don.edwards01@gmail.com USD"/>
    <s v="20005 Accounts Payable"/>
    <x v="4"/>
    <x v="7"/>
    <n v="8625"/>
    <m/>
    <n v="-8625"/>
    <n v="443337.46999999922"/>
  </r>
  <r>
    <s v="07/08/2025"/>
    <x v="1"/>
    <x v="7"/>
    <s v="M&amp;T Operating"/>
    <m/>
    <s v="Bill Payment"/>
    <s v="Joseph Mallek joe@nimblefire.com USD"/>
    <s v="20005 Accounts Payable"/>
    <x v="4"/>
    <x v="9"/>
    <n v="20000"/>
    <m/>
    <n v="-20000"/>
    <n v="423337.46999999922"/>
  </r>
  <r>
    <s v="07/08/2025"/>
    <x v="1"/>
    <x v="7"/>
    <s v="Ramp Card"/>
    <m/>
    <s v="Expense"/>
    <s v="LinkedIn"/>
    <s v="69400 General &amp; Administrative:G&amp;A - Software Applications &amp; Licenses"/>
    <x v="3"/>
    <x v="10"/>
    <n v="63.59"/>
    <m/>
    <n v="-63.59"/>
    <n v="423273.87999999919"/>
  </r>
  <r>
    <s v="07/08/2025"/>
    <x v="1"/>
    <x v="7"/>
    <s v="M&amp;T Operating"/>
    <m/>
    <s v="Bill Payment"/>
    <s v="McMax LLC"/>
    <s v="20005 Accounts Payable"/>
    <x v="4"/>
    <x v="7"/>
    <n v="3920"/>
    <m/>
    <n v="-3920"/>
    <n v="419353.87999999919"/>
  </r>
  <r>
    <s v="07/08/2025"/>
    <x v="1"/>
    <x v="7"/>
    <s v="M&amp;T Operating"/>
    <m/>
    <s v="Bill Payment"/>
    <s v="Paul Peterson paul.01.peterson@gmail.com USD"/>
    <s v="20005 Accounts Payable"/>
    <x v="4"/>
    <x v="7"/>
    <n v="8000"/>
    <m/>
    <n v="-8000"/>
    <n v="411353.87999999919"/>
  </r>
  <r>
    <s v="07/08/2025"/>
    <x v="1"/>
    <x v="7"/>
    <s v="M&amp;T Operating"/>
    <m/>
    <s v="Bill Payment"/>
    <s v="Pedro Rubio pedro@blackfyre.app USD"/>
    <s v="20005 Accounts Payable"/>
    <x v="4"/>
    <x v="9"/>
    <n v="199"/>
    <m/>
    <n v="-199"/>
    <n v="411154.87999999919"/>
  </r>
  <r>
    <s v="07/08/2025"/>
    <x v="1"/>
    <x v="7"/>
    <s v="M&amp;T Operating"/>
    <m/>
    <s v="Bill Payment"/>
    <s v="Phoenix Perkins phoenixperkins0@gmail.com USD"/>
    <s v="20005 Accounts Payable"/>
    <x v="4"/>
    <x v="9"/>
    <n v="2136.67"/>
    <m/>
    <n v="-2136.67"/>
    <n v="409018.20999999921"/>
  </r>
  <r>
    <s v="07/08/2025"/>
    <x v="1"/>
    <x v="7"/>
    <s v="M&amp;T Operating"/>
    <m/>
    <s v="Bill Payment"/>
    <s v="Prasanna Patel prasanna.patel@xtransmatrix.com USD"/>
    <s v="20005 Accounts Payable"/>
    <x v="4"/>
    <x v="9"/>
    <n v="5880"/>
    <m/>
    <n v="-5880"/>
    <n v="403138.20999999921"/>
  </r>
  <r>
    <s v="07/08/2025"/>
    <x v="1"/>
    <x v="7"/>
    <s v="M&amp;T Operating"/>
    <m/>
    <s v="Bill Payment"/>
    <s v="Prasanna Patel prasanna.patel@xtransmatrix.com USD"/>
    <s v="20005 Accounts Payable"/>
    <x v="4"/>
    <x v="9"/>
    <n v="3360"/>
    <m/>
    <n v="-3360"/>
    <n v="399778.20999999921"/>
  </r>
  <r>
    <s v="07/08/2025"/>
    <x v="1"/>
    <x v="7"/>
    <s v="M&amp;T Operating"/>
    <m/>
    <s v="Bill Payment"/>
    <s v="Resolute Creative Group, LLC"/>
    <s v="20005 Accounts Payable"/>
    <x v="4"/>
    <x v="7"/>
    <n v="656.25"/>
    <m/>
    <n v="-656.25"/>
    <n v="399121.95999999921"/>
  </r>
  <r>
    <s v="07/08/2025"/>
    <x v="1"/>
    <x v="7"/>
    <s v="M&amp;T Operating"/>
    <m/>
    <s v="Bill Payment"/>
    <s v="SALESFORCE CRM CONSULTING PTY LTD"/>
    <s v="20005 Accounts Payable"/>
    <x v="4"/>
    <x v="7"/>
    <n v="96.25"/>
    <m/>
    <n v="-96.25"/>
    <n v="399025.70999999921"/>
  </r>
  <r>
    <s v="07/08/2025"/>
    <x v="1"/>
    <x v="7"/>
    <s v="M&amp;T Operating"/>
    <m/>
    <s v="Bill Payment"/>
    <s v="SALESFORCE CRM CONSULTING PTY LTD"/>
    <s v="20005 Accounts Payable"/>
    <x v="4"/>
    <x v="7"/>
    <n v="3483"/>
    <m/>
    <n v="-3483"/>
    <n v="395542.70999999921"/>
  </r>
  <r>
    <s v="07/08/2025"/>
    <x v="1"/>
    <x v="7"/>
    <s v="M&amp;T Operating"/>
    <m/>
    <s v="Bill Payment"/>
    <s v="SALESFORCE CRM CONSULTING PTY LTD"/>
    <s v="20005 Accounts Payable"/>
    <x v="4"/>
    <x v="7"/>
    <n v="875"/>
    <m/>
    <n v="-875"/>
    <n v="394667.70999999921"/>
  </r>
  <r>
    <s v="07/08/2025"/>
    <x v="1"/>
    <x v="7"/>
    <s v="M&amp;T Operating"/>
    <m/>
    <s v="Bill Payment"/>
    <s v="SALESFORCE CRM CONSULTING PTY LTD"/>
    <s v="20005 Accounts Payable"/>
    <x v="4"/>
    <x v="7"/>
    <n v="3132"/>
    <m/>
    <n v="-3132"/>
    <n v="391535.70999999921"/>
  </r>
  <r>
    <s v="07/08/2025"/>
    <x v="1"/>
    <x v="7"/>
    <s v="M&amp;T Operating"/>
    <m/>
    <s v="Bill Payment"/>
    <s v="SALESFORCE CRM CONSULTING PTY LTD"/>
    <s v="20005 Accounts Payable"/>
    <x v="4"/>
    <x v="7"/>
    <n v="175"/>
    <m/>
    <n v="-175"/>
    <n v="391360.70999999921"/>
  </r>
  <r>
    <s v="07/08/2025"/>
    <x v="1"/>
    <x v="7"/>
    <s v="M&amp;T Operating"/>
    <m/>
    <s v="Bill Payment"/>
    <s v="SALESFORCE CRM CONSULTING PTY LTD"/>
    <s v="20005 Accounts Payable"/>
    <x v="4"/>
    <x v="7"/>
    <n v="264"/>
    <m/>
    <n v="-264"/>
    <n v="391096.70999999921"/>
  </r>
  <r>
    <s v="07/08/2025"/>
    <x v="1"/>
    <x v="7"/>
    <s v="M&amp;T Operating"/>
    <m/>
    <s v="Bill Payment"/>
    <s v="SALESFORCE CRM CONSULTING PTY LTD"/>
    <s v="20005 Accounts Payable"/>
    <x v="4"/>
    <x v="7"/>
    <n v="2685"/>
    <m/>
    <n v="-2685"/>
    <n v="388411.70999999921"/>
  </r>
  <r>
    <s v="07/08/2025"/>
    <x v="1"/>
    <x v="7"/>
    <s v="M&amp;T Operating"/>
    <m/>
    <s v="Bill Payment"/>
    <s v="SALESFORCE CRM CONSULTING PTY LTD"/>
    <s v="20005 Accounts Payable"/>
    <x v="4"/>
    <x v="7"/>
    <n v="1120"/>
    <m/>
    <n v="-1120"/>
    <n v="387291.70999999921"/>
  </r>
  <r>
    <s v="07/08/2025"/>
    <x v="1"/>
    <x v="7"/>
    <s v="M&amp;T Operating"/>
    <m/>
    <s v="Bill Payment"/>
    <s v="SALESFORCE CRM CONSULTING PTY LTD"/>
    <s v="20005 Accounts Payable"/>
    <x v="4"/>
    <x v="7"/>
    <n v="2882"/>
    <m/>
    <n v="-2882"/>
    <n v="384409.70999999921"/>
  </r>
  <r>
    <s v="07/08/2025"/>
    <x v="1"/>
    <x v="7"/>
    <s v="M&amp;T Operating"/>
    <m/>
    <s v="Bill Payment"/>
    <s v="SALESFORCE CRM CONSULTING PTY LTD"/>
    <s v="20005 Accounts Payable"/>
    <x v="4"/>
    <x v="7"/>
    <n v="1232"/>
    <m/>
    <n v="-1232"/>
    <n v="383177.70999999921"/>
  </r>
  <r>
    <s v="07/08/2025"/>
    <x v="1"/>
    <x v="7"/>
    <s v="M&amp;T Operating"/>
    <m/>
    <s v="Bill Payment"/>
    <s v="SALESFORCE CRM CONSULTING PTY LTD"/>
    <s v="20005 Accounts Payable"/>
    <x v="4"/>
    <x v="7"/>
    <n v="3948"/>
    <m/>
    <n v="-3948"/>
    <n v="379229.70999999921"/>
  </r>
  <r>
    <s v="07/08/2025"/>
    <x v="1"/>
    <x v="7"/>
    <s v="M&amp;T Operating"/>
    <m/>
    <s v="Bill Payment"/>
    <s v="SALESFORCE CRM CONSULTING PTY LTD"/>
    <s v="20005 Accounts Payable"/>
    <x v="4"/>
    <x v="7"/>
    <n v="280"/>
    <m/>
    <n v="-280"/>
    <n v="378949.70999999921"/>
  </r>
  <r>
    <s v="07/08/2025"/>
    <x v="1"/>
    <x v="7"/>
    <s v="M&amp;T Operating"/>
    <m/>
    <s v="Bill Payment"/>
    <s v="SALESFORCE CRM CONSULTING PTY LTD"/>
    <s v="20005 Accounts Payable"/>
    <x v="4"/>
    <x v="7"/>
    <n v="620"/>
    <m/>
    <n v="-620"/>
    <n v="378329.70999999921"/>
  </r>
  <r>
    <s v="07/08/2025"/>
    <x v="1"/>
    <x v="7"/>
    <s v="M&amp;T Operating"/>
    <m/>
    <s v="Bill Payment"/>
    <s v="SALESFORCE CRM CONSULTING PTY LTD"/>
    <s v="20005 Accounts Payable"/>
    <x v="4"/>
    <x v="7"/>
    <n v="3780"/>
    <m/>
    <n v="-3780"/>
    <n v="374549.70999999921"/>
  </r>
  <r>
    <s v="07/08/2025"/>
    <x v="1"/>
    <x v="7"/>
    <s v="M&amp;T Operating"/>
    <m/>
    <s v="Bill Payment"/>
    <s v="SALESFORCE CRM CONSULTING PTY LTD"/>
    <s v="20005 Accounts Payable"/>
    <x v="4"/>
    <x v="7"/>
    <n v="271.25"/>
    <m/>
    <n v="-271.25"/>
    <n v="374278.45999999921"/>
  </r>
  <r>
    <s v="07/08/2025"/>
    <x v="1"/>
    <x v="7"/>
    <s v="M&amp;T Operating"/>
    <m/>
    <s v="Bill Payment"/>
    <s v="Shazib Mahmood shazibm91@gmail.com USD"/>
    <s v="20005 Accounts Payable"/>
    <x v="4"/>
    <x v="7"/>
    <n v="18544"/>
    <m/>
    <n v="-18544"/>
    <n v="355734.45999999921"/>
  </r>
  <r>
    <s v="07/08/2025"/>
    <x v="1"/>
    <x v="7"/>
    <s v="M&amp;T Operating"/>
    <m/>
    <s v="Transfer"/>
    <m/>
    <s v="10010 M&amp;T Bank - IntraFi Network Sweep"/>
    <x v="0"/>
    <x v="0"/>
    <n v="275"/>
    <m/>
    <n v="-275"/>
    <n v="355459.45999999921"/>
  </r>
  <r>
    <s v="07/09/2025"/>
    <x v="1"/>
    <x v="7"/>
    <s v="M&amp;T Operating"/>
    <m/>
    <s v="Expense"/>
    <s v="Bancorpsv (Benefit Deduction)"/>
    <s v="22335 Accrued Expenses:Accrued Expenses - Bancorpsv Clearing"/>
    <x v="1"/>
    <x v="1"/>
    <n v="50"/>
    <m/>
    <n v="-50"/>
    <n v="355409.45999999921"/>
  </r>
  <r>
    <s v="07/09/2025"/>
    <x v="1"/>
    <x v="7"/>
    <s v="Ramp Card"/>
    <m/>
    <s v="Expense"/>
    <s v="Firecrawl"/>
    <s v="58005 Direct Third Party Costs:Direct Third Party Software License Fees"/>
    <x v="4"/>
    <x v="19"/>
    <n v="99"/>
    <m/>
    <n v="-99"/>
    <n v="355310.45999999921"/>
  </r>
  <r>
    <s v="07/09/2025"/>
    <x v="1"/>
    <x v="7"/>
    <s v="Ramp Card"/>
    <m/>
    <s v="Expense"/>
    <s v="Loom"/>
    <s v="64400 AppIQ - Sales:AppIQ - Sales - Software Applications &amp; Licenses"/>
    <x v="3"/>
    <x v="10"/>
    <n v="24"/>
    <m/>
    <n v="-24"/>
    <n v="355286.45999999921"/>
  </r>
  <r>
    <s v="07/09/2025"/>
    <x v="1"/>
    <x v="7"/>
    <s v="M&amp;T Operating"/>
    <m/>
    <s v="Expense"/>
    <s v="M&amp;T Bank"/>
    <s v="69805 General &amp; Administrative:G&amp;A - Bank Fees"/>
    <x v="0"/>
    <x v="6"/>
    <n v="316.11"/>
    <m/>
    <n v="-316.11"/>
    <n v="354970.34999999922"/>
  </r>
  <r>
    <s v="07/09/2025"/>
    <x v="1"/>
    <x v="7"/>
    <s v="M&amp;T Operating"/>
    <m/>
    <s v="Transfer"/>
    <m/>
    <s v="10010 M&amp;T Bank - IntraFi Network Sweep"/>
    <x v="0"/>
    <x v="0"/>
    <m/>
    <n v="129686.6"/>
    <n v="129686.6"/>
    <n v="484656.94999999925"/>
  </r>
  <r>
    <s v="07/10/2025"/>
    <x v="1"/>
    <x v="7"/>
    <s v="M&amp;T Operating"/>
    <m/>
    <s v="Expense"/>
    <s v="Bancorpsv (Benefit Deduction)"/>
    <s v="22335 Accrued Expenses:Accrued Expenses - Bancorpsv Clearing"/>
    <x v="1"/>
    <x v="1"/>
    <n v="25"/>
    <m/>
    <n v="-25"/>
    <n v="484631.94999999925"/>
  </r>
  <r>
    <s v="07/10/2025"/>
    <x v="1"/>
    <x v="7"/>
    <s v="M&amp;T Operating"/>
    <m/>
    <s v="Bill Payment"/>
    <s v="Investigo LLC"/>
    <s v="20005 Accounts Payable"/>
    <x v="4"/>
    <x v="9"/>
    <n v="11788.5"/>
    <m/>
    <n v="-11788.5"/>
    <n v="472843.44999999925"/>
  </r>
  <r>
    <s v="07/10/2025"/>
    <x v="1"/>
    <x v="7"/>
    <s v="Ramp Card"/>
    <m/>
    <s v="Expense"/>
    <s v="OpenAI"/>
    <s v="69400 General &amp; Administrative:G&amp;A - Software Applications &amp; Licenses"/>
    <x v="3"/>
    <x v="10"/>
    <n v="206"/>
    <m/>
    <n v="-206"/>
    <n v="472637.44999999925"/>
  </r>
  <r>
    <s v="07/10/2025"/>
    <x v="1"/>
    <x v="7"/>
    <s v="M&amp;T Operating"/>
    <m/>
    <s v="Transfer"/>
    <m/>
    <s v="10010 M&amp;T Bank - IntraFi Network Sweep"/>
    <x v="0"/>
    <x v="0"/>
    <m/>
    <n v="11813.5"/>
    <n v="11813.5"/>
    <n v="484450.94999999925"/>
  </r>
  <r>
    <s v="07/11/2025"/>
    <x v="1"/>
    <x v="7"/>
    <s v="M&amp;T Operating"/>
    <m/>
    <s v="Deposit"/>
    <s v="American Benefit Cobra"/>
    <s v="22325 Accrued Expenses:Accrued Expenses - COBRA Clearing"/>
    <x v="1"/>
    <x v="1"/>
    <m/>
    <n v="476.36"/>
    <n v="476.36"/>
    <n v="484927.30999999924"/>
  </r>
  <r>
    <s v="07/11/2025"/>
    <x v="1"/>
    <x v="7"/>
    <s v="Ramp Card"/>
    <m/>
    <s v="Expense"/>
    <s v="Anthropic"/>
    <s v="69400 General &amp; Administrative:G&amp;A - Software Applications &amp; Licenses"/>
    <x v="3"/>
    <x v="10"/>
    <n v="20.6"/>
    <m/>
    <n v="-20.6"/>
    <n v="484906.70999999926"/>
  </r>
  <r>
    <s v="07/11/2025"/>
    <x v="1"/>
    <x v="7"/>
    <s v="M&amp;T Operating"/>
    <m/>
    <s v="Bill Payment"/>
    <s v="Investigo LLC"/>
    <s v="20005 Accounts Payable"/>
    <x v="4"/>
    <x v="9"/>
    <n v="6097.5"/>
    <m/>
    <n v="-6097.5"/>
    <n v="478809.20999999926"/>
  </r>
  <r>
    <s v="07/11/2025"/>
    <x v="1"/>
    <x v="7"/>
    <s v="M&amp;T Operating"/>
    <m/>
    <s v="Bill Payment"/>
    <s v="Investigo LLC"/>
    <s v="20005 Accounts Payable"/>
    <x v="4"/>
    <x v="9"/>
    <n v="2032.5"/>
    <m/>
    <n v="-2032.5"/>
    <n v="476776.70999999926"/>
  </r>
  <r>
    <s v="07/11/2025"/>
    <x v="1"/>
    <x v="7"/>
    <s v="Ramp Card"/>
    <m/>
    <s v="Expense"/>
    <s v="OpenAI"/>
    <s v="51400 Classic COGS - Delivery:Classic COGS - Delivery - Software Applications &amp; Licenses"/>
    <x v="3"/>
    <x v="10"/>
    <n v="20.6"/>
    <m/>
    <n v="-20.6"/>
    <n v="476756.10999999929"/>
  </r>
  <r>
    <s v="07/11/2025"/>
    <x v="1"/>
    <x v="7"/>
    <s v="M&amp;T Operating"/>
    <m/>
    <s v="Deposit"/>
    <s v="William Karpovich (bill@synaptic.build)"/>
    <s v="69500 General &amp; Administrative:G&amp;A - Travel"/>
    <x v="3"/>
    <x v="4"/>
    <m/>
    <n v="22.7"/>
    <n v="22.7"/>
    <n v="476778.8099999993"/>
  </r>
  <r>
    <s v="07/11/2025"/>
    <x v="1"/>
    <x v="7"/>
    <s v="M&amp;T Operating"/>
    <m/>
    <s v="Transfer"/>
    <m/>
    <s v="10010 M&amp;T Bank - IntraFi Network Sweep"/>
    <x v="0"/>
    <x v="0"/>
    <m/>
    <n v="7630.94"/>
    <n v="7630.94"/>
    <n v="484409.7499999993"/>
  </r>
  <r>
    <s v="07/12/2025"/>
    <x v="1"/>
    <x v="7"/>
    <s v="Ramp Card"/>
    <m/>
    <s v="Expense"/>
    <s v="Atlassian"/>
    <s v="69400 General &amp; Administrative:G&amp;A - Software Applications &amp; Licenses"/>
    <x v="3"/>
    <x v="10"/>
    <n v="1061.67"/>
    <m/>
    <n v="-1061.67"/>
    <n v="483348.07999999932"/>
  </r>
  <r>
    <s v="07/12/2025"/>
    <x v="1"/>
    <x v="7"/>
    <s v="Ramp Card"/>
    <m/>
    <s v="Expense"/>
    <s v="Cookiebot"/>
    <s v="69400 General &amp; Administrative:G&amp;A - Software Applications &amp; Licenses"/>
    <x v="3"/>
    <x v="10"/>
    <n v="16"/>
    <m/>
    <n v="-16"/>
    <n v="483332.07999999932"/>
  </r>
  <r>
    <s v="07/12/2025"/>
    <x v="1"/>
    <x v="7"/>
    <s v="Ramp Card"/>
    <m/>
    <s v="Expense"/>
    <s v="OpenAI"/>
    <s v="69400 General &amp; Administrative:G&amp;A - Software Applications &amp; Licenses"/>
    <x v="3"/>
    <x v="10"/>
    <n v="200"/>
    <m/>
    <n v="-200"/>
    <n v="483132.07999999932"/>
  </r>
  <r>
    <s v="07/12/2025"/>
    <x v="1"/>
    <x v="7"/>
    <s v="Ramp Card"/>
    <m/>
    <s v="Expense"/>
    <s v="Southwest Airlines"/>
    <s v="61500 Classic - Sales:Classic - Sales - Travel"/>
    <x v="3"/>
    <x v="4"/>
    <n v="60"/>
    <m/>
    <n v="-60"/>
    <n v="483072.07999999932"/>
  </r>
  <r>
    <s v="07/12/2025"/>
    <x v="1"/>
    <x v="7"/>
    <s v="Ramp Card"/>
    <m/>
    <s v="Expense"/>
    <s v="Southwest Airlines"/>
    <s v="61500 Classic - Sales:Classic - Sales - Travel"/>
    <x v="3"/>
    <x v="4"/>
    <n v="530.6"/>
    <m/>
    <n v="-530.6"/>
    <n v="482541.47999999934"/>
  </r>
  <r>
    <s v="07/12/2025"/>
    <x v="1"/>
    <x v="7"/>
    <s v="Ramp Card"/>
    <m/>
    <s v="Expense"/>
    <s v="Vidyard"/>
    <s v="65400 AppIQ - Marketing:AppIQ - Marketing - Software Applications &amp; Licenses"/>
    <x v="3"/>
    <x v="10"/>
    <n v="29"/>
    <m/>
    <n v="-29"/>
    <n v="482512.47999999934"/>
  </r>
  <r>
    <s v="07/14/2025"/>
    <x v="1"/>
    <x v="7"/>
    <s v="Ramp Card"/>
    <m/>
    <s v="Expense"/>
    <s v="Delta Air Lines"/>
    <s v="64500 AppIQ - Sales:AppIQ - Sales - Travel"/>
    <x v="3"/>
    <x v="4"/>
    <n v="366.96"/>
    <m/>
    <n v="-366.96"/>
    <n v="482145.51999999932"/>
  </r>
  <r>
    <s v="07/14/2025"/>
    <x v="1"/>
    <x v="7"/>
    <s v="M&amp;T Operating"/>
    <m/>
    <s v="Expense"/>
    <s v="Paylocity"/>
    <s v="22205 Accrued Expenses:Accrued Expenses - Payroll"/>
    <x v="1"/>
    <x v="1"/>
    <n v="1234.75"/>
    <m/>
    <n v="-1234.75"/>
    <n v="480910.76999999932"/>
  </r>
  <r>
    <s v="07/14/2025"/>
    <x v="1"/>
    <x v="7"/>
    <s v="M&amp;T Operating"/>
    <m/>
    <s v="Expense"/>
    <s v="Paylocity"/>
    <s v="22205 Accrued Expenses:Accrued Expenses - Payroll"/>
    <x v="1"/>
    <x v="12"/>
    <n v="84535.38"/>
    <m/>
    <n v="-84535.38"/>
    <n v="396375.38999999932"/>
  </r>
  <r>
    <s v="07/14/2025"/>
    <x v="1"/>
    <x v="7"/>
    <s v="M&amp;T Operating"/>
    <m/>
    <s v="Expense"/>
    <s v="Paylocity"/>
    <s v="22205 Accrued Expenses:Accrued Expenses - Payroll"/>
    <x v="1"/>
    <x v="11"/>
    <n v="42807.95"/>
    <m/>
    <n v="-42807.95"/>
    <n v="353567.4399999993"/>
  </r>
  <r>
    <s v="07/14/2025"/>
    <x v="1"/>
    <x v="7"/>
    <s v="Ramp Card"/>
    <m/>
    <s v="Expense"/>
    <s v="Perplexity AI"/>
    <s v="69400 General &amp; Administrative:G&amp;A - Software Applications &amp; Licenses"/>
    <x v="3"/>
    <x v="10"/>
    <n v="187.02"/>
    <m/>
    <n v="-187.02"/>
    <n v="353380.41999999929"/>
  </r>
  <r>
    <s v="07/14/2025"/>
    <x v="1"/>
    <x v="7"/>
    <s v="Ramp Card"/>
    <m/>
    <s v="Expense"/>
    <s v="Uber"/>
    <s v="64500 AppIQ - Sales:AppIQ - Sales - Travel"/>
    <x v="3"/>
    <x v="4"/>
    <n v="41.96"/>
    <m/>
    <n v="-41.96"/>
    <n v="353338.45999999926"/>
  </r>
  <r>
    <s v="07/14/2025"/>
    <x v="1"/>
    <x v="7"/>
    <s v="Ramp Card"/>
    <m/>
    <s v="Expense"/>
    <s v="Voice One"/>
    <s v="69400 General &amp; Administrative:G&amp;A - Software Applications &amp; Licenses"/>
    <x v="3"/>
    <x v="10"/>
    <n v="179"/>
    <m/>
    <n v="-179"/>
    <n v="353159.45999999926"/>
  </r>
  <r>
    <s v="07/14/2025"/>
    <x v="1"/>
    <x v="7"/>
    <s v="M&amp;T Operating"/>
    <m/>
    <s v="Transfer"/>
    <m/>
    <s v="10010 M&amp;T Bank - IntraFi Network Sweep"/>
    <x v="0"/>
    <x v="0"/>
    <m/>
    <n v="130546.33"/>
    <n v="130546.33"/>
    <n v="483705.78999999928"/>
  </r>
  <r>
    <s v="07/14/2025"/>
    <x v="1"/>
    <x v="7"/>
    <s v="M&amp;T Operating"/>
    <m/>
    <s v="Credit Card Pmt"/>
    <m/>
    <s v="21020 Ramp Card"/>
    <x v="5"/>
    <x v="24"/>
    <n v="14941.09"/>
    <m/>
    <n v="-14941.09"/>
    <n v="468764.69999999925"/>
  </r>
  <r>
    <s v="07/14/2025"/>
    <x v="1"/>
    <x v="7"/>
    <s v="Ramp Card"/>
    <m/>
    <s v="Credit Card Pmt"/>
    <m/>
    <s v="10005 M&amp;T Bank - Operating"/>
    <x v="5"/>
    <x v="24"/>
    <m/>
    <n v="14941.09"/>
    <n v="14941.09"/>
    <n v="483705.78999999928"/>
  </r>
  <r>
    <s v="07/15/2025"/>
    <x v="1"/>
    <x v="7"/>
    <s v="Ramp Card"/>
    <m/>
    <s v="Expense"/>
    <s v="Baltimore Convention Center"/>
    <s v="64505 AppIQ - Sales:AppIQ - Sales - Meals &amp; Entertainment"/>
    <x v="3"/>
    <x v="4"/>
    <n v="3"/>
    <m/>
    <n v="-3"/>
    <n v="483702.78999999928"/>
  </r>
  <r>
    <s v="07/15/2025"/>
    <x v="1"/>
    <x v="7"/>
    <s v="Ramp Card"/>
    <m/>
    <s v="Expense"/>
    <s v="Courtyard by Marriott"/>
    <s v="61500 Classic - Sales:Classic - Sales - Travel"/>
    <x v="3"/>
    <x v="4"/>
    <n v="494.91"/>
    <m/>
    <n v="-494.91"/>
    <n v="483207.87999999931"/>
  </r>
  <r>
    <s v="07/15/2025"/>
    <x v="1"/>
    <x v="7"/>
    <s v="Ramp Card"/>
    <m/>
    <s v="Expense"/>
    <s v="Courtyard by Marriott"/>
    <s v="64500 AppIQ - Sales:AppIQ - Sales - Travel"/>
    <x v="3"/>
    <x v="4"/>
    <n v="229.13"/>
    <m/>
    <n v="-229.13"/>
    <n v="482978.7499999993"/>
  </r>
  <r>
    <s v="07/15/2025"/>
    <x v="1"/>
    <x v="7"/>
    <s v="Ramp Card"/>
    <m/>
    <s v="Expense"/>
    <s v="Courtyard by Marriott"/>
    <s v="64500 AppIQ - Sales:AppIQ - Sales - Travel"/>
    <x v="3"/>
    <x v="4"/>
    <n v="183.6"/>
    <m/>
    <n v="-183.6"/>
    <n v="482795.14999999932"/>
  </r>
  <r>
    <s v="07/15/2025"/>
    <x v="1"/>
    <x v="7"/>
    <s v="M&amp;T Operating"/>
    <m/>
    <s v="Payment"/>
    <s v="Currencies Direct Limited"/>
    <s v="11005 Accounts Receivable"/>
    <x v="2"/>
    <x v="2"/>
    <m/>
    <n v="87724.4"/>
    <n v="87724.4"/>
    <n v="570519.54999999935"/>
  </r>
  <r>
    <s v="07/15/2025"/>
    <x v="1"/>
    <x v="7"/>
    <s v="Ramp Card"/>
    <m/>
    <s v="Expense"/>
    <s v="Harris Teeter"/>
    <s v="64505 AppIQ - Sales:AppIQ - Sales - Meals &amp; Entertainment"/>
    <x v="3"/>
    <x v="4"/>
    <n v="19.03"/>
    <m/>
    <n v="-19.03"/>
    <n v="570500.51999999932"/>
  </r>
  <r>
    <s v="07/15/2025"/>
    <x v="1"/>
    <x v="7"/>
    <s v="M&amp;T Operating"/>
    <m/>
    <s v="Bill Payment"/>
    <s v="Joseph Kennedy (joey.kennedy@synaptic.build)"/>
    <s v="20005 Accounts Payable"/>
    <x v="3"/>
    <x v="4"/>
    <n v="29.11"/>
    <m/>
    <n v="-29.11"/>
    <n v="570471.40999999933"/>
  </r>
  <r>
    <s v="07/15/2025"/>
    <x v="1"/>
    <x v="7"/>
    <s v="Ramp Card"/>
    <m/>
    <s v="Expense"/>
    <s v="L.P. Steamers"/>
    <s v="69505 General &amp; Administrative:G&amp;A - Meals &amp; Entertainment"/>
    <x v="3"/>
    <x v="4"/>
    <n v="277.88"/>
    <m/>
    <n v="-277.88"/>
    <n v="570193.52999999933"/>
  </r>
  <r>
    <s v="07/15/2025"/>
    <x v="1"/>
    <x v="7"/>
    <s v="Ramp Card"/>
    <m/>
    <s v="Expense"/>
    <s v="McDonald's"/>
    <s v="64505 AppIQ - Sales:AppIQ - Sales - Meals &amp; Entertainment"/>
    <x v="3"/>
    <x v="4"/>
    <n v="18"/>
    <m/>
    <n v="-18"/>
    <n v="570175.52999999933"/>
  </r>
  <r>
    <s v="07/15/2025"/>
    <x v="1"/>
    <x v="7"/>
    <s v="M&amp;T Operating"/>
    <m/>
    <s v="Expense"/>
    <s v="Paylocity"/>
    <s v="69215 General &amp; Administrative:G&amp;A - Payroll Fees"/>
    <x v="1"/>
    <x v="3"/>
    <n v="158.86000000000001"/>
    <m/>
    <n v="-158.86000000000001"/>
    <n v="570016.66999999934"/>
  </r>
  <r>
    <s v="07/15/2025"/>
    <x v="1"/>
    <x v="7"/>
    <s v="Ramp Card"/>
    <m/>
    <s v="Expense"/>
    <s v="Samos Greek Island Grill"/>
    <s v="69505 General &amp; Administrative:G&amp;A - Meals &amp; Entertainment"/>
    <x v="3"/>
    <x v="4"/>
    <n v="102.51"/>
    <m/>
    <n v="-102.51"/>
    <n v="569914.15999999933"/>
  </r>
  <r>
    <s v="07/15/2025"/>
    <x v="1"/>
    <x v="7"/>
    <s v="Ramp Card"/>
    <m/>
    <s v="Expense"/>
    <s v="SUMMER SALT"/>
    <s v="61505 Classic - Sales:Classic - Sales - Meals &amp; Entertainment"/>
    <x v="3"/>
    <x v="4"/>
    <n v="11.12"/>
    <m/>
    <n v="-11.12"/>
    <n v="569903.03999999934"/>
  </r>
  <r>
    <s v="07/15/2025"/>
    <x v="1"/>
    <x v="7"/>
    <s v="Ramp Card"/>
    <m/>
    <s v="Expense"/>
    <s v="Uber"/>
    <s v="61500 Classic - Sales:Classic - Sales - Travel"/>
    <x v="3"/>
    <x v="4"/>
    <n v="24.17"/>
    <m/>
    <n v="-24.17"/>
    <n v="569878.8699999993"/>
  </r>
  <r>
    <s v="07/15/2025"/>
    <x v="1"/>
    <x v="7"/>
    <s v="Ramp Card"/>
    <m/>
    <s v="Expense"/>
    <s v="Uber"/>
    <s v="61500 Classic - Sales:Classic - Sales - Travel"/>
    <x v="3"/>
    <x v="4"/>
    <n v="30.95"/>
    <m/>
    <n v="-30.95"/>
    <n v="569847.91999999934"/>
  </r>
  <r>
    <s v="07/15/2025"/>
    <x v="1"/>
    <x v="7"/>
    <s v="Ramp Card"/>
    <m/>
    <s v="Expense"/>
    <s v="Uber"/>
    <s v="64500 AppIQ - Sales:AppIQ - Sales - Travel"/>
    <x v="3"/>
    <x v="4"/>
    <n v="22.65"/>
    <m/>
    <n v="-22.65"/>
    <n v="569825.26999999932"/>
  </r>
  <r>
    <s v="07/15/2025"/>
    <x v="1"/>
    <x v="7"/>
    <s v="Ramp Card"/>
    <m/>
    <s v="Expense"/>
    <s v="Uber"/>
    <s v="64500 AppIQ - Sales:AppIQ - Sales - Travel"/>
    <x v="3"/>
    <x v="4"/>
    <n v="2"/>
    <m/>
    <n v="-2"/>
    <n v="569823.26999999932"/>
  </r>
  <r>
    <s v="07/15/2025"/>
    <x v="1"/>
    <x v="7"/>
    <s v="M&amp;T Operating"/>
    <m/>
    <s v="Payment"/>
    <s v="Youreka Labs, Inc"/>
    <s v="11005 Accounts Receivable"/>
    <x v="2"/>
    <x v="2"/>
    <m/>
    <n v="8289"/>
    <n v="8289"/>
    <n v="578112.26999999932"/>
  </r>
  <r>
    <s v="07/15/2025"/>
    <x v="1"/>
    <x v="7"/>
    <s v="M&amp;T Operating"/>
    <m/>
    <s v="Transfer"/>
    <m/>
    <s v="10010 M&amp;T Bank - IntraFi Network Sweep"/>
    <x v="0"/>
    <x v="0"/>
    <n v="80913.45"/>
    <m/>
    <n v="-80913.45"/>
    <n v="497198.81999999931"/>
  </r>
  <r>
    <s v="07/16/2025"/>
    <x v="1"/>
    <x v="7"/>
    <s v="M&amp;T Operating"/>
    <m/>
    <s v="Expense"/>
    <s v="Bancorpsv (Benefit Deduction)"/>
    <s v="22335 Accrued Expenses:Accrued Expenses - Bancorpsv Clearing"/>
    <x v="1"/>
    <x v="1"/>
    <n v="25"/>
    <m/>
    <n v="-25"/>
    <n v="497173.81999999931"/>
  </r>
  <r>
    <s v="07/16/2025"/>
    <x v="1"/>
    <x v="7"/>
    <s v="Ramp Card"/>
    <m/>
    <s v="Expense"/>
    <s v="Chick-Fil-A"/>
    <s v="51505 Classic COGS - Delivery:Classic COGS - Delivery - Meals &amp; Entertainment"/>
    <x v="3"/>
    <x v="4"/>
    <n v="15.32"/>
    <m/>
    <n v="-15.32"/>
    <n v="497158.4999999993"/>
  </r>
  <r>
    <s v="07/16/2025"/>
    <x v="1"/>
    <x v="7"/>
    <s v="Ramp Card"/>
    <m/>
    <s v="Expense"/>
    <s v="Diamondback Brewing Company"/>
    <s v="61505 Classic - Sales:Classic - Sales - Meals &amp; Entertainment"/>
    <x v="3"/>
    <x v="4"/>
    <n v="17.7"/>
    <m/>
    <n v="-17.7"/>
    <n v="497140.79999999929"/>
  </r>
  <r>
    <s v="07/16/2025"/>
    <x v="1"/>
    <x v="7"/>
    <s v="Ramp Card"/>
    <m/>
    <s v="Expense"/>
    <s v="Doordash"/>
    <s v="69505 General &amp; Administrative:G&amp;A - Meals &amp; Entertainment"/>
    <x v="3"/>
    <x v="4"/>
    <n v="113.07"/>
    <m/>
    <n v="-113.07"/>
    <n v="497027.72999999928"/>
  </r>
  <r>
    <s v="07/16/2025"/>
    <x v="1"/>
    <x v="7"/>
    <s v="Ramp Card"/>
    <m/>
    <s v="Expense"/>
    <s v="Harris Teeter"/>
    <s v="64505 AppIQ - Sales:AppIQ - Sales - Meals &amp; Entertainment"/>
    <x v="3"/>
    <x v="4"/>
    <n v="10.28"/>
    <m/>
    <n v="-10.28"/>
    <n v="497017.44999999925"/>
  </r>
  <r>
    <s v="07/16/2025"/>
    <x v="1"/>
    <x v="7"/>
    <s v="Ramp Card"/>
    <m/>
    <s v="Expense"/>
    <s v="La Cocina Mexicana"/>
    <s v="64505 AppIQ - Sales:AppIQ - Sales - Meals &amp; Entertainment"/>
    <x v="3"/>
    <x v="4"/>
    <n v="78.03"/>
    <m/>
    <n v="-78.03"/>
    <n v="496939.41999999923"/>
  </r>
  <r>
    <s v="07/16/2025"/>
    <x v="1"/>
    <x v="7"/>
    <s v="Ramp Card"/>
    <m/>
    <s v="Expense"/>
    <s v="LAZ Parking"/>
    <s v="51500 Classic COGS - Delivery:Classic COGS - Delivery - Travel"/>
    <x v="3"/>
    <x v="4"/>
    <n v="34"/>
    <m/>
    <n v="-34"/>
    <n v="496905.41999999923"/>
  </r>
  <r>
    <s v="07/16/2025"/>
    <x v="1"/>
    <x v="7"/>
    <s v="Ramp Card"/>
    <m/>
    <s v="Expense"/>
    <s v="LinkedIn"/>
    <s v="64400 AppIQ - Sales:AppIQ - Sales - Software Applications &amp; Licenses"/>
    <x v="3"/>
    <x v="10"/>
    <n v="150"/>
    <m/>
    <n v="-150"/>
    <n v="496755.41999999923"/>
  </r>
  <r>
    <s v="07/16/2025"/>
    <x v="1"/>
    <x v="7"/>
    <s v="M&amp;T Operating"/>
    <m/>
    <s v="Expense"/>
    <s v="The Principal"/>
    <s v="22310 Accrued Expenses:Accrued Expenses - Principal Clearing"/>
    <x v="1"/>
    <x v="1"/>
    <n v="15069.73"/>
    <m/>
    <n v="-15069.73"/>
    <n v="481685.68999999925"/>
  </r>
  <r>
    <s v="07/16/2025"/>
    <x v="1"/>
    <x v="7"/>
    <s v="Ramp Card"/>
    <m/>
    <s v="Expense"/>
    <s v="Uber"/>
    <s v="51500 Classic COGS - Delivery:Classic COGS - Delivery - Travel"/>
    <x v="3"/>
    <x v="4"/>
    <n v="39.72"/>
    <m/>
    <n v="-39.72"/>
    <n v="481645.96999999927"/>
  </r>
  <r>
    <s v="07/16/2025"/>
    <x v="1"/>
    <x v="7"/>
    <s v="Ramp Card"/>
    <m/>
    <s v="Expense"/>
    <s v="Uber"/>
    <s v="51500 Classic COGS - Delivery:Classic COGS - Delivery - Travel"/>
    <x v="3"/>
    <x v="4"/>
    <n v="27.12"/>
    <m/>
    <n v="-27.12"/>
    <n v="481618.84999999928"/>
  </r>
  <r>
    <s v="07/16/2025"/>
    <x v="1"/>
    <x v="7"/>
    <s v="Ramp Card"/>
    <m/>
    <s v="Expense"/>
    <s v="Uber"/>
    <s v="64500 AppIQ - Sales:AppIQ - Sales - Travel"/>
    <x v="3"/>
    <x v="4"/>
    <n v="27.96"/>
    <m/>
    <n v="-27.96"/>
    <n v="481590.88999999926"/>
  </r>
  <r>
    <s v="07/16/2025"/>
    <x v="1"/>
    <x v="7"/>
    <s v="Ramp Card"/>
    <m/>
    <s v="Expense"/>
    <s v="Uber"/>
    <s v="64500 AppIQ - Sales:AppIQ - Sales - Travel"/>
    <x v="3"/>
    <x v="4"/>
    <n v="12.72"/>
    <m/>
    <n v="-12.72"/>
    <n v="481578.16999999929"/>
  </r>
  <r>
    <s v="07/16/2025"/>
    <x v="1"/>
    <x v="7"/>
    <s v="Ramp Card"/>
    <m/>
    <s v="Expense"/>
    <s v="Uber"/>
    <s v="64500 AppIQ - Sales:AppIQ - Sales - Travel"/>
    <x v="3"/>
    <x v="4"/>
    <n v="2"/>
    <m/>
    <n v="-2"/>
    <n v="481576.16999999929"/>
  </r>
  <r>
    <s v="07/16/2025"/>
    <x v="1"/>
    <x v="7"/>
    <s v="Ramp Card"/>
    <m/>
    <s v="Expense"/>
    <s v="Uber"/>
    <s v="64500 AppIQ - Sales:AppIQ - Sales - Travel"/>
    <x v="3"/>
    <x v="4"/>
    <n v="9.7799999999999994"/>
    <m/>
    <n v="-9.7799999999999994"/>
    <n v="481566.38999999926"/>
  </r>
  <r>
    <s v="07/16/2025"/>
    <x v="1"/>
    <x v="7"/>
    <s v="M&amp;T Operating"/>
    <m/>
    <s v="Expense"/>
    <s v="Wex Health, Inc."/>
    <s v="22320 Accrued Expenses:Accrued Expenses - WEX Clearing"/>
    <x v="1"/>
    <x v="1"/>
    <n v="208.34"/>
    <m/>
    <n v="-208.34"/>
    <n v="481358.04999999923"/>
  </r>
  <r>
    <s v="07/16/2025"/>
    <x v="1"/>
    <x v="7"/>
    <s v="M&amp;T Operating"/>
    <m/>
    <s v="Transfer"/>
    <m/>
    <s v="10010 M&amp;T Bank - IntraFi Network Sweep"/>
    <x v="0"/>
    <x v="0"/>
    <m/>
    <n v="15332.18"/>
    <n v="15332.18"/>
    <n v="496690.22999999922"/>
  </r>
  <r>
    <s v="07/17/2025"/>
    <x v="1"/>
    <x v="7"/>
    <s v="Ramp Card"/>
    <m/>
    <s v="Expense"/>
    <s v="Delta Air Lines"/>
    <s v="64500 AppIQ - Sales:AppIQ - Sales - Travel"/>
    <x v="3"/>
    <x v="4"/>
    <n v="20"/>
    <m/>
    <n v="-20"/>
    <n v="496670.22999999922"/>
  </r>
  <r>
    <s v="07/17/2025"/>
    <x v="1"/>
    <x v="7"/>
    <s v="Ramp Card"/>
    <m/>
    <s v="Expense"/>
    <s v="McDonald's"/>
    <s v="64505 AppIQ - Sales:AppIQ - Sales - Meals &amp; Entertainment"/>
    <x v="3"/>
    <x v="4"/>
    <n v="19.63"/>
    <m/>
    <n v="-19.63"/>
    <n v="496650.59999999922"/>
  </r>
  <r>
    <s v="07/17/2025"/>
    <x v="1"/>
    <x v="7"/>
    <s v="Ramp Card"/>
    <m/>
    <s v="Expense"/>
    <s v="Slack"/>
    <s v="13005 Prepaid Expenses"/>
    <x v="3"/>
    <x v="10"/>
    <n v="11591.41"/>
    <m/>
    <n v="-11591.41"/>
    <n v="485059.18999999925"/>
  </r>
  <r>
    <s v="07/17/2025"/>
    <x v="1"/>
    <x v="7"/>
    <s v="Ramp Card"/>
    <m/>
    <s v="Expense"/>
    <s v="Uber"/>
    <s v="61500 Classic - Sales:Classic - Sales - Travel"/>
    <x v="3"/>
    <x v="4"/>
    <n v="32"/>
    <m/>
    <n v="-32"/>
    <n v="485027.18999999925"/>
  </r>
  <r>
    <s v="07/17/2025"/>
    <x v="1"/>
    <x v="7"/>
    <s v="Ramp Card"/>
    <m/>
    <s v="Expense"/>
    <s v="Uber"/>
    <s v="61500 Classic - Sales:Classic - Sales - Travel"/>
    <x v="3"/>
    <x v="4"/>
    <n v="29.91"/>
    <m/>
    <n v="-29.91"/>
    <n v="484997.27999999927"/>
  </r>
  <r>
    <s v="07/17/2025"/>
    <x v="1"/>
    <x v="7"/>
    <s v="Ramp Card"/>
    <m/>
    <s v="Expense"/>
    <s v="Uber"/>
    <s v="64500 AppIQ - Sales:AppIQ - Sales - Travel"/>
    <x v="3"/>
    <x v="4"/>
    <n v="56.93"/>
    <m/>
    <n v="-56.93"/>
    <n v="484940.34999999928"/>
  </r>
  <r>
    <s v="07/18/2025"/>
    <x v="1"/>
    <x v="7"/>
    <s v="M&amp;T Operating"/>
    <m/>
    <s v="Credit Card Pmt"/>
    <s v="Brex Inc"/>
    <s v="21005 Brex Mastercard"/>
    <x v="5"/>
    <x v="13"/>
    <n v="183.94"/>
    <m/>
    <n v="-183.94"/>
    <n v="484756.40999999928"/>
  </r>
  <r>
    <s v="07/18/2025"/>
    <x v="1"/>
    <x v="7"/>
    <s v="Ramp Card"/>
    <m/>
    <s v="Expense"/>
    <s v="Doordash"/>
    <s v="69505 General &amp; Administrative:G&amp;A - Meals &amp; Entertainment"/>
    <x v="3"/>
    <x v="4"/>
    <n v="51.98"/>
    <m/>
    <n v="-51.98"/>
    <n v="484704.42999999929"/>
  </r>
  <r>
    <s v="07/18/2025"/>
    <x v="1"/>
    <x v="7"/>
    <s v="M&amp;T Operating"/>
    <m/>
    <s v="Bill Payment"/>
    <s v="Investigo LLC"/>
    <s v="20005 Accounts Payable"/>
    <x v="4"/>
    <x v="9"/>
    <n v="24000"/>
    <m/>
    <n v="-24000"/>
    <n v="460704.42999999929"/>
  </r>
  <r>
    <s v="07/18/2025"/>
    <x v="1"/>
    <x v="7"/>
    <s v="M&amp;T Operating"/>
    <m/>
    <s v="Bill Payment"/>
    <s v="Sahil Kumar (sahil@synaptic.build)"/>
    <s v="20005 Accounts Payable"/>
    <x v="3"/>
    <x v="4"/>
    <n v="32.04"/>
    <m/>
    <n v="-32.04"/>
    <n v="460672.38999999932"/>
  </r>
  <r>
    <s v="07/18/2025"/>
    <x v="1"/>
    <x v="7"/>
    <s v="M&amp;T Operating"/>
    <m/>
    <s v="Bill Payment"/>
    <s v="Sahil Kumar (sahil@synaptic.build)"/>
    <s v="20005 Accounts Payable"/>
    <x v="3"/>
    <x v="4"/>
    <n v="384.96"/>
    <m/>
    <n v="-384.96"/>
    <n v="460287.42999999929"/>
  </r>
  <r>
    <s v="07/18/2025"/>
    <x v="1"/>
    <x v="7"/>
    <s v="M&amp;T Operating"/>
    <m/>
    <s v="Bill Payment"/>
    <s v="Studebaker Submetering, Inc"/>
    <s v="20005 Accounts Payable"/>
    <x v="3"/>
    <x v="15"/>
    <n v="338.67"/>
    <m/>
    <n v="-338.67"/>
    <n v="459948.75999999931"/>
  </r>
  <r>
    <s v="07/18/2025"/>
    <x v="1"/>
    <x v="7"/>
    <s v="M&amp;T Operating"/>
    <m/>
    <s v="Transfer"/>
    <m/>
    <s v="10010 M&amp;T Bank - IntraFi Network Sweep"/>
    <x v="0"/>
    <x v="0"/>
    <m/>
    <n v="24522.61"/>
    <n v="24522.61"/>
    <n v="484471.3699999993"/>
  </r>
  <r>
    <s v="07/19/2025"/>
    <x v="1"/>
    <x v="7"/>
    <s v="Ramp Card"/>
    <m/>
    <s v="Expense"/>
    <s v="ElevenLabs"/>
    <s v="69400 General &amp; Administrative:G&amp;A - Software Applications &amp; Licenses"/>
    <x v="3"/>
    <x v="10"/>
    <n v="5.3"/>
    <m/>
    <n v="-5.3"/>
    <n v="484466.06999999931"/>
  </r>
  <r>
    <s v="07/19/2025"/>
    <x v="1"/>
    <x v="7"/>
    <s v="Ramp Card"/>
    <m/>
    <s v="Expense"/>
    <s v="Raindrop.Io"/>
    <s v="69400 General &amp; Administrative:G&amp;A - Software Applications &amp; Licenses"/>
    <x v="3"/>
    <x v="10"/>
    <n v="29.68"/>
    <m/>
    <n v="-29.68"/>
    <n v="484436.38999999932"/>
  </r>
  <r>
    <s v="07/20/2025"/>
    <x v="1"/>
    <x v="7"/>
    <s v="Ramp Card"/>
    <m/>
    <s v="Expense"/>
    <s v="Movio"/>
    <s v="69400 General &amp; Administrative:G&amp;A - Software Applications &amp; Licenses"/>
    <x v="3"/>
    <x v="10"/>
    <n v="93"/>
    <m/>
    <n v="-93"/>
    <n v="484343.38999999932"/>
  </r>
  <r>
    <s v="07/21/2025"/>
    <x v="1"/>
    <x v="7"/>
    <s v="M&amp;T Operating"/>
    <m/>
    <s v="Payment"/>
    <s v="Curonix LLC:Curonix Managed Services"/>
    <s v="11005 Accounts Receivable"/>
    <x v="2"/>
    <x v="2"/>
    <m/>
    <n v="8750"/>
    <n v="8750"/>
    <n v="493093.38999999932"/>
  </r>
  <r>
    <s v="07/21/2025"/>
    <x v="1"/>
    <x v="7"/>
    <s v="Ramp Card"/>
    <m/>
    <s v="Expense"/>
    <s v="Lucid Chart"/>
    <s v="69400 General &amp; Administrative:G&amp;A - Software Applications &amp; Licenses"/>
    <x v="3"/>
    <x v="10"/>
    <n v="361.74"/>
    <m/>
    <n v="-361.74"/>
    <n v="492731.64999999932"/>
  </r>
  <r>
    <s v="07/21/2025"/>
    <x v="1"/>
    <x v="7"/>
    <s v="M&amp;T Operating"/>
    <m/>
    <s v="Expense"/>
    <s v="The Hartford"/>
    <s v="69800 General &amp; Administrative:G&amp;A - Insurance"/>
    <x v="3"/>
    <x v="14"/>
    <n v="450.35"/>
    <m/>
    <n v="-450.35"/>
    <n v="492281.29999999935"/>
  </r>
  <r>
    <s v="07/21/2025"/>
    <x v="1"/>
    <x v="7"/>
    <s v="M&amp;T Operating"/>
    <m/>
    <s v="Expense"/>
    <s v="The Hartford"/>
    <s v="69800 General &amp; Administrative:G&amp;A - Insurance"/>
    <x v="3"/>
    <x v="14"/>
    <n v="1332.89"/>
    <m/>
    <n v="-1332.89"/>
    <n v="490948.40999999933"/>
  </r>
  <r>
    <s v="07/21/2025"/>
    <x v="1"/>
    <x v="7"/>
    <s v="Ramp Card"/>
    <m/>
    <s v="Expense"/>
    <s v="Zoom"/>
    <s v="69400 General &amp; Administrative:G&amp;A - Software Applications &amp; Licenses"/>
    <x v="3"/>
    <x v="10"/>
    <n v="17.5"/>
    <m/>
    <n v="-17.5"/>
    <n v="490930.90999999933"/>
  </r>
  <r>
    <s v="07/21/2025"/>
    <x v="1"/>
    <x v="7"/>
    <s v="M&amp;T Operating"/>
    <m/>
    <s v="Transfer"/>
    <m/>
    <s v="10010 M&amp;T Bank - IntraFi Network Sweep"/>
    <x v="0"/>
    <x v="0"/>
    <n v="6549.76"/>
    <m/>
    <n v="-6549.76"/>
    <n v="484381.14999999932"/>
  </r>
  <r>
    <s v="07/22/2025"/>
    <x v="1"/>
    <x v="7"/>
    <s v="M&amp;T Operating"/>
    <m/>
    <s v="Expense"/>
    <s v="Bancorpsv (Benefit Deduction)"/>
    <s v="22335 Accrued Expenses:Accrued Expenses - Bancorpsv Clearing"/>
    <x v="1"/>
    <x v="1"/>
    <n v="167.94"/>
    <m/>
    <n v="-167.94"/>
    <n v="484213.20999999932"/>
  </r>
  <r>
    <s v="07/22/2025"/>
    <x v="1"/>
    <x v="7"/>
    <s v="M&amp;T Operating"/>
    <m/>
    <s v="Expense"/>
    <s v="Cigna Healthcare"/>
    <s v="22305 Accrued Expenses:Accrued Expenses - Cigna Clearing"/>
    <x v="1"/>
    <x v="1"/>
    <n v="1463.18"/>
    <m/>
    <n v="-1463.18"/>
    <n v="482750.02999999933"/>
  </r>
  <r>
    <s v="07/22/2025"/>
    <x v="1"/>
    <x v="7"/>
    <s v="Ramp Card"/>
    <m/>
    <s v="Expense"/>
    <s v="OpenAI"/>
    <s v="51400 Classic COGS - Delivery:Classic COGS - Delivery - Software Applications &amp; Licenses"/>
    <x v="3"/>
    <x v="10"/>
    <n v="20"/>
    <m/>
    <n v="-20"/>
    <n v="482730.02999999933"/>
  </r>
  <r>
    <s v="07/22/2025"/>
    <x v="1"/>
    <x v="7"/>
    <s v="M&amp;T Operating"/>
    <m/>
    <s v="Transfer"/>
    <m/>
    <s v="10010 M&amp;T Bank - IntraFi Network Sweep"/>
    <x v="0"/>
    <x v="0"/>
    <m/>
    <n v="1631.12"/>
    <n v="1631.12"/>
    <n v="484361.14999999932"/>
  </r>
  <r>
    <s v="07/23/2025"/>
    <x v="1"/>
    <x v="7"/>
    <s v="Ramp Card"/>
    <m/>
    <s v="Expense"/>
    <s v="illy Caffe"/>
    <s v="64505 AppIQ - Sales:AppIQ - Sales - Meals &amp; Entertainment"/>
    <x v="3"/>
    <x v="4"/>
    <n v="16.64"/>
    <m/>
    <n v="-16.64"/>
    <n v="484344.50999999931"/>
  </r>
  <r>
    <s v="07/23/2025"/>
    <x v="1"/>
    <x v="7"/>
    <s v="Ramp Card"/>
    <m/>
    <s v="Expense"/>
    <s v="Parking Meter USA"/>
    <s v="64500 AppIQ - Sales:AppIQ - Sales - Travel"/>
    <x v="3"/>
    <x v="4"/>
    <n v="3"/>
    <m/>
    <n v="-3"/>
    <n v="484341.50999999931"/>
  </r>
  <r>
    <s v="07/23/2025"/>
    <x v="1"/>
    <x v="7"/>
    <s v="Ramp Card"/>
    <m/>
    <s v="Expense"/>
    <s v="Sheraton"/>
    <s v="64500 AppIQ - Sales:AppIQ - Sales - Travel"/>
    <x v="3"/>
    <x v="4"/>
    <n v="248.99"/>
    <m/>
    <n v="-248.99"/>
    <n v="484092.51999999932"/>
  </r>
  <r>
    <s v="07/24/2025"/>
    <x v="1"/>
    <x v="7"/>
    <s v="Ramp Card"/>
    <m/>
    <s v="Expense"/>
    <s v="Black Sheep Cafe"/>
    <s v="64505 AppIQ - Sales:AppIQ - Sales - Meals &amp; Entertainment"/>
    <x v="3"/>
    <x v="4"/>
    <n v="48.04"/>
    <m/>
    <n v="-48.04"/>
    <n v="484044.47999999934"/>
  </r>
  <r>
    <s v="07/24/2025"/>
    <x v="1"/>
    <x v="7"/>
    <s v="Ramp Card"/>
    <m/>
    <s v="Expense"/>
    <s v="Brueggers 3811 Restaurant"/>
    <s v="64505 AppIQ - Sales:AppIQ - Sales - Meals &amp; Entertainment"/>
    <x v="3"/>
    <x v="4"/>
    <n v="5.8"/>
    <m/>
    <n v="-5.8"/>
    <n v="484038.67999999935"/>
  </r>
  <r>
    <s v="07/24/2025"/>
    <x v="1"/>
    <x v="7"/>
    <s v="Ramp Card"/>
    <m/>
    <s v="Expense"/>
    <s v="Dunkin' Donuts"/>
    <s v="64505 AppIQ - Sales:AppIQ - Sales - Meals &amp; Entertainment"/>
    <x v="3"/>
    <x v="4"/>
    <n v="10.35"/>
    <m/>
    <n v="-10.35"/>
    <n v="484028.32999999938"/>
  </r>
  <r>
    <s v="07/24/2025"/>
    <x v="1"/>
    <x v="7"/>
    <s v="Ramp Card"/>
    <m/>
    <s v="Expense"/>
    <s v="Gateway Grill"/>
    <s v="64505 AppIQ - Sales:AppIQ - Sales - Meals &amp; Entertainment"/>
    <x v="3"/>
    <x v="4"/>
    <n v="173.2"/>
    <m/>
    <n v="-173.2"/>
    <n v="483855.12999999936"/>
  </r>
  <r>
    <s v="07/24/2025"/>
    <x v="1"/>
    <x v="7"/>
    <s v="M&amp;T Operating"/>
    <m/>
    <s v="Bill Payment"/>
    <s v="Joseph Kennedy (joey.kennedy@synaptic.build)"/>
    <s v="20005 Accounts Payable"/>
    <x v="3"/>
    <x v="4"/>
    <n v="13.68"/>
    <m/>
    <n v="-13.68"/>
    <n v="483841.44999999937"/>
  </r>
  <r>
    <s v="07/24/2025"/>
    <x v="1"/>
    <x v="7"/>
    <s v="Ramp Card"/>
    <m/>
    <s v="Expense"/>
    <s v="L.A. Burdick Handmade Chocolates"/>
    <s v="65625 AppIQ - Marketing:AppIQ - Marketing - Client Gifts &amp; Entertainment"/>
    <x v="4"/>
    <x v="9"/>
    <n v="90.1"/>
    <m/>
    <n v="-90.1"/>
    <n v="483751.34999999939"/>
  </r>
  <r>
    <s v="07/24/2025"/>
    <x v="1"/>
    <x v="7"/>
    <s v="Ramp Card"/>
    <m/>
    <s v="Expense"/>
    <s v="Loom"/>
    <s v="64400 AppIQ - Sales:AppIQ - Sales - Software Applications &amp; Licenses"/>
    <x v="3"/>
    <x v="10"/>
    <n v="24"/>
    <m/>
    <n v="-24"/>
    <n v="483727.34999999939"/>
  </r>
  <r>
    <s v="07/24/2025"/>
    <x v="1"/>
    <x v="7"/>
    <s v="Ramp Card"/>
    <m/>
    <s v="Expense"/>
    <s v="Mike's Roast Beef"/>
    <s v="64505 AppIQ - Sales:AppIQ - Sales - Meals &amp; Entertainment"/>
    <x v="3"/>
    <x v="4"/>
    <n v="13.1"/>
    <m/>
    <n v="-13.1"/>
    <n v="483714.24999999942"/>
  </r>
  <r>
    <s v="07/24/2025"/>
    <x v="1"/>
    <x v="7"/>
    <s v="M&amp;T Operating"/>
    <m/>
    <s v="Bill Payment"/>
    <s v="Rosen, Sappersteim &amp; Friedlander, LLC"/>
    <s v="20005 Accounts Payable"/>
    <x v="3"/>
    <x v="23"/>
    <n v="535"/>
    <m/>
    <n v="-535"/>
    <n v="483179.24999999942"/>
  </r>
  <r>
    <s v="07/24/2025"/>
    <x v="1"/>
    <x v="7"/>
    <s v="Ramp Card"/>
    <m/>
    <s v="Expense"/>
    <s v="Shell"/>
    <s v="64500 AppIQ - Sales:AppIQ - Sales - Travel"/>
    <x v="3"/>
    <x v="4"/>
    <n v="28.37"/>
    <m/>
    <n v="-28.37"/>
    <n v="483150.87999999942"/>
  </r>
  <r>
    <s v="07/24/2025"/>
    <x v="1"/>
    <x v="7"/>
    <s v="Ramp Card"/>
    <m/>
    <s v="Expense"/>
    <s v="Town of Amherst"/>
    <s v="64500 AppIQ - Sales:AppIQ - Sales - Travel"/>
    <x v="3"/>
    <x v="4"/>
    <n v="1.25"/>
    <m/>
    <n v="-1.25"/>
    <n v="483149.62999999942"/>
  </r>
  <r>
    <s v="07/24/2025"/>
    <x v="1"/>
    <x v="7"/>
    <s v="M&amp;T Operating"/>
    <m/>
    <s v="Bill Payment"/>
    <s v="Whitehouse &amp; Cooper, PLCC"/>
    <s v="20005 Accounts Payable"/>
    <x v="3"/>
    <x v="5"/>
    <n v="9005.5"/>
    <m/>
    <n v="-9005.5"/>
    <n v="474144.12999999942"/>
  </r>
  <r>
    <s v="07/25/2025"/>
    <x v="1"/>
    <x v="7"/>
    <s v="M&amp;T Operating"/>
    <m/>
    <s v="Bill Payment"/>
    <s v="Joseph Kennedy (joey.kennedy@synaptic.build)"/>
    <s v="20005 Accounts Payable"/>
    <x v="3"/>
    <x v="4"/>
    <n v="99.74"/>
    <m/>
    <n v="-99.74"/>
    <n v="474044.38999999943"/>
  </r>
  <r>
    <s v="07/25/2025"/>
    <x v="1"/>
    <x v="7"/>
    <s v="M&amp;T Operating"/>
    <m/>
    <s v="Bill Payment"/>
    <s v="Joseph Kennedy (joey.kennedy@synaptic.build)"/>
    <s v="20005 Accounts Payable"/>
    <x v="3"/>
    <x v="4"/>
    <n v="34.130000000000003"/>
    <m/>
    <n v="-34.130000000000003"/>
    <n v="474010.25999999943"/>
  </r>
  <r>
    <s v="07/25/2025"/>
    <x v="1"/>
    <x v="7"/>
    <s v="M&amp;T Operating"/>
    <m/>
    <s v="Bill Payment"/>
    <s v="Joseph Kennedy (joey.kennedy@synaptic.build)"/>
    <s v="20005 Accounts Payable"/>
    <x v="3"/>
    <x v="4"/>
    <n v="44"/>
    <m/>
    <n v="-44"/>
    <n v="473966.25999999943"/>
  </r>
  <r>
    <s v="07/25/2025"/>
    <x v="1"/>
    <x v="7"/>
    <s v="M&amp;T Operating"/>
    <m/>
    <s v="Payment"/>
    <s v="Total Solutions Inc:Total Solutions Inc - HUD Base"/>
    <s v="11005 Accounts Receivable"/>
    <x v="2"/>
    <x v="2"/>
    <m/>
    <n v="24777.599999999999"/>
    <n v="24777.599999999999"/>
    <n v="498743.8599999994"/>
  </r>
  <r>
    <s v="07/25/2025"/>
    <x v="1"/>
    <x v="7"/>
    <s v="M&amp;T Operating"/>
    <m/>
    <s v="Expense"/>
    <s v="Wex Health, Inc."/>
    <s v="22320 Accrued Expenses:Accrued Expenses - WEX Clearing"/>
    <x v="1"/>
    <x v="1"/>
    <n v="66.95"/>
    <m/>
    <n v="-66.95"/>
    <n v="498676.90999999939"/>
  </r>
  <r>
    <s v="07/25/2025"/>
    <x v="1"/>
    <x v="7"/>
    <s v="M&amp;T Operating"/>
    <m/>
    <s v="Payment"/>
    <s v="Youreka Labs, Inc:Dispatch Agentforce Activation"/>
    <s v="11005 Accounts Receivable"/>
    <x v="2"/>
    <x v="2"/>
    <m/>
    <n v="12000"/>
    <n v="12000"/>
    <n v="510676.90999999939"/>
  </r>
  <r>
    <s v="07/25/2025"/>
    <x v="1"/>
    <x v="7"/>
    <s v="M&amp;T Operating"/>
    <m/>
    <s v="Transfer"/>
    <m/>
    <s v="10010 M&amp;T Bank - IntraFi Network Sweep"/>
    <x v="0"/>
    <x v="0"/>
    <n v="27156.47"/>
    <m/>
    <n v="-27156.47"/>
    <n v="483520.43999999936"/>
  </r>
  <r>
    <s v="07/26/2025"/>
    <x v="1"/>
    <x v="7"/>
    <s v="Ramp Card"/>
    <m/>
    <s v="Expense"/>
    <s v="Doordash"/>
    <s v="69505 General &amp; Administrative:G&amp;A - Meals &amp; Entertainment"/>
    <x v="3"/>
    <x v="4"/>
    <n v="38.25"/>
    <m/>
    <n v="-38.25"/>
    <n v="483482.18999999936"/>
  </r>
  <r>
    <s v="07/27/2025"/>
    <x v="1"/>
    <x v="7"/>
    <s v="Ramp Card"/>
    <m/>
    <s v="Expense"/>
    <s v="LinkedIn"/>
    <s v="69400 General &amp; Administrative:G&amp;A - Software Applications &amp; Licenses"/>
    <x v="3"/>
    <x v="10"/>
    <n v="95.39"/>
    <m/>
    <n v="-95.39"/>
    <n v="483386.79999999935"/>
  </r>
  <r>
    <s v="07/28/2025"/>
    <x v="1"/>
    <x v="7"/>
    <s v="Ramp Card"/>
    <m/>
    <s v="Expense"/>
    <s v="Amazon"/>
    <s v="51205 Classic COGS - Delivery:Classic COGS - Delivery - Staff Meals, Awards &amp; Incentives"/>
    <x v="1"/>
    <x v="1"/>
    <n v="52.36"/>
    <m/>
    <n v="-52.36"/>
    <n v="483334.43999999936"/>
  </r>
  <r>
    <s v="07/28/2025"/>
    <x v="1"/>
    <x v="7"/>
    <s v="Ramp Card"/>
    <m/>
    <s v="Expense"/>
    <s v="Amazon"/>
    <s v="69410 General &amp; Administrative:G&amp;A - Office &amp; Supplies"/>
    <x v="3"/>
    <x v="15"/>
    <n v="16.61"/>
    <m/>
    <n v="-16.61"/>
    <n v="483317.82999999938"/>
  </r>
  <r>
    <s v="07/28/2025"/>
    <x v="1"/>
    <x v="7"/>
    <s v="Ramp Card"/>
    <m/>
    <s v="Expense"/>
    <s v="Delta Air Lines"/>
    <s v="64500 AppIQ - Sales:AppIQ - Sales - Travel"/>
    <x v="3"/>
    <x v="4"/>
    <n v="816.55"/>
    <m/>
    <n v="-816.55"/>
    <n v="482501.27999999939"/>
  </r>
  <r>
    <s v="07/28/2025"/>
    <x v="1"/>
    <x v="7"/>
    <s v="M&amp;T Operating"/>
    <m/>
    <s v="Payment"/>
    <s v="Youreka Labs, Inc"/>
    <s v="11005 Accounts Receivable"/>
    <x v="2"/>
    <x v="2"/>
    <m/>
    <n v="34620"/>
    <n v="34620"/>
    <n v="517121.27999999939"/>
  </r>
  <r>
    <s v="07/28/2025"/>
    <x v="1"/>
    <x v="7"/>
    <s v="M&amp;T Operating"/>
    <m/>
    <s v="Transfer"/>
    <m/>
    <s v="10010 M&amp;T Bank - IntraFi Network Sweep"/>
    <x v="0"/>
    <x v="0"/>
    <n v="34442.129999999997"/>
    <m/>
    <n v="-34442.129999999997"/>
    <n v="482679.14999999938"/>
  </r>
  <r>
    <s v="07/29/2025"/>
    <x v="1"/>
    <x v="7"/>
    <s v="M&amp;T Operating"/>
    <m/>
    <s v="Bill Payment"/>
    <s v="Joseph Kennedy (joey.kennedy@synaptic.build)"/>
    <s v="20005 Accounts Payable"/>
    <x v="3"/>
    <x v="4"/>
    <n v="0.5"/>
    <m/>
    <n v="-0.5"/>
    <n v="482678.64999999938"/>
  </r>
  <r>
    <s v="07/29/2025"/>
    <x v="1"/>
    <x v="7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497178.64999999938"/>
  </r>
  <r>
    <s v="07/29/2025"/>
    <x v="1"/>
    <x v="7"/>
    <s v="Ramp Card"/>
    <m/>
    <s v="Expense"/>
    <s v="Perplexity AI"/>
    <s v="51400 Classic COGS - Delivery:Classic COGS - Delivery - Software Applications &amp; Licenses"/>
    <x v="3"/>
    <x v="10"/>
    <n v="20"/>
    <m/>
    <n v="-20"/>
    <n v="497158.64999999938"/>
  </r>
  <r>
    <s v="07/29/2025"/>
    <x v="1"/>
    <x v="7"/>
    <s v="M&amp;T Operating"/>
    <m/>
    <s v="Expense"/>
    <s v="QuickBooks Payments"/>
    <s v="69805 General &amp; Administrative:G&amp;A - Bank Fees"/>
    <x v="0"/>
    <x v="6"/>
    <n v="20"/>
    <m/>
    <n v="-20"/>
    <n v="497138.64999999938"/>
  </r>
  <r>
    <s v="07/29/2025"/>
    <x v="1"/>
    <x v="7"/>
    <s v="M&amp;T Operating"/>
    <m/>
    <s v="Expense"/>
    <s v="The Principal"/>
    <s v="22310 Accrued Expenses:Accrued Expenses - Principal Clearing"/>
    <x v="1"/>
    <x v="1"/>
    <n v="600"/>
    <m/>
    <n v="-600"/>
    <n v="496538.64999999938"/>
  </r>
  <r>
    <s v="07/29/2025"/>
    <x v="1"/>
    <x v="7"/>
    <s v="M&amp;T Operating"/>
    <m/>
    <s v="Transfer"/>
    <m/>
    <s v="10010 M&amp;T Bank - IntraFi Network Sweep"/>
    <x v="0"/>
    <x v="0"/>
    <m/>
    <n v="600"/>
    <n v="600"/>
    <n v="497138.64999999938"/>
  </r>
  <r>
    <s v="07/30/2025"/>
    <x v="1"/>
    <x v="7"/>
    <s v="Ramp Card"/>
    <m/>
    <s v="Expense"/>
    <s v="American Airlines"/>
    <s v="64500 AppIQ - Sales:AppIQ - Sales - Travel"/>
    <x v="3"/>
    <x v="4"/>
    <n v="428.18"/>
    <m/>
    <n v="-428.18"/>
    <n v="496710.46999999939"/>
  </r>
  <r>
    <s v="07/30/2025"/>
    <x v="1"/>
    <x v="7"/>
    <s v="Ramp Card"/>
    <m/>
    <s v="Expense"/>
    <s v="American Airlines"/>
    <s v="64500 AppIQ - Sales:AppIQ - Sales - Travel"/>
    <x v="3"/>
    <x v="4"/>
    <n v="279.48"/>
    <m/>
    <n v="-279.48"/>
    <n v="496430.98999999941"/>
  </r>
  <r>
    <s v="07/30/2025"/>
    <x v="1"/>
    <x v="7"/>
    <s v="Ramp Card"/>
    <m/>
    <s v="Expense"/>
    <s v="American Airlines"/>
    <s v="64500 AppIQ - Sales:AppIQ - Sales - Travel"/>
    <x v="3"/>
    <x v="4"/>
    <n v="59.7"/>
    <m/>
    <n v="-59.7"/>
    <n v="496371.2899999994"/>
  </r>
  <r>
    <s v="07/30/2025"/>
    <x v="1"/>
    <x v="7"/>
    <s v="Ramp Card"/>
    <m/>
    <s v="Expense"/>
    <s v="Delta Air Lines"/>
    <s v="64500 AppIQ - Sales:AppIQ - Sales - Travel"/>
    <x v="3"/>
    <x v="4"/>
    <n v="388.49"/>
    <m/>
    <n v="-388.49"/>
    <n v="495982.79999999941"/>
  </r>
  <r>
    <s v="07/30/2025"/>
    <x v="1"/>
    <x v="7"/>
    <s v="M&amp;T Operating"/>
    <m/>
    <s v="Deposit"/>
    <s v="Freedom Service Dogs Inc.:Managed Services"/>
    <s v="14005 Undeposited Funds"/>
    <x v="2"/>
    <x v="2"/>
    <m/>
    <n v="1500"/>
    <n v="1500"/>
    <n v="497482.79999999941"/>
  </r>
  <r>
    <s v="07/30/2025"/>
    <x v="1"/>
    <x v="7"/>
    <s v="M&amp;T Operating"/>
    <m/>
    <s v="Expense"/>
    <s v="Paylocity"/>
    <s v="22205 Accrued Expenses:Accrued Expenses - Payroll"/>
    <x v="1"/>
    <x v="1"/>
    <n v="1234.75"/>
    <m/>
    <n v="-1234.75"/>
    <n v="496248.04999999941"/>
  </r>
  <r>
    <s v="07/30/2025"/>
    <x v="1"/>
    <x v="7"/>
    <s v="M&amp;T Operating"/>
    <m/>
    <s v="Expense"/>
    <s v="Paylocity"/>
    <s v="22205 Accrued Expenses:Accrued Expenses - Payroll"/>
    <x v="1"/>
    <x v="11"/>
    <n v="43355.37"/>
    <m/>
    <n v="-43355.37"/>
    <n v="452892.67999999941"/>
  </r>
  <r>
    <s v="07/30/2025"/>
    <x v="1"/>
    <x v="7"/>
    <s v="M&amp;T Operating"/>
    <m/>
    <s v="Expense"/>
    <s v="Paylocity"/>
    <s v="22205 Accrued Expenses:Accrued Expenses - Payroll"/>
    <x v="1"/>
    <x v="12"/>
    <n v="86819.45"/>
    <m/>
    <n v="-86819.45"/>
    <n v="366073.2299999994"/>
  </r>
  <r>
    <s v="07/30/2025"/>
    <x v="1"/>
    <x v="7"/>
    <s v="M&amp;T Operating"/>
    <m/>
    <s v="Expense"/>
    <s v="QuickBooks Payments"/>
    <s v="69805 General &amp; Administrative:G&amp;A - Bank Fees"/>
    <x v="0"/>
    <x v="6"/>
    <n v="15"/>
    <m/>
    <n v="-15"/>
    <n v="366058.2299999994"/>
  </r>
  <r>
    <s v="07/30/2025"/>
    <x v="1"/>
    <x v="7"/>
    <s v="Ramp Card"/>
    <m/>
    <s v="Expense"/>
    <s v="United"/>
    <s v="64500 AppIQ - Sales:AppIQ - Sales - Travel"/>
    <x v="3"/>
    <x v="4"/>
    <n v="436.96"/>
    <m/>
    <n v="-436.96"/>
    <n v="365621.26999999938"/>
  </r>
  <r>
    <s v="07/30/2025"/>
    <x v="1"/>
    <x v="7"/>
    <s v="M&amp;T Operating"/>
    <m/>
    <s v="Transfer"/>
    <m/>
    <s v="10010 M&amp;T Bank - IntraFi Network Sweep"/>
    <x v="0"/>
    <x v="0"/>
    <m/>
    <n v="116930.07"/>
    <n v="116930.07"/>
    <n v="482551.33999999939"/>
  </r>
  <r>
    <s v="07/31/2025"/>
    <x v="1"/>
    <x v="7"/>
    <s v="M&amp;T Operating"/>
    <m/>
    <s v="Expense"/>
    <s v="Illinois Department of Revenue"/>
    <s v="69815 General &amp; Administrative:G&amp;A - Business Taxes, Licenses &amp; Permits"/>
    <x v="3"/>
    <x v="20"/>
    <n v="112.92"/>
    <m/>
    <n v="-112.92"/>
    <n v="482438.4199999994"/>
  </r>
  <r>
    <s v="07/31/2025"/>
    <x v="1"/>
    <x v="7"/>
    <s v="M&amp;T Operating"/>
    <m/>
    <s v="Deposit"/>
    <s v="M&amp;T Bank"/>
    <s v="71005 Interest"/>
    <x v="0"/>
    <x v="17"/>
    <m/>
    <n v="3150.25"/>
    <n v="3150.25"/>
    <n v="485588.6699999994"/>
  </r>
  <r>
    <s v="07/31/2025"/>
    <x v="1"/>
    <x v="7"/>
    <s v="M&amp;T Operating"/>
    <m/>
    <s v="Expense"/>
    <s v="Paylocity"/>
    <s v="69215 General &amp; Administrative:G&amp;A - Payroll Fees"/>
    <x v="1"/>
    <x v="3"/>
    <n v="366.44"/>
    <m/>
    <n v="-366.44"/>
    <n v="485222.2299999994"/>
  </r>
  <r>
    <s v="07/31/2025"/>
    <x v="1"/>
    <x v="7"/>
    <s v="M&amp;T Operating"/>
    <m/>
    <s v="Expense"/>
    <s v="Ramp Business Corporation"/>
    <s v="13005 Prepaid Expenses"/>
    <x v="3"/>
    <x v="10"/>
    <n v="5008"/>
    <m/>
    <n v="-5008"/>
    <n v="480214.2299999994"/>
  </r>
  <r>
    <s v="07/31/2025"/>
    <x v="1"/>
    <x v="7"/>
    <s v="M&amp;T Operating"/>
    <m/>
    <s v="Transfer"/>
    <m/>
    <s v="10010 M&amp;T Bank - IntraFi Network Sweep"/>
    <x v="0"/>
    <x v="0"/>
    <m/>
    <n v="852.11"/>
    <n v="852.11"/>
    <n v="481066.33999999939"/>
  </r>
  <r>
    <s v="08/01/2025"/>
    <x v="1"/>
    <x v="8"/>
    <s v="Ramp Card"/>
    <m/>
    <s v="Expense"/>
    <s v="American Airlines"/>
    <s v="64500 AppIQ - Sales:AppIQ - Sales - Travel"/>
    <x v="3"/>
    <x v="4"/>
    <n v="279.18"/>
    <m/>
    <n v="-279.18"/>
    <n v="480787.15999999939"/>
  </r>
  <r>
    <s v="08/01/2025"/>
    <x v="1"/>
    <x v="8"/>
    <s v="Ramp Card"/>
    <m/>
    <s v="Expense"/>
    <s v="Earth Class Mail"/>
    <s v="69400 General &amp; Administrative:G&amp;A - Software Applications &amp; Licenses"/>
    <x v="3"/>
    <x v="10"/>
    <n v="79"/>
    <m/>
    <n v="-79"/>
    <n v="480708.15999999939"/>
  </r>
  <r>
    <s v="08/01/2025"/>
    <x v="1"/>
    <x v="8"/>
    <s v="M&amp;T Operating"/>
    <m/>
    <s v="Bill Payment"/>
    <s v="Fort Offices LLC"/>
    <s v="20005 Accounts Payable"/>
    <x v="3"/>
    <x v="22"/>
    <n v="3545.63"/>
    <m/>
    <n v="-3545.63"/>
    <n v="477162.52999999939"/>
  </r>
  <r>
    <s v="08/01/2025"/>
    <x v="1"/>
    <x v="8"/>
    <s v="Ramp Card"/>
    <m/>
    <s v="Expense"/>
    <s v="Google Workspace"/>
    <s v="69400 General &amp; Administrative:G&amp;A - Software Applications &amp; Licenses"/>
    <x v="3"/>
    <x v="10"/>
    <n v="53.33"/>
    <m/>
    <n v="-53.33"/>
    <n v="477109.19999999937"/>
  </r>
  <r>
    <s v="08/01/2025"/>
    <x v="1"/>
    <x v="8"/>
    <s v="M&amp;T Operating"/>
    <m/>
    <s v="Bill Payment"/>
    <s v="International Computer Services Inc."/>
    <s v="20005 Accounts Payable"/>
    <x v="3"/>
    <x v="10"/>
    <n v="3155.42"/>
    <m/>
    <n v="-3155.42"/>
    <n v="473953.77999999939"/>
  </r>
  <r>
    <s v="08/01/2025"/>
    <x v="1"/>
    <x v="8"/>
    <s v="M&amp;T Operating"/>
    <m/>
    <s v="Bill Payment"/>
    <s v="International Computer Services Inc."/>
    <s v="20005 Accounts Payable"/>
    <x v="3"/>
    <x v="10"/>
    <n v="179.99"/>
    <m/>
    <n v="-179.99"/>
    <n v="473773.7899999994"/>
  </r>
  <r>
    <s v="08/01/2025"/>
    <x v="1"/>
    <x v="8"/>
    <s v="Ramp Card"/>
    <m/>
    <s v="Expense"/>
    <s v="Intuit"/>
    <s v="69400 General &amp; Administrative:G&amp;A - Software Applications &amp; Licenses"/>
    <x v="3"/>
    <x v="10"/>
    <n v="283.25"/>
    <m/>
    <n v="-283.25"/>
    <n v="473490.5399999994"/>
  </r>
  <r>
    <s v="08/01/2025"/>
    <x v="1"/>
    <x v="8"/>
    <s v="Ramp Card"/>
    <m/>
    <s v="Expense"/>
    <s v="LinkedIn"/>
    <s v="64400 AppIQ - Sales:AppIQ - Sales - Software Applications &amp; Licenses"/>
    <x v="3"/>
    <x v="10"/>
    <n v="150"/>
    <m/>
    <n v="-150"/>
    <n v="473340.5399999994"/>
  </r>
  <r>
    <s v="08/01/2025"/>
    <x v="1"/>
    <x v="8"/>
    <s v="M&amp;T Operating"/>
    <m/>
    <s v="Payment"/>
    <s v="Msol Inc. DBA Macro Solutions"/>
    <s v="11005 Accounts Receivable"/>
    <x v="2"/>
    <x v="2"/>
    <m/>
    <n v="57512"/>
    <n v="57512"/>
    <n v="530852.53999999934"/>
  </r>
  <r>
    <s v="08/01/2025"/>
    <x v="1"/>
    <x v="8"/>
    <s v="M&amp;T Operating"/>
    <m/>
    <s v="Bill Payment"/>
    <s v="Ray Der (ray@synaptic.build)"/>
    <s v="20005 Accounts Payable"/>
    <x v="3"/>
    <x v="4"/>
    <n v="20"/>
    <m/>
    <n v="-20"/>
    <n v="530832.53999999934"/>
  </r>
  <r>
    <s v="08/01/2025"/>
    <x v="1"/>
    <x v="8"/>
    <s v="M&amp;T Operating"/>
    <m/>
    <s v="Expense"/>
    <s v="The Principal"/>
    <s v="22310 Accrued Expenses:Accrued Expenses - Principal Clearing"/>
    <x v="1"/>
    <x v="1"/>
    <n v="15069.73"/>
    <m/>
    <n v="-15069.73"/>
    <n v="515762.80999999936"/>
  </r>
  <r>
    <s v="08/01/2025"/>
    <x v="1"/>
    <x v="8"/>
    <s v="Ramp Card"/>
    <m/>
    <s v="Expense"/>
    <s v="United"/>
    <s v="64500 AppIQ - Sales:AppIQ - Sales - Travel"/>
    <x v="3"/>
    <x v="4"/>
    <n v="210"/>
    <m/>
    <n v="-210"/>
    <n v="515552.80999999936"/>
  </r>
  <r>
    <s v="08/01/2025"/>
    <x v="1"/>
    <x v="8"/>
    <s v="M&amp;T Operating"/>
    <m/>
    <s v="Expense"/>
    <s v="Wex Health, Inc."/>
    <s v="22320 Accrued Expenses:Accrued Expenses - WEX Clearing"/>
    <x v="1"/>
    <x v="1"/>
    <n v="208.34"/>
    <m/>
    <n v="-208.34"/>
    <n v="515344.46999999933"/>
  </r>
  <r>
    <s v="08/01/2025"/>
    <x v="1"/>
    <x v="8"/>
    <s v="M&amp;T Operating"/>
    <m/>
    <s v="Transfer"/>
    <m/>
    <s v="10010 M&amp;T Bank - IntraFi Network Sweep"/>
    <x v="0"/>
    <x v="0"/>
    <n v="35332.89"/>
    <m/>
    <n v="-35332.89"/>
    <n v="480011.57999999932"/>
  </r>
  <r>
    <s v="08/02/2025"/>
    <x v="1"/>
    <x v="8"/>
    <s v="Ramp Card"/>
    <m/>
    <s v="Expense"/>
    <s v="Comcast"/>
    <s v="69405 General &amp; Administrative:G&amp;A - Telecom, Internet &amp; Hardware"/>
    <x v="3"/>
    <x v="10"/>
    <n v="256.69"/>
    <m/>
    <n v="-256.69"/>
    <n v="479754.88999999932"/>
  </r>
  <r>
    <s v="08/02/2025"/>
    <x v="1"/>
    <x v="8"/>
    <s v="Ramp Card"/>
    <m/>
    <s v="Expense"/>
    <s v="Elastic"/>
    <s v="57020 Hosting Costs:Hosting Website Maintenance"/>
    <x v="4"/>
    <x v="19"/>
    <n v="494.17"/>
    <m/>
    <n v="-494.17"/>
    <n v="479260.71999999933"/>
  </r>
  <r>
    <s v="08/03/2025"/>
    <x v="1"/>
    <x v="8"/>
    <s v="Ramp Card"/>
    <m/>
    <s v="Expense"/>
    <s v="Repl.it"/>
    <s v="69400 General &amp; Administrative:G&amp;A - Software Applications &amp; Licenses"/>
    <x v="3"/>
    <x v="10"/>
    <n v="10"/>
    <m/>
    <n v="-10"/>
    <n v="479250.71999999933"/>
  </r>
  <r>
    <s v="08/04/2025"/>
    <x v="1"/>
    <x v="8"/>
    <s v="M&amp;T Operating"/>
    <m/>
    <s v="Deposit"/>
    <s v="184215385.20220510.032"/>
    <s v="66500 AppIQ - Research &amp; Development:AppIQ - R&amp;D - Travel"/>
    <x v="3"/>
    <x v="4"/>
    <m/>
    <n v="56.36"/>
    <n v="56.36"/>
    <n v="479307.07999999932"/>
  </r>
  <r>
    <s v="08/04/2025"/>
    <x v="1"/>
    <x v="8"/>
    <s v="Ramp Card"/>
    <m/>
    <s v="Expense"/>
    <s v="Adobe"/>
    <s v="69400 General &amp; Administrative:G&amp;A - Software Applications &amp; Licenses"/>
    <x v="3"/>
    <x v="10"/>
    <n v="21.19"/>
    <m/>
    <n v="-21.19"/>
    <n v="479285.88999999932"/>
  </r>
  <r>
    <s v="08/04/2025"/>
    <x v="1"/>
    <x v="8"/>
    <s v="M&amp;T Operating"/>
    <m/>
    <s v="Expense"/>
    <s v="CareFirst Blue Cross Blue Shield"/>
    <s v="22300 Accrued Expenses:Accrued Expenses - BCBS Clearing"/>
    <x v="1"/>
    <x v="1"/>
    <n v="18823.62"/>
    <m/>
    <n v="-18823.62"/>
    <n v="460462.26999999932"/>
  </r>
  <r>
    <s v="08/04/2025"/>
    <x v="1"/>
    <x v="8"/>
    <s v="Ramp Card"/>
    <m/>
    <s v="Expense"/>
    <s v="Doordash"/>
    <s v="69505 General &amp; Administrative:G&amp;A - Meals &amp; Entertainment"/>
    <x v="3"/>
    <x v="4"/>
    <n v="34.35"/>
    <m/>
    <n v="-34.35"/>
    <n v="460427.91999999934"/>
  </r>
  <r>
    <s v="08/04/2025"/>
    <x v="1"/>
    <x v="8"/>
    <s v="Ramp Card"/>
    <m/>
    <s v="Expense"/>
    <s v="Doordash"/>
    <s v="69505 General &amp; Administrative:G&amp;A - Meals &amp; Entertainment"/>
    <x v="3"/>
    <x v="4"/>
    <n v="16.690000000000001"/>
    <m/>
    <n v="-16.690000000000001"/>
    <n v="460411.22999999934"/>
  </r>
  <r>
    <s v="08/04/2025"/>
    <x v="1"/>
    <x v="8"/>
    <s v="Ramp Card"/>
    <m/>
    <s v="Expense"/>
    <s v="Doordash"/>
    <s v="69505 General &amp; Administrative:G&amp;A - Meals &amp; Entertainment"/>
    <x v="3"/>
    <x v="4"/>
    <n v="16.04"/>
    <m/>
    <n v="-16.04"/>
    <n v="460395.18999999936"/>
  </r>
  <r>
    <s v="08/04/2025"/>
    <x v="1"/>
    <x v="8"/>
    <s v="M&amp;T Operating"/>
    <m/>
    <s v="Bill Payment"/>
    <s v="HireRight"/>
    <s v="20005 Accounts Payable"/>
    <x v="3"/>
    <x v="15"/>
    <n v="743.86"/>
    <m/>
    <n v="-743.86"/>
    <n v="459651.32999999938"/>
  </r>
  <r>
    <s v="08/04/2025"/>
    <x v="1"/>
    <x v="8"/>
    <s v="M&amp;T Operating"/>
    <m/>
    <s v="Bill Payment"/>
    <s v="Joseph Kennedy (joey.kennedy@synaptic.build)"/>
    <s v="20005 Accounts Payable"/>
    <x v="3"/>
    <x v="4"/>
    <n v="10.55"/>
    <m/>
    <n v="-10.55"/>
    <n v="459640.77999999939"/>
  </r>
  <r>
    <s v="08/04/2025"/>
    <x v="1"/>
    <x v="8"/>
    <s v="Ramp Card"/>
    <m/>
    <s v="Expense"/>
    <s v="LinkedIn"/>
    <s v="69400 General &amp; Administrative:G&amp;A - Software Applications &amp; Licenses"/>
    <x v="3"/>
    <x v="10"/>
    <n v="49"/>
    <m/>
    <n v="-49"/>
    <n v="459591.77999999939"/>
  </r>
  <r>
    <s v="08/04/2025"/>
    <x v="1"/>
    <x v="8"/>
    <s v="M&amp;T Operating"/>
    <m/>
    <s v="Bill Payment"/>
    <s v="Precursive Inc"/>
    <s v="20005 Accounts Payable"/>
    <x v="3"/>
    <x v="10"/>
    <n v="35820"/>
    <m/>
    <n v="-35820"/>
    <n v="423771.77999999939"/>
  </r>
  <r>
    <s v="08/04/2025"/>
    <x v="1"/>
    <x v="8"/>
    <s v="M&amp;T Operating"/>
    <m/>
    <s v="Payment"/>
    <s v="RestorixHealth Inc:Managed Services"/>
    <s v="11005 Accounts Receivable"/>
    <x v="2"/>
    <x v="2"/>
    <m/>
    <n v="3262.5"/>
    <n v="3262.5"/>
    <n v="427034.27999999939"/>
  </r>
  <r>
    <s v="08/04/2025"/>
    <x v="1"/>
    <x v="8"/>
    <s v="M&amp;T Operating"/>
    <m/>
    <s v="Payment"/>
    <s v="Youreka Labs, Inc:Dispatch Agentforce Activation"/>
    <s v="11005 Accounts Receivable"/>
    <x v="2"/>
    <x v="2"/>
    <m/>
    <n v="5000"/>
    <n v="5000"/>
    <n v="432034.27999999939"/>
  </r>
  <r>
    <s v="08/04/2025"/>
    <x v="1"/>
    <x v="8"/>
    <s v="M&amp;T Operating"/>
    <m/>
    <s v="Bill Payment"/>
    <s v="ZoomInfo Technologies LLC"/>
    <s v="20005 Accounts Payable"/>
    <x v="3"/>
    <x v="10"/>
    <n v="12845"/>
    <m/>
    <n v="-12845"/>
    <n v="419189.27999999939"/>
  </r>
  <r>
    <s v="08/04/2025"/>
    <x v="1"/>
    <x v="8"/>
    <s v="M&amp;T Operating"/>
    <m/>
    <s v="Transfer"/>
    <m/>
    <s v="10010 M&amp;T Bank - IntraFi Network Sweep"/>
    <x v="0"/>
    <x v="0"/>
    <m/>
    <n v="59913.62"/>
    <n v="59913.62"/>
    <n v="479102.89999999938"/>
  </r>
  <r>
    <s v="08/05/2025"/>
    <x v="1"/>
    <x v="8"/>
    <s v="M&amp;T Operating"/>
    <m/>
    <s v="Credit Card Pmt"/>
    <s v="Chase Visa"/>
    <s v="21010 Chase Visa"/>
    <x v="5"/>
    <x v="18"/>
    <n v="105.74"/>
    <m/>
    <n v="-105.74"/>
    <n v="478997.15999999939"/>
  </r>
  <r>
    <s v="08/05/2025"/>
    <x v="1"/>
    <x v="8"/>
    <s v="Ramp Card"/>
    <m/>
    <s v="Expense"/>
    <s v="Chick-Fil-A"/>
    <s v="64505 AppIQ - Sales:AppIQ - Sales - Meals &amp; Entertainment"/>
    <x v="3"/>
    <x v="4"/>
    <n v="13.91"/>
    <m/>
    <n v="-13.91"/>
    <n v="478983.24999999942"/>
  </r>
  <r>
    <s v="08/05/2025"/>
    <x v="1"/>
    <x v="8"/>
    <s v="Ramp Card"/>
    <m/>
    <s v="Expense"/>
    <s v="Delta Air Lines"/>
    <s v="61500 Classic - Sales:Classic - Sales - Travel"/>
    <x v="3"/>
    <x v="4"/>
    <n v="676.98"/>
    <m/>
    <n v="-676.98"/>
    <n v="478306.26999999944"/>
  </r>
  <r>
    <s v="08/05/2025"/>
    <x v="1"/>
    <x v="8"/>
    <s v="Ramp Card"/>
    <m/>
    <s v="Expense"/>
    <s v="GoDaddy"/>
    <s v="69400 General &amp; Administrative:G&amp;A - Software Applications &amp; Licenses"/>
    <x v="3"/>
    <x v="10"/>
    <n v="46.17"/>
    <m/>
    <n v="-46.17"/>
    <n v="478260.09999999945"/>
  </r>
  <r>
    <s v="08/05/2025"/>
    <x v="1"/>
    <x v="8"/>
    <s v="Ramp Card"/>
    <m/>
    <s v="Expense"/>
    <s v="LinkedIn"/>
    <s v="64400 AppIQ - Sales:AppIQ - Sales - Software Applications &amp; Licenses"/>
    <x v="3"/>
    <x v="10"/>
    <n v="127.19"/>
    <m/>
    <n v="-127.19"/>
    <n v="478132.90999999945"/>
  </r>
  <r>
    <s v="08/05/2025"/>
    <x v="1"/>
    <x v="8"/>
    <s v="Ramp Card"/>
    <m/>
    <s v="Expense"/>
    <s v="Lou Malnati's Pizzeria"/>
    <s v="64505 AppIQ - Sales:AppIQ - Sales - Meals &amp; Entertainment"/>
    <x v="3"/>
    <x v="4"/>
    <n v="40.01"/>
    <m/>
    <n v="-40.01"/>
    <n v="478092.89999999944"/>
  </r>
  <r>
    <s v="08/05/2025"/>
    <x v="1"/>
    <x v="8"/>
    <s v="Ramp Card"/>
    <m/>
    <s v="Expense"/>
    <s v="Otter"/>
    <s v="69400 General &amp; Administrative:G&amp;A - Software Applications &amp; Licenses"/>
    <x v="3"/>
    <x v="10"/>
    <n v="31.8"/>
    <m/>
    <n v="-31.8"/>
    <n v="478061.09999999945"/>
  </r>
  <r>
    <s v="08/05/2025"/>
    <x v="1"/>
    <x v="8"/>
    <s v="M&amp;T Operating"/>
    <m/>
    <s v="Expense"/>
    <s v="Paylocity"/>
    <s v="69215 General &amp; Administrative:G&amp;A - Payroll Fees"/>
    <x v="1"/>
    <x v="3"/>
    <n v="4"/>
    <m/>
    <n v="-4"/>
    <n v="478057.09999999945"/>
  </r>
  <r>
    <s v="08/05/2025"/>
    <x v="1"/>
    <x v="8"/>
    <s v="Ramp Card"/>
    <m/>
    <s v="Expense"/>
    <s v="Terry Black's Barbecue"/>
    <s v="64505 AppIQ - Sales:AppIQ - Sales - Meals &amp; Entertainment"/>
    <x v="3"/>
    <x v="4"/>
    <n v="48.81"/>
    <m/>
    <n v="-48.81"/>
    <n v="478008.28999999946"/>
  </r>
  <r>
    <s v="08/05/2025"/>
    <x v="1"/>
    <x v="8"/>
    <s v="Ramp Card"/>
    <m/>
    <s v="Expense"/>
    <s v="The LINE Austin"/>
    <s v="64500 AppIQ - Sales:AppIQ - Sales - Travel"/>
    <x v="3"/>
    <x v="4"/>
    <n v="358.09"/>
    <m/>
    <n v="-358.09"/>
    <n v="477650.19999999943"/>
  </r>
  <r>
    <s v="08/05/2025"/>
    <x v="1"/>
    <x v="8"/>
    <s v="Ramp Card"/>
    <m/>
    <s v="Expense"/>
    <s v="The LINE Austin - Restaurants and Bars"/>
    <s v="64505 AppIQ - Sales:AppIQ - Sales - Meals &amp; Entertainment"/>
    <x v="3"/>
    <x v="4"/>
    <n v="53.05"/>
    <m/>
    <n v="-53.05"/>
    <n v="477597.14999999944"/>
  </r>
  <r>
    <s v="08/05/2025"/>
    <x v="1"/>
    <x v="8"/>
    <s v="Ramp Card"/>
    <m/>
    <s v="Expense"/>
    <s v="Uber"/>
    <s v="64500 AppIQ - Sales:AppIQ - Sales - Travel"/>
    <x v="3"/>
    <x v="4"/>
    <n v="6.97"/>
    <m/>
    <n v="-6.97"/>
    <n v="477590.17999999947"/>
  </r>
  <r>
    <s v="08/05/2025"/>
    <x v="1"/>
    <x v="8"/>
    <s v="Ramp Card"/>
    <m/>
    <s v="Expense"/>
    <s v="Uber"/>
    <s v="64500 AppIQ - Sales:AppIQ - Sales - Travel"/>
    <x v="3"/>
    <x v="4"/>
    <n v="7.91"/>
    <m/>
    <n v="-7.91"/>
    <n v="477582.26999999949"/>
  </r>
  <r>
    <s v="08/05/2025"/>
    <x v="1"/>
    <x v="8"/>
    <s v="Ramp Card"/>
    <m/>
    <s v="Expense"/>
    <s v="Uber"/>
    <s v="64500 AppIQ - Sales:AppIQ - Sales - Travel"/>
    <x v="3"/>
    <x v="4"/>
    <n v="34.200000000000003"/>
    <m/>
    <n v="-34.200000000000003"/>
    <n v="477548.06999999948"/>
  </r>
  <r>
    <s v="08/05/2025"/>
    <x v="1"/>
    <x v="8"/>
    <s v="Ramp Card"/>
    <m/>
    <s v="Expense"/>
    <s v="Uber"/>
    <s v="64500 AppIQ - Sales:AppIQ - Sales - Travel"/>
    <x v="3"/>
    <x v="4"/>
    <n v="59.93"/>
    <m/>
    <n v="-59.93"/>
    <n v="477488.13999999949"/>
  </r>
  <r>
    <s v="08/05/2025"/>
    <x v="1"/>
    <x v="8"/>
    <s v="Ramp Card"/>
    <m/>
    <s v="Expense"/>
    <s v="Uber"/>
    <s v="64500 AppIQ - Sales:AppIQ - Sales - Travel"/>
    <x v="3"/>
    <x v="4"/>
    <n v="41.97"/>
    <m/>
    <n v="-41.97"/>
    <n v="477446.16999999952"/>
  </r>
  <r>
    <s v="08/05/2025"/>
    <x v="1"/>
    <x v="8"/>
    <s v="Ramp Card"/>
    <m/>
    <s v="Expense"/>
    <s v="Yeti"/>
    <s v="65625 AppIQ - Marketing:AppIQ - Marketing - Client Gifts &amp; Entertainment"/>
    <x v="3"/>
    <x v="15"/>
    <n v="46.31"/>
    <m/>
    <n v="-46.31"/>
    <n v="477399.85999999952"/>
  </r>
  <r>
    <s v="08/05/2025"/>
    <x v="1"/>
    <x v="8"/>
    <s v="M&amp;T Operating"/>
    <m/>
    <s v="Transfer"/>
    <m/>
    <s v="10010 M&amp;T Bank - IntraFi Network Sweep"/>
    <x v="0"/>
    <x v="0"/>
    <m/>
    <n v="14.55"/>
    <n v="14.55"/>
    <n v="477414.40999999951"/>
  </r>
  <r>
    <s v="08/06/2025"/>
    <x v="1"/>
    <x v="8"/>
    <s v="Ramp Card"/>
    <m/>
    <s v="Expense"/>
    <s v="Anthropic"/>
    <s v="51400 Classic COGS - Delivery:Classic COGS - Delivery - Software Applications &amp; Licenses"/>
    <x v="3"/>
    <x v="10"/>
    <n v="20.6"/>
    <m/>
    <n v="-20.6"/>
    <n v="477393.80999999953"/>
  </r>
  <r>
    <s v="08/06/2025"/>
    <x v="1"/>
    <x v="8"/>
    <s v="Ramp Card"/>
    <m/>
    <s v="Expense"/>
    <s v="Austin Proper Hotel"/>
    <s v="64505 AppIQ - Sales:AppIQ - Sales - Meals &amp; Entertainment"/>
    <x v="3"/>
    <x v="4"/>
    <n v="132.44999999999999"/>
    <m/>
    <n v="-132.44999999999999"/>
    <n v="477261.35999999952"/>
  </r>
  <r>
    <s v="08/06/2025"/>
    <x v="1"/>
    <x v="8"/>
    <s v="Ramp Card"/>
    <m/>
    <s v="Expense"/>
    <s v="Gibsons Italia"/>
    <s v="64505 AppIQ - Sales:AppIQ - Sales - Meals &amp; Entertainment"/>
    <x v="3"/>
    <x v="4"/>
    <n v="126.05"/>
    <m/>
    <n v="-126.05"/>
    <n v="477135.30999999953"/>
  </r>
  <r>
    <s v="08/06/2025"/>
    <x v="1"/>
    <x v="8"/>
    <s v="Ramp Card"/>
    <m/>
    <s v="Expense"/>
    <s v="GoDaddy"/>
    <s v="69400 General &amp; Administrative:G&amp;A - Software Applications &amp; Licenses"/>
    <x v="3"/>
    <x v="10"/>
    <n v="221.42"/>
    <m/>
    <n v="-221.42"/>
    <n v="476913.88999999955"/>
  </r>
  <r>
    <s v="08/06/2025"/>
    <x v="1"/>
    <x v="8"/>
    <s v="Ramp Card"/>
    <m/>
    <s v="Expense"/>
    <s v="GoDaddy"/>
    <s v="69400 General &amp; Administrative:G&amp;A - Software Applications &amp; Licenses"/>
    <x v="3"/>
    <x v="10"/>
    <n v="40.56"/>
    <m/>
    <n v="-40.56"/>
    <n v="476873.32999999955"/>
  </r>
  <r>
    <s v="08/06/2025"/>
    <x v="1"/>
    <x v="8"/>
    <s v="Ramp Card"/>
    <m/>
    <s v="Expense"/>
    <s v="la Barbecue"/>
    <s v="64505 AppIQ - Sales:AppIQ - Sales - Meals &amp; Entertainment"/>
    <x v="3"/>
    <x v="4"/>
    <n v="50.23"/>
    <m/>
    <n v="-50.23"/>
    <n v="476823.09999999957"/>
  </r>
  <r>
    <s v="08/06/2025"/>
    <x v="1"/>
    <x v="8"/>
    <s v="Ramp Card"/>
    <m/>
    <s v="Expense"/>
    <s v="Levain Bakery"/>
    <s v="64505 AppIQ - Sales:AppIQ - Sales - Meals &amp; Entertainment"/>
    <x v="3"/>
    <x v="4"/>
    <n v="14.31"/>
    <m/>
    <n v="-14.31"/>
    <n v="476808.78999999957"/>
  </r>
  <r>
    <s v="08/06/2025"/>
    <x v="1"/>
    <x v="8"/>
    <s v="Ramp Card"/>
    <m/>
    <s v="Expense"/>
    <s v="Perplexity AI"/>
    <s v="51400 Classic COGS - Delivery:Classic COGS - Delivery - Software Applications &amp; Licenses"/>
    <x v="3"/>
    <x v="10"/>
    <n v="21.2"/>
    <m/>
    <n v="-21.2"/>
    <n v="476787.58999999956"/>
  </r>
  <r>
    <s v="08/06/2025"/>
    <x v="1"/>
    <x v="8"/>
    <s v="Ramp Card"/>
    <m/>
    <s v="Expense"/>
    <s v="Residence Inn"/>
    <s v="64500 AppIQ - Sales:AppIQ - Sales - Travel"/>
    <x v="3"/>
    <x v="4"/>
    <n v="614.94000000000005"/>
    <m/>
    <n v="-614.94000000000005"/>
    <n v="476172.64999999956"/>
  </r>
  <r>
    <s v="08/06/2025"/>
    <x v="1"/>
    <x v="8"/>
    <s v="Ramp Card"/>
    <m/>
    <s v="Expense"/>
    <s v="The LINE Austin"/>
    <s v="64500 AppIQ - Sales:AppIQ - Sales - Travel"/>
    <x v="3"/>
    <x v="4"/>
    <n v="342.03"/>
    <m/>
    <n v="-342.03"/>
    <n v="475830.61999999953"/>
  </r>
  <r>
    <s v="08/06/2025"/>
    <x v="1"/>
    <x v="8"/>
    <s v="Ramp Card"/>
    <m/>
    <s v="Expense"/>
    <s v="The LINE Austin - Restaurants and Bars"/>
    <s v="64505 AppIQ - Sales:AppIQ - Sales - Meals &amp; Entertainment"/>
    <x v="3"/>
    <x v="4"/>
    <n v="12.18"/>
    <m/>
    <n v="-12.18"/>
    <n v="475818.43999999954"/>
  </r>
  <r>
    <s v="08/06/2025"/>
    <x v="1"/>
    <x v="8"/>
    <s v="Ramp Card"/>
    <m/>
    <s v="Expense"/>
    <s v="The LINE Austin - Restaurants and Bars"/>
    <s v="64505 AppIQ - Sales:AppIQ - Sales - Meals &amp; Entertainment"/>
    <x v="3"/>
    <x v="4"/>
    <n v="39.72"/>
    <m/>
    <n v="-39.72"/>
    <n v="475778.71999999956"/>
  </r>
  <r>
    <s v="08/06/2025"/>
    <x v="1"/>
    <x v="8"/>
    <s v="Ramp Card"/>
    <m/>
    <s v="Expense"/>
    <s v="The Pub"/>
    <s v="64505 AppIQ - Sales:AppIQ - Sales - Meals &amp; Entertainment"/>
    <x v="3"/>
    <x v="4"/>
    <n v="50.25"/>
    <m/>
    <n v="-50.25"/>
    <n v="475728.46999999956"/>
  </r>
  <r>
    <s v="08/06/2025"/>
    <x v="1"/>
    <x v="8"/>
    <s v="Ramp Card"/>
    <m/>
    <s v="Expense"/>
    <s v="The Streeter"/>
    <s v="64505 AppIQ - Sales:AppIQ - Sales - Meals &amp; Entertainment"/>
    <x v="3"/>
    <x v="4"/>
    <n v="5.24"/>
    <m/>
    <n v="-5.24"/>
    <n v="475723.22999999957"/>
  </r>
  <r>
    <s v="08/06/2025"/>
    <x v="1"/>
    <x v="8"/>
    <s v="Ramp Card"/>
    <m/>
    <s v="Expense"/>
    <s v="Uber"/>
    <s v="64500 AppIQ - Sales:AppIQ - Sales - Travel"/>
    <x v="3"/>
    <x v="4"/>
    <n v="11.94"/>
    <m/>
    <n v="-11.94"/>
    <n v="475711.28999999957"/>
  </r>
  <r>
    <s v="08/06/2025"/>
    <x v="1"/>
    <x v="8"/>
    <s v="Ramp Card"/>
    <m/>
    <s v="Expense"/>
    <s v="Uber"/>
    <s v="64500 AppIQ - Sales:AppIQ - Sales - Travel"/>
    <x v="3"/>
    <x v="4"/>
    <n v="10.95"/>
    <m/>
    <n v="-10.95"/>
    <n v="475700.33999999956"/>
  </r>
  <r>
    <s v="08/06/2025"/>
    <x v="1"/>
    <x v="8"/>
    <s v="Ramp Card"/>
    <m/>
    <s v="Expense"/>
    <s v="XOCO"/>
    <s v="64505 AppIQ - Sales:AppIQ - Sales - Meals &amp; Entertainment"/>
    <x v="3"/>
    <x v="10"/>
    <n v="41.43"/>
    <m/>
    <n v="-41.43"/>
    <n v="475658.90999999957"/>
  </r>
  <r>
    <s v="08/07/2025"/>
    <x v="1"/>
    <x v="8"/>
    <s v="Ramp Card"/>
    <m/>
    <s v="Expense"/>
    <s v="365 Retail Markets"/>
    <s v="64505 AppIQ - Sales:AppIQ - Sales - Meals &amp; Entertainment"/>
    <x v="3"/>
    <x v="4"/>
    <n v="4.0999999999999996"/>
    <m/>
    <n v="-4.0999999999999996"/>
    <n v="475654.80999999959"/>
  </r>
  <r>
    <s v="08/07/2025"/>
    <x v="1"/>
    <x v="8"/>
    <s v="Ramp Card"/>
    <m/>
    <s v="Expense"/>
    <s v="Austin Straubel"/>
    <s v="64500 AppIQ - Sales:AppIQ - Sales - Travel"/>
    <x v="3"/>
    <x v="4"/>
    <n v="27"/>
    <m/>
    <n v="-27"/>
    <n v="475627.80999999959"/>
  </r>
  <r>
    <s v="08/07/2025"/>
    <x v="1"/>
    <x v="8"/>
    <s v="M&amp;T Operating"/>
    <m/>
    <s v="Expense"/>
    <s v="Bancorpsv (Benefit Deduction)"/>
    <s v="22335 Accrued Expenses:Accrued Expenses - Bancorpsv Clearing"/>
    <x v="1"/>
    <x v="1"/>
    <n v="15"/>
    <m/>
    <n v="-15"/>
    <n v="475612.80999999959"/>
  </r>
  <r>
    <s v="08/07/2025"/>
    <x v="1"/>
    <x v="8"/>
    <s v="Ramp Card"/>
    <m/>
    <s v="Expense"/>
    <s v="Doordash"/>
    <s v="69505 General &amp; Administrative:G&amp;A - Meals &amp; Entertainment"/>
    <x v="3"/>
    <x v="4"/>
    <n v="22.94"/>
    <m/>
    <n v="-22.94"/>
    <n v="475589.86999999959"/>
  </r>
  <r>
    <s v="08/07/2025"/>
    <x v="1"/>
    <x v="8"/>
    <s v="Ramp Card"/>
    <m/>
    <s v="Expense"/>
    <s v="Doordash"/>
    <s v="69505 General &amp; Administrative:G&amp;A - Meals &amp; Entertainment"/>
    <x v="3"/>
    <x v="4"/>
    <n v="71.22"/>
    <m/>
    <n v="-71.22"/>
    <n v="475518.64999999962"/>
  </r>
  <r>
    <s v="08/07/2025"/>
    <x v="1"/>
    <x v="8"/>
    <s v="Ramp Card"/>
    <m/>
    <s v="Expense"/>
    <s v="Doordash"/>
    <s v="69505 General &amp; Administrative:G&amp;A - Meals &amp; Entertainment"/>
    <x v="3"/>
    <x v="4"/>
    <n v="16.690000000000001"/>
    <m/>
    <n v="-16.690000000000001"/>
    <n v="475501.95999999961"/>
  </r>
  <r>
    <s v="08/07/2025"/>
    <x v="1"/>
    <x v="8"/>
    <s v="Ramp Card"/>
    <m/>
    <s v="Expense"/>
    <s v="Firecakes Donuts"/>
    <s v="64505 AppIQ - Sales:AppIQ - Sales - Meals &amp; Entertainment"/>
    <x v="3"/>
    <x v="4"/>
    <n v="18.62"/>
    <m/>
    <n v="-18.62"/>
    <n v="475483.33999999962"/>
  </r>
  <r>
    <s v="08/07/2025"/>
    <x v="1"/>
    <x v="8"/>
    <s v="Ramp Card"/>
    <m/>
    <s v="Expense"/>
    <s v="GoDaddy"/>
    <s v="69400 General &amp; Administrative:G&amp;A - Software Applications &amp; Licenses"/>
    <x v="3"/>
    <x v="10"/>
    <n v="493.26"/>
    <m/>
    <n v="-493.26"/>
    <n v="474990.07999999961"/>
  </r>
  <r>
    <s v="08/07/2025"/>
    <x v="1"/>
    <x v="8"/>
    <s v="Ramp Card"/>
    <m/>
    <s v="Expense"/>
    <s v="Kung Fu Saloon"/>
    <s v="64505 AppIQ - Sales:AppIQ - Sales - Meals &amp; Entertainment"/>
    <x v="3"/>
    <x v="4"/>
    <n v="37.93"/>
    <m/>
    <n v="-37.93"/>
    <n v="474952.14999999962"/>
  </r>
  <r>
    <s v="08/07/2025"/>
    <x v="1"/>
    <x v="8"/>
    <s v="Ramp Card"/>
    <m/>
    <s v="Expense"/>
    <s v="McDonald's"/>
    <s v="64505 AppIQ - Sales:AppIQ - Sales - Meals &amp; Entertainment"/>
    <x v="3"/>
    <x v="4"/>
    <n v="19.32"/>
    <m/>
    <n v="-19.32"/>
    <n v="474932.82999999961"/>
  </r>
  <r>
    <s v="08/07/2025"/>
    <x v="1"/>
    <x v="8"/>
    <s v="M&amp;T Operating"/>
    <m/>
    <s v="Expense"/>
    <s v="New York Life"/>
    <s v="22315 Accrued Expenses:Accrued Expenses - NY Life Clearing"/>
    <x v="1"/>
    <x v="1"/>
    <n v="1145.18"/>
    <m/>
    <n v="-1145.18"/>
    <n v="473787.64999999962"/>
  </r>
  <r>
    <s v="08/07/2025"/>
    <x v="1"/>
    <x v="8"/>
    <s v="Ramp Card"/>
    <m/>
    <s v="Expense"/>
    <s v="OpenAI"/>
    <s v="51400 Classic COGS - Delivery:Classic COGS - Delivery - Software Applications &amp; Licenses"/>
    <x v="3"/>
    <x v="10"/>
    <n v="20"/>
    <m/>
    <n v="-20"/>
    <n v="473767.64999999962"/>
  </r>
  <r>
    <s v="08/07/2025"/>
    <x v="1"/>
    <x v="8"/>
    <s v="Ramp Card"/>
    <m/>
    <s v="Expense"/>
    <s v="The LINE Austin - Restaurants and Bars"/>
    <s v="64505 AppIQ - Sales:AppIQ - Sales - Meals &amp; Entertainment"/>
    <x v="3"/>
    <x v="4"/>
    <n v="322.95"/>
    <m/>
    <n v="-322.95"/>
    <n v="473444.6999999996"/>
  </r>
  <r>
    <s v="08/07/2025"/>
    <x v="1"/>
    <x v="8"/>
    <s v="Ramp Card"/>
    <m/>
    <s v="Expense"/>
    <s v="Uber"/>
    <s v="64500 AppIQ - Sales:AppIQ - Sales - Travel"/>
    <x v="3"/>
    <x v="4"/>
    <n v="11.82"/>
    <m/>
    <n v="-11.82"/>
    <n v="473432.8799999996"/>
  </r>
  <r>
    <s v="08/07/2025"/>
    <x v="1"/>
    <x v="8"/>
    <s v="Ramp Card"/>
    <m/>
    <s v="Expense"/>
    <s v="Uber"/>
    <s v="64500 AppIQ - Sales:AppIQ - Sales - Travel"/>
    <x v="3"/>
    <x v="4"/>
    <n v="39.159999999999997"/>
    <m/>
    <n v="-39.159999999999997"/>
    <n v="473393.71999999962"/>
  </r>
  <r>
    <s v="08/07/2025"/>
    <x v="1"/>
    <x v="8"/>
    <s v="Ramp Card"/>
    <m/>
    <s v="Expense"/>
    <s v="Uber"/>
    <s v="64500 AppIQ - Sales:AppIQ - Sales - Travel"/>
    <x v="3"/>
    <x v="4"/>
    <n v="7.98"/>
    <m/>
    <n v="-7.98"/>
    <n v="473385.73999999964"/>
  </r>
  <r>
    <s v="08/07/2025"/>
    <x v="1"/>
    <x v="8"/>
    <s v="Ramp Card"/>
    <m/>
    <s v="Expense"/>
    <s v="Uber"/>
    <s v="64500 AppIQ - Sales:AppIQ - Sales - Travel"/>
    <x v="3"/>
    <x v="4"/>
    <n v="13.28"/>
    <m/>
    <n v="-13.28"/>
    <n v="473372.45999999961"/>
  </r>
  <r>
    <s v="08/07/2025"/>
    <x v="1"/>
    <x v="8"/>
    <s v="Ramp Card"/>
    <m/>
    <s v="Expense"/>
    <s v="Uber"/>
    <s v="64500 AppIQ - Sales:AppIQ - Sales - Travel"/>
    <x v="3"/>
    <x v="4"/>
    <n v="15.29"/>
    <m/>
    <n v="-15.29"/>
    <n v="473357.16999999963"/>
  </r>
  <r>
    <s v="08/07/2025"/>
    <x v="1"/>
    <x v="8"/>
    <s v="Ramp Card"/>
    <m/>
    <s v="Expense"/>
    <s v="Uber"/>
    <s v="64500 AppIQ - Sales:AppIQ - Sales - Travel"/>
    <x v="3"/>
    <x v="4"/>
    <n v="4"/>
    <m/>
    <n v="-4"/>
    <n v="473353.16999999963"/>
  </r>
  <r>
    <s v="08/07/2025"/>
    <x v="1"/>
    <x v="8"/>
    <s v="Ramp Card"/>
    <m/>
    <s v="Expense"/>
    <s v="Uber"/>
    <s v="64500 AppIQ - Sales:AppIQ - Sales - Travel"/>
    <x v="3"/>
    <x v="4"/>
    <n v="38.950000000000003"/>
    <m/>
    <n v="-38.950000000000003"/>
    <n v="473314.21999999962"/>
  </r>
  <r>
    <s v="08/07/2025"/>
    <x v="1"/>
    <x v="8"/>
    <s v="Ramp Card"/>
    <m/>
    <s v="Expense"/>
    <s v="Uber"/>
    <s v="64500 AppIQ - Sales:AppIQ - Sales - Travel"/>
    <x v="3"/>
    <x v="4"/>
    <n v="46.94"/>
    <m/>
    <n v="-46.94"/>
    <n v="473267.27999999962"/>
  </r>
  <r>
    <s v="08/07/2025"/>
    <x v="1"/>
    <x v="8"/>
    <s v="M&amp;T Operating"/>
    <m/>
    <s v="Expense"/>
    <s v="Wex Health, Inc."/>
    <s v="22320 Accrued Expenses:Accrued Expenses - WEX Clearing"/>
    <x v="1"/>
    <x v="1"/>
    <n v="416.8"/>
    <m/>
    <n v="-416.8"/>
    <n v="472850.47999999963"/>
  </r>
  <r>
    <s v="08/07/2025"/>
    <x v="1"/>
    <x v="8"/>
    <s v="M&amp;T Operating"/>
    <m/>
    <s v="Transfer"/>
    <m/>
    <s v="10010 M&amp;T Bank - IntraFi Network Sweep"/>
    <x v="0"/>
    <x v="0"/>
    <m/>
    <n v="1682.72"/>
    <n v="1682.72"/>
    <n v="474533.1999999996"/>
  </r>
  <r>
    <s v="08/08/2025"/>
    <x v="1"/>
    <x v="8"/>
    <s v="M&amp;T Operating"/>
    <m/>
    <s v="Bill Payment"/>
    <s v="Brenna Hawley-Craig (brenna@synaptic.build)"/>
    <s v="20005 Accounts Payable"/>
    <x v="3"/>
    <x v="4"/>
    <n v="30"/>
    <m/>
    <n v="-30"/>
    <n v="474503.1999999996"/>
  </r>
  <r>
    <s v="08/08/2025"/>
    <x v="1"/>
    <x v="8"/>
    <s v="Ramp Card"/>
    <m/>
    <s v="Expense"/>
    <s v="Doordash"/>
    <s v="69505 General &amp; Administrative:G&amp;A - Meals &amp; Entertainment"/>
    <x v="3"/>
    <x v="4"/>
    <n v="22.94"/>
    <m/>
    <n v="-22.94"/>
    <n v="474480.2599999996"/>
  </r>
  <r>
    <s v="08/08/2025"/>
    <x v="1"/>
    <x v="8"/>
    <s v="Ramp Card"/>
    <m/>
    <s v="Expense"/>
    <s v="Elementor"/>
    <s v="69400 General &amp; Administrative:G&amp;A - Software Applications &amp; Licenses"/>
    <x v="3"/>
    <x v="10"/>
    <n v="99"/>
    <m/>
    <n v="-99"/>
    <n v="474381.2599999996"/>
  </r>
  <r>
    <s v="08/08/2025"/>
    <x v="1"/>
    <x v="8"/>
    <s v="M&amp;T Operating"/>
    <m/>
    <s v="Bill Payment"/>
    <s v="Investigo LLC"/>
    <s v="20005 Accounts Payable"/>
    <x v="4"/>
    <x v="9"/>
    <n v="880.75"/>
    <m/>
    <n v="-880.75"/>
    <n v="473500.5099999996"/>
  </r>
  <r>
    <s v="08/08/2025"/>
    <x v="1"/>
    <x v="8"/>
    <s v="M&amp;T Operating"/>
    <m/>
    <s v="Bill Payment"/>
    <s v="Investigo LLC"/>
    <s v="20005 Accounts Payable"/>
    <x v="4"/>
    <x v="9"/>
    <n v="1084"/>
    <m/>
    <n v="-1084"/>
    <n v="472416.5099999996"/>
  </r>
  <r>
    <s v="08/08/2025"/>
    <x v="1"/>
    <x v="8"/>
    <s v="M&amp;T Operating"/>
    <m/>
    <s v="Bill Payment"/>
    <s v="Joseph Kennedy (joey.kennedy@synaptic.build)"/>
    <s v="20005 Accounts Payable"/>
    <x v="3"/>
    <x v="4"/>
    <n v="16.95"/>
    <m/>
    <n v="-16.95"/>
    <n v="472399.55999999959"/>
  </r>
  <r>
    <s v="08/08/2025"/>
    <x v="1"/>
    <x v="8"/>
    <s v="Ramp Card"/>
    <m/>
    <s v="Expense"/>
    <s v="LinkedIn"/>
    <s v="69400 General &amp; Administrative:G&amp;A - Software Applications &amp; Licenses"/>
    <x v="3"/>
    <x v="10"/>
    <n v="63.59"/>
    <m/>
    <n v="-63.59"/>
    <n v="472335.96999999956"/>
  </r>
  <r>
    <s v="08/08/2025"/>
    <x v="1"/>
    <x v="8"/>
    <s v="M&amp;T Operating"/>
    <m/>
    <s v="Expense"/>
    <s v="M&amp;T Bank"/>
    <s v="69805 General &amp; Administrative:G&amp;A - Bank Fees"/>
    <x v="0"/>
    <x v="6"/>
    <n v="315.20999999999998"/>
    <m/>
    <n v="-315.20999999999998"/>
    <n v="472020.75999999954"/>
  </r>
  <r>
    <s v="08/08/2025"/>
    <x v="1"/>
    <x v="8"/>
    <s v="Ramp Card"/>
    <m/>
    <s v="Expense"/>
    <s v="Perplexity AI"/>
    <s v="58005 Direct Third Party Costs:Direct Third Party Software License Fees"/>
    <x v="3"/>
    <x v="10"/>
    <n v="21.2"/>
    <m/>
    <n v="-21.2"/>
    <n v="471999.55999999953"/>
  </r>
  <r>
    <s v="08/08/2025"/>
    <x v="1"/>
    <x v="8"/>
    <s v="M&amp;T Operating"/>
    <m/>
    <s v="Bill Payment"/>
    <s v="Salesforce.com Inc"/>
    <s v="20005 Accounts Payable"/>
    <x v="3"/>
    <x v="10"/>
    <n v="20045.099999999999"/>
    <m/>
    <n v="-20045.099999999999"/>
    <n v="451954.45999999956"/>
  </r>
  <r>
    <s v="08/08/2025"/>
    <x v="1"/>
    <x v="8"/>
    <s v="Ramp Card"/>
    <m/>
    <s v="Expense"/>
    <s v="The LINE Austin"/>
    <s v="64505 AppIQ - Sales:AppIQ - Sales - Meals &amp; Entertainment"/>
    <x v="3"/>
    <x v="4"/>
    <n v="7.58"/>
    <m/>
    <n v="-7.58"/>
    <n v="451946.87999999954"/>
  </r>
  <r>
    <s v="08/08/2025"/>
    <x v="1"/>
    <x v="8"/>
    <s v="M&amp;T Operating"/>
    <m/>
    <s v="Transfer"/>
    <m/>
    <s v="10010 M&amp;T Bank - IntraFi Network Sweep"/>
    <x v="0"/>
    <x v="0"/>
    <m/>
    <n v="22325.06"/>
    <n v="22325.06"/>
    <n v="474271.93999999954"/>
  </r>
  <r>
    <s v="08/09/2025"/>
    <x v="1"/>
    <x v="8"/>
    <s v="Ramp Card"/>
    <m/>
    <s v="Expense"/>
    <s v="Firecrawl"/>
    <s v="58005 Direct Third Party Costs:Direct Third Party Software License Fees"/>
    <x v="4"/>
    <x v="19"/>
    <n v="99"/>
    <m/>
    <n v="-99"/>
    <n v="474172.93999999954"/>
  </r>
  <r>
    <s v="08/09/2025"/>
    <x v="1"/>
    <x v="8"/>
    <s v="Ramp Card"/>
    <m/>
    <s v="Expense"/>
    <s v="Light House Bistro"/>
    <s v="69505 General &amp; Administrative:G&amp;A - Meals &amp; Entertainment"/>
    <x v="3"/>
    <x v="4"/>
    <n v="75.540000000000006"/>
    <m/>
    <n v="-75.540000000000006"/>
    <n v="474097.39999999956"/>
  </r>
  <r>
    <s v="08/09/2025"/>
    <x v="1"/>
    <x v="8"/>
    <s v="Ramp Card"/>
    <m/>
    <s v="Expense"/>
    <s v="Loom"/>
    <s v="64400 AppIQ - Sales:AppIQ - Sales - Software Applications &amp; Licenses"/>
    <x v="3"/>
    <x v="10"/>
    <n v="24"/>
    <m/>
    <n v="-24"/>
    <n v="474073.39999999956"/>
  </r>
  <r>
    <s v="08/10/2025"/>
    <x v="1"/>
    <x v="8"/>
    <s v="Ramp Card"/>
    <m/>
    <s v="Expense"/>
    <s v="Amazon"/>
    <s v="69410 General &amp; Administrative:G&amp;A - Office &amp; Supplies"/>
    <x v="3"/>
    <x v="15"/>
    <n v="191.62"/>
    <m/>
    <n v="-191.62"/>
    <n v="473881.77999999956"/>
  </r>
  <r>
    <s v="08/10/2025"/>
    <x v="1"/>
    <x v="8"/>
    <s v="Ramp Card"/>
    <m/>
    <s v="Expense"/>
    <s v="GoDaddy"/>
    <s v="69400 General &amp; Administrative:G&amp;A - Software Applications &amp; Licenses"/>
    <x v="3"/>
    <x v="10"/>
    <n v="12.56"/>
    <m/>
    <n v="-12.56"/>
    <n v="473869.21999999956"/>
  </r>
  <r>
    <s v="08/10/2025"/>
    <x v="1"/>
    <x v="8"/>
    <s v="Ramp Card"/>
    <m/>
    <s v="Expense"/>
    <s v="OpenAI"/>
    <s v="69400 General &amp; Administrative:G&amp;A - Software Applications &amp; Licenses"/>
    <x v="3"/>
    <x v="10"/>
    <n v="206"/>
    <m/>
    <n v="-206"/>
    <n v="473663.21999999956"/>
  </r>
  <r>
    <s v="08/11/2025"/>
    <x v="1"/>
    <x v="8"/>
    <s v="Ramp Card"/>
    <m/>
    <s v="Expense"/>
    <s v="American Airlines"/>
    <s v="64500 AppIQ - Sales:AppIQ - Sales - Travel"/>
    <x v="3"/>
    <x v="4"/>
    <n v="135.01"/>
    <m/>
    <n v="-135.01"/>
    <n v="473528.20999999956"/>
  </r>
  <r>
    <s v="08/11/2025"/>
    <x v="1"/>
    <x v="8"/>
    <s v="Ramp Card"/>
    <m/>
    <s v="Expense"/>
    <s v="Anthropic"/>
    <s v="69400 General &amp; Administrative:G&amp;A - Software Applications &amp; Licenses"/>
    <x v="3"/>
    <x v="10"/>
    <n v="20.6"/>
    <m/>
    <n v="-20.6"/>
    <n v="473507.60999999958"/>
  </r>
  <r>
    <s v="08/11/2025"/>
    <x v="1"/>
    <x v="8"/>
    <s v="M&amp;T Operating"/>
    <s v="35295965_34558933"/>
    <s v="Bill Payment"/>
    <s v="Ashley MacArthur ashley@getboss.io USD"/>
    <s v="20005 Accounts Payable"/>
    <x v="3"/>
    <x v="8"/>
    <n v="850"/>
    <m/>
    <n v="-850"/>
    <n v="472657.60999999958"/>
  </r>
  <r>
    <s v="08/11/2025"/>
    <x v="1"/>
    <x v="8"/>
    <s v="M&amp;T Operating"/>
    <s v="35295965_34294962"/>
    <s v="Bill Payment"/>
    <s v="Ashley MacArthur ashley@getboss.io USD"/>
    <s v="20005 Accounts Payable"/>
    <x v="3"/>
    <x v="8"/>
    <n v="607.5"/>
    <m/>
    <n v="-607.5"/>
    <n v="472050.10999999958"/>
  </r>
  <r>
    <s v="08/11/2025"/>
    <x v="1"/>
    <x v="8"/>
    <s v="M&amp;T Operating"/>
    <s v="35295965_33851494"/>
    <s v="Bill Payment"/>
    <s v="Ashley MacArthur ashley@getboss.io USD"/>
    <s v="20005 Accounts Payable"/>
    <x v="3"/>
    <x v="8"/>
    <n v="720"/>
    <m/>
    <n v="-720"/>
    <n v="471330.10999999958"/>
  </r>
  <r>
    <s v="08/11/2025"/>
    <x v="1"/>
    <x v="8"/>
    <s v="M&amp;T Operating"/>
    <s v="35295965_33851493"/>
    <s v="Bill Payment"/>
    <s v="Ashley MacArthur ashley@getboss.io USD"/>
    <s v="20005 Accounts Payable"/>
    <x v="3"/>
    <x v="8"/>
    <n v="2010"/>
    <m/>
    <n v="-2010"/>
    <n v="469320.10999999958"/>
  </r>
  <r>
    <s v="08/11/2025"/>
    <x v="1"/>
    <x v="8"/>
    <s v="M&amp;T Operating"/>
    <s v="35295965_35198823"/>
    <s v="Bill Payment"/>
    <s v="Bartosz Juriewicz bartosz.juriewicz@gmail.com USD"/>
    <s v="20005 Accounts Payable"/>
    <x v="4"/>
    <x v="7"/>
    <n v="8470"/>
    <m/>
    <n v="-8470"/>
    <n v="460850.10999999958"/>
  </r>
  <r>
    <s v="08/11/2025"/>
    <x v="1"/>
    <x v="8"/>
    <s v="M&amp;T Operating"/>
    <s v="35295965_35199203"/>
    <s v="Bill Payment"/>
    <s v="Charles McGuinness charles@mcguinness.ai USD"/>
    <s v="20005 Accounts Payable"/>
    <x v="4"/>
    <x v="9"/>
    <n v="25000"/>
    <m/>
    <n v="-25000"/>
    <n v="435850.10999999958"/>
  </r>
  <r>
    <s v="08/11/2025"/>
    <x v="1"/>
    <x v="8"/>
    <s v="M&amp;T Operating"/>
    <s v="35302243_35300749"/>
    <s v="Bill Payment"/>
    <s v="Dane Kim dane.w.kim@gmail.com USD"/>
    <s v="20005 Accounts Payable"/>
    <x v="4"/>
    <x v="7"/>
    <n v="2843.75"/>
    <m/>
    <n v="-2843.75"/>
    <n v="433006.35999999958"/>
  </r>
  <r>
    <s v="08/11/2025"/>
    <x v="1"/>
    <x v="8"/>
    <s v="M&amp;T Operating"/>
    <s v="35302243_35302249"/>
    <s v="Bill Payment"/>
    <s v="Deel billing invoices deel@deel.com USD"/>
    <s v="20005 Accounts Payable"/>
    <x v="3"/>
    <x v="10"/>
    <n v="5"/>
    <m/>
    <n v="-5"/>
    <n v="433001.35999999958"/>
  </r>
  <r>
    <s v="08/11/2025"/>
    <x v="1"/>
    <x v="8"/>
    <s v="M&amp;T Operating"/>
    <s v="35302243_33518803"/>
    <s v="Bill Payment"/>
    <s v="Deel billing invoices deel@deel.com USD"/>
    <s v="20005 Accounts Payable"/>
    <x v="3"/>
    <x v="10"/>
    <n v="49"/>
    <m/>
    <n v="-49"/>
    <n v="432952.35999999958"/>
  </r>
  <r>
    <s v="08/11/2025"/>
    <x v="1"/>
    <x v="8"/>
    <s v="M&amp;T Operating"/>
    <s v="35295965_35295977"/>
    <s v="Bill Payment"/>
    <s v="Deel billing invoices deel@deel.com USD"/>
    <s v="20005 Accounts Payable"/>
    <x v="3"/>
    <x v="10"/>
    <n v="5"/>
    <m/>
    <n v="-5"/>
    <n v="432947.35999999958"/>
  </r>
  <r>
    <s v="08/11/2025"/>
    <x v="1"/>
    <x v="8"/>
    <s v="M&amp;T Operating"/>
    <s v="35295965_35164678"/>
    <s v="Bill Payment"/>
    <s v="Deel billing invoices deel@deel.com USD"/>
    <s v="20005 Accounts Payable"/>
    <x v="3"/>
    <x v="10"/>
    <n v="49"/>
    <m/>
    <n v="-49"/>
    <n v="432898.35999999958"/>
  </r>
  <r>
    <s v="08/11/2025"/>
    <x v="1"/>
    <x v="8"/>
    <s v="M&amp;T Operating"/>
    <s v="35295965_34431713"/>
    <s v="Bill Payment"/>
    <s v="Deel billing invoices deel@deel.com USD"/>
    <s v="20005 Accounts Payable"/>
    <x v="3"/>
    <x v="10"/>
    <n v="49"/>
    <m/>
    <n v="-49"/>
    <n v="432849.35999999958"/>
  </r>
  <r>
    <s v="08/11/2025"/>
    <x v="1"/>
    <x v="8"/>
    <s v="M&amp;T Operating"/>
    <s v="35295965_34158010"/>
    <s v="Bill Payment"/>
    <s v="Deel billing invoices deel@deel.com USD"/>
    <s v="20005 Accounts Payable"/>
    <x v="3"/>
    <x v="10"/>
    <n v="49"/>
    <m/>
    <n v="-49"/>
    <n v="432800.35999999958"/>
  </r>
  <r>
    <s v="08/11/2025"/>
    <x v="1"/>
    <x v="8"/>
    <s v="M&amp;T Operating"/>
    <s v="35295965_33649525"/>
    <s v="Bill Payment"/>
    <s v="Deel billing invoices deel@deel.com USD"/>
    <s v="20005 Accounts Payable"/>
    <x v="3"/>
    <x v="10"/>
    <n v="49"/>
    <m/>
    <n v="-49"/>
    <n v="432751.35999999958"/>
  </r>
  <r>
    <s v="08/11/2025"/>
    <x v="1"/>
    <x v="8"/>
    <s v="M&amp;T Operating"/>
    <s v="35295965_33649506"/>
    <s v="Bill Payment"/>
    <s v="Deel billing invoices deel@deel.com USD"/>
    <s v="20005 Accounts Payable"/>
    <x v="3"/>
    <x v="10"/>
    <n v="49"/>
    <m/>
    <n v="-49"/>
    <n v="432702.35999999958"/>
  </r>
  <r>
    <s v="08/11/2025"/>
    <x v="1"/>
    <x v="8"/>
    <s v="M&amp;T Operating"/>
    <s v="35295965_33643095"/>
    <s v="Bill Payment"/>
    <s v="Deel billing invoices deel@deel.com USD"/>
    <s v="20005 Accounts Payable"/>
    <x v="3"/>
    <x v="10"/>
    <n v="49"/>
    <m/>
    <n v="-49"/>
    <n v="432653.35999999958"/>
  </r>
  <r>
    <s v="08/11/2025"/>
    <x v="1"/>
    <x v="8"/>
    <s v="M&amp;T Operating"/>
    <s v="35295965_33636210"/>
    <s v="Bill Payment"/>
    <s v="Deel billing invoices deel@deel.com USD"/>
    <s v="20005 Accounts Payable"/>
    <x v="3"/>
    <x v="10"/>
    <n v="49"/>
    <m/>
    <n v="-49"/>
    <n v="432604.35999999958"/>
  </r>
  <r>
    <s v="08/11/2025"/>
    <x v="1"/>
    <x v="8"/>
    <s v="M&amp;T Operating"/>
    <s v="35295965_33623917"/>
    <s v="Bill Payment"/>
    <s v="Deel billing invoices deel@deel.com USD"/>
    <s v="20005 Accounts Payable"/>
    <x v="3"/>
    <x v="10"/>
    <n v="49"/>
    <m/>
    <n v="-49"/>
    <n v="432555.35999999958"/>
  </r>
  <r>
    <s v="08/11/2025"/>
    <x v="1"/>
    <x v="8"/>
    <s v="M&amp;T Operating"/>
    <s v="35295965_33622924"/>
    <s v="Bill Payment"/>
    <s v="Deel billing invoices deel@deel.com USD"/>
    <s v="20005 Accounts Payable"/>
    <x v="3"/>
    <x v="10"/>
    <n v="49"/>
    <m/>
    <n v="-49"/>
    <n v="432506.35999999958"/>
  </r>
  <r>
    <s v="08/11/2025"/>
    <x v="1"/>
    <x v="8"/>
    <s v="M&amp;T Operating"/>
    <s v="35295965_33619162"/>
    <s v="Bill Payment"/>
    <s v="Deel billing invoices deel@deel.com USD"/>
    <s v="20005 Accounts Payable"/>
    <x v="3"/>
    <x v="10"/>
    <n v="49"/>
    <m/>
    <n v="-49"/>
    <n v="432457.35999999958"/>
  </r>
  <r>
    <s v="08/11/2025"/>
    <x v="1"/>
    <x v="8"/>
    <s v="M&amp;T Operating"/>
    <s v="35295965_33600333"/>
    <s v="Bill Payment"/>
    <s v="Deel billing invoices deel@deel.com USD"/>
    <s v="20005 Accounts Payable"/>
    <x v="3"/>
    <x v="10"/>
    <n v="49"/>
    <m/>
    <n v="-49"/>
    <n v="432408.35999999958"/>
  </r>
  <r>
    <s v="08/11/2025"/>
    <x v="1"/>
    <x v="8"/>
    <s v="M&amp;T Operating"/>
    <s v="35295965_33583139"/>
    <s v="Bill Payment"/>
    <s v="Deel billing invoices deel@deel.com USD"/>
    <s v="20005 Accounts Payable"/>
    <x v="3"/>
    <x v="10"/>
    <n v="49"/>
    <m/>
    <n v="-49"/>
    <n v="432359.35999999958"/>
  </r>
  <r>
    <s v="08/11/2025"/>
    <x v="1"/>
    <x v="8"/>
    <s v="M&amp;T Operating"/>
    <s v="35295965_33575807"/>
    <s v="Bill Payment"/>
    <s v="Deel billing invoices deel@deel.com USD"/>
    <s v="20005 Accounts Payable"/>
    <x v="3"/>
    <x v="10"/>
    <n v="49"/>
    <m/>
    <n v="-49"/>
    <n v="432310.35999999958"/>
  </r>
  <r>
    <s v="08/11/2025"/>
    <x v="1"/>
    <x v="8"/>
    <s v="M&amp;T Operating"/>
    <s v="35295965_33567447"/>
    <s v="Bill Payment"/>
    <s v="Deel billing invoices deel@deel.com USD"/>
    <s v="20005 Accounts Payable"/>
    <x v="3"/>
    <x v="10"/>
    <n v="49"/>
    <m/>
    <n v="-49"/>
    <n v="432261.35999999958"/>
  </r>
  <r>
    <s v="08/11/2025"/>
    <x v="1"/>
    <x v="8"/>
    <s v="M&amp;T Operating"/>
    <s v="35295965_33567441"/>
    <s v="Bill Payment"/>
    <s v="Deel billing invoices deel@deel.com USD"/>
    <s v="20005 Accounts Payable"/>
    <x v="3"/>
    <x v="10"/>
    <n v="49"/>
    <m/>
    <n v="-49"/>
    <n v="432212.35999999958"/>
  </r>
  <r>
    <s v="08/11/2025"/>
    <x v="1"/>
    <x v="8"/>
    <s v="M&amp;T Operating"/>
    <s v="35295965_33565054"/>
    <s v="Bill Payment"/>
    <s v="Deel billing invoices deel@deel.com USD"/>
    <s v="20005 Accounts Payable"/>
    <x v="3"/>
    <x v="10"/>
    <n v="49"/>
    <m/>
    <n v="-49"/>
    <n v="432163.35999999958"/>
  </r>
  <r>
    <s v="08/11/2025"/>
    <x v="1"/>
    <x v="8"/>
    <s v="M&amp;T Operating"/>
    <s v="35295965_33548220"/>
    <s v="Bill Payment"/>
    <s v="Deel billing invoices deel@deel.com USD"/>
    <s v="20005 Accounts Payable"/>
    <x v="3"/>
    <x v="10"/>
    <n v="49"/>
    <m/>
    <n v="-49"/>
    <n v="432114.35999999958"/>
  </r>
  <r>
    <s v="08/11/2025"/>
    <x v="1"/>
    <x v="8"/>
    <s v="M&amp;T Operating"/>
    <s v="35295965_33534979"/>
    <s v="Bill Payment"/>
    <s v="Deel billing invoices deel@deel.com USD"/>
    <s v="20005 Accounts Payable"/>
    <x v="3"/>
    <x v="10"/>
    <n v="49"/>
    <m/>
    <n v="-49"/>
    <n v="432065.35999999958"/>
  </r>
  <r>
    <s v="08/11/2025"/>
    <x v="1"/>
    <x v="8"/>
    <s v="M&amp;T Operating"/>
    <s v="35295965_33533148"/>
    <s v="Bill Payment"/>
    <s v="Deel billing invoices deel@deel.com USD"/>
    <s v="20005 Accounts Payable"/>
    <x v="3"/>
    <x v="10"/>
    <n v="49"/>
    <m/>
    <n v="-49"/>
    <n v="432016.35999999958"/>
  </r>
  <r>
    <s v="08/11/2025"/>
    <x v="1"/>
    <x v="8"/>
    <s v="M&amp;T Operating"/>
    <s v="35295965_33528594"/>
    <s v="Bill Payment"/>
    <s v="Deel billing invoices deel@deel.com USD"/>
    <s v="20005 Accounts Payable"/>
    <x v="3"/>
    <x v="10"/>
    <n v="49"/>
    <m/>
    <n v="-49"/>
    <n v="431967.35999999958"/>
  </r>
  <r>
    <s v="08/11/2025"/>
    <x v="1"/>
    <x v="8"/>
    <s v="M&amp;T Operating"/>
    <s v="35295965_33506828"/>
    <s v="Bill Payment"/>
    <s v="Deel billing invoices deel@deel.com USD"/>
    <s v="20005 Accounts Payable"/>
    <x v="3"/>
    <x v="10"/>
    <n v="49"/>
    <m/>
    <n v="-49"/>
    <n v="431918.35999999958"/>
  </r>
  <r>
    <s v="08/11/2025"/>
    <x v="1"/>
    <x v="8"/>
    <s v="M&amp;T Operating"/>
    <s v="35295965_33505497"/>
    <s v="Bill Payment"/>
    <s v="Deel billing invoices deel@deel.com USD"/>
    <s v="20005 Accounts Payable"/>
    <x v="3"/>
    <x v="10"/>
    <n v="49"/>
    <m/>
    <n v="-49"/>
    <n v="431869.35999999958"/>
  </r>
  <r>
    <s v="08/11/2025"/>
    <x v="1"/>
    <x v="8"/>
    <s v="M&amp;T Operating"/>
    <s v="35295965_33505487"/>
    <s v="Bill Payment"/>
    <s v="Deel billing invoices deel@deel.com USD"/>
    <s v="20005 Accounts Payable"/>
    <x v="3"/>
    <x v="10"/>
    <n v="49"/>
    <m/>
    <n v="-49"/>
    <n v="431820.35999999958"/>
  </r>
  <r>
    <s v="08/11/2025"/>
    <x v="1"/>
    <x v="8"/>
    <s v="M&amp;T Operating"/>
    <s v="35295965_33505393"/>
    <s v="Bill Payment"/>
    <s v="Deel billing invoices deel@deel.com USD"/>
    <s v="20005 Accounts Payable"/>
    <x v="3"/>
    <x v="10"/>
    <n v="49"/>
    <m/>
    <n v="-49"/>
    <n v="431771.35999999958"/>
  </r>
  <r>
    <s v="08/11/2025"/>
    <x v="1"/>
    <x v="8"/>
    <s v="M&amp;T Operating"/>
    <s v="35295965_33502708"/>
    <s v="Bill Payment"/>
    <s v="Deel billing invoices deel@deel.com USD"/>
    <s v="20005 Accounts Payable"/>
    <x v="3"/>
    <x v="10"/>
    <n v="49"/>
    <m/>
    <n v="-49"/>
    <n v="431722.35999999958"/>
  </r>
  <r>
    <s v="08/11/2025"/>
    <x v="1"/>
    <x v="8"/>
    <s v="M&amp;T Operating"/>
    <s v="35295965_33502474"/>
    <s v="Bill Payment"/>
    <s v="Deel billing invoices deel@deel.com USD"/>
    <s v="20005 Accounts Payable"/>
    <x v="3"/>
    <x v="10"/>
    <n v="49"/>
    <m/>
    <n v="-49"/>
    <n v="431673.35999999958"/>
  </r>
  <r>
    <s v="08/11/2025"/>
    <x v="1"/>
    <x v="8"/>
    <s v="M&amp;T Operating"/>
    <s v="35295965_33502472"/>
    <s v="Bill Payment"/>
    <s v="Deel billing invoices deel@deel.com USD"/>
    <s v="20005 Accounts Payable"/>
    <x v="3"/>
    <x v="10"/>
    <n v="49"/>
    <m/>
    <n v="-49"/>
    <n v="431624.35999999958"/>
  </r>
  <r>
    <s v="08/11/2025"/>
    <x v="1"/>
    <x v="8"/>
    <s v="M&amp;T Operating"/>
    <s v="35295965_35166455"/>
    <s v="Bill Payment"/>
    <s v="Duane Nelson duanen@gmail.com USD"/>
    <s v="20005 Accounts Payable"/>
    <x v="4"/>
    <x v="9"/>
    <n v="481.25"/>
    <m/>
    <n v="-481.25"/>
    <n v="431143.10999999958"/>
  </r>
  <r>
    <s v="08/11/2025"/>
    <x v="1"/>
    <x v="8"/>
    <s v="M&amp;T Operating"/>
    <s v="35295965_35166454"/>
    <s v="Bill Payment"/>
    <s v="Duane Nelson duanen@gmail.com USD"/>
    <s v="20005 Accounts Payable"/>
    <x v="4"/>
    <x v="9"/>
    <n v="22.6"/>
    <m/>
    <n v="-22.6"/>
    <n v="431120.5099999996"/>
  </r>
  <r>
    <s v="08/11/2025"/>
    <x v="1"/>
    <x v="8"/>
    <s v="M&amp;T Operating"/>
    <s v="35295965_35166453"/>
    <s v="Bill Payment"/>
    <s v="Duane Nelson duanen@gmail.com USD"/>
    <s v="20005 Accounts Payable"/>
    <x v="4"/>
    <x v="9"/>
    <n v="22.6"/>
    <m/>
    <n v="-22.6"/>
    <n v="431097.90999999963"/>
  </r>
  <r>
    <s v="08/11/2025"/>
    <x v="1"/>
    <x v="8"/>
    <s v="M&amp;T Operating"/>
    <s v="35295965_33902839"/>
    <s v="Bill Payment"/>
    <s v="Duane Nelson duanen@gmail.com USD"/>
    <s v="20005 Accounts Payable"/>
    <x v="4"/>
    <x v="9"/>
    <n v="9322.6"/>
    <m/>
    <n v="-9322.6"/>
    <n v="421775.30999999965"/>
  </r>
  <r>
    <s v="08/11/2025"/>
    <x v="1"/>
    <x v="8"/>
    <s v="M&amp;T Operating"/>
    <s v="35295965_35166599"/>
    <s v="Bill Payment"/>
    <s v="Focus Fractional LLC"/>
    <s v="20005 Accounts Payable"/>
    <x v="3"/>
    <x v="8"/>
    <n v="20583.330000000002"/>
    <m/>
    <n v="-20583.330000000002"/>
    <n v="401191.97999999963"/>
  </r>
  <r>
    <s v="08/11/2025"/>
    <x v="1"/>
    <x v="8"/>
    <s v="M&amp;T Operating"/>
    <s v="35295965_33851486"/>
    <s v="Bill Payment"/>
    <s v="Focus Fractional LLC"/>
    <s v="20005 Accounts Payable"/>
    <x v="3"/>
    <x v="8"/>
    <n v="1700"/>
    <m/>
    <n v="-1700"/>
    <n v="399491.97999999963"/>
  </r>
  <r>
    <s v="08/11/2025"/>
    <x v="1"/>
    <x v="8"/>
    <s v="Ramp Card"/>
    <m/>
    <s v="Expense"/>
    <s v="GoDaddy"/>
    <s v="69400 General &amp; Administrative:G&amp;A - Software Applications &amp; Licenses"/>
    <x v="3"/>
    <x v="10"/>
    <n v="463.43"/>
    <m/>
    <n v="-463.43"/>
    <n v="399028.54999999964"/>
  </r>
  <r>
    <s v="08/11/2025"/>
    <x v="1"/>
    <x v="8"/>
    <s v="M&amp;T Operating"/>
    <s v="35295965_35196563"/>
    <s v="Bill Payment"/>
    <s v="Herbert Donald Edwards don.edwards01@gmail.com USD"/>
    <s v="20005 Accounts Payable"/>
    <x v="4"/>
    <x v="7"/>
    <n v="8362.5"/>
    <m/>
    <n v="-8362.5"/>
    <n v="390666.04999999964"/>
  </r>
  <r>
    <s v="08/11/2025"/>
    <x v="1"/>
    <x v="8"/>
    <s v="M&amp;T Operating"/>
    <s v="35295965_35295789"/>
    <s v="Bill Payment"/>
    <s v="Joseph Mallek joe@nimblefire.com USD"/>
    <s v="20005 Accounts Payable"/>
    <x v="4"/>
    <x v="9"/>
    <n v="15000"/>
    <m/>
    <n v="-15000"/>
    <n v="375666.04999999964"/>
  </r>
  <r>
    <s v="08/11/2025"/>
    <x v="1"/>
    <x v="8"/>
    <s v="M&amp;T Operating"/>
    <s v="35295965_35196461"/>
    <s v="Bill Payment"/>
    <s v="McMax LLC"/>
    <s v="20005 Accounts Payable"/>
    <x v="4"/>
    <x v="7"/>
    <n v="3822.5"/>
    <m/>
    <n v="-3822.5"/>
    <n v="371843.54999999964"/>
  </r>
  <r>
    <s v="08/11/2025"/>
    <x v="1"/>
    <x v="8"/>
    <s v="Ramp Card"/>
    <m/>
    <s v="Expense"/>
    <s v="OpenAI"/>
    <s v="51400 Classic COGS - Delivery:Classic COGS - Delivery - Software Applications &amp; Licenses"/>
    <x v="3"/>
    <x v="10"/>
    <n v="20.6"/>
    <m/>
    <n v="-20.6"/>
    <n v="371822.94999999966"/>
  </r>
  <r>
    <s v="08/11/2025"/>
    <x v="1"/>
    <x v="8"/>
    <s v="M&amp;T Operating"/>
    <s v="35295965_33707091"/>
    <s v="Bill Payment"/>
    <s v="Pedro Rubio pedro@blackfyre.app USD"/>
    <s v="20005 Accounts Payable"/>
    <x v="4"/>
    <x v="9"/>
    <n v="199"/>
    <m/>
    <n v="-199"/>
    <n v="371623.94999999966"/>
  </r>
  <r>
    <s v="08/11/2025"/>
    <x v="1"/>
    <x v="8"/>
    <s v="M&amp;T Operating"/>
    <s v="35295965_33851769"/>
    <s v="Bill Payment"/>
    <s v="Phoenix Perkins phoenixperkins0@gmail.com USD"/>
    <s v="20005 Accounts Payable"/>
    <x v="4"/>
    <x v="9"/>
    <n v="2470"/>
    <m/>
    <n v="-2470"/>
    <n v="369153.94999999966"/>
  </r>
  <r>
    <s v="08/11/2025"/>
    <x v="1"/>
    <x v="8"/>
    <s v="M&amp;T Operating"/>
    <s v="35295965_35244358"/>
    <s v="Bill Payment"/>
    <s v="Prasanna Patel prasanna.patel@xtransmatrix.com USD"/>
    <s v="20005 Accounts Payable"/>
    <x v="4"/>
    <x v="9"/>
    <n v="3680"/>
    <m/>
    <n v="-3680"/>
    <n v="365473.94999999966"/>
  </r>
  <r>
    <s v="08/11/2025"/>
    <x v="1"/>
    <x v="8"/>
    <s v="M&amp;T Operating"/>
    <s v="35295965_35244357"/>
    <s v="Bill Payment"/>
    <s v="Prasanna Patel prasanna.patel@xtransmatrix.com USD"/>
    <s v="20005 Accounts Payable"/>
    <x v="4"/>
    <x v="9"/>
    <n v="6440"/>
    <m/>
    <n v="-6440"/>
    <n v="359033.94999999966"/>
  </r>
  <r>
    <s v="08/11/2025"/>
    <x v="1"/>
    <x v="8"/>
    <s v="M&amp;T Operating"/>
    <s v="35295965_35245078"/>
    <s v="Bill Payment"/>
    <s v="SALESFORCE CRM CONSULTING PTY LTD"/>
    <s v="20005 Accounts Payable"/>
    <x v="4"/>
    <x v="7"/>
    <n v="3267"/>
    <m/>
    <n v="-3267"/>
    <n v="355766.94999999966"/>
  </r>
  <r>
    <s v="08/11/2025"/>
    <x v="1"/>
    <x v="8"/>
    <s v="M&amp;T Operating"/>
    <s v="35295965_35241969"/>
    <s v="Bill Payment"/>
    <s v="SALESFORCE CRM CONSULTING PTY LTD"/>
    <s v="20005 Accounts Payable"/>
    <x v="4"/>
    <x v="7"/>
    <n v="77"/>
    <m/>
    <n v="-77"/>
    <n v="355689.94999999966"/>
  </r>
  <r>
    <s v="08/11/2025"/>
    <x v="1"/>
    <x v="8"/>
    <s v="M&amp;T Operating"/>
    <s v="35295965_35199395"/>
    <s v="Bill Payment"/>
    <s v="SALESFORCE CRM CONSULTING PTY LTD"/>
    <s v="20005 Accounts Payable"/>
    <x v="4"/>
    <x v="7"/>
    <n v="3582"/>
    <m/>
    <n v="-3582"/>
    <n v="352107.94999999966"/>
  </r>
  <r>
    <s v="08/11/2025"/>
    <x v="1"/>
    <x v="8"/>
    <s v="M&amp;T Operating"/>
    <s v="35295965_35199394"/>
    <s v="Bill Payment"/>
    <s v="SALESFORCE CRM CONSULTING PTY LTD"/>
    <s v="20005 Accounts Payable"/>
    <x v="4"/>
    <x v="7"/>
    <n v="447.5"/>
    <m/>
    <n v="-447.5"/>
    <n v="351660.44999999966"/>
  </r>
  <r>
    <s v="08/11/2025"/>
    <x v="1"/>
    <x v="8"/>
    <s v="M&amp;T Operating"/>
    <s v="35295965_35199393"/>
    <s v="Bill Payment"/>
    <s v="SALESFORCE CRM CONSULTING PTY LTD"/>
    <s v="20005 Accounts Payable"/>
    <x v="4"/>
    <x v="7"/>
    <n v="1496.25"/>
    <m/>
    <n v="-1496.25"/>
    <n v="350164.19999999966"/>
  </r>
  <r>
    <s v="08/11/2025"/>
    <x v="1"/>
    <x v="8"/>
    <s v="M&amp;T Operating"/>
    <s v="35295965_35199392"/>
    <s v="Bill Payment"/>
    <s v="SALESFORCE CRM CONSULTING PTY LTD"/>
    <s v="20005 Accounts Payable"/>
    <x v="4"/>
    <x v="7"/>
    <n v="1190"/>
    <m/>
    <n v="-1190"/>
    <n v="348974.19999999966"/>
  </r>
  <r>
    <s v="08/11/2025"/>
    <x v="1"/>
    <x v="8"/>
    <s v="M&amp;T Operating"/>
    <s v="35295965_35199391"/>
    <s v="Bill Payment"/>
    <s v="SALESFORCE CRM CONSULTING PTY LTD"/>
    <s v="20005 Accounts Payable"/>
    <x v="4"/>
    <x v="7"/>
    <n v="5236"/>
    <m/>
    <n v="-5236"/>
    <n v="343738.19999999966"/>
  </r>
  <r>
    <s v="08/11/2025"/>
    <x v="1"/>
    <x v="8"/>
    <s v="M&amp;T Operating"/>
    <s v="35295965_35199390"/>
    <s v="Bill Payment"/>
    <s v="SALESFORCE CRM CONSULTING PTY LTD"/>
    <s v="20005 Accounts Payable"/>
    <x v="4"/>
    <x v="7"/>
    <n v="2730"/>
    <m/>
    <n v="-2730"/>
    <n v="341008.19999999966"/>
  </r>
  <r>
    <s v="08/11/2025"/>
    <x v="1"/>
    <x v="8"/>
    <s v="M&amp;T Operating"/>
    <s v="35295965_35199389"/>
    <s v="Bill Payment"/>
    <s v="SALESFORCE CRM CONSULTING PTY LTD"/>
    <s v="20005 Accounts Payable"/>
    <x v="4"/>
    <x v="7"/>
    <n v="5005"/>
    <m/>
    <n v="-5005"/>
    <n v="336003.19999999966"/>
  </r>
  <r>
    <s v="08/11/2025"/>
    <x v="1"/>
    <x v="8"/>
    <s v="M&amp;T Operating"/>
    <s v="35295965_35199388"/>
    <s v="Bill Payment"/>
    <s v="SALESFORCE CRM CONSULTING PTY LTD"/>
    <s v="20005 Accounts Payable"/>
    <x v="4"/>
    <x v="7"/>
    <n v="87.5"/>
    <m/>
    <n v="-87.5"/>
    <n v="335915.69999999966"/>
  </r>
  <r>
    <s v="08/11/2025"/>
    <x v="1"/>
    <x v="8"/>
    <s v="M&amp;T Operating"/>
    <s v="35295965_34290900"/>
    <s v="Bill Payment"/>
    <s v="Shazib Mahmood shazibm91@gmail.com USD"/>
    <s v="20005 Accounts Payable"/>
    <x v="4"/>
    <x v="7"/>
    <n v="18641.580000000002"/>
    <m/>
    <n v="-18641.580000000002"/>
    <n v="317274.11999999965"/>
  </r>
  <r>
    <s v="08/11/2025"/>
    <x v="1"/>
    <x v="8"/>
    <s v="Ramp Card"/>
    <m/>
    <s v="Expense"/>
    <s v="Uber"/>
    <s v="64500 AppIQ - Sales:AppIQ - Sales - Travel"/>
    <x v="3"/>
    <x v="4"/>
    <n v="43.94"/>
    <m/>
    <n v="-43.94"/>
    <n v="317230.17999999964"/>
  </r>
  <r>
    <s v="08/11/2025"/>
    <x v="1"/>
    <x v="8"/>
    <s v="M&amp;T Operating"/>
    <m/>
    <s v="Transfer"/>
    <m/>
    <s v="10010 M&amp;T Bank - IntraFi Network Sweep"/>
    <x v="0"/>
    <x v="0"/>
    <m/>
    <n v="155796.41"/>
    <n v="155796.41"/>
    <n v="473026.58999999962"/>
  </r>
  <r>
    <s v="08/12/2025"/>
    <x v="1"/>
    <x v="8"/>
    <s v="M&amp;T Operating"/>
    <m/>
    <s v="Deposit"/>
    <s v="American Benefit Cobra"/>
    <s v="22325 Accrued Expenses:Accrued Expenses - COBRA Clearing"/>
    <x v="1"/>
    <x v="1"/>
    <m/>
    <n v="476.36"/>
    <n v="476.36"/>
    <n v="473502.9499999996"/>
  </r>
  <r>
    <s v="08/12/2025"/>
    <x v="1"/>
    <x v="8"/>
    <s v="Ramp Card"/>
    <m/>
    <s v="Expense"/>
    <s v="Atlassian"/>
    <s v="69400 General &amp; Administrative:G&amp;A - Software Applications &amp; Licenses"/>
    <x v="3"/>
    <x v="10"/>
    <n v="1011.62"/>
    <m/>
    <n v="-1011.62"/>
    <n v="472491.32999999961"/>
  </r>
  <r>
    <s v="08/12/2025"/>
    <x v="1"/>
    <x v="8"/>
    <s v="Ramp Card"/>
    <m/>
    <s v="Expense"/>
    <s v="CAVA"/>
    <s v="64505 AppIQ - Sales:AppIQ - Sales - Meals &amp; Entertainment"/>
    <x v="3"/>
    <x v="4"/>
    <n v="19.98"/>
    <m/>
    <n v="-19.98"/>
    <n v="472471.34999999963"/>
  </r>
  <r>
    <s v="08/12/2025"/>
    <x v="1"/>
    <x v="8"/>
    <s v="M&amp;T Operating"/>
    <m/>
    <s v="Payment"/>
    <s v="Currencies Direct Limited"/>
    <s v="11005 Accounts Receivable"/>
    <x v="2"/>
    <x v="2"/>
    <m/>
    <n v="37000"/>
    <n v="37000"/>
    <n v="509471.34999999963"/>
  </r>
  <r>
    <s v="08/12/2025"/>
    <x v="1"/>
    <x v="8"/>
    <s v="Ramp Card"/>
    <m/>
    <s v="Expense"/>
    <s v="Hawkers Asian Street Food"/>
    <s v="64505 AppIQ - Sales:AppIQ - Sales - Meals &amp; Entertainment"/>
    <x v="3"/>
    <x v="4"/>
    <n v="39.340000000000003"/>
    <m/>
    <n v="-39.340000000000003"/>
    <n v="509432.0099999996"/>
  </r>
  <r>
    <s v="08/12/2025"/>
    <x v="1"/>
    <x v="8"/>
    <s v="Ramp Card"/>
    <m/>
    <s v="Expense"/>
    <s v="Marriott Singapore"/>
    <s v="64500 AppIQ - Sales:AppIQ - Sales - Travel"/>
    <x v="3"/>
    <x v="4"/>
    <n v="208"/>
    <m/>
    <n v="-208"/>
    <n v="509224.0099999996"/>
  </r>
  <r>
    <s v="08/12/2025"/>
    <x v="1"/>
    <x v="8"/>
    <s v="Ramp Card"/>
    <m/>
    <s v="Expense"/>
    <s v="Mellow Mushroom"/>
    <s v="64505 AppIQ - Sales:AppIQ - Sales - Meals &amp; Entertainment"/>
    <x v="3"/>
    <x v="4"/>
    <n v="352.41"/>
    <m/>
    <n v="-352.41"/>
    <n v="508871.59999999963"/>
  </r>
  <r>
    <s v="08/12/2025"/>
    <x v="1"/>
    <x v="8"/>
    <s v="Ramp Card"/>
    <m/>
    <s v="Expense"/>
    <s v="OpenAI"/>
    <s v="69400 General &amp; Administrative:G&amp;A - Software Applications &amp; Licenses"/>
    <x v="3"/>
    <x v="10"/>
    <n v="200"/>
    <m/>
    <n v="-200"/>
    <n v="508671.59999999963"/>
  </r>
  <r>
    <s v="08/12/2025"/>
    <x v="1"/>
    <x v="8"/>
    <s v="Ramp Card"/>
    <m/>
    <s v="Expense"/>
    <s v="QuikTrip"/>
    <s v="64505 AppIQ - Sales:AppIQ - Sales - Meals &amp; Entertainment"/>
    <x v="3"/>
    <x v="4"/>
    <n v="8.76"/>
    <m/>
    <n v="-8.76"/>
    <n v="508662.83999999962"/>
  </r>
  <r>
    <s v="08/12/2025"/>
    <x v="1"/>
    <x v="8"/>
    <s v="Ramp Card"/>
    <m/>
    <s v="Expense"/>
    <s v="Vidyard"/>
    <s v="65400 AppIQ - Marketing:AppIQ - Marketing - Software Applications &amp; Licenses"/>
    <x v="3"/>
    <x v="10"/>
    <n v="29"/>
    <m/>
    <n v="-29"/>
    <n v="508633.83999999962"/>
  </r>
  <r>
    <s v="08/12/2025"/>
    <x v="1"/>
    <x v="8"/>
    <s v="M&amp;T Operating"/>
    <m/>
    <s v="Payment"/>
    <s v="Youreka Labs, Inc"/>
    <s v="11005 Accounts Receivable"/>
    <x v="2"/>
    <x v="2"/>
    <m/>
    <n v="41456.5"/>
    <n v="41456.5"/>
    <n v="550090.33999999962"/>
  </r>
  <r>
    <s v="08/12/2025"/>
    <x v="1"/>
    <x v="8"/>
    <s v="M&amp;T Operating"/>
    <m/>
    <s v="Transfer"/>
    <m/>
    <s v="10010 M&amp;T Bank - IntraFi Network Sweep"/>
    <x v="0"/>
    <x v="0"/>
    <n v="78932.86"/>
    <m/>
    <n v="-78932.86"/>
    <n v="471157.47999999963"/>
  </r>
  <r>
    <s v="08/13/2025"/>
    <x v="1"/>
    <x v="8"/>
    <s v="Ramp Card"/>
    <m/>
    <s v="Expense"/>
    <s v="AIR HOST"/>
    <s v="64505 AppIQ - Sales:AppIQ - Sales - Meals &amp; Entertainment"/>
    <x v="3"/>
    <x v="4"/>
    <n v="20.66"/>
    <m/>
    <n v="-20.66"/>
    <n v="471136.81999999966"/>
  </r>
  <r>
    <s v="08/13/2025"/>
    <x v="1"/>
    <x v="8"/>
    <s v="Ramp Card"/>
    <m/>
    <s v="Expense"/>
    <s v="Atlanta Airport Restaurant"/>
    <s v="64505 AppIQ - Sales:AppIQ - Sales - Meals &amp; Entertainment"/>
    <x v="3"/>
    <x v="4"/>
    <n v="32.979999999999997"/>
    <m/>
    <n v="-32.979999999999997"/>
    <n v="471103.83999999968"/>
  </r>
  <r>
    <s v="08/13/2025"/>
    <x v="1"/>
    <x v="8"/>
    <s v="Ramp Card"/>
    <m/>
    <s v="Expense"/>
    <s v="Bellwood Coffee"/>
    <s v="64505 AppIQ - Sales:AppIQ - Sales - Meals &amp; Entertainment"/>
    <x v="3"/>
    <x v="4"/>
    <n v="10.28"/>
    <m/>
    <n v="-10.28"/>
    <n v="471093.55999999965"/>
  </r>
  <r>
    <s v="08/13/2025"/>
    <x v="1"/>
    <x v="8"/>
    <s v="Ramp Card"/>
    <m/>
    <s v="Expense"/>
    <s v="Cookiebot"/>
    <s v="69400 General &amp; Administrative:G&amp;A - Software Applications &amp; Licenses"/>
    <x v="3"/>
    <x v="10"/>
    <n v="16"/>
    <m/>
    <n v="-16"/>
    <n v="471077.55999999965"/>
  </r>
  <r>
    <s v="08/13/2025"/>
    <x v="1"/>
    <x v="8"/>
    <s v="Ramp Card"/>
    <m/>
    <s v="Expense"/>
    <s v="Hartsfield-Jackson Atlanta International Airport"/>
    <s v="64505 AppIQ - Sales:AppIQ - Sales - Meals &amp; Entertainment"/>
    <x v="3"/>
    <x v="4"/>
    <n v="13.06"/>
    <m/>
    <n v="-13.06"/>
    <n v="471064.49999999965"/>
  </r>
  <r>
    <s v="08/13/2025"/>
    <x v="1"/>
    <x v="8"/>
    <s v="M&amp;T Operating"/>
    <m/>
    <s v="Bill Payment"/>
    <s v="Joseph Kennedy (joey.kennedy@synaptic.build)"/>
    <s v="20005 Accounts Payable"/>
    <x v="3"/>
    <x v="4"/>
    <n v="15.14"/>
    <m/>
    <n v="-15.14"/>
    <n v="471049.35999999964"/>
  </r>
  <r>
    <s v="08/13/2025"/>
    <x v="1"/>
    <x v="8"/>
    <s v="Ramp Card"/>
    <m/>
    <s v="Expense"/>
    <s v="QuikTrip"/>
    <s v="64505 AppIQ - Sales:AppIQ - Sales - Meals &amp; Entertainment"/>
    <x v="3"/>
    <x v="4"/>
    <n v="10.8"/>
    <m/>
    <n v="-10.8"/>
    <n v="471038.55999999965"/>
  </r>
  <r>
    <s v="08/13/2025"/>
    <x v="1"/>
    <x v="8"/>
    <s v="Ramp Card"/>
    <m/>
    <s v="Expense"/>
    <s v="Restaurants"/>
    <s v="64500 AppIQ - Sales:AppIQ - Sales - Travel"/>
    <x v="3"/>
    <x v="4"/>
    <n v="12"/>
    <m/>
    <n v="-12"/>
    <n v="471026.55999999965"/>
  </r>
  <r>
    <s v="08/13/2025"/>
    <x v="1"/>
    <x v="8"/>
    <s v="Ramp Card"/>
    <m/>
    <s v="Expense"/>
    <s v="Resurgens Plaza"/>
    <s v="64500 AppIQ - Sales:AppIQ - Sales - Travel"/>
    <x v="3"/>
    <x v="4"/>
    <n v="4"/>
    <m/>
    <n v="-4"/>
    <n v="471022.55999999965"/>
  </r>
  <r>
    <s v="08/13/2025"/>
    <x v="1"/>
    <x v="8"/>
    <s v="Ramp Card"/>
    <m/>
    <s v="Expense"/>
    <s v="Uber"/>
    <s v="64500 AppIQ - Sales:AppIQ - Sales - Travel"/>
    <x v="3"/>
    <x v="4"/>
    <n v="45.58"/>
    <m/>
    <n v="-45.58"/>
    <n v="470976.97999999963"/>
  </r>
  <r>
    <s v="08/14/2025"/>
    <x v="1"/>
    <x v="8"/>
    <s v="Ramp Card"/>
    <m/>
    <s v="Expense"/>
    <s v="7-Eleven"/>
    <s v="64505 AppIQ - Sales:AppIQ - Sales - Meals &amp; Entertainment"/>
    <x v="3"/>
    <x v="4"/>
    <n v="2.29"/>
    <m/>
    <n v="-2.29"/>
    <n v="470974.68999999965"/>
  </r>
  <r>
    <s v="08/14/2025"/>
    <x v="1"/>
    <x v="8"/>
    <s v="Ramp Card"/>
    <m/>
    <s v="Expense"/>
    <s v="7-Eleven"/>
    <s v="64505 AppIQ - Sales:AppIQ - Sales - Meals &amp; Entertainment"/>
    <x v="3"/>
    <x v="4"/>
    <n v="10.61"/>
    <m/>
    <n v="-10.61"/>
    <n v="470964.07999999967"/>
  </r>
  <r>
    <s v="08/14/2025"/>
    <x v="1"/>
    <x v="8"/>
    <s v="Ramp Card"/>
    <m/>
    <s v="Expense"/>
    <s v="American Airlines"/>
    <s v="64505 AppIQ - Sales:AppIQ - Sales - Meals &amp; Entertainment"/>
    <x v="3"/>
    <x v="4"/>
    <n v="30.21"/>
    <m/>
    <n v="-30.21"/>
    <n v="470933.86999999965"/>
  </r>
  <r>
    <s v="08/14/2025"/>
    <x v="1"/>
    <x v="8"/>
    <s v="Ramp Card"/>
    <m/>
    <s v="Expense"/>
    <s v="Fairfield Inn &amp; Suites"/>
    <s v="64500 AppIQ - Sales:AppIQ - Sales - Travel"/>
    <x v="3"/>
    <x v="4"/>
    <n v="397.85"/>
    <m/>
    <n v="-397.85"/>
    <n v="470536.01999999967"/>
  </r>
  <r>
    <s v="08/14/2025"/>
    <x v="1"/>
    <x v="8"/>
    <s v="M&amp;T Operating"/>
    <m/>
    <s v="Bill Payment"/>
    <s v="Joseph Kennedy (joey.kennedy@synaptic.build)"/>
    <s v="20005 Accounts Payable"/>
    <x v="3"/>
    <x v="4"/>
    <n v="99.7"/>
    <m/>
    <n v="-99.7"/>
    <n v="470436.31999999966"/>
  </r>
  <r>
    <s v="08/14/2025"/>
    <x v="1"/>
    <x v="8"/>
    <s v="Ramp Card"/>
    <m/>
    <s v="Expense"/>
    <s v="LastPass"/>
    <s v="13005 Prepaid Expenses"/>
    <x v="3"/>
    <x v="10"/>
    <n v="2313.98"/>
    <m/>
    <n v="-2313.98"/>
    <n v="468122.33999999968"/>
  </r>
  <r>
    <s v="08/14/2025"/>
    <x v="1"/>
    <x v="8"/>
    <s v="M&amp;T Operating"/>
    <m/>
    <s v="Expense"/>
    <s v="Paylocity"/>
    <s v="22205 Accrued Expenses:Accrued Expenses - Payroll"/>
    <x v="1"/>
    <x v="12"/>
    <n v="92337.84"/>
    <m/>
    <n v="-92337.84"/>
    <n v="375784.49999999965"/>
  </r>
  <r>
    <s v="08/14/2025"/>
    <x v="1"/>
    <x v="8"/>
    <s v="M&amp;T Operating"/>
    <m/>
    <s v="Expense"/>
    <s v="Paylocity"/>
    <s v="22205 Accrued Expenses:Accrued Expenses - Payroll"/>
    <x v="1"/>
    <x v="1"/>
    <n v="1234.75"/>
    <m/>
    <n v="-1234.75"/>
    <n v="374549.74999999965"/>
  </r>
  <r>
    <s v="08/14/2025"/>
    <x v="1"/>
    <x v="8"/>
    <s v="M&amp;T Operating"/>
    <m/>
    <s v="Expense"/>
    <s v="Paylocity"/>
    <s v="22205 Accrued Expenses:Accrued Expenses - Payroll"/>
    <x v="1"/>
    <x v="11"/>
    <n v="46062.66"/>
    <m/>
    <n v="-46062.66"/>
    <n v="328487.08999999962"/>
  </r>
  <r>
    <s v="08/14/2025"/>
    <x v="1"/>
    <x v="8"/>
    <s v="Ramp Card"/>
    <m/>
    <s v="Expense"/>
    <s v="Perplexity AI"/>
    <s v="69400 General &amp; Administrative:G&amp;A - Software Applications &amp; Licenses"/>
    <x v="3"/>
    <x v="10"/>
    <n v="212"/>
    <m/>
    <n v="-212"/>
    <n v="328275.08999999962"/>
  </r>
  <r>
    <s v="08/14/2025"/>
    <x v="1"/>
    <x v="8"/>
    <s v="Ramp Card"/>
    <m/>
    <s v="Expense"/>
    <s v="Sugandh Indian Restaurant &amp; Bar"/>
    <s v="64505 AppIQ - Sales:AppIQ - Sales - Meals &amp; Entertainment"/>
    <x v="3"/>
    <x v="4"/>
    <n v="44.6"/>
    <m/>
    <n v="-44.6"/>
    <n v="328230.48999999964"/>
  </r>
  <r>
    <s v="08/14/2025"/>
    <x v="1"/>
    <x v="8"/>
    <s v="Ramp Card"/>
    <m/>
    <s v="Expense"/>
    <s v="Uber"/>
    <s v="64500 AppIQ - Sales:AppIQ - Sales - Travel"/>
    <x v="3"/>
    <x v="4"/>
    <n v="19.95"/>
    <m/>
    <n v="-19.95"/>
    <n v="328210.53999999963"/>
  </r>
  <r>
    <s v="08/14/2025"/>
    <x v="1"/>
    <x v="8"/>
    <s v="Ramp Card"/>
    <m/>
    <s v="Expense"/>
    <s v="Uber"/>
    <s v="64500 AppIQ - Sales:AppIQ - Sales - Travel"/>
    <x v="3"/>
    <x v="4"/>
    <n v="38.92"/>
    <m/>
    <n v="-38.92"/>
    <n v="328171.61999999965"/>
  </r>
  <r>
    <s v="08/14/2025"/>
    <x v="1"/>
    <x v="8"/>
    <s v="Ramp Card"/>
    <m/>
    <s v="Expense"/>
    <s v="Uber"/>
    <s v="64500 AppIQ - Sales:AppIQ - Sales - Travel"/>
    <x v="3"/>
    <x v="4"/>
    <n v="33.799999999999997"/>
    <m/>
    <n v="-33.799999999999997"/>
    <n v="328137.81999999966"/>
  </r>
  <r>
    <s v="08/14/2025"/>
    <x v="1"/>
    <x v="8"/>
    <s v="Ramp Card"/>
    <m/>
    <s v="Expense"/>
    <s v="Uber"/>
    <s v="64500 AppIQ - Sales:AppIQ - Sales - Travel"/>
    <x v="3"/>
    <x v="4"/>
    <n v="14.98"/>
    <m/>
    <n v="-14.98"/>
    <n v="328122.83999999968"/>
  </r>
  <r>
    <s v="08/14/2025"/>
    <x v="1"/>
    <x v="8"/>
    <s v="Ramp Card"/>
    <m/>
    <s v="Expense"/>
    <s v="Uber"/>
    <s v="64500 AppIQ - Sales:AppIQ - Sales - Travel"/>
    <x v="3"/>
    <x v="4"/>
    <n v="39.94"/>
    <m/>
    <n v="-39.94"/>
    <n v="328082.89999999967"/>
  </r>
  <r>
    <s v="08/14/2025"/>
    <x v="1"/>
    <x v="8"/>
    <s v="Ramp Card"/>
    <m/>
    <s v="Expense"/>
    <s v="Uber"/>
    <s v="64500 AppIQ - Sales:AppIQ - Sales - Travel"/>
    <x v="3"/>
    <x v="4"/>
    <n v="13.99"/>
    <m/>
    <n v="-13.99"/>
    <n v="328068.90999999968"/>
  </r>
  <r>
    <s v="08/14/2025"/>
    <x v="1"/>
    <x v="8"/>
    <s v="Ramp Card"/>
    <m/>
    <s v="Expense"/>
    <s v="USPS"/>
    <s v="69410 General &amp; Administrative:G&amp;A - Office &amp; Supplies"/>
    <x v="3"/>
    <x v="15"/>
    <n v="1.25"/>
    <m/>
    <n v="-1.25"/>
    <n v="328067.65999999968"/>
  </r>
  <r>
    <s v="08/14/2025"/>
    <x v="1"/>
    <x v="8"/>
    <s v="M&amp;T Operating"/>
    <m/>
    <s v="Credit Card Pmt"/>
    <m/>
    <s v="21020 Ramp Card"/>
    <x v="5"/>
    <x v="24"/>
    <n v="27365.040000000001"/>
    <m/>
    <n v="-27365.040000000001"/>
    <n v="300702.6199999997"/>
  </r>
  <r>
    <s v="08/14/2025"/>
    <x v="1"/>
    <x v="8"/>
    <s v="M&amp;T Operating"/>
    <m/>
    <s v="Transfer"/>
    <m/>
    <s v="10010 M&amp;T Bank - IntraFi Network Sweep"/>
    <x v="0"/>
    <x v="0"/>
    <m/>
    <n v="139650.39000000001"/>
    <n v="139650.39000000001"/>
    <n v="440353.00999999972"/>
  </r>
  <r>
    <s v="08/14/2025"/>
    <x v="1"/>
    <x v="8"/>
    <s v="Ramp Card"/>
    <m/>
    <s v="Credit Card Pmt"/>
    <m/>
    <s v="10005 M&amp;T Bank - Operating"/>
    <x v="5"/>
    <x v="24"/>
    <m/>
    <n v="27365.040000000001"/>
    <n v="27365.040000000001"/>
    <n v="467718.0499999997"/>
  </r>
  <r>
    <s v="08/15/2025"/>
    <x v="1"/>
    <x v="8"/>
    <s v="Ramp Card"/>
    <m/>
    <s v="Expense"/>
    <s v="Atlassian"/>
    <s v="69400 General &amp; Administrative:G&amp;A - Software Applications &amp; Licenses"/>
    <x v="3"/>
    <x v="10"/>
    <n v="71.38"/>
    <m/>
    <n v="-71.38"/>
    <n v="467646.66999999969"/>
  </r>
  <r>
    <s v="08/15/2025"/>
    <x v="1"/>
    <x v="8"/>
    <s v="Ramp Card"/>
    <m/>
    <s v="Expense"/>
    <s v="Blue Iguana"/>
    <s v="64505 AppIQ - Sales:AppIQ - Sales - Meals &amp; Entertainment"/>
    <x v="3"/>
    <x v="4"/>
    <n v="24.22"/>
    <m/>
    <n v="-24.22"/>
    <n v="467622.44999999972"/>
  </r>
  <r>
    <s v="08/15/2025"/>
    <x v="1"/>
    <x v="8"/>
    <s v="Ramp Card"/>
    <m/>
    <s v="Expense"/>
    <s v="Lyft"/>
    <s v="64500 AppIQ - Sales:AppIQ - Sales - Travel"/>
    <x v="3"/>
    <x v="4"/>
    <n v="38.99"/>
    <m/>
    <n v="-38.99"/>
    <n v="467583.45999999973"/>
  </r>
  <r>
    <s v="08/15/2025"/>
    <x v="1"/>
    <x v="8"/>
    <s v="M&amp;T Operating"/>
    <m/>
    <s v="Expense"/>
    <s v="Paylocity"/>
    <s v="69215 General &amp; Administrative:G&amp;A - Payroll Fees"/>
    <x v="1"/>
    <x v="3"/>
    <n v="161.09"/>
    <m/>
    <n v="-161.09"/>
    <n v="467422.3699999997"/>
  </r>
  <r>
    <s v="08/15/2025"/>
    <x v="1"/>
    <x v="8"/>
    <s v="Ramp Card"/>
    <m/>
    <s v="Expense"/>
    <s v="Repl.it"/>
    <s v="69400 General &amp; Administrative:G&amp;A - Software Applications &amp; Licenses"/>
    <x v="3"/>
    <x v="10"/>
    <n v="4"/>
    <m/>
    <n v="-4"/>
    <n v="467418.3699999997"/>
  </r>
  <r>
    <s v="08/15/2025"/>
    <x v="1"/>
    <x v="8"/>
    <s v="Ramp Card"/>
    <m/>
    <s v="Expense"/>
    <s v="Repl.it"/>
    <s v="69400 General &amp; Administrative:G&amp;A - Software Applications &amp; Licenses"/>
    <x v="3"/>
    <x v="10"/>
    <n v="25.75"/>
    <m/>
    <n v="-25.75"/>
    <n v="467392.6199999997"/>
  </r>
  <r>
    <s v="08/15/2025"/>
    <x v="1"/>
    <x v="8"/>
    <s v="Ramp Card"/>
    <m/>
    <s v="Expense"/>
    <s v="Rocky Mountain Chocolate Factory (Ramp Vendor)"/>
    <s v="64505 AppIQ - Sales:AppIQ - Sales - Meals &amp; Entertainment"/>
    <x v="3"/>
    <x v="4"/>
    <n v="20.46"/>
    <m/>
    <n v="-20.46"/>
    <n v="467372.15999999968"/>
  </r>
  <r>
    <s v="08/15/2025"/>
    <x v="1"/>
    <x v="8"/>
    <s v="M&amp;T Operating"/>
    <m/>
    <s v="Transfer"/>
    <m/>
    <s v="10010 M&amp;T Bank - IntraFi Network Sweep"/>
    <x v="0"/>
    <x v="0"/>
    <m/>
    <n v="27625.83"/>
    <n v="27625.83"/>
    <n v="494997.9899999997"/>
  </r>
  <r>
    <s v="08/16/2025"/>
    <x v="1"/>
    <x v="8"/>
    <s v="Ramp Card"/>
    <m/>
    <s v="Expense"/>
    <s v="Doordash"/>
    <s v="69505 General &amp; Administrative:G&amp;A - Meals &amp; Entertainment"/>
    <x v="3"/>
    <x v="4"/>
    <n v="22.03"/>
    <m/>
    <n v="-22.03"/>
    <n v="494975.95999999967"/>
  </r>
  <r>
    <s v="08/17/2025"/>
    <x v="1"/>
    <x v="8"/>
    <s v="Ramp Card"/>
    <m/>
    <s v="Expense"/>
    <s v="Doordash"/>
    <s v="69505 General &amp; Administrative:G&amp;A - Meals &amp; Entertainment"/>
    <x v="3"/>
    <x v="4"/>
    <n v="29.51"/>
    <m/>
    <n v="-29.51"/>
    <n v="494946.44999999966"/>
  </r>
  <r>
    <s v="08/17/2025"/>
    <x v="1"/>
    <x v="8"/>
    <s v="Ramp Card"/>
    <m/>
    <s v="Expense"/>
    <s v="Uber"/>
    <s v="69500 General &amp; Administrative:G&amp;A - Travel"/>
    <x v="3"/>
    <x v="4"/>
    <n v="45.98"/>
    <m/>
    <n v="-45.98"/>
    <n v="494900.46999999968"/>
  </r>
  <r>
    <s v="08/18/2025"/>
    <x v="1"/>
    <x v="8"/>
    <s v="Ramp Card"/>
    <m/>
    <s v="Expense"/>
    <s v="Docusign"/>
    <s v="69400 General &amp; Administrative:G&amp;A - Software Applications &amp; Licenses"/>
    <x v="3"/>
    <x v="10"/>
    <n v="618"/>
    <m/>
    <n v="-618"/>
    <n v="494282.46999999968"/>
  </r>
  <r>
    <s v="08/18/2025"/>
    <x v="1"/>
    <x v="8"/>
    <s v="Ramp Card"/>
    <m/>
    <s v="Expense"/>
    <s v="LinkedIn"/>
    <s v="69400 General &amp; Administrative:G&amp;A - Software Applications &amp; Licenses"/>
    <x v="3"/>
    <x v="10"/>
    <n v="32.86"/>
    <m/>
    <n v="-32.86"/>
    <n v="494249.60999999969"/>
  </r>
  <r>
    <s v="08/18/2025"/>
    <x v="1"/>
    <x v="8"/>
    <s v="Ramp Card"/>
    <m/>
    <s v="Expense"/>
    <s v="The Economist"/>
    <s v="69820 General &amp; Administrative:G&amp;A - Dues &amp; Subscriptions"/>
    <x v="3"/>
    <x v="15"/>
    <n v="184.98"/>
    <m/>
    <n v="-184.98"/>
    <n v="494064.62999999971"/>
  </r>
  <r>
    <s v="08/18/2025"/>
    <x v="1"/>
    <x v="8"/>
    <s v="M&amp;T Operating"/>
    <m/>
    <s v="Expense"/>
    <s v="The Principal"/>
    <s v="22310 Accrued Expenses:Accrued Expenses - Principal Clearing"/>
    <x v="1"/>
    <x v="1"/>
    <n v="15788.64"/>
    <m/>
    <n v="-15788.64"/>
    <n v="478275.9899999997"/>
  </r>
  <r>
    <s v="08/18/2025"/>
    <x v="1"/>
    <x v="8"/>
    <s v="M&amp;T Operating"/>
    <m/>
    <s v="Expense"/>
    <s v="Wex Health, Inc."/>
    <s v="22320 Accrued Expenses:Accrued Expenses - WEX Clearing"/>
    <x v="1"/>
    <x v="1"/>
    <n v="208.34"/>
    <m/>
    <n v="-208.34"/>
    <n v="478067.64999999967"/>
  </r>
  <r>
    <s v="08/18/2025"/>
    <x v="1"/>
    <x v="8"/>
    <s v="M&amp;T Operating"/>
    <m/>
    <s v="Transfer"/>
    <m/>
    <s v="10010 M&amp;T Bank - IntraFi Network Sweep"/>
    <x v="0"/>
    <x v="0"/>
    <m/>
    <n v="15996.98"/>
    <n v="15996.98"/>
    <n v="494064.62999999966"/>
  </r>
  <r>
    <s v="08/19/2025"/>
    <x v="1"/>
    <x v="8"/>
    <s v="Ramp Card"/>
    <m/>
    <s v="Expense"/>
    <s v="ElevenLabs"/>
    <s v="69400 General &amp; Administrative:G&amp;A - Software Applications &amp; Licenses"/>
    <x v="3"/>
    <x v="10"/>
    <n v="5.3"/>
    <m/>
    <n v="-5.3"/>
    <n v="494059.32999999967"/>
  </r>
  <r>
    <s v="08/19/2025"/>
    <x v="1"/>
    <x v="8"/>
    <s v="M&amp;T Operating"/>
    <m/>
    <s v="Expense"/>
    <s v="The Hartford"/>
    <s v="69800 General &amp; Administrative:G&amp;A - Insurance"/>
    <x v="3"/>
    <x v="14"/>
    <n v="1332.89"/>
    <m/>
    <n v="-1332.89"/>
    <n v="492726.43999999965"/>
  </r>
  <r>
    <s v="08/19/2025"/>
    <x v="1"/>
    <x v="8"/>
    <s v="Ramp Card"/>
    <m/>
    <s v="Expense"/>
    <s v="Waldorf Astoria"/>
    <s v="69505 General &amp; Administrative:G&amp;A - Meals &amp; Entertainment"/>
    <x v="3"/>
    <x v="4"/>
    <n v="68.099999999999994"/>
    <m/>
    <n v="-68.099999999999994"/>
    <n v="492658.33999999968"/>
  </r>
  <r>
    <s v="08/19/2025"/>
    <x v="1"/>
    <x v="8"/>
    <s v="M&amp;T Operating"/>
    <m/>
    <s v="Transfer"/>
    <m/>
    <s v="10010 M&amp;T Bank - IntraFi Network Sweep"/>
    <x v="0"/>
    <x v="0"/>
    <m/>
    <n v="1332.89"/>
    <n v="1332.89"/>
    <n v="493991.22999999969"/>
  </r>
  <r>
    <s v="08/20/2025"/>
    <x v="1"/>
    <x v="8"/>
    <s v="M&amp;T Operating"/>
    <m/>
    <s v="Expense"/>
    <s v="Cigna Healthcare"/>
    <s v="22305 Accrued Expenses:Accrued Expenses - Cigna Clearing"/>
    <x v="1"/>
    <x v="1"/>
    <n v="1463.18"/>
    <m/>
    <n v="-1463.18"/>
    <n v="492528.0499999997"/>
  </r>
  <r>
    <s v="08/20/2025"/>
    <x v="1"/>
    <x v="8"/>
    <s v="Ramp Card"/>
    <m/>
    <s v="Expense"/>
    <s v="McDonald's"/>
    <s v="69505 General &amp; Administrative:G&amp;A - Meals &amp; Entertainment"/>
    <x v="3"/>
    <x v="4"/>
    <n v="9.1199999999999992"/>
    <m/>
    <n v="-9.1199999999999992"/>
    <n v="492518.9299999997"/>
  </r>
  <r>
    <s v="08/20/2025"/>
    <x v="1"/>
    <x v="8"/>
    <s v="Ramp Card"/>
    <m/>
    <s v="Expense"/>
    <s v="Movio"/>
    <s v="69400 General &amp; Administrative:G&amp;A - Software Applications &amp; Licenses"/>
    <x v="3"/>
    <x v="10"/>
    <n v="93"/>
    <m/>
    <n v="-93"/>
    <n v="492425.9299999997"/>
  </r>
  <r>
    <s v="08/20/2025"/>
    <x v="1"/>
    <x v="8"/>
    <s v="Ramp Card"/>
    <m/>
    <s v="Expense"/>
    <s v="Uvc"/>
    <s v="69500 General &amp; Administrative:G&amp;A - Travel"/>
    <x v="3"/>
    <x v="4"/>
    <n v="62.6"/>
    <m/>
    <n v="-62.6"/>
    <n v="492363.32999999973"/>
  </r>
  <r>
    <s v="08/20/2025"/>
    <x v="1"/>
    <x v="8"/>
    <s v="M&amp;T Operating"/>
    <m/>
    <s v="Transfer"/>
    <m/>
    <s v="10010 M&amp;T Bank - IntraFi Network Sweep"/>
    <x v="0"/>
    <x v="0"/>
    <m/>
    <n v="1463.18"/>
    <n v="1463.18"/>
    <n v="493826.50999999972"/>
  </r>
  <r>
    <s v="08/21/2025"/>
    <x v="1"/>
    <x v="8"/>
    <s v="Ramp Card"/>
    <m/>
    <s v="Expense"/>
    <s v="Lucid Chart"/>
    <s v="69400 General &amp; Administrative:G&amp;A - Software Applications &amp; Licenses"/>
    <x v="3"/>
    <x v="10"/>
    <n v="361.74"/>
    <m/>
    <n v="-361.74"/>
    <n v="493464.76999999973"/>
  </r>
  <r>
    <s v="08/21/2025"/>
    <x v="1"/>
    <x v="8"/>
    <s v="M&amp;T Operating"/>
    <m/>
    <s v="Expense"/>
    <s v="The Hartford"/>
    <s v="69800 General &amp; Administrative:G&amp;A - Insurance"/>
    <x v="3"/>
    <x v="14"/>
    <n v="450.35"/>
    <m/>
    <n v="-450.35"/>
    <n v="493014.41999999975"/>
  </r>
  <r>
    <s v="08/21/2025"/>
    <x v="1"/>
    <x v="8"/>
    <s v="Ramp Card"/>
    <m/>
    <s v="Expense"/>
    <s v="Zoom"/>
    <s v="69400 General &amp; Administrative:G&amp;A - Software Applications &amp; Licenses"/>
    <x v="3"/>
    <x v="10"/>
    <n v="17.5"/>
    <m/>
    <n v="-17.5"/>
    <n v="492996.91999999975"/>
  </r>
  <r>
    <s v="08/21/2025"/>
    <x v="1"/>
    <x v="8"/>
    <s v="M&amp;T Operating"/>
    <m/>
    <s v="Transfer"/>
    <m/>
    <s v="10010 M&amp;T Bank - IntraFi Network Sweep"/>
    <x v="0"/>
    <x v="0"/>
    <m/>
    <n v="450.35"/>
    <n v="450.35"/>
    <n v="493447.26999999973"/>
  </r>
  <r>
    <s v="08/22/2025"/>
    <x v="1"/>
    <x v="8"/>
    <s v="Ramp Card"/>
    <m/>
    <s v="Expense"/>
    <s v="OpenAI"/>
    <s v="51400 Classic COGS - Delivery:Classic COGS - Delivery - Software Applications &amp; Licenses"/>
    <x v="3"/>
    <x v="10"/>
    <n v="20"/>
    <m/>
    <n v="-20"/>
    <n v="493427.26999999973"/>
  </r>
  <r>
    <s v="08/22/2025"/>
    <x v="1"/>
    <x v="8"/>
    <s v="M&amp;T Operating"/>
    <m/>
    <s v="Payment"/>
    <s v="Total Solutions Inc:Total Solutions Inc - HUD Mod 01"/>
    <s v="11005 Accounts Receivable"/>
    <x v="2"/>
    <x v="2"/>
    <m/>
    <n v="24777.599999999999"/>
    <n v="24777.599999999999"/>
    <n v="518204.8699999997"/>
  </r>
  <r>
    <s v="08/22/2025"/>
    <x v="1"/>
    <x v="8"/>
    <s v="M&amp;T Operating"/>
    <m/>
    <s v="Transfer"/>
    <m/>
    <s v="10010 M&amp;T Bank - IntraFi Network Sweep"/>
    <x v="0"/>
    <x v="0"/>
    <n v="24777.599999999999"/>
    <m/>
    <n v="-24777.599999999999"/>
    <n v="493427.26999999973"/>
  </r>
  <r>
    <s v="08/24/2025"/>
    <x v="1"/>
    <x v="8"/>
    <s v="Ramp Card"/>
    <m/>
    <s v="Expense"/>
    <s v="Doordash"/>
    <s v="69505 General &amp; Administrative:G&amp;A - Meals &amp; Entertainment"/>
    <x v="3"/>
    <x v="4"/>
    <n v="16.29"/>
    <m/>
    <n v="-16.29"/>
    <n v="493410.97999999975"/>
  </r>
  <r>
    <s v="08/24/2025"/>
    <x v="1"/>
    <x v="8"/>
    <s v="Ramp Card"/>
    <m/>
    <s v="Expense"/>
    <s v="Lovable"/>
    <s v="69400 General &amp; Administrative:G&amp;A - Software Applications &amp; Licenses"/>
    <x v="3"/>
    <x v="10"/>
    <n v="25.75"/>
    <m/>
    <n v="-25.75"/>
    <n v="493385.22999999975"/>
  </r>
  <r>
    <s v="08/25/2025"/>
    <x v="1"/>
    <x v="8"/>
    <s v="Ramp Card"/>
    <m/>
    <s v="Expense"/>
    <s v="Amtrak"/>
    <s v="66500 AppIQ - Research &amp; Development:AppIQ - R&amp;D - Travel"/>
    <x v="3"/>
    <x v="4"/>
    <n v="212"/>
    <m/>
    <n v="-212"/>
    <n v="493173.22999999975"/>
  </r>
  <r>
    <s v="08/25/2025"/>
    <x v="1"/>
    <x v="8"/>
    <s v="M&amp;T Operating"/>
    <m/>
    <s v="Deposit"/>
    <s v="Mr. William Karpovich"/>
    <s v="69500 General &amp; Administrative:G&amp;A - Travel"/>
    <x v="3"/>
    <x v="4"/>
    <m/>
    <n v="275.45"/>
    <n v="275.45"/>
    <n v="493448.67999999976"/>
  </r>
  <r>
    <s v="08/25/2025"/>
    <x v="1"/>
    <x v="8"/>
    <s v="Ramp Card"/>
    <m/>
    <s v="Expense"/>
    <s v="OpenAI"/>
    <s v="51400 Classic COGS - Delivery:Classic COGS - Delivery - Software Applications &amp; Licenses"/>
    <x v="3"/>
    <x v="10"/>
    <n v="21.4"/>
    <m/>
    <n v="-21.4"/>
    <n v="493427.27999999974"/>
  </r>
  <r>
    <s v="08/25/2025"/>
    <x v="1"/>
    <x v="8"/>
    <s v="M&amp;T Operating"/>
    <m/>
    <s v="Expense"/>
    <s v="Wex Health, Inc."/>
    <s v="22320 Accrued Expenses:Accrued Expenses - WEX Clearing"/>
    <x v="1"/>
    <x v="1"/>
    <n v="68.959999999999994"/>
    <m/>
    <n v="-68.959999999999994"/>
    <n v="493358.31999999972"/>
  </r>
  <r>
    <s v="08/25/2025"/>
    <x v="1"/>
    <x v="8"/>
    <s v="M&amp;T Operating"/>
    <m/>
    <s v="Transfer"/>
    <m/>
    <s v="10010 M&amp;T Bank - IntraFi Network Sweep"/>
    <x v="0"/>
    <x v="0"/>
    <n v="206.49"/>
    <m/>
    <n v="-206.49"/>
    <n v="493151.82999999973"/>
  </r>
  <r>
    <s v="08/26/2025"/>
    <x v="1"/>
    <x v="8"/>
    <s v="Ramp Card"/>
    <m/>
    <s v="Expense"/>
    <s v="Airbnb"/>
    <s v="64500 AppIQ - Sales:AppIQ - Sales - Travel"/>
    <x v="3"/>
    <x v="4"/>
    <n v="8508.6"/>
    <m/>
    <n v="-8508.6"/>
    <n v="484643.22999999975"/>
  </r>
  <r>
    <s v="08/26/2025"/>
    <x v="1"/>
    <x v="8"/>
    <s v="Ramp Card"/>
    <m/>
    <s v="Expense"/>
    <s v="American Airlines"/>
    <s v="64500 AppIQ - Sales:AppIQ - Sales - Travel"/>
    <x v="3"/>
    <x v="4"/>
    <n v="733.18"/>
    <m/>
    <n v="-733.18"/>
    <n v="483910.04999999976"/>
  </r>
  <r>
    <s v="08/26/2025"/>
    <x v="1"/>
    <x v="8"/>
    <s v="Ramp Card"/>
    <m/>
    <s v="Expense"/>
    <s v="Amtrak"/>
    <s v="66505 AppIQ - Research &amp; Development:AppIQ - R&amp;D - Meals &amp; Entertainment"/>
    <x v="3"/>
    <x v="4"/>
    <n v="18"/>
    <m/>
    <n v="-18"/>
    <n v="483892.04999999976"/>
  </r>
  <r>
    <s v="08/26/2025"/>
    <x v="1"/>
    <x v="8"/>
    <s v="Ramp Card"/>
    <m/>
    <s v="Expense"/>
    <s v="Amtrak"/>
    <s v="66500 AppIQ - Research &amp; Development:AppIQ - R&amp;D - Travel"/>
    <x v="3"/>
    <x v="4"/>
    <n v="73"/>
    <m/>
    <n v="-73"/>
    <n v="483819.04999999976"/>
  </r>
  <r>
    <s v="08/26/2025"/>
    <x v="1"/>
    <x v="8"/>
    <s v="Ramp Card"/>
    <m/>
    <s v="Expense"/>
    <s v="Courtyard by Marriott"/>
    <s v="66500 AppIQ - Research &amp; Development:AppIQ - R&amp;D - Travel"/>
    <x v="3"/>
    <x v="4"/>
    <n v="264.38"/>
    <m/>
    <n v="-264.38"/>
    <n v="483554.66999999975"/>
  </r>
  <r>
    <s v="08/26/2025"/>
    <x v="1"/>
    <x v="8"/>
    <s v="Ramp Card"/>
    <m/>
    <s v="Expense"/>
    <s v="Easy Like Sunday"/>
    <s v="69505 General &amp; Administrative:G&amp;A - Meals &amp; Entertainment"/>
    <x v="3"/>
    <x v="4"/>
    <n v="141.88"/>
    <m/>
    <n v="-141.88"/>
    <n v="483412.78999999975"/>
  </r>
  <r>
    <s v="08/26/2025"/>
    <x v="1"/>
    <x v="8"/>
    <s v="M&amp;T Operating"/>
    <m/>
    <s v="Bill Payment"/>
    <s v="Josh Smith (josh@synaptic.build)"/>
    <s v="20005 Accounts Payable"/>
    <x v="3"/>
    <x v="10"/>
    <n v="3759.88"/>
    <m/>
    <n v="-3759.88"/>
    <n v="479652.90999999974"/>
  </r>
  <r>
    <s v="08/26/2025"/>
    <x v="1"/>
    <x v="8"/>
    <s v="Ramp Card"/>
    <m/>
    <s v="Expense"/>
    <s v="LastPass"/>
    <s v="69400 General &amp; Administrative:G&amp;A - Software Applications &amp; Licenses"/>
    <x v="3"/>
    <x v="10"/>
    <n v="86.5"/>
    <m/>
    <n v="-86.5"/>
    <n v="479566.40999999974"/>
  </r>
  <r>
    <s v="08/26/2025"/>
    <x v="1"/>
    <x v="8"/>
    <s v="Ramp Card"/>
    <m/>
    <s v="Expense"/>
    <s v="Lord Baltimore Hotel"/>
    <s v="66500 AppIQ - Research &amp; Development:AppIQ - R&amp;D - Travel"/>
    <x v="3"/>
    <x v="4"/>
    <n v="126.84"/>
    <m/>
    <n v="-126.84"/>
    <n v="479439.56999999972"/>
  </r>
  <r>
    <s v="08/26/2025"/>
    <x v="1"/>
    <x v="8"/>
    <s v="Ramp Card"/>
    <m/>
    <s v="Expense"/>
    <s v="Lyft"/>
    <s v="66500 AppIQ - Research &amp; Development:AppIQ - R&amp;D - Travel"/>
    <x v="3"/>
    <x v="4"/>
    <n v="14.89"/>
    <m/>
    <n v="-14.89"/>
    <n v="479424.6799999997"/>
  </r>
  <r>
    <s v="08/26/2025"/>
    <x v="1"/>
    <x v="8"/>
    <s v="Ramp Card"/>
    <m/>
    <s v="Expense"/>
    <s v="Rainfoc Sfdc Tdx22"/>
    <s v="64500 AppIQ - Sales:AppIQ - Sales - Travel"/>
    <x v="3"/>
    <x v="4"/>
    <n v="1899"/>
    <m/>
    <n v="-1899"/>
    <n v="477525.6799999997"/>
  </r>
  <r>
    <s v="08/26/2025"/>
    <x v="1"/>
    <x v="8"/>
    <s v="Ramp Card"/>
    <m/>
    <s v="Expense"/>
    <s v="Samos Greek Island Grill"/>
    <s v="69505 General &amp; Administrative:G&amp;A - Meals &amp; Entertainment"/>
    <x v="3"/>
    <x v="4"/>
    <n v="16.48"/>
    <m/>
    <n v="-16.48"/>
    <n v="477509.19999999972"/>
  </r>
  <r>
    <s v="08/26/2025"/>
    <x v="1"/>
    <x v="8"/>
    <s v="Ramp Card"/>
    <m/>
    <s v="Expense"/>
    <s v="Samos Greek Island Grill"/>
    <s v="69505 General &amp; Administrative:G&amp;A - Meals &amp; Entertainment"/>
    <x v="3"/>
    <x v="4"/>
    <n v="61.91"/>
    <m/>
    <n v="-61.91"/>
    <n v="477447.28999999975"/>
  </r>
  <r>
    <s v="08/26/2025"/>
    <x v="1"/>
    <x v="8"/>
    <s v="Ramp Card"/>
    <m/>
    <s v="Expense"/>
    <s v="Southwest Airlines"/>
    <s v="69500 General &amp; Administrative:G&amp;A - Travel"/>
    <x v="3"/>
    <x v="4"/>
    <n v="548.48"/>
    <m/>
    <n v="-548.48"/>
    <n v="476898.80999999976"/>
  </r>
  <r>
    <s v="08/26/2025"/>
    <x v="1"/>
    <x v="8"/>
    <s v="Ramp Card"/>
    <m/>
    <s v="Expense"/>
    <s v="Southwest Airlines"/>
    <s v="69500 General &amp; Administrative:G&amp;A - Travel"/>
    <x v="3"/>
    <x v="4"/>
    <n v="39"/>
    <m/>
    <n v="-39"/>
    <n v="476859.80999999976"/>
  </r>
  <r>
    <s v="08/26/2025"/>
    <x v="1"/>
    <x v="8"/>
    <s v="Ramp Card"/>
    <m/>
    <s v="Expense"/>
    <s v="United"/>
    <s v="69500 General &amp; Administrative:G&amp;A - Travel"/>
    <x v="3"/>
    <x v="4"/>
    <n v="711.41"/>
    <m/>
    <n v="-711.41"/>
    <n v="476148.39999999979"/>
  </r>
  <r>
    <s v="08/26/2025"/>
    <x v="1"/>
    <x v="8"/>
    <s v="M&amp;T Operating"/>
    <m/>
    <s v="Bill Payment"/>
    <s v="William Karpovich (bill@synaptic.build)"/>
    <s v="20005 Accounts Payable"/>
    <x v="3"/>
    <x v="4"/>
    <n v="229.13"/>
    <m/>
    <n v="-229.13"/>
    <n v="475919.26999999979"/>
  </r>
  <r>
    <s v="08/27/2025"/>
    <x v="1"/>
    <x v="8"/>
    <s v="Ramp Card"/>
    <m/>
    <s v="Expense"/>
    <s v="Amtrak"/>
    <s v="66500 AppIQ - Research &amp; Development:AppIQ - R&amp;D - Travel"/>
    <x v="3"/>
    <x v="4"/>
    <n v="106"/>
    <m/>
    <n v="-106"/>
    <n v="475813.26999999979"/>
  </r>
  <r>
    <s v="08/27/2025"/>
    <x v="1"/>
    <x v="8"/>
    <s v="Ramp Card"/>
    <m/>
    <s v="Expense"/>
    <s v="Amtrak"/>
    <s v="66505 AppIQ - Research &amp; Development:AppIQ - R&amp;D - Meals &amp; Entertainment"/>
    <x v="3"/>
    <x v="4"/>
    <n v="21.5"/>
    <m/>
    <n v="-21.5"/>
    <n v="475791.76999999979"/>
  </r>
  <r>
    <s v="08/27/2025"/>
    <x v="1"/>
    <x v="8"/>
    <s v="Ramp Card"/>
    <m/>
    <s v="Expense"/>
    <s v="Anthropic"/>
    <s v="69400 General &amp; Administrative:G&amp;A - Software Applications &amp; Licenses"/>
    <x v="3"/>
    <x v="10"/>
    <n v="96.06"/>
    <m/>
    <n v="-96.06"/>
    <n v="475695.70999999979"/>
  </r>
  <r>
    <s v="08/27/2025"/>
    <x v="1"/>
    <x v="8"/>
    <s v="Ramp Card"/>
    <m/>
    <s v="Expense"/>
    <s v="Apple"/>
    <s v="66405 AppIQ - Research &amp; Development:AppIQ - R&amp;D - Telecom, Internet &amp; Hardware"/>
    <x v="3"/>
    <x v="10"/>
    <n v="2774.13"/>
    <m/>
    <n v="-2774.13"/>
    <n v="472921.57999999978"/>
  </r>
  <r>
    <s v="08/27/2025"/>
    <x v="1"/>
    <x v="8"/>
    <s v="Ramp Card"/>
    <m/>
    <s v="Expense"/>
    <s v="Curb Taxi App"/>
    <s v="66500 AppIQ - Research &amp; Development:AppIQ - R&amp;D - Travel"/>
    <x v="3"/>
    <x v="4"/>
    <n v="44.58"/>
    <m/>
    <n v="-44.58"/>
    <n v="472876.99999999977"/>
  </r>
  <r>
    <s v="08/27/2025"/>
    <x v="1"/>
    <x v="8"/>
    <s v="M&amp;T Operating"/>
    <s v="35825311_35825314"/>
    <s v="Bill Payment"/>
    <s v="Deel billing invoices deel@deel.com USD"/>
    <s v="20005 Accounts Payable"/>
    <x v="3"/>
    <x v="10"/>
    <n v="5"/>
    <m/>
    <n v="-5"/>
    <n v="472871.99999999977"/>
  </r>
  <r>
    <s v="08/27/2025"/>
    <x v="1"/>
    <x v="8"/>
    <s v="M&amp;T Operating"/>
    <s v="35825311_35574644"/>
    <s v="Bill Payment"/>
    <s v="Deel billing invoices deel@deel.com USD"/>
    <s v="20005 Accounts Payable"/>
    <x v="3"/>
    <x v="10"/>
    <n v="40"/>
    <m/>
    <n v="-40"/>
    <n v="472831.99999999977"/>
  </r>
  <r>
    <s v="08/27/2025"/>
    <x v="1"/>
    <x v="8"/>
    <s v="Ramp Card"/>
    <m/>
    <s v="Expense"/>
    <s v="Delta Air Lines"/>
    <s v="66500 AppIQ - Research &amp; Development:AppIQ - R&amp;D - Travel"/>
    <x v="3"/>
    <x v="4"/>
    <n v="1196.97"/>
    <m/>
    <n v="-1196.97"/>
    <n v="471635.0299999998"/>
  </r>
  <r>
    <s v="08/27/2025"/>
    <x v="1"/>
    <x v="8"/>
    <s v="Ramp Card"/>
    <m/>
    <s v="Expense"/>
    <s v="Everything"/>
    <s v="69820 General &amp; Administrative:G&amp;A - Dues &amp; Subscriptions"/>
    <x v="3"/>
    <x v="15"/>
    <n v="288"/>
    <m/>
    <n v="-288"/>
    <n v="471347.0299999998"/>
  </r>
  <r>
    <s v="08/27/2025"/>
    <x v="1"/>
    <x v="8"/>
    <s v="Ramp Card"/>
    <m/>
    <s v="Expense"/>
    <s v="Gofundme"/>
    <s v="65625 AppIQ - Marketing:AppIQ - Marketing - Client Gifts &amp; Entertainment"/>
    <x v="3"/>
    <x v="15"/>
    <n v="150"/>
    <m/>
    <n v="-150"/>
    <n v="471197.0299999998"/>
  </r>
  <r>
    <s v="08/27/2025"/>
    <x v="1"/>
    <x v="8"/>
    <s v="Ramp Card"/>
    <m/>
    <s v="Expense"/>
    <s v="LinkedIn"/>
    <s v="69400 General &amp; Administrative:G&amp;A - Software Applications &amp; Licenses"/>
    <x v="3"/>
    <x v="10"/>
    <n v="95.39"/>
    <m/>
    <n v="-95.39"/>
    <n v="471101.63999999978"/>
  </r>
  <r>
    <s v="08/27/2025"/>
    <x v="1"/>
    <x v="8"/>
    <s v="Ramp Card"/>
    <m/>
    <s v="Expense"/>
    <s v="Lord Baltimore Hotel"/>
    <s v="66505 AppIQ - Research &amp; Development:AppIQ - R&amp;D - Meals &amp; Entertainment"/>
    <x v="3"/>
    <x v="4"/>
    <n v="19.260000000000002"/>
    <m/>
    <n v="-19.260000000000002"/>
    <n v="471082.37999999977"/>
  </r>
  <r>
    <s v="08/27/2025"/>
    <x v="1"/>
    <x v="8"/>
    <s v="Ramp Card"/>
    <m/>
    <s v="Expense"/>
    <s v="Lord Baltimore Hotel"/>
    <s v="66505 AppIQ - Research &amp; Development:AppIQ - R&amp;D - Meals &amp; Entertainment"/>
    <x v="3"/>
    <x v="4"/>
    <n v="13.88"/>
    <m/>
    <n v="-13.88"/>
    <n v="471068.49999999977"/>
  </r>
  <r>
    <s v="08/27/2025"/>
    <x v="1"/>
    <x v="8"/>
    <s v="Ramp Card"/>
    <m/>
    <s v="Expense"/>
    <s v="Lyft"/>
    <s v="66500 AppIQ - Research &amp; Development:AppIQ - R&amp;D - Travel"/>
    <x v="3"/>
    <x v="4"/>
    <n v="11.74"/>
    <m/>
    <n v="-11.74"/>
    <n v="471056.75999999978"/>
  </r>
  <r>
    <s v="08/27/2025"/>
    <x v="1"/>
    <x v="8"/>
    <s v="Ramp Card"/>
    <m/>
    <s v="Expense"/>
    <s v="Square"/>
    <s v="66500 AppIQ - Research &amp; Development:AppIQ - R&amp;D - Travel"/>
    <x v="3"/>
    <x v="4"/>
    <n v="14"/>
    <m/>
    <n v="-14"/>
    <n v="471042.75999999978"/>
  </r>
  <r>
    <s v="08/27/2025"/>
    <x v="1"/>
    <x v="8"/>
    <s v="M&amp;T Operating"/>
    <m/>
    <s v="Transfer"/>
    <m/>
    <s v="10010 M&amp;T Bank - IntraFi Network Sweep"/>
    <x v="0"/>
    <x v="0"/>
    <m/>
    <n v="3759.88"/>
    <n v="3759.88"/>
    <n v="474802.63999999978"/>
  </r>
  <r>
    <s v="08/28/2025"/>
    <x v="1"/>
    <x v="8"/>
    <s v="M&amp;T Operating"/>
    <m/>
    <s v="Payment"/>
    <s v="Curonix LLC:Curonix Managed Services"/>
    <s v="11005 Accounts Receivable"/>
    <x v="2"/>
    <x v="2"/>
    <m/>
    <n v="1930"/>
    <n v="1930"/>
    <n v="476732.63999999978"/>
  </r>
  <r>
    <s v="08/28/2025"/>
    <x v="1"/>
    <x v="8"/>
    <s v="M&amp;T Operating"/>
    <m/>
    <s v="Bill Payment"/>
    <s v="International Computer Services Inc."/>
    <s v="20005 Accounts Payable"/>
    <x v="3"/>
    <x v="10"/>
    <n v="3559.91"/>
    <m/>
    <n v="-3559.91"/>
    <n v="473172.72999999981"/>
  </r>
  <r>
    <s v="08/28/2025"/>
    <x v="1"/>
    <x v="8"/>
    <s v="M&amp;T Operating"/>
    <m/>
    <s v="Deposit"/>
    <s v="National Rural Health Resource Center:NRHRC Managed Services August 2025- July 2026"/>
    <s v="14005 Undeposited Funds"/>
    <x v="2"/>
    <x v="2"/>
    <m/>
    <n v="14500"/>
    <n v="14500"/>
    <n v="487672.72999999981"/>
  </r>
  <r>
    <s v="08/28/2025"/>
    <x v="1"/>
    <x v="8"/>
    <s v="M&amp;T Operating"/>
    <m/>
    <s v="Expense"/>
    <s v="Paylocity"/>
    <s v="22205 Accrued Expenses:Accrued Expenses - Payroll"/>
    <x v="1"/>
    <x v="1"/>
    <n v="955.75"/>
    <m/>
    <n v="-955.75"/>
    <n v="486716.97999999981"/>
  </r>
  <r>
    <s v="08/28/2025"/>
    <x v="1"/>
    <x v="8"/>
    <s v="M&amp;T Operating"/>
    <m/>
    <s v="Expense"/>
    <s v="Paylocity"/>
    <s v="22205 Accrued Expenses:Accrued Expenses - Payroll"/>
    <x v="1"/>
    <x v="12"/>
    <n v="74272.460000000006"/>
    <m/>
    <n v="-74272.460000000006"/>
    <n v="412444.51999999979"/>
  </r>
  <r>
    <s v="08/28/2025"/>
    <x v="1"/>
    <x v="8"/>
    <s v="M&amp;T Operating"/>
    <m/>
    <s v="Expense"/>
    <s v="Paylocity"/>
    <s v="22205 Accrued Expenses:Accrued Expenses - Payroll"/>
    <x v="1"/>
    <x v="11"/>
    <n v="36939.51"/>
    <m/>
    <n v="-36939.51"/>
    <n v="375505.00999999978"/>
  </r>
  <r>
    <s v="08/28/2025"/>
    <x v="1"/>
    <x v="8"/>
    <s v="M&amp;T Operating"/>
    <m/>
    <s v="Expense"/>
    <s v="QuickBooks Payments"/>
    <s v="69805 General &amp; Administrative:G&amp;A - Bank Fees"/>
    <x v="0"/>
    <x v="6"/>
    <n v="20"/>
    <m/>
    <n v="-20"/>
    <n v="375485.00999999978"/>
  </r>
  <r>
    <s v="08/28/2025"/>
    <x v="1"/>
    <x v="8"/>
    <s v="M&amp;T Operating"/>
    <m/>
    <s v="Bill Payment"/>
    <s v="Whitehouse &amp; Cooper, PLCC"/>
    <s v="20005 Accounts Payable"/>
    <x v="3"/>
    <x v="5"/>
    <n v="1950.5"/>
    <m/>
    <n v="-1950.5"/>
    <n v="373534.50999999978"/>
  </r>
  <r>
    <s v="08/28/2025"/>
    <x v="1"/>
    <x v="8"/>
    <s v="M&amp;T Operating"/>
    <m/>
    <s v="Transfer"/>
    <m/>
    <s v="10010 M&amp;T Bank - IntraFi Network Sweep"/>
    <x v="0"/>
    <x v="0"/>
    <m/>
    <n v="115793.13"/>
    <n v="115793.13"/>
    <n v="489327.63999999978"/>
  </r>
  <r>
    <s v="08/29/2025"/>
    <x v="1"/>
    <x v="8"/>
    <s v="Ramp Card"/>
    <m/>
    <s v="Expense"/>
    <s v="Lyft"/>
    <s v="66500 AppIQ - Research &amp; Development:AppIQ - R&amp;D - Travel"/>
    <x v="3"/>
    <x v="4"/>
    <n v="22.16"/>
    <m/>
    <n v="-22.16"/>
    <n v="489305.47999999981"/>
  </r>
  <r>
    <s v="08/29/2025"/>
    <x v="1"/>
    <x v="8"/>
    <s v="M&amp;T Operating"/>
    <m/>
    <s v="Deposit"/>
    <s v="M&amp;T Bank"/>
    <s v="71005 Interest"/>
    <x v="0"/>
    <x v="17"/>
    <m/>
    <n v="2155.66"/>
    <n v="2155.66"/>
    <n v="491461.13999999978"/>
  </r>
  <r>
    <s v="08/29/2025"/>
    <x v="1"/>
    <x v="8"/>
    <s v="M&amp;T Operating"/>
    <m/>
    <s v="Expense"/>
    <s v="Paylocity"/>
    <s v="69215 General &amp; Administrative:G&amp;A - Payroll Fees"/>
    <x v="1"/>
    <x v="3"/>
    <n v="333.7"/>
    <m/>
    <n v="-333.7"/>
    <n v="491127.43999999977"/>
  </r>
  <r>
    <s v="08/29/2025"/>
    <x v="1"/>
    <x v="8"/>
    <s v="Ramp Card"/>
    <m/>
    <s v="Expense"/>
    <s v="Perplexity AI"/>
    <s v="51400 Classic COGS - Delivery:Classic COGS - Delivery - Software Applications &amp; Licenses"/>
    <x v="3"/>
    <x v="10"/>
    <n v="20"/>
    <m/>
    <n v="-20"/>
    <n v="491107.43999999977"/>
  </r>
  <r>
    <s v="08/29/2025"/>
    <x v="1"/>
    <x v="8"/>
    <s v="M&amp;T Operating"/>
    <m/>
    <s v="Transfer"/>
    <m/>
    <s v="10010 M&amp;T Bank - IntraFi Network Sweep"/>
    <x v="0"/>
    <x v="0"/>
    <n v="16072.83"/>
    <m/>
    <n v="-16072.83"/>
    <n v="475034.60999999975"/>
  </r>
  <r>
    <s v="08/31/2025"/>
    <x v="1"/>
    <x v="8"/>
    <s v="Ramp Card"/>
    <m/>
    <s v="Expense"/>
    <s v="Lyft"/>
    <s v="66500 AppIQ - Research &amp; Development:AppIQ - R&amp;D - Travel"/>
    <x v="3"/>
    <x v="4"/>
    <n v="31.7"/>
    <m/>
    <n v="-31.7"/>
    <n v="475002.90999999974"/>
  </r>
  <r>
    <s v="09/01/2025"/>
    <x v="1"/>
    <x v="9"/>
    <s v="Ramp Card"/>
    <m/>
    <s v="Expense"/>
    <s v="Anthropic"/>
    <s v="61400 Classic - Sales:Classic - Sales - Software Applications &amp; Licenses"/>
    <x v="3"/>
    <x v="10"/>
    <n v="20"/>
    <m/>
    <n v="-20"/>
    <n v="474982.90999999974"/>
  </r>
  <r>
    <s v="09/01/2025"/>
    <x v="1"/>
    <x v="9"/>
    <s v="Ramp Card"/>
    <m/>
    <s v="Expense"/>
    <s v="Doordash"/>
    <s v="69505 General &amp; Administrative:G&amp;A - Meals &amp; Entertainment"/>
    <x v="3"/>
    <x v="4"/>
    <n v="22.96"/>
    <m/>
    <n v="-22.96"/>
    <n v="474959.94999999972"/>
  </r>
  <r>
    <s v="09/01/2025"/>
    <x v="1"/>
    <x v="9"/>
    <s v="Ramp Card"/>
    <m/>
    <s v="Expense"/>
    <s v="Doordash"/>
    <s v="69505 General &amp; Administrative:G&amp;A - Meals &amp; Entertainment"/>
    <x v="3"/>
    <x v="4"/>
    <n v="29.82"/>
    <m/>
    <n v="-29.82"/>
    <n v="474930.12999999971"/>
  </r>
  <r>
    <s v="09/01/2025"/>
    <x v="1"/>
    <x v="9"/>
    <s v="Ramp Card"/>
    <m/>
    <s v="Expense"/>
    <s v="Earth Class Mail"/>
    <s v="69400 General &amp; Administrative:G&amp;A - Software Applications &amp; Licenses"/>
    <x v="3"/>
    <x v="10"/>
    <n v="79"/>
    <m/>
    <n v="-79"/>
    <n v="474851.12999999971"/>
  </r>
  <r>
    <s v="09/01/2025"/>
    <x v="1"/>
    <x v="9"/>
    <s v="Ramp Card"/>
    <m/>
    <s v="Expense"/>
    <s v="Google Play"/>
    <s v="69400 General &amp; Administrative:G&amp;A - Software Applications &amp; Licenses"/>
    <x v="3"/>
    <x v="10"/>
    <n v="13.83"/>
    <m/>
    <n v="-13.83"/>
    <n v="474837.2999999997"/>
  </r>
  <r>
    <s v="09/01/2025"/>
    <x v="1"/>
    <x v="9"/>
    <s v="Ramp Card"/>
    <m/>
    <s v="Expense"/>
    <s v="Google Workspace"/>
    <s v="69400 General &amp; Administrative:G&amp;A - Software Applications &amp; Licenses"/>
    <x v="3"/>
    <x v="10"/>
    <n v="164.26"/>
    <m/>
    <n v="-164.26"/>
    <n v="474673.03999999969"/>
  </r>
  <r>
    <s v="09/01/2025"/>
    <x v="1"/>
    <x v="9"/>
    <s v="Ramp Card"/>
    <m/>
    <s v="Expense"/>
    <s v="Intuit"/>
    <s v="69400 General &amp; Administrative:G&amp;A - Software Applications &amp; Licenses"/>
    <x v="3"/>
    <x v="10"/>
    <n v="283.25"/>
    <m/>
    <n v="-283.25"/>
    <n v="474389.78999999969"/>
  </r>
  <r>
    <s v="09/01/2025"/>
    <x v="1"/>
    <x v="9"/>
    <s v="Ramp Card"/>
    <m/>
    <s v="Expense"/>
    <s v="LinkedIn"/>
    <s v="64400 AppIQ - Sales:AppIQ - Sales - Software Applications &amp; Licenses"/>
    <x v="3"/>
    <x v="10"/>
    <n v="150"/>
    <m/>
    <n v="-150"/>
    <n v="474239.78999999969"/>
  </r>
  <r>
    <s v="09/01/2025"/>
    <x v="1"/>
    <x v="9"/>
    <s v="Ramp Card"/>
    <m/>
    <s v="Expense"/>
    <s v="Lyft"/>
    <s v="66500 AppIQ - Research &amp; Development:AppIQ - R&amp;D - Travel"/>
    <x v="3"/>
    <x v="4"/>
    <n v="26.99"/>
    <m/>
    <n v="-26.99"/>
    <n v="474212.7999999997"/>
  </r>
  <r>
    <s v="09/02/2025"/>
    <x v="1"/>
    <x v="9"/>
    <s v="M&amp;T Operating"/>
    <m/>
    <s v="Bill Payment"/>
    <s v="Bojan Cubela (bojan@synaptic.build)"/>
    <s v="20005 Accounts Payable"/>
    <x v="3"/>
    <x v="4"/>
    <n v="78.5"/>
    <m/>
    <n v="-78.5"/>
    <n v="474134.2999999997"/>
  </r>
  <r>
    <s v="09/02/2025"/>
    <x v="1"/>
    <x v="9"/>
    <s v="M&amp;T Operating"/>
    <m/>
    <s v="Bill Payment"/>
    <s v="Bojan Cubela (bojan@synaptic.build)"/>
    <s v="20005 Accounts Payable"/>
    <x v="3"/>
    <x v="4"/>
    <n v="1765.42"/>
    <m/>
    <n v="-1765.42"/>
    <n v="472368.87999999971"/>
  </r>
  <r>
    <s v="09/02/2025"/>
    <x v="1"/>
    <x v="9"/>
    <s v="M&amp;T Operating"/>
    <m/>
    <s v="Bill Payment"/>
    <s v="Bojan Cubela (bojan@synaptic.build)"/>
    <s v="20005 Accounts Payable"/>
    <x v="3"/>
    <x v="4"/>
    <n v="4723.9399999999996"/>
    <m/>
    <n v="-4723.9399999999996"/>
    <n v="467644.93999999971"/>
  </r>
  <r>
    <s v="09/02/2025"/>
    <x v="1"/>
    <x v="9"/>
    <s v="M&amp;T Operating"/>
    <m/>
    <s v="Expense"/>
    <s v="CareFirst Blue Cross Blue Shield"/>
    <s v="22300 Accrued Expenses:Accrued Expenses - BCBS Clearing"/>
    <x v="1"/>
    <x v="1"/>
    <n v="17972.21"/>
    <m/>
    <n v="-17972.21"/>
    <n v="449672.72999999969"/>
  </r>
  <r>
    <s v="09/02/2025"/>
    <x v="1"/>
    <x v="9"/>
    <s v="Ramp Card"/>
    <m/>
    <s v="Expense"/>
    <s v="Comcast"/>
    <s v="69405 General &amp; Administrative:G&amp;A - Telecom, Internet &amp; Hardware"/>
    <x v="3"/>
    <x v="10"/>
    <n v="256.69"/>
    <m/>
    <n v="-256.69"/>
    <n v="449416.03999999969"/>
  </r>
  <r>
    <s v="09/02/2025"/>
    <x v="1"/>
    <x v="9"/>
    <s v="Ramp Card"/>
    <m/>
    <s v="Expense"/>
    <s v="Elastic"/>
    <s v="57020 Hosting Costs:Hosting Website Maintenance"/>
    <x v="4"/>
    <x v="19"/>
    <n v="494.34"/>
    <m/>
    <n v="-494.34"/>
    <n v="448921.69999999966"/>
  </r>
  <r>
    <s v="09/02/2025"/>
    <x v="1"/>
    <x v="9"/>
    <s v="M&amp;T Operating"/>
    <m/>
    <s v="Expense"/>
    <s v="The Principal"/>
    <s v="22310 Accrued Expenses:Accrued Expenses - Principal Clearing"/>
    <x v="1"/>
    <x v="1"/>
    <n v="12773.33"/>
    <m/>
    <n v="-12773.33"/>
    <n v="436148.36999999965"/>
  </r>
  <r>
    <s v="09/02/2025"/>
    <x v="1"/>
    <x v="9"/>
    <s v="M&amp;T Operating"/>
    <m/>
    <s v="Expense"/>
    <s v="Wex Health, Inc."/>
    <s v="22320 Accrued Expenses:Accrued Expenses - WEX Clearing"/>
    <x v="1"/>
    <x v="1"/>
    <n v="208.34"/>
    <m/>
    <n v="-208.34"/>
    <n v="435940.02999999962"/>
  </r>
  <r>
    <s v="09/02/2025"/>
    <x v="1"/>
    <x v="9"/>
    <s v="M&amp;T Operating"/>
    <m/>
    <s v="Transfer"/>
    <m/>
    <s v="10010 M&amp;T Bank - IntraFi Network Sweep"/>
    <x v="0"/>
    <x v="0"/>
    <m/>
    <n v="37521.74"/>
    <n v="37521.74"/>
    <n v="473461.76999999961"/>
  </r>
  <r>
    <s v="09/03/2025"/>
    <x v="1"/>
    <x v="9"/>
    <s v="M&amp;T Operating"/>
    <m/>
    <s v="Expense"/>
    <s v="Bancorpsv (Benefit Deduction)"/>
    <s v="22335 Accrued Expenses:Accrued Expenses - Bancorpsv Clearing"/>
    <x v="1"/>
    <x v="1"/>
    <n v="67.28"/>
    <m/>
    <n v="-67.28"/>
    <n v="473394.48999999958"/>
  </r>
  <r>
    <s v="09/03/2025"/>
    <x v="1"/>
    <x v="9"/>
    <s v="M&amp;T Operating"/>
    <m/>
    <s v="Bill Payment"/>
    <s v="Fort Offices LLC"/>
    <s v="20005 Accounts Payable"/>
    <x v="3"/>
    <x v="22"/>
    <n v="3545.63"/>
    <m/>
    <n v="-3545.63"/>
    <n v="469848.85999999958"/>
  </r>
  <r>
    <s v="09/03/2025"/>
    <x v="1"/>
    <x v="9"/>
    <s v="Ramp Card"/>
    <m/>
    <s v="Expense"/>
    <s v="Lyft"/>
    <s v="66500 AppIQ - Research &amp; Development:AppIQ - R&amp;D - Travel"/>
    <x v="3"/>
    <x v="4"/>
    <n v="17.989999999999998"/>
    <m/>
    <n v="-17.989999999999998"/>
    <n v="469830.86999999959"/>
  </r>
  <r>
    <s v="09/03/2025"/>
    <x v="1"/>
    <x v="9"/>
    <s v="Ramp Card"/>
    <m/>
    <s v="Expense"/>
    <s v="Rainfoc Sfdc Tdx22"/>
    <s v="66200 AppIQ - Research &amp; Development:AppIQ - R&amp;D - Professional Development"/>
    <x v="3"/>
    <x v="4"/>
    <n v="1899"/>
    <m/>
    <n v="-1899"/>
    <n v="467931.86999999959"/>
  </r>
  <r>
    <s v="09/03/2025"/>
    <x v="1"/>
    <x v="9"/>
    <s v="M&amp;T Operating"/>
    <m/>
    <s v="Transfer"/>
    <m/>
    <s v="10010 M&amp;T Bank - IntraFi Network Sweep"/>
    <x v="0"/>
    <x v="0"/>
    <m/>
    <n v="3612.91"/>
    <n v="3612.91"/>
    <n v="471544.77999999956"/>
  </r>
  <r>
    <s v="09/04/2025"/>
    <x v="1"/>
    <x v="9"/>
    <s v="Ramp Card"/>
    <m/>
    <s v="Expense"/>
    <s v="Adobe"/>
    <s v="69400 General &amp; Administrative:G&amp;A - Software Applications &amp; Licenses"/>
    <x v="3"/>
    <x v="10"/>
    <n v="21.19"/>
    <m/>
    <n v="-21.19"/>
    <n v="471523.58999999956"/>
  </r>
  <r>
    <s v="09/05/2025"/>
    <x v="1"/>
    <x v="9"/>
    <s v="Ramp Card"/>
    <m/>
    <s v="Expense"/>
    <s v="Allianz Travel Insurance"/>
    <s v="61500 Classic - Sales:Classic - Sales - Travel"/>
    <x v="3"/>
    <x v="4"/>
    <n v="63.04"/>
    <m/>
    <n v="-63.04"/>
    <n v="471460.54999999958"/>
  </r>
  <r>
    <s v="09/05/2025"/>
    <x v="1"/>
    <x v="9"/>
    <s v="Ramp Card"/>
    <m/>
    <s v="Expense"/>
    <s v="Jetblue"/>
    <s v="61500 Classic - Sales:Classic - Sales - Travel"/>
    <x v="3"/>
    <x v="4"/>
    <n v="933.97"/>
    <m/>
    <n v="-933.97"/>
    <n v="470526.57999999961"/>
  </r>
  <r>
    <s v="09/05/2025"/>
    <x v="1"/>
    <x v="9"/>
    <s v="M&amp;T Operating"/>
    <m/>
    <s v="Expense"/>
    <s v="New York Life"/>
    <s v="22315 Accrued Expenses:Accrued Expenses - NY Life Clearing"/>
    <x v="1"/>
    <x v="1"/>
    <n v="1118.8499999999999"/>
    <m/>
    <n v="-1118.8499999999999"/>
    <n v="469407.72999999963"/>
  </r>
  <r>
    <s v="09/05/2025"/>
    <x v="1"/>
    <x v="9"/>
    <s v="Ramp Card"/>
    <m/>
    <s v="Expense"/>
    <s v="Otter"/>
    <s v="69400 General &amp; Administrative:G&amp;A - Software Applications &amp; Licenses"/>
    <x v="3"/>
    <x v="10"/>
    <n v="31.8"/>
    <m/>
    <n v="-31.8"/>
    <n v="469375.92999999964"/>
  </r>
  <r>
    <s v="09/05/2025"/>
    <x v="1"/>
    <x v="9"/>
    <s v="Ramp Card"/>
    <m/>
    <s v="Expense"/>
    <s v="Rainfoc Sfdc Tdx22"/>
    <s v="61200 Classic - Sales:Classic - Sales - Professional Development"/>
    <x v="3"/>
    <x v="4"/>
    <n v="1899"/>
    <m/>
    <n v="-1899"/>
    <n v="467476.92999999964"/>
  </r>
  <r>
    <s v="09/05/2025"/>
    <x v="1"/>
    <x v="9"/>
    <s v="M&amp;T Operating"/>
    <m/>
    <s v="Credit Card Pmt"/>
    <s v="Ramp Business Corporation"/>
    <s v="21020 Ramp Card"/>
    <x v="5"/>
    <x v="24"/>
    <n v="28508.21"/>
    <m/>
    <n v="-28508.21"/>
    <n v="438968.71999999962"/>
  </r>
  <r>
    <s v="09/05/2025"/>
    <x v="1"/>
    <x v="9"/>
    <s v="Ramp Card"/>
    <m/>
    <s v="Credit Card Pmt"/>
    <s v="Ramp Business Corporation"/>
    <s v="10005 M&amp;T Bank - Operating"/>
    <x v="5"/>
    <x v="24"/>
    <m/>
    <n v="28508.21"/>
    <n v="28508.21"/>
    <n v="467476.92999999964"/>
  </r>
  <r>
    <s v="09/05/2025"/>
    <x v="1"/>
    <x v="9"/>
    <s v="M&amp;T Operating"/>
    <m/>
    <s v="Transfer"/>
    <m/>
    <s v="10010 M&amp;T Bank - IntraFi Network Sweep"/>
    <x v="0"/>
    <x v="0"/>
    <m/>
    <n v="1118.8499999999999"/>
    <n v="1118.8499999999999"/>
    <n v="468595.77999999962"/>
  </r>
  <r>
    <s v="09/06/2025"/>
    <x v="1"/>
    <x v="9"/>
    <s v="Ramp Card"/>
    <m/>
    <s v="Expense"/>
    <s v="Anthropic"/>
    <s v="51400 Classic COGS - Delivery:Classic COGS - Delivery - Software Applications &amp; Licenses"/>
    <x v="3"/>
    <x v="10"/>
    <n v="21.2"/>
    <m/>
    <n v="-21.2"/>
    <n v="468574.57999999961"/>
  </r>
  <r>
    <s v="09/06/2025"/>
    <x v="1"/>
    <x v="9"/>
    <s v="Ramp Card"/>
    <m/>
    <s v="Expense"/>
    <s v="Doordash"/>
    <s v="69505 General &amp; Administrative:G&amp;A - Meals &amp; Entertainment"/>
    <x v="3"/>
    <x v="4"/>
    <n v="25.15"/>
    <m/>
    <n v="-25.15"/>
    <n v="468549.42999999959"/>
  </r>
  <r>
    <s v="09/06/2025"/>
    <x v="1"/>
    <x v="9"/>
    <s v="Ramp Card"/>
    <m/>
    <s v="Expense"/>
    <s v="Perplexity AI"/>
    <s v="51400 Classic COGS - Delivery:Classic COGS - Delivery - Software Applications &amp; Licenses"/>
    <x v="3"/>
    <x v="10"/>
    <n v="21.2"/>
    <m/>
    <n v="-21.2"/>
    <n v="468528.22999999957"/>
  </r>
  <r>
    <s v="09/07/2025"/>
    <x v="1"/>
    <x v="9"/>
    <s v="Ramp Card"/>
    <m/>
    <s v="Expense"/>
    <s v="Lyft"/>
    <s v="66500 AppIQ - Research &amp; Development:AppIQ - R&amp;D - Travel"/>
    <x v="3"/>
    <x v="4"/>
    <n v="55.31"/>
    <m/>
    <n v="-55.31"/>
    <n v="468472.91999999958"/>
  </r>
  <r>
    <s v="09/07/2025"/>
    <x v="1"/>
    <x v="9"/>
    <s v="Ramp Card"/>
    <m/>
    <s v="Expense"/>
    <s v="OpenAI"/>
    <s v="51400 Classic COGS - Delivery:Classic COGS - Delivery - Software Applications &amp; Licenses"/>
    <x v="3"/>
    <x v="10"/>
    <n v="20"/>
    <m/>
    <n v="-20"/>
    <n v="468452.91999999958"/>
  </r>
  <r>
    <s v="09/08/2025"/>
    <x v="1"/>
    <x v="9"/>
    <s v="Ramp Card"/>
    <m/>
    <s v="Expense"/>
    <s v="LinkedIn"/>
    <s v="69400 General &amp; Administrative:G&amp;A - Software Applications &amp; Licenses"/>
    <x v="3"/>
    <x v="10"/>
    <n v="63.59"/>
    <m/>
    <n v="-63.59"/>
    <n v="468389.32999999955"/>
  </r>
  <r>
    <s v="09/08/2025"/>
    <x v="1"/>
    <x v="9"/>
    <s v="Ramp Card"/>
    <m/>
    <s v="Expense"/>
    <s v="Perplexity AI"/>
    <s v="58005 Direct Third Party Costs:Direct Third Party Software License Fees"/>
    <x v="3"/>
    <x v="10"/>
    <n v="21.2"/>
    <m/>
    <n v="-21.2"/>
    <n v="468368.12999999954"/>
  </r>
  <r>
    <s v="09/08/2025"/>
    <x v="1"/>
    <x v="9"/>
    <s v="M&amp;T Operating"/>
    <m/>
    <s v="Transfer"/>
    <m/>
    <s v="10010 M&amp;T Bank - IntraFi Network Sweep"/>
    <x v="0"/>
    <x v="0"/>
    <m/>
    <n v="28508.21"/>
    <n v="28508.21"/>
    <n v="496876.33999999956"/>
  </r>
  <r>
    <s v="09/09/2025"/>
    <x v="1"/>
    <x v="9"/>
    <s v="M&amp;T Operating"/>
    <s v="36603112_35264918"/>
    <s v="Bill Payment"/>
    <s v="Ashley MacArthur ashley@getboss.io USD"/>
    <s v="20005 Accounts Payable"/>
    <x v="3"/>
    <x v="8"/>
    <n v="1230"/>
    <m/>
    <n v="-1230"/>
    <n v="495646.33999999956"/>
  </r>
  <r>
    <s v="09/09/2025"/>
    <x v="1"/>
    <x v="9"/>
    <s v="M&amp;T Operating"/>
    <s v="36603112_35166630"/>
    <s v="Bill Payment"/>
    <s v="Ashley MacArthur ashley@getboss.io USD"/>
    <s v="20005 Accounts Payable"/>
    <x v="3"/>
    <x v="8"/>
    <n v="2250"/>
    <m/>
    <n v="-2250"/>
    <n v="493396.33999999956"/>
  </r>
  <r>
    <s v="09/09/2025"/>
    <x v="1"/>
    <x v="9"/>
    <s v="M&amp;T Operating"/>
    <s v="36603112_35166628"/>
    <s v="Bill Payment"/>
    <s v="Ashley MacArthur ashley@getboss.io USD"/>
    <s v="20005 Accounts Payable"/>
    <x v="3"/>
    <x v="8"/>
    <n v="850"/>
    <m/>
    <n v="-850"/>
    <n v="492546.33999999956"/>
  </r>
  <r>
    <s v="09/09/2025"/>
    <x v="1"/>
    <x v="9"/>
    <s v="M&amp;T Operating"/>
    <s v="36603112_35166627"/>
    <s v="Bill Payment"/>
    <s v="Ashley MacArthur ashley@getboss.io USD"/>
    <s v="20005 Accounts Payable"/>
    <x v="3"/>
    <x v="8"/>
    <n v="967.5"/>
    <m/>
    <n v="-967.5"/>
    <n v="491578.83999999956"/>
  </r>
  <r>
    <s v="09/09/2025"/>
    <x v="1"/>
    <x v="9"/>
    <s v="M&amp;T Operating"/>
    <s v="36603112_36459796"/>
    <s v="Bill Payment"/>
    <s v="Bartosz Juriewicz bartosz.juriewicz@gmail.com USD"/>
    <s v="20005 Accounts Payable"/>
    <x v="4"/>
    <x v="7"/>
    <n v="12950"/>
    <m/>
    <n v="-12950"/>
    <n v="478628.83999999956"/>
  </r>
  <r>
    <s v="09/09/2025"/>
    <x v="1"/>
    <x v="9"/>
    <s v="M&amp;T Operating"/>
    <s v="36603112_36459807"/>
    <s v="Bill Payment"/>
    <s v="Candy Marte Garcia candymartegarcia@gmail.com USD"/>
    <s v="20005 Accounts Payable"/>
    <x v="4"/>
    <x v="7"/>
    <n v="967.5"/>
    <m/>
    <n v="-967.5"/>
    <n v="477661.33999999956"/>
  </r>
  <r>
    <s v="09/09/2025"/>
    <x v="1"/>
    <x v="9"/>
    <s v="M&amp;T Operating"/>
    <s v="36603112_36459822"/>
    <s v="Bill Payment"/>
    <s v="Charles McGuinness charles@mcguinness.ai USD"/>
    <s v="20005 Accounts Payable"/>
    <x v="4"/>
    <x v="9"/>
    <n v="20000"/>
    <m/>
    <n v="-20000"/>
    <n v="457661.33999999956"/>
  </r>
  <r>
    <s v="09/09/2025"/>
    <x v="1"/>
    <x v="9"/>
    <s v="M&amp;T Operating"/>
    <s v="36603112_36459810"/>
    <s v="Bill Payment"/>
    <s v="Dane Kim dane.w.kim@gmail.com USD"/>
    <s v="20005 Accounts Payable"/>
    <x v="4"/>
    <x v="7"/>
    <n v="312.5"/>
    <m/>
    <n v="-312.5"/>
    <n v="457348.83999999956"/>
  </r>
  <r>
    <s v="09/09/2025"/>
    <x v="1"/>
    <x v="9"/>
    <s v="M&amp;T Operating"/>
    <s v="36603112_36417763"/>
    <s v="Bill Payment"/>
    <s v="David Wong david1wong1@gmail.com USD"/>
    <s v="20005 Accounts Payable"/>
    <x v="4"/>
    <x v="9"/>
    <n v="8000"/>
    <m/>
    <n v="-8000"/>
    <n v="449348.83999999956"/>
  </r>
  <r>
    <s v="09/09/2025"/>
    <x v="1"/>
    <x v="9"/>
    <s v="M&amp;T Operating"/>
    <s v="36603112_36603115"/>
    <s v="Bill Payment"/>
    <s v="Deel billing invoices deel@deel.com USD"/>
    <s v="20005 Accounts Payable"/>
    <x v="3"/>
    <x v="10"/>
    <n v="5"/>
    <m/>
    <n v="-5"/>
    <n v="449343.83999999956"/>
  </r>
  <r>
    <s v="09/09/2025"/>
    <x v="1"/>
    <x v="9"/>
    <s v="M&amp;T Operating"/>
    <s v="36603112_35244313"/>
    <s v="Bill Payment"/>
    <s v="Deel billing invoices deel@deel.com USD"/>
    <s v="20005 Accounts Payable"/>
    <x v="3"/>
    <x v="10"/>
    <n v="49"/>
    <m/>
    <n v="-49"/>
    <n v="449294.83999999956"/>
  </r>
  <r>
    <s v="09/09/2025"/>
    <x v="1"/>
    <x v="9"/>
    <s v="M&amp;T Operating"/>
    <s v="36603112_35164738"/>
    <s v="Bill Payment"/>
    <s v="Deel billing invoices deel@deel.com USD"/>
    <s v="20005 Accounts Payable"/>
    <x v="3"/>
    <x v="10"/>
    <n v="49"/>
    <m/>
    <n v="-49"/>
    <n v="449245.83999999956"/>
  </r>
  <r>
    <s v="09/09/2025"/>
    <x v="1"/>
    <x v="9"/>
    <s v="M&amp;T Operating"/>
    <s v="36603112_35164679"/>
    <s v="Bill Payment"/>
    <s v="Deel billing invoices deel@deel.com USD"/>
    <s v="20005 Accounts Payable"/>
    <x v="3"/>
    <x v="10"/>
    <n v="49"/>
    <m/>
    <n v="-49"/>
    <n v="449196.83999999956"/>
  </r>
  <r>
    <s v="09/09/2025"/>
    <x v="1"/>
    <x v="9"/>
    <s v="M&amp;T Operating"/>
    <s v="36603112_35106419"/>
    <s v="Bill Payment"/>
    <s v="Deel billing invoices deel@deel.com USD"/>
    <s v="20005 Accounts Payable"/>
    <x v="3"/>
    <x v="10"/>
    <n v="49"/>
    <m/>
    <n v="-49"/>
    <n v="449147.83999999956"/>
  </r>
  <r>
    <s v="09/09/2025"/>
    <x v="1"/>
    <x v="9"/>
    <s v="M&amp;T Operating"/>
    <s v="36603112_35096489"/>
    <s v="Bill Payment"/>
    <s v="Deel billing invoices deel@deel.com USD"/>
    <s v="20005 Accounts Payable"/>
    <x v="3"/>
    <x v="10"/>
    <n v="49"/>
    <m/>
    <n v="-49"/>
    <n v="449098.83999999956"/>
  </r>
  <r>
    <s v="09/09/2025"/>
    <x v="1"/>
    <x v="9"/>
    <s v="M&amp;T Operating"/>
    <s v="36603112_35059316"/>
    <s v="Bill Payment"/>
    <s v="Deel billing invoices deel@deel.com USD"/>
    <s v="20005 Accounts Payable"/>
    <x v="3"/>
    <x v="10"/>
    <n v="49"/>
    <m/>
    <n v="-49"/>
    <n v="449049.83999999956"/>
  </r>
  <r>
    <s v="09/09/2025"/>
    <x v="1"/>
    <x v="9"/>
    <s v="M&amp;T Operating"/>
    <s v="36603112_35059295"/>
    <s v="Bill Payment"/>
    <s v="Deel billing invoices deel@deel.com USD"/>
    <s v="20005 Accounts Payable"/>
    <x v="3"/>
    <x v="10"/>
    <n v="49"/>
    <m/>
    <n v="-49"/>
    <n v="449000.83999999956"/>
  </r>
  <r>
    <s v="09/09/2025"/>
    <x v="1"/>
    <x v="9"/>
    <s v="M&amp;T Operating"/>
    <s v="36603112_35051379"/>
    <s v="Bill Payment"/>
    <s v="Deel billing invoices deel@deel.com USD"/>
    <s v="20005 Accounts Payable"/>
    <x v="3"/>
    <x v="10"/>
    <n v="49"/>
    <m/>
    <n v="-49"/>
    <n v="448951.83999999956"/>
  </r>
  <r>
    <s v="09/09/2025"/>
    <x v="1"/>
    <x v="9"/>
    <s v="M&amp;T Operating"/>
    <s v="36603112_35043997"/>
    <s v="Bill Payment"/>
    <s v="Deel billing invoices deel@deel.com USD"/>
    <s v="20005 Accounts Payable"/>
    <x v="3"/>
    <x v="10"/>
    <n v="49"/>
    <m/>
    <n v="-49"/>
    <n v="448902.83999999956"/>
  </r>
  <r>
    <s v="09/09/2025"/>
    <x v="1"/>
    <x v="9"/>
    <s v="M&amp;T Operating"/>
    <s v="36603112_35037498"/>
    <s v="Bill Payment"/>
    <s v="Deel billing invoices deel@deel.com USD"/>
    <s v="20005 Accounts Payable"/>
    <x v="3"/>
    <x v="10"/>
    <n v="49"/>
    <m/>
    <n v="-49"/>
    <n v="448853.83999999956"/>
  </r>
  <r>
    <s v="09/09/2025"/>
    <x v="1"/>
    <x v="9"/>
    <s v="M&amp;T Operating"/>
    <s v="36603112_35036443"/>
    <s v="Bill Payment"/>
    <s v="Deel billing invoices deel@deel.com USD"/>
    <s v="20005 Accounts Payable"/>
    <x v="3"/>
    <x v="10"/>
    <n v="49"/>
    <m/>
    <n v="-49"/>
    <n v="448804.83999999956"/>
  </r>
  <r>
    <s v="09/09/2025"/>
    <x v="1"/>
    <x v="9"/>
    <s v="M&amp;T Operating"/>
    <s v="36603112_35033442"/>
    <s v="Bill Payment"/>
    <s v="Deel billing invoices deel@deel.com USD"/>
    <s v="20005 Accounts Payable"/>
    <x v="3"/>
    <x v="10"/>
    <n v="49"/>
    <m/>
    <n v="-49"/>
    <n v="448755.83999999956"/>
  </r>
  <r>
    <s v="09/09/2025"/>
    <x v="1"/>
    <x v="9"/>
    <s v="M&amp;T Operating"/>
    <s v="36603112_35015144"/>
    <s v="Bill Payment"/>
    <s v="Deel billing invoices deel@deel.com USD"/>
    <s v="20005 Accounts Payable"/>
    <x v="3"/>
    <x v="10"/>
    <n v="49"/>
    <m/>
    <n v="-49"/>
    <n v="448706.83999999956"/>
  </r>
  <r>
    <s v="09/09/2025"/>
    <x v="1"/>
    <x v="9"/>
    <s v="M&amp;T Operating"/>
    <s v="36603112_34999107"/>
    <s v="Bill Payment"/>
    <s v="Deel billing invoices deel@deel.com USD"/>
    <s v="20005 Accounts Payable"/>
    <x v="3"/>
    <x v="10"/>
    <n v="49"/>
    <m/>
    <n v="-49"/>
    <n v="448657.83999999956"/>
  </r>
  <r>
    <s v="09/09/2025"/>
    <x v="1"/>
    <x v="9"/>
    <s v="M&amp;T Operating"/>
    <s v="36603112_34992547"/>
    <s v="Bill Payment"/>
    <s v="Deel billing invoices deel@deel.com USD"/>
    <s v="20005 Accounts Payable"/>
    <x v="3"/>
    <x v="10"/>
    <n v="49"/>
    <m/>
    <n v="-49"/>
    <n v="448608.83999999956"/>
  </r>
  <r>
    <s v="09/09/2025"/>
    <x v="1"/>
    <x v="9"/>
    <s v="M&amp;T Operating"/>
    <s v="36603112_34983957"/>
    <s v="Bill Payment"/>
    <s v="Deel billing invoices deel@deel.com USD"/>
    <s v="20005 Accounts Payable"/>
    <x v="3"/>
    <x v="10"/>
    <n v="49"/>
    <m/>
    <n v="-49"/>
    <n v="448559.83999999956"/>
  </r>
  <r>
    <s v="09/09/2025"/>
    <x v="1"/>
    <x v="9"/>
    <s v="M&amp;T Operating"/>
    <s v="36603112_34983951"/>
    <s v="Bill Payment"/>
    <s v="Deel billing invoices deel@deel.com USD"/>
    <s v="20005 Accounts Payable"/>
    <x v="3"/>
    <x v="10"/>
    <n v="49"/>
    <m/>
    <n v="-49"/>
    <n v="448510.83999999956"/>
  </r>
  <r>
    <s v="09/09/2025"/>
    <x v="1"/>
    <x v="9"/>
    <s v="M&amp;T Operating"/>
    <s v="36603112_34981551"/>
    <s v="Bill Payment"/>
    <s v="Deel billing invoices deel@deel.com USD"/>
    <s v="20005 Accounts Payable"/>
    <x v="3"/>
    <x v="10"/>
    <n v="49"/>
    <m/>
    <n v="-49"/>
    <n v="448461.83999999956"/>
  </r>
  <r>
    <s v="09/09/2025"/>
    <x v="1"/>
    <x v="9"/>
    <s v="M&amp;T Operating"/>
    <s v="36603112_34966460"/>
    <s v="Bill Payment"/>
    <s v="Deel billing invoices deel@deel.com USD"/>
    <s v="20005 Accounts Payable"/>
    <x v="3"/>
    <x v="10"/>
    <n v="49"/>
    <m/>
    <n v="-49"/>
    <n v="448412.83999999956"/>
  </r>
  <r>
    <s v="09/09/2025"/>
    <x v="1"/>
    <x v="9"/>
    <s v="M&amp;T Operating"/>
    <s v="36603112_34965375"/>
    <s v="Bill Payment"/>
    <s v="Deel billing invoices deel@deel.com USD"/>
    <s v="20005 Accounts Payable"/>
    <x v="3"/>
    <x v="10"/>
    <n v="49"/>
    <m/>
    <n v="-49"/>
    <n v="448363.83999999956"/>
  </r>
  <r>
    <s v="09/09/2025"/>
    <x v="1"/>
    <x v="9"/>
    <s v="M&amp;T Operating"/>
    <s v="36603112_34952736"/>
    <s v="Bill Payment"/>
    <s v="Deel billing invoices deel@deel.com USD"/>
    <s v="20005 Accounts Payable"/>
    <x v="3"/>
    <x v="10"/>
    <n v="49"/>
    <m/>
    <n v="-49"/>
    <n v="448314.83999999956"/>
  </r>
  <r>
    <s v="09/09/2025"/>
    <x v="1"/>
    <x v="9"/>
    <s v="M&amp;T Operating"/>
    <s v="36603112_34950909"/>
    <s v="Bill Payment"/>
    <s v="Deel billing invoices deel@deel.com USD"/>
    <s v="20005 Accounts Payable"/>
    <x v="3"/>
    <x v="10"/>
    <n v="49"/>
    <m/>
    <n v="-49"/>
    <n v="448265.83999999956"/>
  </r>
  <r>
    <s v="09/09/2025"/>
    <x v="1"/>
    <x v="9"/>
    <s v="M&amp;T Operating"/>
    <s v="36603112_34950829"/>
    <s v="Bill Payment"/>
    <s v="Deel billing invoices deel@deel.com USD"/>
    <s v="20005 Accounts Payable"/>
    <x v="3"/>
    <x v="10"/>
    <n v="49"/>
    <m/>
    <n v="-49"/>
    <n v="448216.83999999956"/>
  </r>
  <r>
    <s v="09/09/2025"/>
    <x v="1"/>
    <x v="9"/>
    <s v="M&amp;T Operating"/>
    <s v="36603112_34946362"/>
    <s v="Bill Payment"/>
    <s v="Deel billing invoices deel@deel.com USD"/>
    <s v="20005 Accounts Payable"/>
    <x v="3"/>
    <x v="10"/>
    <n v="49"/>
    <m/>
    <n v="-49"/>
    <n v="448167.83999999956"/>
  </r>
  <r>
    <s v="09/09/2025"/>
    <x v="1"/>
    <x v="9"/>
    <s v="M&amp;T Operating"/>
    <s v="36603112_34937652"/>
    <s v="Bill Payment"/>
    <s v="Deel billing invoices deel@deel.com USD"/>
    <s v="20005 Accounts Payable"/>
    <x v="3"/>
    <x v="10"/>
    <n v="49"/>
    <m/>
    <n v="-49"/>
    <n v="448118.83999999956"/>
  </r>
  <r>
    <s v="09/09/2025"/>
    <x v="1"/>
    <x v="9"/>
    <s v="M&amp;T Operating"/>
    <s v="36603112_34922917"/>
    <s v="Bill Payment"/>
    <s v="Deel billing invoices deel@deel.com USD"/>
    <s v="20005 Accounts Payable"/>
    <x v="3"/>
    <x v="10"/>
    <n v="49"/>
    <m/>
    <n v="-49"/>
    <n v="448069.83999999956"/>
  </r>
  <r>
    <s v="09/09/2025"/>
    <x v="1"/>
    <x v="9"/>
    <s v="M&amp;T Operating"/>
    <s v="36603112_34921340"/>
    <s v="Bill Payment"/>
    <s v="Deel billing invoices deel@deel.com USD"/>
    <s v="20005 Accounts Payable"/>
    <x v="3"/>
    <x v="10"/>
    <n v="49"/>
    <m/>
    <n v="-49"/>
    <n v="448020.83999999956"/>
  </r>
  <r>
    <s v="09/09/2025"/>
    <x v="1"/>
    <x v="9"/>
    <s v="M&amp;T Operating"/>
    <s v="36603112_34921334"/>
    <s v="Bill Payment"/>
    <s v="Deel billing invoices deel@deel.com USD"/>
    <s v="20005 Accounts Payable"/>
    <x v="3"/>
    <x v="10"/>
    <n v="49"/>
    <m/>
    <n v="-49"/>
    <n v="447971.83999999956"/>
  </r>
  <r>
    <s v="09/09/2025"/>
    <x v="1"/>
    <x v="9"/>
    <s v="M&amp;T Operating"/>
    <s v="36603112_34921314"/>
    <s v="Bill Payment"/>
    <s v="Deel billing invoices deel@deel.com USD"/>
    <s v="20005 Accounts Payable"/>
    <x v="3"/>
    <x v="10"/>
    <n v="49"/>
    <m/>
    <n v="-49"/>
    <n v="447922.83999999956"/>
  </r>
  <r>
    <s v="09/09/2025"/>
    <x v="1"/>
    <x v="9"/>
    <s v="M&amp;T Operating"/>
    <s v="36603112_34918009"/>
    <s v="Bill Payment"/>
    <s v="Deel billing invoices deel@deel.com USD"/>
    <s v="20005 Accounts Payable"/>
    <x v="3"/>
    <x v="10"/>
    <n v="49"/>
    <m/>
    <n v="-49"/>
    <n v="447873.83999999956"/>
  </r>
  <r>
    <s v="09/09/2025"/>
    <x v="1"/>
    <x v="9"/>
    <s v="M&amp;T Operating"/>
    <s v="36603112_34917786"/>
    <s v="Bill Payment"/>
    <s v="Deel billing invoices deel@deel.com USD"/>
    <s v="20005 Accounts Payable"/>
    <x v="3"/>
    <x v="10"/>
    <n v="49"/>
    <m/>
    <n v="-49"/>
    <n v="447824.83999999956"/>
  </r>
  <r>
    <s v="09/09/2025"/>
    <x v="1"/>
    <x v="9"/>
    <s v="M&amp;T Operating"/>
    <s v="36603112_34917783"/>
    <s v="Bill Payment"/>
    <s v="Deel billing invoices deel@deel.com USD"/>
    <s v="20005 Accounts Payable"/>
    <x v="3"/>
    <x v="10"/>
    <n v="49"/>
    <m/>
    <n v="-49"/>
    <n v="447775.83999999956"/>
  </r>
  <r>
    <s v="09/09/2025"/>
    <x v="1"/>
    <x v="9"/>
    <s v="M&amp;T Operating"/>
    <s v="36603112_34915922"/>
    <s v="Bill Payment"/>
    <s v="Deel billing invoices deel@deel.com USD"/>
    <s v="20005 Accounts Payable"/>
    <x v="3"/>
    <x v="10"/>
    <n v="49"/>
    <m/>
    <n v="-49"/>
    <n v="447726.83999999956"/>
  </r>
  <r>
    <s v="09/09/2025"/>
    <x v="1"/>
    <x v="9"/>
    <s v="M&amp;T Operating"/>
    <s v="36603112_35351175"/>
    <s v="Bill Payment"/>
    <s v="Duane Nelson duanen@gmail.com USD"/>
    <s v="20005 Accounts Payable"/>
    <x v="4"/>
    <x v="9"/>
    <n v="2012.5"/>
    <m/>
    <n v="-2012.5"/>
    <n v="445714.33999999956"/>
  </r>
  <r>
    <s v="09/09/2025"/>
    <x v="1"/>
    <x v="9"/>
    <s v="M&amp;T Operating"/>
    <s v="11500"/>
    <s v="Payment"/>
    <s v="Federation of State Massage Therapy Boards (FSMTB):Federation of State Massage Therapy Boards (FSMTB) - Scope B"/>
    <s v="11005 Accounts Receivable"/>
    <x v="2"/>
    <x v="2"/>
    <m/>
    <n v="30000"/>
    <n v="30000"/>
    <n v="475714.33999999956"/>
  </r>
  <r>
    <s v="09/09/2025"/>
    <x v="1"/>
    <x v="9"/>
    <s v="Ramp Card"/>
    <m/>
    <s v="Expense"/>
    <s v="Firecrawl"/>
    <s v="58005 Direct Third Party Costs:Direct Third Party Software License Fees"/>
    <x v="4"/>
    <x v="19"/>
    <n v="99"/>
    <m/>
    <n v="-99"/>
    <n v="475615.33999999956"/>
  </r>
  <r>
    <s v="09/09/2025"/>
    <x v="1"/>
    <x v="9"/>
    <s v="M&amp;T Operating"/>
    <s v="36603112_36413333"/>
    <s v="Bill Payment"/>
    <s v="Focus Fractional LLC"/>
    <s v="20005 Accounts Payable"/>
    <x v="3"/>
    <x v="8"/>
    <n v="20583.330000000002"/>
    <m/>
    <n v="-20583.330000000002"/>
    <n v="455032.00999999954"/>
  </r>
  <r>
    <s v="09/09/2025"/>
    <x v="1"/>
    <x v="9"/>
    <s v="M&amp;T Operating"/>
    <s v="36603112_35219815"/>
    <s v="Bill Payment"/>
    <s v="Focus Fractional LLC"/>
    <s v="20005 Accounts Payable"/>
    <x v="3"/>
    <x v="8"/>
    <n v="1402.5"/>
    <m/>
    <n v="-1402.5"/>
    <n v="453629.50999999954"/>
  </r>
  <r>
    <s v="09/09/2025"/>
    <x v="1"/>
    <x v="9"/>
    <s v="M&amp;T Operating"/>
    <s v="36603112_36494719"/>
    <s v="Bill Payment"/>
    <s v="Herbert Donald Edwards don.edwards01@gmail.com USD"/>
    <s v="20005 Accounts Payable"/>
    <x v="4"/>
    <x v="7"/>
    <n v="8362.5"/>
    <m/>
    <n v="-8362.5"/>
    <n v="445267.00999999954"/>
  </r>
  <r>
    <s v="09/09/2025"/>
    <x v="1"/>
    <x v="9"/>
    <s v="M&amp;T Operating"/>
    <s v="36603112_36413337"/>
    <s v="Bill Payment"/>
    <s v="Joseph Mallek joe@nimblefire.com USD"/>
    <s v="20005 Accounts Payable"/>
    <x v="4"/>
    <x v="9"/>
    <n v="10000"/>
    <m/>
    <n v="-10000"/>
    <n v="435267.00999999954"/>
  </r>
  <r>
    <s v="09/09/2025"/>
    <x v="1"/>
    <x v="9"/>
    <s v="Ramp Card"/>
    <m/>
    <s v="Expense"/>
    <s v="Loom"/>
    <s v="64400 AppIQ - Sales:AppIQ - Sales - Software Applications &amp; Licenses"/>
    <x v="3"/>
    <x v="10"/>
    <n v="24"/>
    <m/>
    <n v="-24"/>
    <n v="435243.00999999954"/>
  </r>
  <r>
    <s v="09/09/2025"/>
    <x v="1"/>
    <x v="9"/>
    <s v="M&amp;T Operating"/>
    <m/>
    <s v="Expense"/>
    <s v="M&amp;T Bank"/>
    <s v="69805 General &amp; Administrative:G&amp;A - Bank Fees"/>
    <x v="0"/>
    <x v="6"/>
    <n v="309.17"/>
    <m/>
    <n v="-309.17"/>
    <n v="434933.83999999956"/>
  </r>
  <r>
    <s v="09/09/2025"/>
    <x v="1"/>
    <x v="9"/>
    <s v="M&amp;T Operating"/>
    <s v="36603112_36459808"/>
    <s v="Bill Payment"/>
    <s v="McMax LLC"/>
    <s v="20005 Accounts Payable"/>
    <x v="4"/>
    <x v="7"/>
    <n v="3250"/>
    <m/>
    <n v="-3250"/>
    <n v="431683.83999999956"/>
  </r>
  <r>
    <s v="09/09/2025"/>
    <x v="1"/>
    <x v="9"/>
    <s v="M&amp;T Operating"/>
    <m/>
    <s v="Deposit"/>
    <s v="NYS DTF"/>
    <s v="69125 General &amp; Administrative:G&amp;A - Payroll Tax"/>
    <x v="3"/>
    <x v="20"/>
    <m/>
    <n v="32"/>
    <n v="32"/>
    <n v="431715.83999999956"/>
  </r>
  <r>
    <s v="09/09/2025"/>
    <x v="1"/>
    <x v="9"/>
    <s v="M&amp;T Operating"/>
    <s v="36603112_35825669"/>
    <s v="Bill Payment"/>
    <s v="Pedro Rubio pedro@blackfyre.app USD"/>
    <s v="20005 Accounts Payable"/>
    <x v="4"/>
    <x v="9"/>
    <n v="4050"/>
    <m/>
    <n v="-4050"/>
    <n v="427665.83999999956"/>
  </r>
  <r>
    <s v="09/09/2025"/>
    <x v="1"/>
    <x v="9"/>
    <s v="M&amp;T Operating"/>
    <s v="36603112_35198829"/>
    <s v="Bill Payment"/>
    <s v="Pedro Rubio pedro@blackfyre.app USD"/>
    <s v="20005 Accounts Payable"/>
    <x v="4"/>
    <x v="9"/>
    <n v="199"/>
    <m/>
    <n v="-199"/>
    <n v="427466.83999999956"/>
  </r>
  <r>
    <s v="09/09/2025"/>
    <x v="1"/>
    <x v="9"/>
    <s v="M&amp;T Operating"/>
    <s v="36603112_35133445"/>
    <s v="Bill Payment"/>
    <s v="Phoenix Perkins phoenixperkins0@gmail.com USD"/>
    <s v="20005 Accounts Payable"/>
    <x v="4"/>
    <x v="9"/>
    <n v="1140"/>
    <m/>
    <n v="-1140"/>
    <n v="426326.83999999956"/>
  </r>
  <r>
    <s v="09/09/2025"/>
    <x v="1"/>
    <x v="9"/>
    <s v="M&amp;T Operating"/>
    <s v="36603112_36411839"/>
    <s v="Bill Payment"/>
    <s v="Prasanna Patel prasanna.patel@xtransmatrix.com USD"/>
    <s v="20005 Accounts Payable"/>
    <x v="4"/>
    <x v="9"/>
    <n v="3360"/>
    <m/>
    <n v="-3360"/>
    <n v="422966.83999999956"/>
  </r>
  <r>
    <s v="09/09/2025"/>
    <x v="1"/>
    <x v="9"/>
    <s v="M&amp;T Operating"/>
    <s v="36603112_36411838"/>
    <s v="Bill Payment"/>
    <s v="Prasanna Patel prasanna.patel@xtransmatrix.com USD"/>
    <s v="20005 Accounts Payable"/>
    <x v="4"/>
    <x v="9"/>
    <n v="5880"/>
    <m/>
    <n v="-5880"/>
    <n v="417086.83999999956"/>
  </r>
  <r>
    <s v="09/09/2025"/>
    <x v="1"/>
    <x v="9"/>
    <s v="M&amp;T Operating"/>
    <m/>
    <s v="Bill Payment"/>
    <s v="Ray Der (ray@synaptic.build)"/>
    <s v="20005 Accounts Payable"/>
    <x v="3"/>
    <x v="4"/>
    <n v="90"/>
    <m/>
    <n v="-90"/>
    <n v="416996.83999999956"/>
  </r>
  <r>
    <s v="09/09/2025"/>
    <x v="1"/>
    <x v="9"/>
    <s v="M&amp;T Operating"/>
    <m/>
    <s v="Bill Payment"/>
    <s v="Ray Der (ray@synaptic.build)"/>
    <s v="20005 Accounts Payable"/>
    <x v="3"/>
    <x v="4"/>
    <n v="60"/>
    <m/>
    <n v="-60"/>
    <n v="416936.83999999956"/>
  </r>
  <r>
    <s v="09/09/2025"/>
    <x v="1"/>
    <x v="9"/>
    <s v="M&amp;T Operating"/>
    <s v="36603112_35191399"/>
    <s v="Bill Payment"/>
    <s v="Resolute Creative Group, LLC"/>
    <s v="20005 Accounts Payable"/>
    <x v="4"/>
    <x v="7"/>
    <n v="62.5"/>
    <m/>
    <n v="-62.5"/>
    <n v="416874.33999999956"/>
  </r>
  <r>
    <s v="09/09/2025"/>
    <x v="1"/>
    <x v="9"/>
    <s v="M&amp;T Operating"/>
    <s v="36603112_36603044"/>
    <s v="Bill Payment"/>
    <s v="SALESFORCE CRM CONSULTING PTY LTD"/>
    <s v="20005 Accounts Payable"/>
    <x v="4"/>
    <x v="7"/>
    <n v="6732"/>
    <m/>
    <n v="-6732"/>
    <n v="410142.33999999956"/>
  </r>
  <r>
    <s v="09/09/2025"/>
    <x v="1"/>
    <x v="9"/>
    <s v="M&amp;T Operating"/>
    <s v="36603112_36495207"/>
    <s v="Bill Payment"/>
    <s v="SALESFORCE CRM CONSULTING PTY LTD"/>
    <s v="20005 Accounts Payable"/>
    <x v="4"/>
    <x v="7"/>
    <n v="140"/>
    <m/>
    <n v="-140"/>
    <n v="410002.33999999956"/>
  </r>
  <r>
    <s v="09/09/2025"/>
    <x v="1"/>
    <x v="9"/>
    <s v="M&amp;T Operating"/>
    <s v="36603112_36494592"/>
    <s v="Bill Payment"/>
    <s v="SALESFORCE CRM CONSULTING PTY LTD"/>
    <s v="20005 Accounts Payable"/>
    <x v="4"/>
    <x v="7"/>
    <n v="198"/>
    <m/>
    <n v="-198"/>
    <n v="409804.33999999956"/>
  </r>
  <r>
    <s v="09/09/2025"/>
    <x v="1"/>
    <x v="9"/>
    <s v="M&amp;T Operating"/>
    <s v="36603112_36493862"/>
    <s v="Bill Payment"/>
    <s v="SALESFORCE CRM CONSULTING PTY LTD"/>
    <s v="20005 Accounts Payable"/>
    <x v="4"/>
    <x v="7"/>
    <n v="10"/>
    <m/>
    <n v="-10"/>
    <n v="409794.33999999956"/>
  </r>
  <r>
    <s v="09/09/2025"/>
    <x v="1"/>
    <x v="9"/>
    <s v="M&amp;T Operating"/>
    <s v="36603112_36493861"/>
    <s v="Bill Payment"/>
    <s v="SALESFORCE CRM CONSULTING PTY LTD"/>
    <s v="20005 Accounts Payable"/>
    <x v="4"/>
    <x v="7"/>
    <n v="481.25"/>
    <m/>
    <n v="-481.25"/>
    <n v="409313.08999999956"/>
  </r>
  <r>
    <s v="09/09/2025"/>
    <x v="1"/>
    <x v="9"/>
    <s v="M&amp;T Operating"/>
    <s v="36603112_36493788"/>
    <s v="Bill Payment"/>
    <s v="SALESFORCE CRM CONSULTING PTY LTD"/>
    <s v="20005 Accounts Payable"/>
    <x v="4"/>
    <x v="7"/>
    <n v="7245"/>
    <m/>
    <n v="-7245"/>
    <n v="402068.08999999956"/>
  </r>
  <r>
    <s v="09/09/2025"/>
    <x v="1"/>
    <x v="9"/>
    <s v="M&amp;T Operating"/>
    <s v="36603112_36493728"/>
    <s v="Bill Payment"/>
    <s v="SALESFORCE CRM CONSULTING PTY LTD"/>
    <s v="20005 Accounts Payable"/>
    <x v="4"/>
    <x v="7"/>
    <n v="220"/>
    <m/>
    <n v="-220"/>
    <n v="401848.08999999956"/>
  </r>
  <r>
    <s v="09/09/2025"/>
    <x v="1"/>
    <x v="9"/>
    <s v="M&amp;T Operating"/>
    <s v="36603112_36493709"/>
    <s v="Bill Payment"/>
    <s v="SALESFORCE CRM CONSULTING PTY LTD"/>
    <s v="20005 Accounts Payable"/>
    <x v="4"/>
    <x v="7"/>
    <n v="4536"/>
    <m/>
    <n v="-4536"/>
    <n v="397312.08999999956"/>
  </r>
  <r>
    <s v="09/09/2025"/>
    <x v="1"/>
    <x v="9"/>
    <s v="M&amp;T Operating"/>
    <s v="36603112_36493676"/>
    <s v="Bill Payment"/>
    <s v="SALESFORCE CRM CONSULTING PTY LTD"/>
    <s v="20005 Accounts Payable"/>
    <x v="4"/>
    <x v="7"/>
    <n v="1610"/>
    <m/>
    <n v="-1610"/>
    <n v="395702.08999999956"/>
  </r>
  <r>
    <s v="09/09/2025"/>
    <x v="1"/>
    <x v="9"/>
    <s v="M&amp;T Operating"/>
    <s v="36603112_36493627"/>
    <s v="Bill Payment"/>
    <s v="SALESFORCE CRM CONSULTING PTY LTD"/>
    <s v="20005 Accounts Payable"/>
    <x v="4"/>
    <x v="7"/>
    <n v="3906"/>
    <m/>
    <n v="-3906"/>
    <n v="391796.08999999956"/>
  </r>
  <r>
    <s v="09/09/2025"/>
    <x v="1"/>
    <x v="9"/>
    <s v="M&amp;T Operating"/>
    <s v="36603112_36493626"/>
    <s v="Bill Payment"/>
    <s v="SALESFORCE CRM CONSULTING PTY LTD"/>
    <s v="20005 Accounts Payable"/>
    <x v="4"/>
    <x v="7"/>
    <n v="2370"/>
    <m/>
    <n v="-2370"/>
    <n v="389426.08999999956"/>
  </r>
  <r>
    <s v="09/09/2025"/>
    <x v="1"/>
    <x v="9"/>
    <s v="M&amp;T Operating"/>
    <s v="36603112_36493605"/>
    <s v="Bill Payment"/>
    <s v="SALESFORCE CRM CONSULTING PTY LTD"/>
    <s v="20005 Accounts Payable"/>
    <x v="4"/>
    <x v="7"/>
    <n v="25"/>
    <m/>
    <n v="-25"/>
    <n v="389401.08999999956"/>
  </r>
  <r>
    <s v="09/09/2025"/>
    <x v="1"/>
    <x v="9"/>
    <s v="M&amp;T Operating"/>
    <s v="36603112_35196579"/>
    <s v="Bill Payment"/>
    <s v="Shazib Mahmood shazibm91@gmail.com USD"/>
    <s v="20005 Accounts Payable"/>
    <x v="4"/>
    <x v="7"/>
    <n v="18544"/>
    <m/>
    <n v="-18544"/>
    <n v="370857.08999999956"/>
  </r>
  <r>
    <s v="09/09/2025"/>
    <x v="1"/>
    <x v="9"/>
    <s v="M&amp;T Operating"/>
    <m/>
    <s v="Transfer"/>
    <m/>
    <s v="10010 M&amp;T Bank - IntraFi Network Sweep"/>
    <x v="0"/>
    <x v="0"/>
    <m/>
    <n v="155503.25"/>
    <n v="155503.25"/>
    <n v="526360.33999999962"/>
  </r>
  <r>
    <s v="09/10/2025"/>
    <x v="1"/>
    <x v="9"/>
    <s v="M&amp;T Operating"/>
    <m/>
    <s v="Bill Payment"/>
    <s v="Brenna Hawley-Craig (brenna@synaptic.build)"/>
    <s v="20005 Accounts Payable"/>
    <x v="3"/>
    <x v="4"/>
    <n v="30"/>
    <m/>
    <n v="-30"/>
    <n v="526330.33999999962"/>
  </r>
  <r>
    <s v="09/10/2025"/>
    <x v="1"/>
    <x v="9"/>
    <s v="Ramp Card"/>
    <m/>
    <s v="Expense"/>
    <s v="OpenAI"/>
    <s v="69400 General &amp; Administrative:G&amp;A - Software Applications &amp; Licenses"/>
    <x v="3"/>
    <x v="10"/>
    <n v="212"/>
    <m/>
    <n v="-212"/>
    <n v="526118.33999999962"/>
  </r>
  <r>
    <s v="09/10/2025"/>
    <x v="1"/>
    <x v="9"/>
    <s v="M&amp;T Operating"/>
    <m/>
    <s v="Transfer"/>
    <m/>
    <s v="10010 M&amp;T Bank - IntraFi Network Sweep"/>
    <x v="0"/>
    <x v="0"/>
    <n v="29607"/>
    <m/>
    <n v="-29607"/>
    <n v="496511.33999999962"/>
  </r>
  <r>
    <s v="09/11/2025"/>
    <x v="1"/>
    <x v="9"/>
    <s v="M&amp;T Operating"/>
    <m/>
    <s v="Expense"/>
    <s v="Bancorpsv (Benefit Deduction)"/>
    <s v="22335 Accrued Expenses:Accrued Expenses - Bancorpsv Clearing"/>
    <x v="1"/>
    <x v="1"/>
    <n v="25"/>
    <m/>
    <n v="-25"/>
    <n v="496486.33999999962"/>
  </r>
  <r>
    <s v="09/11/2025"/>
    <x v="1"/>
    <x v="9"/>
    <s v="Ramp Card"/>
    <m/>
    <s v="Expense"/>
    <s v="OpenAI"/>
    <s v="51400 Classic COGS - Delivery:Classic COGS - Delivery - Software Applications &amp; Licenses"/>
    <x v="3"/>
    <x v="10"/>
    <n v="21.2"/>
    <m/>
    <n v="-21.2"/>
    <n v="496465.13999999961"/>
  </r>
  <r>
    <s v="09/11/2025"/>
    <x v="1"/>
    <x v="9"/>
    <s v="Ramp Card"/>
    <m/>
    <s v="Expense"/>
    <s v="Uber"/>
    <s v="61500 Classic - Sales:Classic - Sales - Travel"/>
    <x v="3"/>
    <x v="4"/>
    <n v="26.39"/>
    <m/>
    <n v="-26.39"/>
    <n v="496438.74999999959"/>
  </r>
  <r>
    <s v="09/11/2025"/>
    <x v="1"/>
    <x v="9"/>
    <s v="M&amp;T Operating"/>
    <m/>
    <s v="Transfer"/>
    <m/>
    <s v="10010 M&amp;T Bank - IntraFi Network Sweep"/>
    <x v="0"/>
    <x v="0"/>
    <m/>
    <n v="55"/>
    <n v="55"/>
    <n v="496493.74999999959"/>
  </r>
  <r>
    <s v="09/12/2025"/>
    <x v="1"/>
    <x v="9"/>
    <s v="Ramp Card"/>
    <m/>
    <s v="Expense"/>
    <s v="Allianz Travel Insurance"/>
    <s v="61500 Classic - Sales:Classic - Sales - Travel"/>
    <x v="3"/>
    <x v="4"/>
    <n v="49.53"/>
    <m/>
    <n v="-49.53"/>
    <n v="496444.21999999956"/>
  </r>
  <r>
    <s v="09/12/2025"/>
    <x v="1"/>
    <x v="9"/>
    <s v="Ramp Card"/>
    <m/>
    <s v="Expense"/>
    <s v="American Airlines"/>
    <s v="61500 Classic - Sales:Classic - Sales - Travel"/>
    <x v="3"/>
    <x v="4"/>
    <n v="611.42999999999995"/>
    <m/>
    <n v="-611.42999999999995"/>
    <n v="495832.78999999957"/>
  </r>
  <r>
    <s v="09/12/2025"/>
    <x v="1"/>
    <x v="9"/>
    <s v="Ramp Card"/>
    <m/>
    <s v="Expense"/>
    <s v="Atlassian"/>
    <s v="69400 General &amp; Administrative:G&amp;A - Software Applications &amp; Licenses"/>
    <x v="3"/>
    <x v="10"/>
    <n v="1114.67"/>
    <m/>
    <n v="-1114.67"/>
    <n v="494718.11999999959"/>
  </r>
  <r>
    <s v="09/12/2025"/>
    <x v="1"/>
    <x v="9"/>
    <s v="Ramp Card"/>
    <m/>
    <s v="Expense"/>
    <s v="Best Buy"/>
    <s v="61405 Classic - Sales:Classic - Sales - Telecom, Internet &amp; Hardware"/>
    <x v="3"/>
    <x v="15"/>
    <n v="48.14"/>
    <m/>
    <n v="-48.14"/>
    <n v="494669.97999999957"/>
  </r>
  <r>
    <s v="09/12/2025"/>
    <x v="1"/>
    <x v="9"/>
    <s v="Ramp Card"/>
    <m/>
    <s v="Expense"/>
    <s v="Cookiebot"/>
    <s v="69400 General &amp; Administrative:G&amp;A - Software Applications &amp; Licenses"/>
    <x v="3"/>
    <x v="10"/>
    <n v="34"/>
    <m/>
    <n v="-34"/>
    <n v="494635.97999999957"/>
  </r>
  <r>
    <s v="09/12/2025"/>
    <x v="1"/>
    <x v="9"/>
    <s v="Ramp Card"/>
    <m/>
    <s v="Expense"/>
    <s v="OpenAI"/>
    <s v="69400 General &amp; Administrative:G&amp;A - Software Applications &amp; Licenses"/>
    <x v="3"/>
    <x v="10"/>
    <n v="200"/>
    <m/>
    <n v="-200"/>
    <n v="494435.97999999957"/>
  </r>
  <r>
    <s v="09/12/2025"/>
    <x v="1"/>
    <x v="9"/>
    <s v="M&amp;T Operating"/>
    <m/>
    <s v="Expense"/>
    <s v="Paylocity"/>
    <s v="22205 Accrued Expenses:Accrued Expenses - Payroll"/>
    <x v="1"/>
    <x v="1"/>
    <n v="999.5"/>
    <m/>
    <n v="-999.5"/>
    <n v="493436.47999999957"/>
  </r>
  <r>
    <s v="09/12/2025"/>
    <x v="1"/>
    <x v="9"/>
    <s v="M&amp;T Operating"/>
    <m/>
    <s v="Expense"/>
    <s v="Paylocity"/>
    <s v="22205 Accrued Expenses:Accrued Expenses - Payroll"/>
    <x v="1"/>
    <x v="12"/>
    <n v="74366.210000000006"/>
    <m/>
    <n v="-74366.210000000006"/>
    <n v="419070.26999999955"/>
  </r>
  <r>
    <s v="09/12/2025"/>
    <x v="1"/>
    <x v="9"/>
    <s v="M&amp;T Operating"/>
    <m/>
    <s v="Expense"/>
    <s v="Paylocity"/>
    <s v="22205 Accrued Expenses:Accrued Expenses - Payroll"/>
    <x v="1"/>
    <x v="11"/>
    <n v="37445.85"/>
    <m/>
    <n v="-37445.85"/>
    <n v="381624.41999999958"/>
  </r>
  <r>
    <s v="09/12/2025"/>
    <x v="1"/>
    <x v="9"/>
    <s v="Ramp Card"/>
    <m/>
    <s v="Expense"/>
    <s v="Vidyard"/>
    <s v="65400 AppIQ - Marketing:AppIQ - Marketing - Software Applications &amp; Licenses"/>
    <x v="3"/>
    <x v="10"/>
    <n v="29"/>
    <m/>
    <n v="-29"/>
    <n v="381595.41999999958"/>
  </r>
  <r>
    <s v="09/12/2025"/>
    <x v="1"/>
    <x v="9"/>
    <s v="M&amp;T Operating"/>
    <m/>
    <s v="Transfer"/>
    <m/>
    <s v="10010 M&amp;T Bank - IntraFi Network Sweep"/>
    <x v="0"/>
    <x v="0"/>
    <m/>
    <n v="112811.56"/>
    <n v="112811.56"/>
    <n v="494406.97999999957"/>
  </r>
  <r>
    <s v="09/14/2025"/>
    <x v="1"/>
    <x v="9"/>
    <s v="Ramp Card"/>
    <m/>
    <s v="Expense"/>
    <s v="Contexts"/>
    <s v="69400 General &amp; Administrative:G&amp;A - Software Applications &amp; Licenses"/>
    <x v="3"/>
    <x v="10"/>
    <n v="10.59"/>
    <m/>
    <n v="-10.59"/>
    <n v="494396.38999999955"/>
  </r>
  <r>
    <s v="09/14/2025"/>
    <x v="1"/>
    <x v="9"/>
    <s v="Ramp Card"/>
    <m/>
    <s v="Expense"/>
    <s v="Perplexity AI"/>
    <s v="69400 General &amp; Administrative:G&amp;A - Software Applications &amp; Licenses"/>
    <x v="3"/>
    <x v="10"/>
    <n v="212"/>
    <m/>
    <n v="-212"/>
    <n v="494184.38999999955"/>
  </r>
  <r>
    <s v="09/14/2025"/>
    <x v="1"/>
    <x v="9"/>
    <s v="Ramp Card"/>
    <m/>
    <s v="Expense"/>
    <s v="Southwest Airlines"/>
    <s v="69500 General &amp; Administrative:G&amp;A - Travel"/>
    <x v="3"/>
    <x v="4"/>
    <n v="8"/>
    <m/>
    <n v="-8"/>
    <n v="494176.38999999955"/>
  </r>
  <r>
    <s v="09/14/2025"/>
    <x v="1"/>
    <x v="9"/>
    <s v="M&amp;T Operating"/>
    <m/>
    <s v="Credit Card Pmt"/>
    <m/>
    <s v="21020 Ramp Card"/>
    <x v="5"/>
    <x v="24"/>
    <n v="5593.02"/>
    <m/>
    <n v="-5593.02"/>
    <n v="488583.36999999953"/>
  </r>
  <r>
    <s v="09/14/2025"/>
    <x v="1"/>
    <x v="9"/>
    <s v="Ramp Card"/>
    <m/>
    <s v="Credit Card Pmt"/>
    <m/>
    <s v="10005 M&amp;T Bank - Operating"/>
    <x v="5"/>
    <x v="24"/>
    <m/>
    <n v="5593.02"/>
    <n v="5593.02"/>
    <n v="494176.38999999955"/>
  </r>
  <r>
    <s v="09/15/2025"/>
    <x v="1"/>
    <x v="9"/>
    <s v="Ramp Card"/>
    <m/>
    <s v="Expense"/>
    <s v="Atlassian"/>
    <s v="69400 General &amp; Administrative:G&amp;A - Software Applications &amp; Licenses"/>
    <x v="3"/>
    <x v="10"/>
    <n v="84.98"/>
    <m/>
    <n v="-84.98"/>
    <n v="494091.40999999957"/>
  </r>
  <r>
    <s v="09/15/2025"/>
    <x v="1"/>
    <x v="9"/>
    <s v="M&amp;T Operating"/>
    <m/>
    <s v="Payment"/>
    <s v="Currencies Direct Limited:Redpin B2B Payments"/>
    <s v="11005 Accounts Receivable"/>
    <x v="2"/>
    <x v="2"/>
    <m/>
    <n v="10000"/>
    <n v="10000"/>
    <n v="504091.40999999957"/>
  </r>
  <r>
    <s v="09/15/2025"/>
    <x v="1"/>
    <x v="9"/>
    <s v="M&amp;T Operating"/>
    <m/>
    <s v="Payment"/>
    <s v="Currencies Direct Limited:Redpin Payments"/>
    <s v="11005 Accounts Receivable"/>
    <x v="2"/>
    <x v="2"/>
    <m/>
    <n v="12000"/>
    <n v="12000"/>
    <n v="516091.40999999957"/>
  </r>
  <r>
    <s v="09/15/2025"/>
    <x v="1"/>
    <x v="9"/>
    <s v="M&amp;T Operating"/>
    <m/>
    <s v="Payment"/>
    <s v="Currencies Direct Limited:Redpin Staff Aug"/>
    <s v="11005 Accounts Receivable"/>
    <x v="2"/>
    <x v="2"/>
    <m/>
    <n v="2200"/>
    <n v="2200"/>
    <n v="518291.40999999957"/>
  </r>
  <r>
    <s v="09/15/2025"/>
    <x v="1"/>
    <x v="9"/>
    <s v="M&amp;T Operating"/>
    <m/>
    <s v="Payment"/>
    <s v="Currencies Direct Limited:Redpin Staff Aug"/>
    <s v="11005 Accounts Receivable"/>
    <x v="2"/>
    <x v="2"/>
    <m/>
    <n v="1100"/>
    <n v="1100"/>
    <n v="519391.40999999957"/>
  </r>
  <r>
    <s v="09/15/2025"/>
    <x v="1"/>
    <x v="9"/>
    <s v="Ramp Card"/>
    <m/>
    <s v="Expense"/>
    <s v="Delta Air Lines"/>
    <s v="51500 Classic COGS - Delivery:Classic COGS - Delivery - Travel"/>
    <x v="3"/>
    <x v="4"/>
    <n v="722.17"/>
    <m/>
    <n v="-722.17"/>
    <n v="518669.23999999958"/>
  </r>
  <r>
    <s v="09/15/2025"/>
    <x v="1"/>
    <x v="9"/>
    <s v="M&amp;T Operating"/>
    <m/>
    <s v="Expense"/>
    <s v="Paylocity"/>
    <s v="69215 General &amp; Administrative:G&amp;A - Payroll Fees"/>
    <x v="1"/>
    <x v="3"/>
    <n v="156.63"/>
    <m/>
    <n v="-156.63"/>
    <n v="518512.60999999958"/>
  </r>
  <r>
    <s v="09/15/2025"/>
    <x v="1"/>
    <x v="9"/>
    <s v="Ramp Card"/>
    <m/>
    <s v="Expense"/>
    <s v="Repl.it"/>
    <s v="69400 General &amp; Administrative:G&amp;A - Software Applications &amp; Licenses"/>
    <x v="3"/>
    <x v="10"/>
    <n v="4.8499999999999996"/>
    <m/>
    <n v="-4.8499999999999996"/>
    <n v="518507.7599999996"/>
  </r>
  <r>
    <s v="09/15/2025"/>
    <x v="1"/>
    <x v="9"/>
    <s v="Ramp Card"/>
    <m/>
    <s v="Expense"/>
    <s v="Repl.it"/>
    <s v="69400 General &amp; Administrative:G&amp;A - Software Applications &amp; Licenses"/>
    <x v="3"/>
    <x v="10"/>
    <n v="25.75"/>
    <m/>
    <n v="-25.75"/>
    <n v="518482.0099999996"/>
  </r>
  <r>
    <s v="09/15/2025"/>
    <x v="1"/>
    <x v="9"/>
    <s v="M&amp;T Operating"/>
    <m/>
    <s v="Payment"/>
    <s v="RestorixHealth Inc:Managed Services"/>
    <s v="11005 Accounts Receivable"/>
    <x v="2"/>
    <x v="2"/>
    <m/>
    <n v="3937.5"/>
    <n v="3937.5"/>
    <n v="522419.5099999996"/>
  </r>
  <r>
    <s v="09/15/2025"/>
    <x v="1"/>
    <x v="9"/>
    <s v="M&amp;T Operating"/>
    <m/>
    <s v="Transfer"/>
    <m/>
    <s v="10010 M&amp;T Bank - IntraFi Network Sweep"/>
    <x v="0"/>
    <x v="0"/>
    <n v="29080.87"/>
    <m/>
    <n v="-29080.87"/>
    <n v="493338.63999999961"/>
  </r>
  <r>
    <s v="09/16/2025"/>
    <x v="1"/>
    <x v="9"/>
    <s v="M&amp;T Operating"/>
    <m/>
    <s v="Expense"/>
    <s v="Paylocity"/>
    <s v="69125 General &amp; Administrative:G&amp;A - Payroll Tax"/>
    <x v="1"/>
    <x v="3"/>
    <n v="4"/>
    <m/>
    <n v="-4"/>
    <n v="493334.63999999961"/>
  </r>
  <r>
    <s v="09/16/2025"/>
    <x v="1"/>
    <x v="9"/>
    <s v="M&amp;T Operating"/>
    <m/>
    <s v="Bill Payment"/>
    <s v="Sahil Kumar (sahil@synaptic.build)"/>
    <s v="20005 Accounts Payable"/>
    <x v="3"/>
    <x v="4"/>
    <n v="2500"/>
    <m/>
    <n v="-2500"/>
    <n v="490834.63999999961"/>
  </r>
  <r>
    <s v="09/16/2025"/>
    <x v="1"/>
    <x v="9"/>
    <s v="M&amp;T Operating"/>
    <m/>
    <s v="Expense"/>
    <s v="The Principal"/>
    <s v="22310 Accrued Expenses:Accrued Expenses - Principal Clearing"/>
    <x v="1"/>
    <x v="1"/>
    <n v="9365.0499999999993"/>
    <m/>
    <n v="-9365.0499999999993"/>
    <n v="481469.58999999962"/>
  </r>
  <r>
    <s v="09/16/2025"/>
    <x v="1"/>
    <x v="9"/>
    <s v="M&amp;T Operating"/>
    <m/>
    <s v="Expense"/>
    <s v="Wex Health, Inc."/>
    <s v="22320 Accrued Expenses:Accrued Expenses - WEX Clearing"/>
    <x v="1"/>
    <x v="1"/>
    <n v="204.8"/>
    <m/>
    <n v="-204.8"/>
    <n v="481264.78999999963"/>
  </r>
  <r>
    <s v="09/16/2025"/>
    <x v="1"/>
    <x v="9"/>
    <s v="M&amp;T Operating"/>
    <m/>
    <s v="Transfer"/>
    <m/>
    <s v="10010 M&amp;T Bank - IntraFi Network Sweep"/>
    <x v="0"/>
    <x v="0"/>
    <m/>
    <n v="15166.87"/>
    <n v="15166.87"/>
    <n v="496431.65999999963"/>
  </r>
  <r>
    <s v="09/17/2025"/>
    <x v="1"/>
    <x v="9"/>
    <s v="M&amp;T Operating"/>
    <m/>
    <s v="Transfer"/>
    <m/>
    <s v="10010 M&amp;T Bank - IntraFi Network Sweep"/>
    <x v="0"/>
    <x v="0"/>
    <m/>
    <n v="2500"/>
    <n v="2500"/>
    <n v="498931.65999999963"/>
  </r>
  <r>
    <s v="09/18/2025"/>
    <x v="1"/>
    <x v="9"/>
    <s v="Ramp Card"/>
    <m/>
    <s v="Expense"/>
    <s v="LinkedIn"/>
    <s v="69400 General &amp; Administrative:G&amp;A - Software Applications &amp; Licenses"/>
    <x v="3"/>
    <x v="10"/>
    <n v="32.86"/>
    <m/>
    <n v="-32.86"/>
    <n v="498898.79999999964"/>
  </r>
  <r>
    <s v="09/19/2025"/>
    <x v="1"/>
    <x v="9"/>
    <s v="M&amp;T Operating"/>
    <m/>
    <s v="Expense"/>
    <s v="Bancorpsv (Benefit Deduction)"/>
    <s v="22335 Accrued Expenses:Accrued Expenses - Bancorpsv Clearing"/>
    <x v="1"/>
    <x v="1"/>
    <n v="3300"/>
    <m/>
    <n v="-3300"/>
    <n v="495598.79999999964"/>
  </r>
  <r>
    <s v="09/19/2025"/>
    <x v="1"/>
    <x v="9"/>
    <s v="M&amp;T Operating"/>
    <m/>
    <s v="Payment"/>
    <s v="Curonix LLC:Curonix Managed Services"/>
    <s v="11005 Accounts Receivable"/>
    <x v="2"/>
    <x v="2"/>
    <m/>
    <n v="1930"/>
    <n v="1930"/>
    <n v="497528.79999999964"/>
  </r>
  <r>
    <s v="09/19/2025"/>
    <x v="1"/>
    <x v="9"/>
    <s v="Ramp Card"/>
    <m/>
    <s v="Expense"/>
    <s v="ElevenLabs"/>
    <s v="69400 General &amp; Administrative:G&amp;A - Software Applications &amp; Licenses"/>
    <x v="3"/>
    <x v="10"/>
    <n v="5.3"/>
    <m/>
    <n v="-5.3"/>
    <n v="497523.49999999965"/>
  </r>
  <r>
    <s v="09/19/2025"/>
    <x v="1"/>
    <x v="9"/>
    <s v="M&amp;T Operating"/>
    <m/>
    <s v="Bill Payment"/>
    <s v="International Computer Services Inc."/>
    <s v="20005 Accounts Payable"/>
    <x v="3"/>
    <x v="10"/>
    <n v="106.37"/>
    <m/>
    <n v="-106.37"/>
    <n v="497417.12999999966"/>
  </r>
  <r>
    <s v="09/19/2025"/>
    <x v="1"/>
    <x v="9"/>
    <s v="M&amp;T Operating"/>
    <m/>
    <s v="Bill Payment"/>
    <s v="Studebaker Submetering, Inc"/>
    <s v="20005 Accounts Payable"/>
    <x v="3"/>
    <x v="15"/>
    <n v="211.35"/>
    <m/>
    <n v="-211.35"/>
    <n v="497205.77999999968"/>
  </r>
  <r>
    <s v="09/19/2025"/>
    <x v="1"/>
    <x v="9"/>
    <s v="M&amp;T Operating"/>
    <m/>
    <s v="Expense"/>
    <s v="The Hartford"/>
    <s v="69800 General &amp; Administrative:G&amp;A - Insurance"/>
    <x v="3"/>
    <x v="14"/>
    <n v="1332.89"/>
    <m/>
    <n v="-1332.89"/>
    <n v="495872.88999999966"/>
  </r>
  <r>
    <s v="09/19/2025"/>
    <x v="1"/>
    <x v="9"/>
    <s v="M&amp;T Operating"/>
    <m/>
    <s v="Transfer"/>
    <m/>
    <s v="10010 M&amp;T Bank - IntraFi Network Sweep"/>
    <x v="0"/>
    <x v="0"/>
    <m/>
    <n v="3020.61"/>
    <n v="3020.61"/>
    <n v="498893.49999999965"/>
  </r>
  <r>
    <s v="09/20/2025"/>
    <x v="1"/>
    <x v="9"/>
    <s v="Ramp Card"/>
    <m/>
    <s v="Expense"/>
    <s v="Movio"/>
    <s v="69400 General &amp; Administrative:G&amp;A - Software Applications &amp; Licenses"/>
    <x v="3"/>
    <x v="10"/>
    <n v="93"/>
    <m/>
    <n v="-93"/>
    <n v="498800.49999999965"/>
  </r>
  <r>
    <s v="09/21/2025"/>
    <x v="1"/>
    <x v="9"/>
    <s v="Ramp Card"/>
    <m/>
    <s v="Expense"/>
    <s v="GoDaddy"/>
    <s v="57020 Hosting Costs:Hosting Website Maintenance"/>
    <x v="3"/>
    <x v="10"/>
    <n v="22.86"/>
    <m/>
    <n v="-22.86"/>
    <n v="498777.63999999966"/>
  </r>
  <r>
    <s v="09/21/2025"/>
    <x v="1"/>
    <x v="9"/>
    <s v="Ramp Card"/>
    <m/>
    <s v="Expense"/>
    <s v="Lucid Software"/>
    <s v="69400 General &amp; Administrative:G&amp;A - Software Applications &amp; Licenses"/>
    <x v="3"/>
    <x v="10"/>
    <n v="361.74"/>
    <m/>
    <n v="-361.74"/>
    <n v="498415.89999999967"/>
  </r>
  <r>
    <s v="09/21/2025"/>
    <x v="1"/>
    <x v="9"/>
    <s v="Ramp Card"/>
    <m/>
    <s v="Expense"/>
    <s v="Zoom"/>
    <s v="69400 General &amp; Administrative:G&amp;A - Software Applications &amp; Licenses"/>
    <x v="3"/>
    <x v="10"/>
    <n v="17.5"/>
    <m/>
    <n v="-17.5"/>
    <n v="498398.39999999967"/>
  </r>
  <r>
    <s v="09/22/2025"/>
    <x v="1"/>
    <x v="9"/>
    <s v="Ramp Card"/>
    <m/>
    <s v="Expense"/>
    <s v="OpenAI"/>
    <s v="51400 Classic COGS - Delivery:Classic COGS - Delivery - Software Applications &amp; Licenses"/>
    <x v="3"/>
    <x v="10"/>
    <n v="20"/>
    <m/>
    <n v="-20"/>
    <n v="498378.39999999967"/>
  </r>
  <r>
    <s v="09/22/2025"/>
    <x v="1"/>
    <x v="9"/>
    <s v="M&amp;T Operating"/>
    <m/>
    <s v="Expense"/>
    <m/>
    <s v="22305 Accrued Expenses:Accrued Expenses - Cigna Clearing"/>
    <x v="1"/>
    <x v="1"/>
    <n v="1524.6"/>
    <m/>
    <n v="-1524.6"/>
    <n v="496853.7999999997"/>
  </r>
  <r>
    <s v="09/22/2025"/>
    <x v="1"/>
    <x v="9"/>
    <s v="M&amp;T Operating"/>
    <m/>
    <s v="Expense"/>
    <m/>
    <s v="69800 General &amp; Administrative:G&amp;A - Insurance"/>
    <x v="3"/>
    <x v="14"/>
    <n v="1706.6"/>
    <m/>
    <n v="-1706.6"/>
    <n v="495147.19999999972"/>
  </r>
  <r>
    <s v="09/22/2025"/>
    <x v="1"/>
    <x v="9"/>
    <s v="M&amp;T Operating"/>
    <m/>
    <s v="Transfer"/>
    <m/>
    <s v="10010 M&amp;T Bank - IntraFi Network Sweep"/>
    <x v="0"/>
    <x v="0"/>
    <m/>
    <n v="3608.03"/>
    <n v="3608.03"/>
    <n v="498755.22999999975"/>
  </r>
  <r>
    <s v="09/22/2025"/>
    <x v="1"/>
    <x v="9"/>
    <s v="M&amp;T Operating"/>
    <m/>
    <s v="Expense"/>
    <m/>
    <s v="22320 Accrued Expenses:Accrued Expenses - WEX Clearing"/>
    <x v="1"/>
    <x v="1"/>
    <n v="376.83"/>
    <m/>
    <n v="-376.83"/>
    <n v="498378.39999999973"/>
  </r>
  <r>
    <s v="09/23/2025"/>
    <x v="1"/>
    <x v="9"/>
    <s v="M&amp;T Operating"/>
    <m/>
    <s v="Deposit"/>
    <s v="American Benefit Cobra"/>
    <s v="22325 Accrued Expenses:Accrued Expenses - COBRA Clearing"/>
    <x v="1"/>
    <x v="1"/>
    <m/>
    <n v="476.36"/>
    <n v="476.36"/>
    <n v="498854.75999999972"/>
  </r>
  <r>
    <s v="09/23/2025"/>
    <x v="1"/>
    <x v="9"/>
    <s v="M&amp;T Operating"/>
    <m/>
    <s v="Transfer"/>
    <m/>
    <s v="10010 M&amp;T Bank - IntraFi Network Sweep"/>
    <x v="0"/>
    <x v="0"/>
    <n v="476.36"/>
    <m/>
    <n v="-476.36"/>
    <n v="498378.39999999973"/>
  </r>
  <r>
    <s v="09/24/2025"/>
    <x v="1"/>
    <x v="9"/>
    <s v="M&amp;T Operating"/>
    <m/>
    <s v="Bill Payment"/>
    <s v="Bojan Cubela (bojan@synaptic.build)"/>
    <s v="20005 Accounts Payable"/>
    <x v="3"/>
    <x v="4"/>
    <n v="1878.75"/>
    <m/>
    <n v="-1878.75"/>
    <n v="496499.64999999973"/>
  </r>
  <r>
    <s v="09/24/2025"/>
    <x v="1"/>
    <x v="9"/>
    <s v="M&amp;T Operating"/>
    <m/>
    <s v="Bill Payment"/>
    <s v="Bojan Cubela (bojan@synaptic.build)"/>
    <s v="20005 Accounts Payable"/>
    <x v="3"/>
    <x v="4"/>
    <n v="3390.48"/>
    <m/>
    <n v="-3390.48"/>
    <n v="493109.16999999975"/>
  </r>
  <r>
    <s v="09/24/2025"/>
    <x v="1"/>
    <x v="9"/>
    <s v="M&amp;T Operating"/>
    <m/>
    <s v="Bill Payment"/>
    <s v="Bojan Cubela (bojan@synaptic.build)"/>
    <s v="20005 Accounts Payable"/>
    <x v="3"/>
    <x v="4"/>
    <n v="10879.78"/>
    <m/>
    <n v="-10879.78"/>
    <n v="482229.38999999972"/>
  </r>
  <r>
    <s v="09/24/2025"/>
    <x v="1"/>
    <x v="9"/>
    <s v="M&amp;T Operating"/>
    <m/>
    <s v="Bill Payment"/>
    <s v="Bojan Cubela (bojan@synaptic.build)"/>
    <s v="20005 Accounts Payable"/>
    <x v="3"/>
    <x v="4"/>
    <n v="261.35000000000002"/>
    <m/>
    <n v="-261.35000000000002"/>
    <n v="481968.03999999975"/>
  </r>
  <r>
    <s v="09/24/2025"/>
    <x v="1"/>
    <x v="9"/>
    <s v="M&amp;T Operating"/>
    <m/>
    <s v="Bill Payment"/>
    <s v="Brenna Hawley-Craig (brenna@synaptic.build)"/>
    <s v="20005 Accounts Payable"/>
    <x v="3"/>
    <x v="4"/>
    <n v="30"/>
    <m/>
    <n v="-30"/>
    <n v="481938.03999999975"/>
  </r>
  <r>
    <s v="09/24/2025"/>
    <x v="1"/>
    <x v="9"/>
    <s v="Ramp Card"/>
    <m/>
    <s v="Expense"/>
    <s v="Lovable"/>
    <s v="69400 General &amp; Administrative:G&amp;A - Software Applications &amp; Licenses"/>
    <x v="3"/>
    <x v="10"/>
    <n v="25.75"/>
    <m/>
    <n v="-25.75"/>
    <n v="481912.28999999975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43"/>
    <m/>
    <n v="-154.43"/>
    <n v="481757.85999999975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4"/>
    <m/>
    <n v="-154.4"/>
    <n v="481603.45999999973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38"/>
    <m/>
    <n v="-154.38"/>
    <n v="481449.07999999973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23.54"/>
    <m/>
    <n v="-123.54"/>
    <n v="481325.53999999975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41"/>
    <m/>
    <n v="-154.41"/>
    <n v="481171.12999999977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5"/>
    <m/>
    <n v="-154.5"/>
    <n v="481016.62999999977"/>
  </r>
  <r>
    <s v="09/25/2025"/>
    <x v="1"/>
    <x v="9"/>
    <s v="Ramp Card"/>
    <m/>
    <s v="Expense"/>
    <s v="Colpark Loc 0092"/>
    <s v="69500 General &amp; Administrative:G&amp;A - Travel"/>
    <x v="3"/>
    <x v="4"/>
    <n v="20"/>
    <m/>
    <n v="-20"/>
    <n v="480996.62999999977"/>
  </r>
  <r>
    <s v="09/25/2025"/>
    <x v="1"/>
    <x v="9"/>
    <s v="Ramp Card"/>
    <m/>
    <s v="Expense"/>
    <s v="GoDaddy"/>
    <s v="57020 Hosting Costs:Hosting Website Maintenance"/>
    <x v="3"/>
    <x v="10"/>
    <n v="24.91"/>
    <m/>
    <n v="-24.91"/>
    <n v="480971.7199999998"/>
  </r>
  <r>
    <s v="09/25/2025"/>
    <x v="1"/>
    <x v="9"/>
    <s v="Ramp Card"/>
    <m/>
    <s v="Expense"/>
    <s v="GoDaddy"/>
    <s v="57020 Hosting Costs:Hosting Website Maintenance"/>
    <x v="3"/>
    <x v="10"/>
    <n v="17.7"/>
    <m/>
    <n v="-17.7"/>
    <n v="480954.01999999979"/>
  </r>
  <r>
    <s v="09/25/2025"/>
    <x v="1"/>
    <x v="9"/>
    <s v="Ramp Card"/>
    <m/>
    <s v="Expense"/>
    <s v="LastPass"/>
    <s v="69400 General &amp; Administrative:G&amp;A - Software Applications &amp; Licenses"/>
    <x v="3"/>
    <x v="10"/>
    <n v="79.08"/>
    <m/>
    <n v="-79.08"/>
    <n v="480874.93999999977"/>
  </r>
  <r>
    <s v="09/25/2025"/>
    <x v="1"/>
    <x v="9"/>
    <s v="Ramp Card"/>
    <m/>
    <s v="Expense"/>
    <s v="OpenAI"/>
    <s v="51400 Classic COGS - Delivery:Classic COGS - Delivery - Software Applications &amp; Licenses"/>
    <x v="3"/>
    <x v="10"/>
    <n v="21.4"/>
    <m/>
    <n v="-21.4"/>
    <n v="480853.53999999975"/>
  </r>
  <r>
    <s v="09/25/2025"/>
    <x v="1"/>
    <x v="9"/>
    <s v="M&amp;T Operating"/>
    <m/>
    <s v="Expense"/>
    <s v="Wex Health, Inc."/>
    <s v="22320 Accrued Expenses:Accrued Expenses - WEX Clearing"/>
    <x v="1"/>
    <x v="1"/>
    <n v="68.959999999999994"/>
    <m/>
    <n v="-68.959999999999994"/>
    <n v="480784.57999999973"/>
  </r>
  <r>
    <s v="09/25/2025"/>
    <x v="1"/>
    <x v="9"/>
    <s v="Ramp Card"/>
    <m/>
    <s v="Expense"/>
    <s v="Xfinity"/>
    <s v="69405 General &amp; Administrative:G&amp;A - Telecom, Internet &amp; Hardware"/>
    <x v="3"/>
    <x v="10"/>
    <n v="10"/>
    <m/>
    <n v="-10"/>
    <n v="480774.57999999973"/>
  </r>
  <r>
    <s v="09/25/2025"/>
    <x v="1"/>
    <x v="9"/>
    <s v="M&amp;T Operating"/>
    <m/>
    <s v="Payment"/>
    <s v="Youreka Labs, Inc"/>
    <s v="11005 Accounts Receivable"/>
    <x v="2"/>
    <x v="2"/>
    <m/>
    <n v="18810"/>
    <n v="18810"/>
    <n v="499584.57999999973"/>
  </r>
  <r>
    <s v="09/25/2025"/>
    <x v="1"/>
    <x v="9"/>
    <s v="M&amp;T Operating"/>
    <m/>
    <s v="Transfer"/>
    <m/>
    <s v="10010 M&amp;T Bank - IntraFi Network Sweep"/>
    <x v="0"/>
    <x v="0"/>
    <n v="2300.6799999999998"/>
    <m/>
    <n v="-2300.6799999999998"/>
    <n v="497283.89999999973"/>
  </r>
  <r>
    <s v="09/26/2025"/>
    <x v="1"/>
    <x v="9"/>
    <s v="M&amp;T Operating"/>
    <m/>
    <s v="Bill Payment"/>
    <s v="International Computer Services Inc."/>
    <s v="20005 Accounts Payable"/>
    <x v="3"/>
    <x v="10"/>
    <n v="3124.42"/>
    <m/>
    <n v="-3124.42"/>
    <n v="494159.47999999975"/>
  </r>
  <r>
    <s v="09/26/2025"/>
    <x v="1"/>
    <x v="9"/>
    <s v="Ramp Card"/>
    <m/>
    <s v="Expense"/>
    <s v="Lyft"/>
    <s v="66500 AppIQ - Research &amp; Development:AppIQ - R&amp;D - Travel"/>
    <x v="3"/>
    <x v="4"/>
    <n v="39.92"/>
    <m/>
    <n v="-39.92"/>
    <n v="494119.55999999976"/>
  </r>
  <r>
    <s v="09/26/2025"/>
    <x v="1"/>
    <x v="9"/>
    <s v="M&amp;T Operating"/>
    <m/>
    <s v="Bill Payment"/>
    <s v="Nemphos Braue LLC"/>
    <s v="20005 Accounts Payable"/>
    <x v="3"/>
    <x v="5"/>
    <n v="2561.5"/>
    <m/>
    <n v="-2561.5"/>
    <n v="491558.05999999976"/>
  </r>
  <r>
    <s v="09/26/2025"/>
    <x v="1"/>
    <x v="9"/>
    <s v="M&amp;T Operating"/>
    <m/>
    <s v="Bill Payment"/>
    <s v="Whitehouse &amp; Cooper, PLCC"/>
    <s v="20005 Accounts Payable"/>
    <x v="3"/>
    <x v="5"/>
    <n v="5439.5"/>
    <m/>
    <n v="-5439.5"/>
    <n v="486118.55999999976"/>
  </r>
  <r>
    <s v="09/26/2025"/>
    <x v="1"/>
    <x v="9"/>
    <s v="M&amp;T Operating"/>
    <m/>
    <s v="Transfer"/>
    <m/>
    <s v="10010 M&amp;T Bank - IntraFi Network Sweep"/>
    <x v="0"/>
    <x v="0"/>
    <m/>
    <n v="11079.72"/>
    <n v="11079.72"/>
    <n v="497198.27999999974"/>
  </r>
  <r>
    <s v="09/26/2025"/>
    <x v="1"/>
    <x v="9"/>
    <s v="M&amp;T Operating"/>
    <m/>
    <s v="Deposit"/>
    <m/>
    <s v="66500 AppIQ - Research &amp; Development:AppIQ - R&amp;D - Travel"/>
    <x v="3"/>
    <x v="4"/>
    <m/>
    <n v="45.7"/>
    <n v="45.7"/>
    <n v="497243.97999999975"/>
  </r>
  <r>
    <s v="09/27/2025"/>
    <x v="1"/>
    <x v="9"/>
    <s v="Ramp Card"/>
    <m/>
    <s v="Expense"/>
    <s v="Anthropic"/>
    <s v="69400 General &amp; Administrative:G&amp;A - Software Applications &amp; Licenses"/>
    <x v="3"/>
    <x v="10"/>
    <n v="106"/>
    <m/>
    <n v="-106"/>
    <n v="497137.97999999975"/>
  </r>
  <r>
    <s v="09/27/2025"/>
    <x v="1"/>
    <x v="9"/>
    <s v="Ramp Card"/>
    <m/>
    <s v="Expense"/>
    <s v="LinkedIn"/>
    <s v="69400 General &amp; Administrative:G&amp;A - Software Applications &amp; Licenses"/>
    <x v="3"/>
    <x v="10"/>
    <n v="95.39"/>
    <m/>
    <n v="-95.39"/>
    <n v="497042.58999999973"/>
  </r>
  <r>
    <s v="09/28/2025"/>
    <x v="1"/>
    <x v="9"/>
    <s v="Ramp Card"/>
    <m/>
    <s v="Expense"/>
    <s v="Amazon"/>
    <s v="69410 General &amp; Administrative:G&amp;A - Office &amp; Supplies"/>
    <x v="3"/>
    <x v="15"/>
    <n v="54.03"/>
    <m/>
    <n v="-54.03"/>
    <n v="496988.55999999971"/>
  </r>
  <r>
    <s v="09/29/2025"/>
    <x v="1"/>
    <x v="9"/>
    <s v="M&amp;T Operating"/>
    <m/>
    <s v="Deposit"/>
    <s v="Freedom Service Dogs Inc.:Managed Services"/>
    <s v="14005 Undeposited Funds"/>
    <x v="2"/>
    <x v="2"/>
    <m/>
    <n v="1500"/>
    <n v="1500"/>
    <n v="498488.55999999971"/>
  </r>
  <r>
    <s v="09/29/2025"/>
    <x v="1"/>
    <x v="9"/>
    <s v="Ramp Card"/>
    <m/>
    <s v="Expense"/>
    <s v="GoDaddy"/>
    <s v="57020 Hosting Costs:Hosting Website Maintenance"/>
    <x v="3"/>
    <x v="10"/>
    <n v="293.70999999999998"/>
    <m/>
    <n v="-293.70999999999998"/>
    <n v="498194.84999999969"/>
  </r>
  <r>
    <s v="09/29/2025"/>
    <x v="1"/>
    <x v="9"/>
    <s v="Ramp Card"/>
    <m/>
    <s v="Expense"/>
    <s v="Perplexity AI"/>
    <s v="51400 Classic COGS - Delivery:Classic COGS - Delivery - Software Applications &amp; Licenses"/>
    <x v="3"/>
    <x v="10"/>
    <n v="20"/>
    <m/>
    <n v="-20"/>
    <n v="498174.84999999969"/>
  </r>
  <r>
    <s v="09/29/2025"/>
    <x v="1"/>
    <x v="9"/>
    <s v="M&amp;T Operating"/>
    <m/>
    <s v="Expense"/>
    <s v="QuickBooks Payments"/>
    <s v="69805 General &amp; Administrative:G&amp;A - Bank Fees"/>
    <x v="0"/>
    <x v="6"/>
    <n v="15"/>
    <m/>
    <n v="-15"/>
    <n v="498159.84999999969"/>
  </r>
  <r>
    <s v="09/29/2025"/>
    <x v="1"/>
    <x v="9"/>
    <s v="M&amp;T Operating"/>
    <m/>
    <s v="Bill Payment"/>
    <s v="Rosen, Sappersteim &amp; Friedlander, LLC"/>
    <s v="20005 Accounts Payable"/>
    <x v="3"/>
    <x v="23"/>
    <n v="565"/>
    <m/>
    <n v="-565"/>
    <n v="497594.84999999969"/>
  </r>
  <r>
    <s v="09/29/2025"/>
    <x v="1"/>
    <x v="9"/>
    <s v="M&amp;T Operating"/>
    <m/>
    <s v="Transfer"/>
    <m/>
    <s v="10010 M&amp;T Bank - IntraFi Network Sweep"/>
    <x v="0"/>
    <x v="0"/>
    <m/>
    <n v="112711.4"/>
    <n v="112711.4"/>
    <n v="610306.24999999965"/>
  </r>
  <r>
    <s v="09/29/2025"/>
    <x v="1"/>
    <x v="9"/>
    <s v="M&amp;T Operating"/>
    <m/>
    <s v="Expense"/>
    <m/>
    <s v="22205 Accrued Expenses:Accrued Expenses - Payroll"/>
    <x v="1"/>
    <x v="11"/>
    <n v="36264.71"/>
    <m/>
    <n v="-36264.71"/>
    <n v="574041.53999999969"/>
  </r>
  <r>
    <s v="09/29/2025"/>
    <x v="1"/>
    <x v="9"/>
    <s v="M&amp;T Operating"/>
    <m/>
    <s v="Expense"/>
    <m/>
    <s v="22205 Accrued Expenses:Accrued Expenses - Payroll"/>
    <x v="1"/>
    <x v="12"/>
    <n v="74882.19"/>
    <m/>
    <n v="-74882.19"/>
    <n v="499159.34999999969"/>
  </r>
  <r>
    <s v="09/29/2025"/>
    <x v="1"/>
    <x v="9"/>
    <s v="M&amp;T Operating"/>
    <m/>
    <s v="Expense"/>
    <m/>
    <s v="22205 Accrued Expenses:Accrued Expenses - Payroll"/>
    <x v="1"/>
    <x v="1"/>
    <n v="999.5"/>
    <m/>
    <n v="-999.5"/>
    <n v="498159.84999999969"/>
  </r>
  <r>
    <s v="09/30/2025"/>
    <x v="1"/>
    <x v="9"/>
    <s v="Ramp Card"/>
    <m/>
    <s v="Expense"/>
    <s v="Anthropic"/>
    <s v="69400 General &amp; Administrative:G&amp;A - Software Applications &amp; Licenses"/>
    <x v="3"/>
    <x v="10"/>
    <n v="25.75"/>
    <m/>
    <n v="-25.75"/>
    <n v="498134.09999999969"/>
  </r>
  <r>
    <s v="09/30/2025"/>
    <x v="1"/>
    <x v="9"/>
    <s v="Ramp Card"/>
    <m/>
    <s v="Expense"/>
    <s v="Anthropic"/>
    <s v="69400 General &amp; Administrative:G&amp;A - Software Applications &amp; Licenses"/>
    <x v="3"/>
    <x v="10"/>
    <n v="127.82"/>
    <m/>
    <n v="-127.82"/>
    <n v="498006.27999999968"/>
  </r>
  <r>
    <s v="09/30/2025"/>
    <x v="1"/>
    <x v="9"/>
    <s v="Ramp Card"/>
    <m/>
    <s v="Expense"/>
    <s v="CustomInk"/>
    <s v="65600 AppIQ - Marketing:AppIQ - Marketing - Advertising"/>
    <x v="3"/>
    <x v="15"/>
    <n v="1029.1099999999999"/>
    <m/>
    <n v="-1029.1099999999999"/>
    <n v="496977.16999999969"/>
  </r>
  <r>
    <s v="09/30/2025"/>
    <x v="1"/>
    <x v="9"/>
    <s v="Ramp Card"/>
    <m/>
    <s v="CC-Credit"/>
    <s v="CustomInk"/>
    <s v="65600 AppIQ - Marketing:AppIQ - Marketing - Advertising"/>
    <x v="3"/>
    <x v="15"/>
    <m/>
    <n v="127.58"/>
    <n v="127.58"/>
    <n v="497104.74999999971"/>
  </r>
  <r>
    <s v="09/30/2025"/>
    <x v="1"/>
    <x v="9"/>
    <s v="M&amp;T Operating"/>
    <m/>
    <s v="Payment"/>
    <s v="Federation of State Massage Therapy Boards (FSMTB):FSMTB - Advisory"/>
    <s v="11005 Accounts Receivable"/>
    <x v="2"/>
    <x v="2"/>
    <m/>
    <n v="17500"/>
    <n v="17500"/>
    <n v="514604.74999999971"/>
  </r>
  <r>
    <s v="09/30/2025"/>
    <x v="1"/>
    <x v="9"/>
    <s v="M&amp;T Operating"/>
    <m/>
    <s v="Payment"/>
    <s v="Federation of State Massage Therapy Boards (FSMTB):FSMTB - Managed Services"/>
    <s v="11005 Accounts Receivable"/>
    <x v="2"/>
    <x v="2"/>
    <m/>
    <n v="10000"/>
    <n v="10000"/>
    <n v="524604.74999999977"/>
  </r>
  <r>
    <s v="09/30/2025"/>
    <x v="1"/>
    <x v="9"/>
    <s v="M&amp;T Operating"/>
    <m/>
    <s v="Expense"/>
    <s v="Paylocity"/>
    <s v="69215 General &amp; Administrative:G&amp;A - Payroll Fees"/>
    <x v="1"/>
    <x v="3"/>
    <n v="304.76"/>
    <m/>
    <n v="-304.76"/>
    <n v="524299.98999999976"/>
  </r>
  <r>
    <s v="09/30/2025"/>
    <x v="1"/>
    <x v="9"/>
    <s v="M&amp;T Operating"/>
    <m/>
    <s v="Transfer"/>
    <m/>
    <s v="10010 M&amp;T Bank - IntraFi Network Sweep"/>
    <x v="0"/>
    <x v="0"/>
    <n v="2538.29"/>
    <m/>
    <n v="-2538.29"/>
    <n v="521761.69999999978"/>
  </r>
  <r>
    <s v="09/30/2025"/>
    <x v="1"/>
    <x v="9"/>
    <s v="M&amp;T Operating"/>
    <m/>
    <s v="Deposit"/>
    <m/>
    <s v="71005 Interest"/>
    <x v="0"/>
    <x v="17"/>
    <m/>
    <n v="1083.05"/>
    <n v="1083.05"/>
    <n v="522844.74999999977"/>
  </r>
  <r>
    <s v="10/01/2025"/>
    <x v="1"/>
    <x v="10"/>
    <s v="Ramp Card"/>
    <m/>
    <s v="Expense"/>
    <s v="Anthropic"/>
    <s v="61400 Classic - Sales:Classic - Sales - Software Applications &amp; Licenses"/>
    <x v="3"/>
    <x v="10"/>
    <n v="20"/>
    <m/>
    <n v="-20"/>
    <n v="522824.74999999977"/>
  </r>
  <r>
    <s v="10/01/2025"/>
    <x v="1"/>
    <x v="10"/>
    <s v="M&amp;T Operating"/>
    <m/>
    <s v="Expense"/>
    <s v="CNA Insurance [AutoPay]"/>
    <s v="69800 General &amp; Administrative:G&amp;A - Insurance"/>
    <x v="3"/>
    <x v="14"/>
    <n v="3797"/>
    <m/>
    <n v="-3797"/>
    <n v="519027.74999999977"/>
  </r>
  <r>
    <s v="10/01/2025"/>
    <x v="1"/>
    <x v="10"/>
    <s v="M&amp;T Operating"/>
    <m/>
    <s v="Payment"/>
    <s v="Currencies Direct Limited:Redpin Staff Aug"/>
    <s v="11005 Accounts Receivable"/>
    <x v="2"/>
    <x v="2"/>
    <m/>
    <n v="2200"/>
    <n v="2200"/>
    <n v="521227.74999999977"/>
  </r>
  <r>
    <s v="10/01/2025"/>
    <x v="1"/>
    <x v="10"/>
    <s v="Ramp Card"/>
    <m/>
    <s v="Expense"/>
    <s v="Earth Class Mail"/>
    <s v="69400 General &amp; Administrative:G&amp;A - Software Applications &amp; Licenses"/>
    <x v="3"/>
    <x v="10"/>
    <n v="112"/>
    <m/>
    <n v="-112"/>
    <n v="521115.74999999977"/>
  </r>
  <r>
    <s v="10/01/2025"/>
    <x v="1"/>
    <x v="10"/>
    <s v="Ramp Card"/>
    <m/>
    <s v="Expense"/>
    <s v="Google Play"/>
    <s v="69400 General &amp; Administrative:G&amp;A - Software Applications &amp; Licenses"/>
    <x v="3"/>
    <x v="10"/>
    <n v="17.32"/>
    <m/>
    <n v="-17.32"/>
    <n v="521098.42999999976"/>
  </r>
  <r>
    <s v="10/01/2025"/>
    <x v="1"/>
    <x v="10"/>
    <s v="Ramp Card"/>
    <m/>
    <s v="Expense"/>
    <s v="Google Workspace"/>
    <s v="69400 General &amp; Administrative:G&amp;A - Software Applications &amp; Licenses"/>
    <x v="3"/>
    <x v="10"/>
    <n v="258.39"/>
    <m/>
    <n v="-258.39"/>
    <n v="520840.03999999975"/>
  </r>
  <r>
    <s v="10/01/2025"/>
    <x v="1"/>
    <x v="10"/>
    <s v="Ramp Card"/>
    <m/>
    <s v="Expense"/>
    <s v="Intuit"/>
    <s v="69400 General &amp; Administrative:G&amp;A - Software Applications &amp; Licenses"/>
    <x v="3"/>
    <x v="10"/>
    <n v="283.25"/>
    <m/>
    <n v="-283.25"/>
    <n v="520556.78999999975"/>
  </r>
  <r>
    <s v="10/01/2025"/>
    <x v="1"/>
    <x v="10"/>
    <s v="Ramp Card"/>
    <m/>
    <s v="Expense"/>
    <s v="Linked Elf"/>
    <s v="64400 AppIQ - Sales:AppIQ - Sales - Software Applications &amp; Licenses"/>
    <x v="3"/>
    <x v="10"/>
    <n v="150"/>
    <m/>
    <n v="-150"/>
    <n v="520406.78999999975"/>
  </r>
  <r>
    <s v="10/01/2025"/>
    <x v="1"/>
    <x v="10"/>
    <s v="M&amp;T Operating"/>
    <m/>
    <s v="Deposit"/>
    <s v="National Rural Health Resource Center:NRHRC Managed Services August 2025- July 2026"/>
    <s v="14005 Undeposited Funds"/>
    <x v="2"/>
    <x v="2"/>
    <m/>
    <n v="14500"/>
    <n v="14500"/>
    <n v="534906.7899999998"/>
  </r>
  <r>
    <s v="10/01/2025"/>
    <x v="1"/>
    <x v="10"/>
    <s v="M&amp;T Operating"/>
    <m/>
    <s v="Expense"/>
    <s v="QuickBooks Payments"/>
    <s v="69805 General &amp; Administrative:G&amp;A - Bank Fees"/>
    <x v="0"/>
    <x v="6"/>
    <n v="20"/>
    <m/>
    <n v="-20"/>
    <n v="534886.7899999998"/>
  </r>
  <r>
    <s v="10/01/2025"/>
    <x v="1"/>
    <x v="10"/>
    <s v="M&amp;T Operating"/>
    <m/>
    <s v="Expense"/>
    <s v="The Principal"/>
    <s v="22310 Accrued Expenses:Accrued Expenses - Principal Clearing"/>
    <x v="1"/>
    <x v="1"/>
    <n v="12384.68"/>
    <m/>
    <n v="-12384.68"/>
    <n v="522502.10999999981"/>
  </r>
  <r>
    <s v="10/01/2025"/>
    <x v="1"/>
    <x v="10"/>
    <s v="M&amp;T Operating"/>
    <m/>
    <s v="Expense"/>
    <s v="Wex Health, Inc."/>
    <s v="22320 Accrued Expenses:Accrued Expenses - WEX Clearing"/>
    <x v="1"/>
    <x v="1"/>
    <n v="61.46"/>
    <m/>
    <n v="-61.46"/>
    <n v="522440.64999999979"/>
  </r>
  <r>
    <s v="10/01/2025"/>
    <x v="1"/>
    <x v="10"/>
    <s v="M&amp;T Operating"/>
    <m/>
    <s v="Transfer"/>
    <m/>
    <s v="10010 M&amp;T Bank - IntraFi Network Sweep"/>
    <x v="0"/>
    <x v="0"/>
    <n v="13181.86"/>
    <m/>
    <n v="-13181.86"/>
    <n v="509258.7899999998"/>
  </r>
  <r>
    <s v="10/02/2025"/>
    <x v="1"/>
    <x v="10"/>
    <s v="M&amp;T Operating"/>
    <m/>
    <s v="Bill Payment"/>
    <s v="Bojan Cubela (bojan@synaptic.build)"/>
    <s v="20005 Accounts Payable"/>
    <x v="3"/>
    <x v="4"/>
    <n v="7453.7"/>
    <m/>
    <n v="-7453.7"/>
    <n v="501805.08999999979"/>
  </r>
  <r>
    <s v="10/02/2025"/>
    <x v="1"/>
    <x v="10"/>
    <s v="M&amp;T Operating"/>
    <m/>
    <s v="Expense"/>
    <s v="CareFirst Blue Cross Blue Shield"/>
    <s v="22300 Accrued Expenses:Accrued Expenses - BCBS Clearing"/>
    <x v="1"/>
    <x v="1"/>
    <n v="18918.669999999998"/>
    <m/>
    <n v="-18918.669999999998"/>
    <n v="482886.41999999981"/>
  </r>
  <r>
    <s v="10/02/2025"/>
    <x v="1"/>
    <x v="10"/>
    <s v="Ramp Card"/>
    <m/>
    <s v="Expense"/>
    <s v="Comcast"/>
    <s v="69405 General &amp; Administrative:G&amp;A - Telecom, Internet &amp; Hardware"/>
    <x v="3"/>
    <x v="10"/>
    <n v="256.69"/>
    <m/>
    <n v="-256.69"/>
    <n v="482629.72999999981"/>
  </r>
  <r>
    <s v="10/02/2025"/>
    <x v="1"/>
    <x v="10"/>
    <s v="Ramp Card"/>
    <m/>
    <s v="Expense"/>
    <s v="Elastic"/>
    <s v="57020 Hosting Costs:Hosting Website Maintenance"/>
    <x v="4"/>
    <x v="19"/>
    <n v="478.36"/>
    <m/>
    <n v="-478.36"/>
    <n v="482151.36999999982"/>
  </r>
  <r>
    <s v="10/02/2025"/>
    <x v="1"/>
    <x v="10"/>
    <s v="M&amp;T Operating"/>
    <m/>
    <s v="Bill Payment"/>
    <s v="Fort Offices LLC"/>
    <s v="20005 Accounts Payable"/>
    <x v="3"/>
    <x v="22"/>
    <n v="3545.63"/>
    <m/>
    <n v="-3545.63"/>
    <n v="478605.73999999982"/>
  </r>
  <r>
    <s v="10/02/2025"/>
    <x v="1"/>
    <x v="10"/>
    <s v="M&amp;T Operating"/>
    <m/>
    <s v="Payment"/>
    <s v="Macro Solutions, LLC"/>
    <s v="11005 Accounts Receivable"/>
    <x v="2"/>
    <x v="2"/>
    <m/>
    <n v="59654.5"/>
    <n v="59654.5"/>
    <n v="538260.23999999976"/>
  </r>
  <r>
    <s v="10/02/2025"/>
    <x v="1"/>
    <x v="10"/>
    <s v="M&amp;T Operating"/>
    <m/>
    <s v="Transfer"/>
    <m/>
    <s v="10010 M&amp;T Bank - IntraFi Network Sweep"/>
    <x v="0"/>
    <x v="0"/>
    <n v="44216.5"/>
    <m/>
    <n v="-44216.5"/>
    <n v="494043.73999999976"/>
  </r>
  <r>
    <s v="10/03/2025"/>
    <x v="1"/>
    <x v="10"/>
    <s v="M&amp;T Operating"/>
    <m/>
    <s v="Bill Payment"/>
    <s v="HireRight"/>
    <s v="20005 Accounts Payable"/>
    <x v="3"/>
    <x v="15"/>
    <n v="387.96"/>
    <m/>
    <n v="-387.96"/>
    <n v="493655.77999999974"/>
  </r>
  <r>
    <s v="10/03/2025"/>
    <x v="1"/>
    <x v="10"/>
    <s v="M&amp;T Operating"/>
    <m/>
    <s v="Bill Payment"/>
    <s v="Investigo LLC"/>
    <s v="20005 Accounts Payable"/>
    <x v="4"/>
    <x v="9"/>
    <n v="3014.88"/>
    <m/>
    <n v="-3014.88"/>
    <n v="490640.89999999973"/>
  </r>
  <r>
    <s v="10/03/2025"/>
    <x v="1"/>
    <x v="10"/>
    <s v="Ramp Card"/>
    <m/>
    <s v="Expense"/>
    <s v="OpenAI"/>
    <s v="61400 Classic - Sales:Classic - Sales - Software Applications &amp; Licenses"/>
    <x v="3"/>
    <x v="10"/>
    <n v="20"/>
    <m/>
    <n v="-20"/>
    <n v="490620.89999999973"/>
  </r>
  <r>
    <s v="10/03/2025"/>
    <x v="1"/>
    <x v="10"/>
    <s v="Ramp Card"/>
    <m/>
    <s v="Expense"/>
    <s v="Southwest Airlines"/>
    <s v="51500 Classic COGS - Delivery:Classic COGS - Delivery - Travel"/>
    <x v="3"/>
    <x v="4"/>
    <n v="234.96"/>
    <m/>
    <n v="-234.96"/>
    <n v="490385.93999999971"/>
  </r>
  <r>
    <s v="10/03/2025"/>
    <x v="1"/>
    <x v="10"/>
    <s v="M&amp;T Operating"/>
    <m/>
    <s v="Payment"/>
    <s v="Total Solutions Inc:Total Solutions Inc - HUD Mod 01"/>
    <s v="11005 Accounts Receivable"/>
    <x v="2"/>
    <x v="2"/>
    <m/>
    <n v="24777.599999999999"/>
    <n v="24777.599999999999"/>
    <n v="515163.53999999969"/>
  </r>
  <r>
    <s v="10/03/2025"/>
    <x v="1"/>
    <x v="10"/>
    <s v="M&amp;T Operating"/>
    <m/>
    <s v="Transfer"/>
    <m/>
    <s v="10010 M&amp;T Bank - IntraFi Network Sweep"/>
    <x v="0"/>
    <x v="0"/>
    <n v="21374.76"/>
    <m/>
    <n v="-21374.76"/>
    <n v="493788.77999999968"/>
  </r>
  <r>
    <s v="10/04/2025"/>
    <x v="1"/>
    <x v="10"/>
    <s v="Ramp Card"/>
    <m/>
    <s v="Expense"/>
    <s v="Adobe"/>
    <s v="69400 General &amp; Administrative:G&amp;A - Software Applications &amp; Licenses"/>
    <x v="3"/>
    <x v="10"/>
    <n v="21.19"/>
    <m/>
    <n v="-21.19"/>
    <n v="493767.58999999968"/>
  </r>
  <r>
    <s v="10/05/2025"/>
    <x v="1"/>
    <x v="10"/>
    <s v="Ramp Card"/>
    <m/>
    <s v="Expense"/>
    <s v="Anthropic"/>
    <s v="69400 General &amp; Administrative:G&amp;A - Software Applications &amp; Licenses"/>
    <x v="3"/>
    <x v="10"/>
    <n v="206"/>
    <m/>
    <n v="-206"/>
    <n v="493561.58999999968"/>
  </r>
  <r>
    <s v="10/05/2025"/>
    <x v="1"/>
    <x v="10"/>
    <s v="Ramp Card"/>
    <m/>
    <s v="Expense"/>
    <s v="Anthropic"/>
    <s v="69400 General &amp; Administrative:G&amp;A - Software Applications &amp; Licenses"/>
    <x v="3"/>
    <x v="10"/>
    <n v="102.42"/>
    <m/>
    <n v="-102.42"/>
    <n v="493459.16999999969"/>
  </r>
  <r>
    <s v="10/05/2025"/>
    <x v="1"/>
    <x v="10"/>
    <s v="Ramp Card"/>
    <m/>
    <s v="Expense"/>
    <s v="Delaware North"/>
    <s v="51505 Classic COGS - Delivery:Classic COGS - Delivery - Meals &amp; Entertainment"/>
    <x v="3"/>
    <x v="4"/>
    <n v="4.82"/>
    <m/>
    <n v="-4.82"/>
    <n v="493454.34999999969"/>
  </r>
  <r>
    <s v="10/05/2025"/>
    <x v="1"/>
    <x v="10"/>
    <s v="Ramp Card"/>
    <m/>
    <s v="Expense"/>
    <s v="Loews Hotels"/>
    <s v="51500 Classic COGS - Delivery:Classic COGS - Delivery - Travel"/>
    <x v="3"/>
    <x v="4"/>
    <n v="610.74"/>
    <m/>
    <n v="-610.74"/>
    <n v="492843.60999999969"/>
  </r>
  <r>
    <s v="10/05/2025"/>
    <x v="1"/>
    <x v="10"/>
    <s v="Ramp Card"/>
    <m/>
    <s v="Expense"/>
    <s v="Loews Hotels"/>
    <s v="51500 Classic COGS - Delivery:Classic COGS - Delivery - Travel"/>
    <x v="3"/>
    <x v="4"/>
    <n v="338.37"/>
    <m/>
    <n v="-338.37"/>
    <n v="492505.2399999997"/>
  </r>
  <r>
    <s v="10/05/2025"/>
    <x v="1"/>
    <x v="10"/>
    <s v="Ramp Card"/>
    <m/>
    <s v="Expense"/>
    <s v="Otter"/>
    <s v="69400 General &amp; Administrative:G&amp;A - Software Applications &amp; Licenses"/>
    <x v="3"/>
    <x v="10"/>
    <n v="31.8"/>
    <m/>
    <n v="-31.8"/>
    <n v="492473.43999999971"/>
  </r>
  <r>
    <s v="10/05/2025"/>
    <x v="1"/>
    <x v="10"/>
    <s v="Ramp Card"/>
    <m/>
    <s v="Expense"/>
    <s v="Taxii"/>
    <s v="51500 Classic COGS - Delivery:Classic COGS - Delivery - Travel"/>
    <x v="3"/>
    <x v="4"/>
    <n v="66.58"/>
    <m/>
    <n v="-66.58"/>
    <n v="492406.85999999969"/>
  </r>
  <r>
    <s v="10/06/2025"/>
    <x v="1"/>
    <x v="10"/>
    <s v="Ramp Card"/>
    <m/>
    <s v="Expense"/>
    <s v="Anthropic"/>
    <s v="69400 General &amp; Administrative:G&amp;A - Software Applications &amp; Licenses"/>
    <x v="3"/>
    <x v="10"/>
    <n v="103"/>
    <m/>
    <n v="-103"/>
    <n v="492303.85999999969"/>
  </r>
  <r>
    <s v="10/06/2025"/>
    <x v="1"/>
    <x v="10"/>
    <s v="Ramp Card"/>
    <m/>
    <s v="Expense"/>
    <s v="Anthropic"/>
    <s v="51400 Classic COGS - Delivery:Classic COGS - Delivery - Software Applications &amp; Licenses"/>
    <x v="3"/>
    <x v="10"/>
    <n v="21.2"/>
    <m/>
    <n v="-21.2"/>
    <n v="492282.65999999968"/>
  </r>
  <r>
    <s v="10/06/2025"/>
    <x v="1"/>
    <x v="10"/>
    <s v="Ramp Card"/>
    <m/>
    <s v="Expense"/>
    <s v="Anthropic"/>
    <s v="69400 General &amp; Administrative:G&amp;A - Software Applications &amp; Licenses"/>
    <x v="3"/>
    <x v="10"/>
    <n v="96.8"/>
    <m/>
    <n v="-96.8"/>
    <n v="492185.85999999969"/>
  </r>
  <r>
    <s v="10/06/2025"/>
    <x v="1"/>
    <x v="10"/>
    <s v="M&amp;T Operating"/>
    <m/>
    <s v="Bill Payment"/>
    <s v="Ashley MacArthur ashley@getboss.io USD"/>
    <s v="20005 Accounts Payable"/>
    <x v="3"/>
    <x v="8"/>
    <n v="1395"/>
    <m/>
    <n v="-1395"/>
    <n v="490790.85999999969"/>
  </r>
  <r>
    <s v="10/06/2025"/>
    <x v="1"/>
    <x v="10"/>
    <s v="M&amp;T Operating"/>
    <m/>
    <s v="Bill Payment"/>
    <s v="Ashley MacArthur ashley@getboss.io USD"/>
    <s v="20005 Accounts Payable"/>
    <x v="3"/>
    <x v="8"/>
    <n v="1590"/>
    <m/>
    <n v="-1590"/>
    <n v="489200.85999999969"/>
  </r>
  <r>
    <s v="10/06/2025"/>
    <x v="1"/>
    <x v="10"/>
    <s v="M&amp;T Operating"/>
    <m/>
    <s v="Bill Payment"/>
    <s v="Ashley MacArthur ashley@getboss.io USD"/>
    <s v="20005 Accounts Payable"/>
    <x v="3"/>
    <x v="8"/>
    <n v="375"/>
    <m/>
    <n v="-375"/>
    <n v="488825.85999999969"/>
  </r>
  <r>
    <s v="10/06/2025"/>
    <x v="1"/>
    <x v="10"/>
    <s v="M&amp;T Operating"/>
    <m/>
    <s v="Bill Payment"/>
    <s v="Ashley MacArthur ashley@getboss.io USD"/>
    <s v="20005 Accounts Payable"/>
    <x v="3"/>
    <x v="8"/>
    <n v="1710"/>
    <m/>
    <n v="-1710"/>
    <n v="487115.85999999969"/>
  </r>
  <r>
    <s v="10/06/2025"/>
    <x v="1"/>
    <x v="10"/>
    <s v="M&amp;T Operating"/>
    <m/>
    <s v="Bill Payment"/>
    <s v="Bartosz Juriewicz bartosz.juriewicz@gmail.com USD"/>
    <s v="20005 Accounts Payable"/>
    <x v="4"/>
    <x v="7"/>
    <n v="15150"/>
    <m/>
    <n v="-15150"/>
    <n v="471965.85999999969"/>
  </r>
  <r>
    <s v="10/06/2025"/>
    <x v="1"/>
    <x v="10"/>
    <s v="M&amp;T Operating"/>
    <m/>
    <s v="Bill Payment"/>
    <s v="Candy Marte Garcia candymartegarcia@gmail.com USD"/>
    <s v="20005 Accounts Payable"/>
    <x v="4"/>
    <x v="7"/>
    <n v="2677.5"/>
    <m/>
    <n v="-2677.5"/>
    <n v="469288.35999999969"/>
  </r>
  <r>
    <s v="10/06/2025"/>
    <x v="1"/>
    <x v="10"/>
    <s v="M&amp;T Operating"/>
    <m/>
    <s v="Bill Payment"/>
    <s v="Charles McGuinness charles@mcguinness.ai USD"/>
    <s v="20005 Accounts Payable"/>
    <x v="4"/>
    <x v="9"/>
    <n v="20000"/>
    <m/>
    <n v="-20000"/>
    <n v="449288.35999999969"/>
  </r>
  <r>
    <s v="10/06/2025"/>
    <x v="1"/>
    <x v="10"/>
    <s v="M&amp;T Operating"/>
    <m/>
    <s v="Bill Payment"/>
    <s v="David Wong david1wong1@gmail.com USD"/>
    <s v="20005 Accounts Payable"/>
    <x v="4"/>
    <x v="9"/>
    <n v="5400"/>
    <m/>
    <n v="-5400"/>
    <n v="443888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5"/>
    <m/>
    <n v="-5"/>
    <n v="443883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834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785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55"/>
    <m/>
    <n v="-55"/>
    <n v="443730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681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632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583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534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485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436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387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338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289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240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191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142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093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044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995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946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897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848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799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750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701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652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603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554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505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456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407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358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309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260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211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162.35999999969"/>
  </r>
  <r>
    <s v="10/06/2025"/>
    <x v="1"/>
    <x v="10"/>
    <s v="M&amp;T Operating"/>
    <m/>
    <s v="Bill Payment"/>
    <s v="Duane Nelson duanen@gmail.com USD"/>
    <s v="20005 Accounts Payable"/>
    <x v="4"/>
    <x v="9"/>
    <n v="568.75"/>
    <m/>
    <n v="-568.75"/>
    <n v="441593.60999999969"/>
  </r>
  <r>
    <s v="10/06/2025"/>
    <x v="1"/>
    <x v="10"/>
    <s v="M&amp;T Operating"/>
    <m/>
    <s v="Payment"/>
    <s v="Federation of State Massage Therapy Boards (FSMTB):Federation of State Massage Therapy Boards (FSMTB) - Scope A"/>
    <s v="11005 Accounts Receivable"/>
    <x v="2"/>
    <x v="2"/>
    <m/>
    <n v="103535"/>
    <n v="103535"/>
    <n v="545128.60999999964"/>
  </r>
  <r>
    <s v="10/06/2025"/>
    <x v="1"/>
    <x v="10"/>
    <s v="M&amp;T Operating"/>
    <m/>
    <s v="Bill Payment"/>
    <s v="Focus Fractional LLC"/>
    <s v="20005 Accounts Payable"/>
    <x v="3"/>
    <x v="8"/>
    <n v="20583.330000000002"/>
    <m/>
    <n v="-20583.330000000002"/>
    <n v="524545.27999999968"/>
  </r>
  <r>
    <s v="10/06/2025"/>
    <x v="1"/>
    <x v="10"/>
    <s v="M&amp;T Operating"/>
    <m/>
    <s v="Bill Payment"/>
    <s v="Focus Fractional LLC"/>
    <s v="20005 Accounts Payable"/>
    <x v="3"/>
    <x v="8"/>
    <n v="807.5"/>
    <m/>
    <n v="-807.5"/>
    <n v="523737.77999999968"/>
  </r>
  <r>
    <s v="10/06/2025"/>
    <x v="1"/>
    <x v="10"/>
    <s v="Ramp Card"/>
    <m/>
    <s v="Expense"/>
    <s v="Grunauer"/>
    <s v="51505 Classic COGS - Delivery:Classic COGS - Delivery - Meals &amp; Entertainment"/>
    <x v="3"/>
    <x v="4"/>
    <n v="78.540000000000006"/>
    <m/>
    <n v="-78.540000000000006"/>
    <n v="523659.2399999997"/>
  </r>
  <r>
    <s v="10/06/2025"/>
    <x v="1"/>
    <x v="10"/>
    <s v="M&amp;T Operating"/>
    <m/>
    <s v="Bill Payment"/>
    <s v="Herbert Donald Edwards don.edwards01@gmail.com USD"/>
    <s v="20005 Accounts Payable"/>
    <x v="4"/>
    <x v="7"/>
    <n v="8287.5"/>
    <m/>
    <n v="-8287.5"/>
    <n v="515371.7399999997"/>
  </r>
  <r>
    <s v="10/06/2025"/>
    <x v="1"/>
    <x v="10"/>
    <s v="M&amp;T Operating"/>
    <m/>
    <s v="Bill Payment"/>
    <s v="Joseph Mallek joe@nimblefire.com USD"/>
    <s v="20005 Accounts Payable"/>
    <x v="4"/>
    <x v="9"/>
    <n v="10000"/>
    <m/>
    <n v="-10000"/>
    <n v="505371.7399999997"/>
  </r>
  <r>
    <s v="10/06/2025"/>
    <x v="1"/>
    <x v="10"/>
    <s v="M&amp;T Operating"/>
    <m/>
    <s v="Expense"/>
    <s v="New York Life"/>
    <s v="22315 Accrued Expenses:Accrued Expenses - NY Life Clearing"/>
    <x v="1"/>
    <x v="1"/>
    <n v="1127.26"/>
    <m/>
    <n v="-1127.26"/>
    <n v="504244.47999999969"/>
  </r>
  <r>
    <s v="10/06/2025"/>
    <x v="1"/>
    <x v="10"/>
    <s v="Ramp Card"/>
    <m/>
    <s v="Expense"/>
    <s v="NJ.gov"/>
    <s v="69815 General &amp; Administrative:G&amp;A - Business Taxes, Licenses &amp; Permits"/>
    <x v="3"/>
    <x v="20"/>
    <n v="38.43"/>
    <m/>
    <n v="-38.43"/>
    <n v="504206.0499999997"/>
  </r>
  <r>
    <s v="10/06/2025"/>
    <x v="1"/>
    <x v="10"/>
    <s v="M&amp;T Operating"/>
    <m/>
    <s v="Bill Payment"/>
    <s v="Pedro Rubio pedro@blackfyre.app USD"/>
    <s v="20005 Accounts Payable"/>
    <x v="4"/>
    <x v="9"/>
    <n v="1600"/>
    <m/>
    <n v="-1600"/>
    <n v="502606.0499999997"/>
  </r>
  <r>
    <s v="10/06/2025"/>
    <x v="1"/>
    <x v="10"/>
    <s v="M&amp;T Operating"/>
    <m/>
    <s v="Bill Payment"/>
    <s v="Pedro Rubio pedro@blackfyre.app USD"/>
    <s v="20005 Accounts Payable"/>
    <x v="4"/>
    <x v="9"/>
    <n v="199"/>
    <m/>
    <n v="-199"/>
    <n v="502407.0499999997"/>
  </r>
  <r>
    <s v="10/06/2025"/>
    <x v="1"/>
    <x v="10"/>
    <s v="Ramp Card"/>
    <m/>
    <s v="Expense"/>
    <s v="Perplexity AI"/>
    <s v="51400 Classic COGS - Delivery:Classic COGS - Delivery - Software Applications &amp; Licenses"/>
    <x v="3"/>
    <x v="10"/>
    <n v="21.2"/>
    <m/>
    <n v="-21.2"/>
    <n v="502385.84999999969"/>
  </r>
  <r>
    <s v="10/06/2025"/>
    <x v="1"/>
    <x v="10"/>
    <s v="M&amp;T Operating"/>
    <m/>
    <s v="Bill Payment"/>
    <s v="Prasanna Patel prasanna.patel@xtransmatrix.com USD"/>
    <s v="20005 Accounts Payable"/>
    <x v="4"/>
    <x v="9"/>
    <n v="3520"/>
    <m/>
    <n v="-3520"/>
    <n v="498865.84999999969"/>
  </r>
  <r>
    <s v="10/06/2025"/>
    <x v="1"/>
    <x v="10"/>
    <s v="M&amp;T Operating"/>
    <m/>
    <s v="Bill Payment"/>
    <s v="Prasanna Patel prasanna.patel@xtransmatrix.com USD"/>
    <s v="20005 Accounts Payable"/>
    <x v="4"/>
    <x v="9"/>
    <n v="6160"/>
    <m/>
    <n v="-6160"/>
    <n v="492705.84999999969"/>
  </r>
  <r>
    <s v="10/06/2025"/>
    <x v="1"/>
    <x v="10"/>
    <s v="M&amp;T Operating"/>
    <m/>
    <s v="Bill Payment"/>
    <s v="Resolute Creative Group, LLC"/>
    <s v="20005 Accounts Payable"/>
    <x v="4"/>
    <x v="7"/>
    <n v="62.5"/>
    <m/>
    <n v="-62.5"/>
    <n v="492643.34999999969"/>
  </r>
  <r>
    <s v="10/06/2025"/>
    <x v="1"/>
    <x v="10"/>
    <s v="M&amp;T Operating"/>
    <m/>
    <s v="Bill Payment"/>
    <s v="SALESFORCE CRM CONSULTING PTY LTD"/>
    <s v="20005 Accounts Payable"/>
    <x v="4"/>
    <x v="7"/>
    <n v="4536"/>
    <m/>
    <n v="-4536"/>
    <n v="488107.34999999969"/>
  </r>
  <r>
    <s v="10/06/2025"/>
    <x v="1"/>
    <x v="10"/>
    <s v="M&amp;T Operating"/>
    <m/>
    <s v="Bill Payment"/>
    <s v="SALESFORCE CRM CONSULTING PTY LTD"/>
    <s v="20005 Accounts Payable"/>
    <x v="4"/>
    <x v="7"/>
    <n v="420"/>
    <m/>
    <n v="-420"/>
    <n v="487687.34999999969"/>
  </r>
  <r>
    <s v="10/06/2025"/>
    <x v="1"/>
    <x v="10"/>
    <s v="M&amp;T Operating"/>
    <m/>
    <s v="Bill Payment"/>
    <s v="SALESFORCE CRM CONSULTING PTY LTD"/>
    <s v="20005 Accounts Payable"/>
    <x v="4"/>
    <x v="7"/>
    <n v="822.5"/>
    <m/>
    <n v="-822.5"/>
    <n v="486864.84999999969"/>
  </r>
  <r>
    <s v="10/06/2025"/>
    <x v="1"/>
    <x v="10"/>
    <s v="M&amp;T Operating"/>
    <m/>
    <s v="Bill Payment"/>
    <s v="SALESFORCE CRM CONSULTING PTY LTD"/>
    <s v="20005 Accounts Payable"/>
    <x v="4"/>
    <x v="7"/>
    <n v="4408"/>
    <m/>
    <n v="-4408"/>
    <n v="482456.84999999969"/>
  </r>
  <r>
    <s v="10/06/2025"/>
    <x v="1"/>
    <x v="10"/>
    <s v="M&amp;T Operating"/>
    <m/>
    <s v="Bill Payment"/>
    <s v="SALESFORCE CRM CONSULTING PTY LTD"/>
    <s v="20005 Accounts Payable"/>
    <x v="4"/>
    <x v="7"/>
    <n v="2207.25"/>
    <m/>
    <n v="-2207.25"/>
    <n v="480249.59999999969"/>
  </r>
  <r>
    <s v="10/06/2025"/>
    <x v="1"/>
    <x v="10"/>
    <s v="M&amp;T Operating"/>
    <m/>
    <s v="Bill Payment"/>
    <s v="SALESFORCE CRM CONSULTING PTY LTD"/>
    <s v="20005 Accounts Payable"/>
    <x v="4"/>
    <x v="7"/>
    <n v="6265"/>
    <m/>
    <n v="-6265"/>
    <n v="473984.59999999969"/>
  </r>
  <r>
    <s v="10/06/2025"/>
    <x v="1"/>
    <x v="10"/>
    <s v="M&amp;T Operating"/>
    <m/>
    <s v="Bill Payment"/>
    <s v="SALESFORCE CRM CONSULTING PTY LTD"/>
    <s v="20005 Accounts Payable"/>
    <x v="4"/>
    <x v="7"/>
    <n v="858"/>
    <m/>
    <n v="-858"/>
    <n v="473126.59999999969"/>
  </r>
  <r>
    <s v="10/06/2025"/>
    <x v="1"/>
    <x v="10"/>
    <s v="M&amp;T Operating"/>
    <m/>
    <s v="Bill Payment"/>
    <s v="SALESFORCE CRM CONSULTING PTY LTD"/>
    <s v="20005 Accounts Payable"/>
    <x v="4"/>
    <x v="7"/>
    <n v="625"/>
    <m/>
    <n v="-625"/>
    <n v="472501.59999999969"/>
  </r>
  <r>
    <s v="10/06/2025"/>
    <x v="1"/>
    <x v="10"/>
    <s v="M&amp;T Operating"/>
    <m/>
    <s v="Bill Payment"/>
    <s v="SALESFORCE CRM CONSULTING PTY LTD"/>
    <s v="20005 Accounts Payable"/>
    <x v="4"/>
    <x v="7"/>
    <n v="1425"/>
    <m/>
    <n v="-1425"/>
    <n v="471076.59999999969"/>
  </r>
  <r>
    <s v="10/06/2025"/>
    <x v="1"/>
    <x v="10"/>
    <s v="M&amp;T Operating"/>
    <m/>
    <s v="Bill Payment"/>
    <s v="SALESFORCE CRM CONSULTING PTY LTD"/>
    <s v="20005 Accounts Payable"/>
    <x v="4"/>
    <x v="7"/>
    <n v="2625"/>
    <m/>
    <n v="-2625"/>
    <n v="468451.59999999969"/>
  </r>
  <r>
    <s v="10/06/2025"/>
    <x v="1"/>
    <x v="10"/>
    <s v="M&amp;T Operating"/>
    <m/>
    <s v="Bill Payment"/>
    <s v="SALESFORCE CRM CONSULTING PTY LTD"/>
    <s v="20005 Accounts Payable"/>
    <x v="4"/>
    <x v="7"/>
    <n v="220"/>
    <m/>
    <n v="-220"/>
    <n v="468231.59999999969"/>
  </r>
  <r>
    <s v="10/06/2025"/>
    <x v="1"/>
    <x v="10"/>
    <s v="M&amp;T Operating"/>
    <m/>
    <s v="Bill Payment"/>
    <s v="SALESFORCE CRM CONSULTING PTY LTD"/>
    <s v="20005 Accounts Payable"/>
    <x v="4"/>
    <x v="7"/>
    <n v="3948"/>
    <m/>
    <n v="-3948"/>
    <n v="464283.59999999969"/>
  </r>
  <r>
    <s v="10/06/2025"/>
    <x v="1"/>
    <x v="10"/>
    <s v="M&amp;T Operating"/>
    <m/>
    <s v="Bill Payment"/>
    <s v="SALESFORCE CRM CONSULTING PTY LTD"/>
    <s v="20005 Accounts Payable"/>
    <x v="4"/>
    <x v="7"/>
    <n v="3972.5"/>
    <m/>
    <n v="-3972.5"/>
    <n v="460311.09999999969"/>
  </r>
  <r>
    <s v="10/06/2025"/>
    <x v="1"/>
    <x v="10"/>
    <s v="M&amp;T Operating"/>
    <m/>
    <s v="Bill Payment"/>
    <s v="SALESFORCE CRM CONSULTING PTY LTD"/>
    <s v="20005 Accounts Payable"/>
    <x v="4"/>
    <x v="7"/>
    <n v="44"/>
    <m/>
    <n v="-44"/>
    <n v="460267.09999999969"/>
  </r>
  <r>
    <s v="10/06/2025"/>
    <x v="1"/>
    <x v="10"/>
    <s v="M&amp;T Operating"/>
    <m/>
    <s v="Bill Payment"/>
    <s v="SALESFORCE CRM CONSULTING PTY LTD"/>
    <s v="20005 Accounts Payable"/>
    <x v="4"/>
    <x v="7"/>
    <n v="3276"/>
    <m/>
    <n v="-3276"/>
    <n v="456991.09999999969"/>
  </r>
  <r>
    <s v="10/06/2025"/>
    <x v="1"/>
    <x v="10"/>
    <s v="M&amp;T Operating"/>
    <m/>
    <s v="Bill Payment"/>
    <s v="Shazib Mahmood shazibm91@gmail.com USD"/>
    <s v="20005 Accounts Payable"/>
    <x v="4"/>
    <x v="7"/>
    <n v="18544"/>
    <m/>
    <n v="-18544"/>
    <n v="438447.09999999969"/>
  </r>
  <r>
    <s v="10/06/2025"/>
    <x v="1"/>
    <x v="10"/>
    <s v="Ramp Card"/>
    <m/>
    <s v="Expense"/>
    <s v="Southwest Airlines"/>
    <s v="51500 Classic COGS - Delivery:Classic COGS - Delivery - Travel"/>
    <x v="3"/>
    <x v="4"/>
    <n v="434.96"/>
    <m/>
    <n v="-434.96"/>
    <n v="438012.13999999966"/>
  </r>
  <r>
    <s v="10/06/2025"/>
    <x v="1"/>
    <x v="10"/>
    <s v="Ramp Card"/>
    <m/>
    <s v="Expense"/>
    <s v="Travelocity"/>
    <s v="51500 Classic COGS - Delivery:Classic COGS - Delivery - Travel"/>
    <x v="3"/>
    <x v="4"/>
    <n v="5.16"/>
    <m/>
    <n v="-5.16"/>
    <n v="438006.97999999969"/>
  </r>
  <r>
    <s v="10/06/2025"/>
    <x v="1"/>
    <x v="10"/>
    <s v="Ramp Card"/>
    <m/>
    <s v="Expense"/>
    <s v="United"/>
    <s v="51500 Classic COGS - Delivery:Classic COGS - Delivery - Travel"/>
    <x v="3"/>
    <x v="4"/>
    <n v="294.95999999999998"/>
    <m/>
    <n v="-294.95999999999998"/>
    <n v="437712.01999999967"/>
  </r>
  <r>
    <s v="10/06/2025"/>
    <x v="1"/>
    <x v="10"/>
    <s v="M&amp;T Operating"/>
    <m/>
    <s v="Transfer"/>
    <m/>
    <s v="10010 M&amp;T Bank - IntraFi Network Sweep"/>
    <x v="0"/>
    <x v="0"/>
    <m/>
    <n v="156860.59"/>
    <n v="156860.59"/>
    <n v="594572.60999999964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2.28"/>
    <m/>
    <n v="-32.28"/>
    <n v="594540.32999999961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1.08"/>
    <m/>
    <n v="-31.08"/>
    <n v="594509.24999999965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93.24"/>
    <m/>
    <n v="-93.24"/>
    <n v="594416.00999999966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3.229999999999997"/>
    <m/>
    <n v="-33.229999999999997"/>
    <n v="594382.77999999968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2.229999999999997"/>
    <m/>
    <n v="-32.229999999999997"/>
    <n v="594350.5499999997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2.880000000000003"/>
    <m/>
    <n v="-32.880000000000003"/>
    <n v="594317.66999999969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0.95"/>
    <m/>
    <n v="-30.95"/>
    <n v="594286.71999999974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1.44"/>
    <m/>
    <n v="-31.44"/>
    <n v="594255.2799999998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2.32"/>
    <m/>
    <n v="-32.32"/>
    <n v="594222.95999999985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103"/>
    <m/>
    <n v="-103"/>
    <n v="594119.95999999985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4.549999999999997"/>
    <m/>
    <n v="-34.549999999999997"/>
    <n v="594085.4099999998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1.42"/>
    <m/>
    <n v="-31.42"/>
    <n v="594053.98999999976"/>
  </r>
  <r>
    <s v="10/07/2025"/>
    <x v="1"/>
    <x v="10"/>
    <s v="M&amp;T Operating"/>
    <m/>
    <s v="Expense"/>
    <s v="Further FKA SelctAccount"/>
    <s v="22330 Accrued Expenses:Accrued Expenses - Further Clearing"/>
    <x v="1"/>
    <x v="1"/>
    <n v="30.78"/>
    <m/>
    <n v="-30.78"/>
    <n v="594023.20999999973"/>
  </r>
  <r>
    <s v="10/07/2025"/>
    <x v="1"/>
    <x v="10"/>
    <s v="Ramp Card"/>
    <m/>
    <s v="Expense"/>
    <s v="OpenAI"/>
    <s v="51400 Classic COGS - Delivery:Classic COGS - Delivery - Software Applications &amp; Licenses"/>
    <x v="3"/>
    <x v="10"/>
    <n v="20"/>
    <m/>
    <n v="-20"/>
    <n v="594003.20999999973"/>
  </r>
  <r>
    <s v="10/07/2025"/>
    <x v="1"/>
    <x v="10"/>
    <s v="M&amp;T Operating"/>
    <m/>
    <s v="Expense"/>
    <s v="Paylocity"/>
    <s v="69125 General &amp; Administrative:G&amp;A - Payroll Tax"/>
    <x v="1"/>
    <x v="3"/>
    <n v="4"/>
    <m/>
    <n v="-4"/>
    <n v="593999.20999999973"/>
  </r>
  <r>
    <s v="10/07/2025"/>
    <x v="1"/>
    <x v="10"/>
    <s v="Ramp Card"/>
    <m/>
    <s v="Expense"/>
    <s v="Stockyards Brewing Co"/>
    <s v="51505 Classic COGS - Delivery:Classic COGS - Delivery - Meals &amp; Entertainment"/>
    <x v="3"/>
    <x v="4"/>
    <n v="38.61"/>
    <m/>
    <n v="-38.61"/>
    <n v="593960.59999999974"/>
  </r>
  <r>
    <s v="10/07/2025"/>
    <x v="1"/>
    <x v="10"/>
    <s v="Ramp Card"/>
    <m/>
    <s v="Expense"/>
    <s v="Uber"/>
    <s v="51500 Classic COGS - Delivery:Classic COGS - Delivery - Travel"/>
    <x v="3"/>
    <x v="4"/>
    <n v="45.92"/>
    <m/>
    <n v="-45.92"/>
    <n v="593914.6799999997"/>
  </r>
  <r>
    <s v="10/07/2025"/>
    <x v="1"/>
    <x v="10"/>
    <s v="Ramp Card"/>
    <m/>
    <s v="Expense"/>
    <s v="Uber"/>
    <s v="51500 Classic COGS - Delivery:Classic COGS - Delivery - Travel"/>
    <x v="3"/>
    <x v="4"/>
    <n v="41.89"/>
    <m/>
    <n v="-41.89"/>
    <n v="593872.78999999969"/>
  </r>
  <r>
    <s v="10/07/2025"/>
    <x v="1"/>
    <x v="10"/>
    <s v="M&amp;T Operating"/>
    <m/>
    <s v="Payment"/>
    <s v="Youreka Labs, Inc"/>
    <s v="11005 Accounts Receivable"/>
    <x v="2"/>
    <x v="2"/>
    <m/>
    <n v="274"/>
    <n v="274"/>
    <n v="594146.78999999969"/>
  </r>
  <r>
    <s v="10/07/2025"/>
    <x v="1"/>
    <x v="10"/>
    <s v="M&amp;T Operating"/>
    <m/>
    <s v="Transfer"/>
    <m/>
    <s v="10010 M&amp;T Bank - IntraFi Network Sweep"/>
    <x v="0"/>
    <x v="0"/>
    <n v="103499.22"/>
    <m/>
    <n v="-103499.22"/>
    <n v="490647.56999999972"/>
  </r>
  <r>
    <s v="10/08/2025"/>
    <x v="1"/>
    <x v="10"/>
    <s v="Ramp Card"/>
    <m/>
    <s v="Expense"/>
    <s v="Anthropic"/>
    <s v="69400 General &amp; Administrative:G&amp;A - Software Applications &amp; Licenses"/>
    <x v="3"/>
    <x v="10"/>
    <n v="28.15"/>
    <m/>
    <n v="-28.15"/>
    <n v="490619.41999999969"/>
  </r>
  <r>
    <s v="10/08/2025"/>
    <x v="1"/>
    <x v="10"/>
    <s v="Ramp Card"/>
    <m/>
    <s v="Expense"/>
    <s v="Anthropic"/>
    <s v="69400 General &amp; Administrative:G&amp;A - Software Applications &amp; Licenses"/>
    <x v="3"/>
    <x v="10"/>
    <n v="43.47"/>
    <m/>
    <n v="-43.47"/>
    <n v="490575.94999999972"/>
  </r>
  <r>
    <s v="10/08/2025"/>
    <x v="1"/>
    <x v="10"/>
    <s v="Ramp Card"/>
    <m/>
    <s v="Expense"/>
    <s v="Anthropic"/>
    <s v="69400 General &amp; Administrative:G&amp;A - Software Applications &amp; Licenses"/>
    <x v="3"/>
    <x v="10"/>
    <n v="26.92"/>
    <m/>
    <n v="-26.92"/>
    <n v="490549.02999999974"/>
  </r>
  <r>
    <s v="10/08/2025"/>
    <x v="1"/>
    <x v="10"/>
    <s v="Ramp Card"/>
    <m/>
    <s v="Expense"/>
    <s v="LinkedIn"/>
    <s v="69400 General &amp; Administrative:G&amp;A - Software Applications &amp; Licenses"/>
    <x v="3"/>
    <x v="10"/>
    <n v="63.59"/>
    <m/>
    <n v="-63.59"/>
    <n v="490485.43999999971"/>
  </r>
  <r>
    <s v="10/08/2025"/>
    <x v="1"/>
    <x v="10"/>
    <s v="M&amp;T Operating"/>
    <m/>
    <s v="Expense"/>
    <s v="M&amp;T Bank"/>
    <s v="69805 General &amp; Administrative:G&amp;A - Bank Fees"/>
    <x v="0"/>
    <x v="6"/>
    <n v="313.79000000000002"/>
    <m/>
    <n v="-313.79000000000002"/>
    <n v="490171.64999999973"/>
  </r>
  <r>
    <s v="10/08/2025"/>
    <x v="1"/>
    <x v="10"/>
    <s v="Ramp Card"/>
    <m/>
    <s v="Expense"/>
    <s v="Sembly AI"/>
    <s v="13005 Prepaid Expenses"/>
    <x v="3"/>
    <x v="10"/>
    <n v="3226.65"/>
    <m/>
    <n v="-3226.65"/>
    <n v="486944.99999999971"/>
  </r>
  <r>
    <s v="10/08/2025"/>
    <x v="1"/>
    <x v="10"/>
    <s v="Ramp Card"/>
    <m/>
    <s v="Expense"/>
    <s v="Southwest Airlines"/>
    <s v="51500 Classic COGS - Delivery:Classic COGS - Delivery - Travel"/>
    <x v="3"/>
    <x v="4"/>
    <n v="352.96"/>
    <m/>
    <n v="-352.96"/>
    <n v="486592.03999999969"/>
  </r>
  <r>
    <s v="10/08/2025"/>
    <x v="1"/>
    <x v="10"/>
    <s v="M&amp;T Operating"/>
    <m/>
    <s v="Transfer"/>
    <m/>
    <s v="10010 M&amp;T Bank - IntraFi Network Sweep"/>
    <x v="0"/>
    <x v="0"/>
    <m/>
    <n v="313.79000000000002"/>
    <n v="313.79000000000002"/>
    <n v="486905.82999999967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2.21"/>
    <m/>
    <n v="-42.21"/>
    <n v="486863.61999999965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56"/>
    <m/>
    <n v="-41.56"/>
    <n v="486822.05999999965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2"/>
    <m/>
    <n v="-42"/>
    <n v="486780.05999999965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53"/>
    <m/>
    <n v="-41.53"/>
    <n v="486738.52999999962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6.34"/>
    <m/>
    <n v="-46.34"/>
    <n v="486692.18999999959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3.55"/>
    <m/>
    <n v="-43.55"/>
    <n v="486648.63999999961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23"/>
    <m/>
    <n v="-41.23"/>
    <n v="486607.40999999963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3.4"/>
    <m/>
    <n v="-43.4"/>
    <n v="486564.0099999996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62"/>
    <m/>
    <n v="-41.62"/>
    <n v="486522.38999999961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4.82"/>
    <m/>
    <n v="-44.82"/>
    <n v="486477.5699999996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3.16"/>
    <m/>
    <n v="-43.16"/>
    <n v="486434.40999999963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3.16"/>
    <m/>
    <n v="-43.16"/>
    <n v="486391.24999999965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92"/>
    <m/>
    <n v="-41.92"/>
    <n v="486349.32999999967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45"/>
    <m/>
    <n v="-41.45"/>
    <n v="486307.87999999966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2.43"/>
    <m/>
    <n v="-42.43"/>
    <n v="486265.44999999966"/>
  </r>
  <r>
    <s v="10/09/2025"/>
    <x v="1"/>
    <x v="10"/>
    <s v="M&amp;T Operating"/>
    <m/>
    <s v="Bill Payment"/>
    <s v="Brenna Hawley-Craig (brenna@synaptic.build)"/>
    <s v="20005 Accounts Payable"/>
    <x v="3"/>
    <x v="4"/>
    <n v="63.35"/>
    <m/>
    <n v="-63.35"/>
    <n v="486202.09999999969"/>
  </r>
  <r>
    <s v="10/09/2025"/>
    <x v="1"/>
    <x v="10"/>
    <s v="Ramp Card"/>
    <m/>
    <s v="Expense"/>
    <s v="Firecrawl"/>
    <s v="58005 Direct Third Party Costs:Direct Third Party Software License Fees"/>
    <x v="4"/>
    <x v="19"/>
    <n v="99"/>
    <m/>
    <n v="-99"/>
    <n v="486103.09999999969"/>
  </r>
  <r>
    <s v="10/09/2025"/>
    <x v="1"/>
    <x v="10"/>
    <s v="Ramp Card"/>
    <m/>
    <s v="Expense"/>
    <s v="Loom"/>
    <s v="64400 AppIQ - Sales:AppIQ - Sales - Software Applications &amp; Licenses"/>
    <x v="3"/>
    <x v="10"/>
    <n v="24"/>
    <m/>
    <n v="-24"/>
    <n v="486079.09999999969"/>
  </r>
  <r>
    <s v="10/09/2025"/>
    <x v="1"/>
    <x v="10"/>
    <s v="M&amp;T Operating"/>
    <m/>
    <s v="Transfer"/>
    <m/>
    <s v="10010 M&amp;T Bank - IntraFi Network Sweep"/>
    <x v="0"/>
    <x v="0"/>
    <m/>
    <n v="63.35"/>
    <n v="63.35"/>
    <n v="486142.44999999966"/>
  </r>
  <r>
    <s v="10/10/2025"/>
    <x v="1"/>
    <x v="10"/>
    <s v="Ramp Card"/>
    <m/>
    <s v="Expense"/>
    <s v="Anthropic"/>
    <s v="69400 General &amp; Administrative:G&amp;A - Software Applications &amp; Licenses"/>
    <x v="3"/>
    <x v="10"/>
    <n v="41.31"/>
    <m/>
    <n v="-41.31"/>
    <n v="486101.13999999966"/>
  </r>
  <r>
    <s v="10/10/2025"/>
    <x v="1"/>
    <x v="10"/>
    <s v="Ramp Card"/>
    <m/>
    <s v="Expense"/>
    <s v="Anthropic"/>
    <s v="69400 General &amp; Administrative:G&amp;A - Software Applications &amp; Licenses"/>
    <x v="3"/>
    <x v="10"/>
    <n v="31.14"/>
    <m/>
    <n v="-31.14"/>
    <n v="486069.99999999965"/>
  </r>
  <r>
    <s v="10/10/2025"/>
    <x v="1"/>
    <x v="10"/>
    <s v="Ramp Card"/>
    <m/>
    <s v="Expense"/>
    <s v="Anthropic"/>
    <s v="69400 General &amp; Administrative:G&amp;A - Software Applications &amp; Licenses"/>
    <x v="3"/>
    <x v="10"/>
    <n v="41.21"/>
    <m/>
    <n v="-41.21"/>
    <n v="486028.78999999963"/>
  </r>
  <r>
    <s v="10/10/2025"/>
    <x v="1"/>
    <x v="10"/>
    <s v="Ramp Card"/>
    <m/>
    <s v="Expense"/>
    <s v="OpenAI"/>
    <s v="69400 General &amp; Administrative:G&amp;A - Software Applications &amp; Licenses"/>
    <x v="3"/>
    <x v="10"/>
    <n v="212"/>
    <m/>
    <n v="-212"/>
    <n v="485816.78999999963"/>
  </r>
  <r>
    <s v="10/10/2025"/>
    <x v="1"/>
    <x v="10"/>
    <s v="M&amp;T Operating"/>
    <m/>
    <s v="Expense"/>
    <s v="Wex Health, Inc."/>
    <s v="22320 Accrued Expenses:Accrued Expenses - WEX Clearing"/>
    <x v="1"/>
    <x v="1"/>
    <n v="146.88"/>
    <m/>
    <n v="-146.88"/>
    <n v="485669.90999999963"/>
  </r>
  <r>
    <s v="10/10/2025"/>
    <x v="1"/>
    <x v="10"/>
    <s v="M&amp;T Operating"/>
    <m/>
    <s v="Transfer"/>
    <m/>
    <s v="10010 M&amp;T Bank - IntraFi Network Sweep"/>
    <x v="0"/>
    <x v="0"/>
    <m/>
    <n v="146.88"/>
    <n v="146.88"/>
    <n v="485816.78999999963"/>
  </r>
  <r>
    <s v="10/11/2025"/>
    <x v="1"/>
    <x v="10"/>
    <s v="Ramp Card"/>
    <m/>
    <s v="Expense"/>
    <s v="OpenAI"/>
    <s v="51400 Classic COGS - Delivery:Classic COGS - Delivery - Software Applications &amp; Licenses"/>
    <x v="3"/>
    <x v="10"/>
    <n v="21.2"/>
    <m/>
    <n v="-21.2"/>
    <n v="485795.58999999962"/>
  </r>
  <r>
    <s v="10/12/2025"/>
    <x v="1"/>
    <x v="10"/>
    <s v="Ramp Card"/>
    <m/>
    <s v="Expense"/>
    <s v="Anthropic"/>
    <s v="69400 General &amp; Administrative:G&amp;A - Software Applications &amp; Licenses"/>
    <x v="3"/>
    <x v="10"/>
    <n v="31.32"/>
    <m/>
    <n v="-31.32"/>
    <n v="485764.26999999961"/>
  </r>
  <r>
    <s v="10/12/2025"/>
    <x v="1"/>
    <x v="10"/>
    <s v="Ramp Card"/>
    <m/>
    <s v="Expense"/>
    <s v="Atlassian"/>
    <s v="69400 General &amp; Administrative:G&amp;A - Software Applications &amp; Licenses"/>
    <x v="3"/>
    <x v="10"/>
    <n v="1126.0999999999999"/>
    <m/>
    <n v="-1126.0999999999999"/>
    <n v="484638.16999999963"/>
  </r>
  <r>
    <s v="10/12/2025"/>
    <x v="1"/>
    <x v="10"/>
    <s v="Ramp Card"/>
    <m/>
    <s v="Expense"/>
    <s v="Cookiebot"/>
    <s v="69400 General &amp; Administrative:G&amp;A - Software Applications &amp; Licenses"/>
    <x v="3"/>
    <x v="10"/>
    <n v="34"/>
    <m/>
    <n v="-34"/>
    <n v="484604.16999999963"/>
  </r>
  <r>
    <s v="10/12/2025"/>
    <x v="1"/>
    <x v="10"/>
    <s v="Ramp Card"/>
    <m/>
    <s v="Expense"/>
    <s v="OpenAI"/>
    <s v="69400 General &amp; Administrative:G&amp;A - Software Applications &amp; Licenses"/>
    <x v="3"/>
    <x v="10"/>
    <n v="200"/>
    <m/>
    <n v="-200"/>
    <n v="484404.16999999963"/>
  </r>
  <r>
    <s v="10/12/2025"/>
    <x v="1"/>
    <x v="10"/>
    <s v="Ramp Card"/>
    <m/>
    <s v="Expense"/>
    <s v="Vidyard"/>
    <s v="65400 AppIQ - Marketing:AppIQ - Marketing - Software Applications &amp; Licenses"/>
    <x v="3"/>
    <x v="10"/>
    <n v="29"/>
    <m/>
    <n v="-29"/>
    <n v="484375.16999999963"/>
  </r>
  <r>
    <s v="10/13/2025"/>
    <x v="1"/>
    <x v="10"/>
    <s v="Ramp Card"/>
    <m/>
    <s v="Expense"/>
    <s v="Anthropic"/>
    <s v="69400 General &amp; Administrative:G&amp;A - Software Applications &amp; Licenses"/>
    <x v="3"/>
    <x v="10"/>
    <n v="31.31"/>
    <m/>
    <n v="-31.31"/>
    <n v="484343.85999999964"/>
  </r>
  <r>
    <s v="10/13/2025"/>
    <x v="1"/>
    <x v="10"/>
    <s v="Ramp Card"/>
    <m/>
    <s v="Expense"/>
    <s v="Anthropic"/>
    <s v="69400 General &amp; Administrative:G&amp;A - Software Applications &amp; Licenses"/>
    <x v="3"/>
    <x v="10"/>
    <n v="32.01"/>
    <m/>
    <n v="-32.01"/>
    <n v="484311.84999999963"/>
  </r>
  <r>
    <s v="10/13/2025"/>
    <x v="1"/>
    <x v="10"/>
    <s v="Ramp Card"/>
    <m/>
    <s v="Expense"/>
    <s v="Anthropic"/>
    <s v="69400 General &amp; Administrative:G&amp;A - Software Applications &amp; Licenses"/>
    <x v="3"/>
    <x v="10"/>
    <n v="30.93"/>
    <m/>
    <n v="-30.93"/>
    <n v="484280.91999999963"/>
  </r>
  <r>
    <s v="10/13/2025"/>
    <x v="1"/>
    <x v="10"/>
    <s v="Ramp Card"/>
    <m/>
    <s v="Expense"/>
    <s v="Dunkin' Donuts"/>
    <s v="69505 General &amp; Administrative:G&amp;A - Meals &amp; Entertainment"/>
    <x v="3"/>
    <x v="4"/>
    <n v="11.78"/>
    <m/>
    <n v="-11.78"/>
    <n v="484269.13999999961"/>
  </r>
  <r>
    <s v="10/13/2025"/>
    <x v="1"/>
    <x v="10"/>
    <s v="Ramp Card"/>
    <m/>
    <s v="Expense"/>
    <s v="GoDaddy"/>
    <s v="57020 Hosting Costs:Hosting Website Maintenance"/>
    <x v="3"/>
    <x v="10"/>
    <n v="137.78"/>
    <m/>
    <n v="-137.78"/>
    <n v="484131.35999999958"/>
  </r>
  <r>
    <s v="10/13/2025"/>
    <x v="1"/>
    <x v="10"/>
    <s v="Ramp Card"/>
    <m/>
    <s v="Expense"/>
    <s v="Jamba"/>
    <s v="66505 AppIQ - Research &amp; Development:AppIQ - R&amp;D - Meals &amp; Entertainment"/>
    <x v="3"/>
    <x v="4"/>
    <n v="14.17"/>
    <m/>
    <n v="-14.17"/>
    <n v="484117.18999999959"/>
  </r>
  <r>
    <s v="10/13/2025"/>
    <x v="1"/>
    <x v="10"/>
    <s v="Ramp Card"/>
    <m/>
    <s v="Expense"/>
    <s v="Jetblue"/>
    <s v="66500 AppIQ - Research &amp; Development:AppIQ - R&amp;D - Travel"/>
    <x v="3"/>
    <x v="4"/>
    <n v="75"/>
    <m/>
    <n v="-75"/>
    <n v="484042.18999999959"/>
  </r>
  <r>
    <s v="10/13/2025"/>
    <x v="1"/>
    <x v="10"/>
    <s v="Ramp Card"/>
    <m/>
    <s v="Expense"/>
    <s v="La Carreta"/>
    <s v="61505 Classic - Sales:Classic - Sales - Meals &amp; Entertainment"/>
    <x v="3"/>
    <x v="4"/>
    <n v="54.91"/>
    <m/>
    <n v="-54.91"/>
    <n v="483987.27999999962"/>
  </r>
  <r>
    <s v="10/13/2025"/>
    <x v="1"/>
    <x v="10"/>
    <s v="Ramp Card"/>
    <m/>
    <s v="Expense"/>
    <s v="Louie's Bar"/>
    <s v="64505 AppIQ - Sales:AppIQ - Sales - Meals &amp; Entertainment"/>
    <x v="3"/>
    <x v="4"/>
    <n v="62.13"/>
    <m/>
    <n v="-62.13"/>
    <n v="483925.14999999962"/>
  </r>
  <r>
    <s v="10/13/2025"/>
    <x v="1"/>
    <x v="10"/>
    <s v="Ramp Card"/>
    <m/>
    <s v="Expense"/>
    <s v="Lyft"/>
    <s v="66500 AppIQ - Research &amp; Development:AppIQ - R&amp;D - Travel"/>
    <x v="3"/>
    <x v="4"/>
    <n v="71.67"/>
    <m/>
    <n v="-71.67"/>
    <n v="483853.47999999963"/>
  </r>
  <r>
    <s v="10/13/2025"/>
    <x v="1"/>
    <x v="10"/>
    <s v="Ramp Card"/>
    <m/>
    <s v="Expense"/>
    <s v="Uber"/>
    <s v="64500 AppIQ - Sales:AppIQ - Sales - Travel"/>
    <x v="3"/>
    <x v="4"/>
    <n v="67.16"/>
    <m/>
    <n v="-67.16"/>
    <n v="483786.31999999966"/>
  </r>
  <r>
    <s v="10/13/2025"/>
    <x v="1"/>
    <x v="10"/>
    <s v="Ramp Card"/>
    <m/>
    <s v="Expense"/>
    <s v="Uber"/>
    <s v="69500 General &amp; Administrative:G&amp;A - Travel"/>
    <x v="3"/>
    <x v="4"/>
    <n v="122.75"/>
    <m/>
    <n v="-122.75"/>
    <n v="483663.56999999966"/>
  </r>
  <r>
    <s v="10/13/2025"/>
    <x v="1"/>
    <x v="10"/>
    <s v="Ramp Card"/>
    <m/>
    <s v="Expense"/>
    <s v="Uber"/>
    <s v="61500 Classic - Sales:Classic - Sales - Travel"/>
    <x v="3"/>
    <x v="4"/>
    <n v="41.83"/>
    <m/>
    <n v="-41.83"/>
    <n v="483621.73999999964"/>
  </r>
  <r>
    <s v="10/13/2025"/>
    <x v="1"/>
    <x v="10"/>
    <s v="Ramp Card"/>
    <m/>
    <s v="Expense"/>
    <s v="Viasat (Ramp Vendor)"/>
    <s v="69500 General &amp; Administrative:G&amp;A - Travel"/>
    <x v="3"/>
    <x v="4"/>
    <n v="8"/>
    <m/>
    <n v="-8"/>
    <n v="483613.73999999964"/>
  </r>
  <r>
    <s v="10/13/2025"/>
    <x v="1"/>
    <x v="10"/>
    <s v="Ramp Card"/>
    <m/>
    <s v="Expense"/>
    <s v="Viasat (Ramp Vendor)"/>
    <s v="69500 General &amp; Administrative:G&amp;A - Travel"/>
    <x v="3"/>
    <x v="4"/>
    <n v="8"/>
    <m/>
    <n v="-8"/>
    <n v="483605.73999999964"/>
  </r>
  <r>
    <s v="10/14/2025"/>
    <x v="1"/>
    <x v="10"/>
    <s v="Ramp Card"/>
    <m/>
    <s v="Expense"/>
    <s v="Anthropic"/>
    <s v="69400 General &amp; Administrative:G&amp;A - Software Applications &amp; Licenses"/>
    <x v="3"/>
    <x v="10"/>
    <n v="30.93"/>
    <m/>
    <n v="-30.93"/>
    <n v="483574.80999999965"/>
  </r>
  <r>
    <s v="10/14/2025"/>
    <x v="1"/>
    <x v="10"/>
    <s v="Ramp Card"/>
    <m/>
    <s v="Expense"/>
    <s v="Anthropic"/>
    <s v="69400 General &amp; Administrative:G&amp;A - Software Applications &amp; Licenses"/>
    <x v="3"/>
    <x v="10"/>
    <n v="41.21"/>
    <m/>
    <n v="-41.21"/>
    <n v="483533.59999999963"/>
  </r>
  <r>
    <s v="10/14/2025"/>
    <x v="1"/>
    <x v="10"/>
    <s v="Ramp Card"/>
    <m/>
    <s v="Expense"/>
    <s v="Anthropic"/>
    <s v="69400 General &amp; Administrative:G&amp;A - Software Applications &amp; Licenses"/>
    <x v="3"/>
    <x v="10"/>
    <n v="31.06"/>
    <m/>
    <n v="-31.06"/>
    <n v="483502.53999999963"/>
  </r>
  <r>
    <s v="10/14/2025"/>
    <x v="1"/>
    <x v="10"/>
    <s v="Ramp Card"/>
    <m/>
    <s v="Expense"/>
    <s v="Anthropic"/>
    <s v="69400 General &amp; Administrative:G&amp;A - Software Applications &amp; Licenses"/>
    <x v="3"/>
    <x v="10"/>
    <n v="30.91"/>
    <m/>
    <n v="-30.91"/>
    <n v="483471.62999999966"/>
  </r>
  <r>
    <s v="10/14/2025"/>
    <x v="1"/>
    <x v="10"/>
    <s v="M&amp;T Operating"/>
    <m/>
    <s v="Expense"/>
    <s v="Bancorpsv (Benefit Deduction)"/>
    <s v="22335 Accrued Expenses:Accrued Expenses - Bancorpsv Clearing"/>
    <x v="1"/>
    <x v="1"/>
    <n v="26.42"/>
    <m/>
    <n v="-26.42"/>
    <n v="483445.20999999967"/>
  </r>
  <r>
    <s v="10/14/2025"/>
    <x v="1"/>
    <x v="10"/>
    <s v="Ramp Card"/>
    <m/>
    <s v="Expense"/>
    <s v="Caffecentro_1 Restaurant"/>
    <s v="64505 AppIQ - Sales:AppIQ - Sales - Meals &amp; Entertainment"/>
    <x v="3"/>
    <x v="4"/>
    <n v="62.57"/>
    <m/>
    <n v="-62.57"/>
    <n v="483382.63999999966"/>
  </r>
  <r>
    <s v="10/14/2025"/>
    <x v="1"/>
    <x v="10"/>
    <s v="Ramp Card"/>
    <m/>
    <s v="Expense"/>
    <s v="Hakashi Japanese Sushi Bar &amp; Grill"/>
    <s v="66505 AppIQ - Research &amp; Development:AppIQ - R&amp;D - Meals &amp; Entertainment"/>
    <x v="3"/>
    <x v="4"/>
    <n v="43.12"/>
    <m/>
    <n v="-43.12"/>
    <n v="483339.51999999967"/>
  </r>
  <r>
    <s v="10/14/2025"/>
    <x v="1"/>
    <x v="10"/>
    <s v="Ramp Card"/>
    <m/>
    <s v="Expense"/>
    <s v="Liquid Experience"/>
    <s v="69505 General &amp; Administrative:G&amp;A - Meals &amp; Entertainment"/>
    <x v="3"/>
    <x v="4"/>
    <n v="81.53"/>
    <m/>
    <n v="-81.53"/>
    <n v="483257.98999999964"/>
  </r>
  <r>
    <s v="10/14/2025"/>
    <x v="1"/>
    <x v="10"/>
    <s v="Ramp Card"/>
    <m/>
    <s v="Expense"/>
    <s v="Louie's Bar"/>
    <s v="64505 AppIQ - Sales:AppIQ - Sales - Meals &amp; Entertainment"/>
    <x v="3"/>
    <x v="4"/>
    <n v="18.73"/>
    <m/>
    <n v="-18.73"/>
    <n v="483239.25999999966"/>
  </r>
  <r>
    <s v="10/14/2025"/>
    <x v="1"/>
    <x v="10"/>
    <s v="Ramp Card"/>
    <m/>
    <s v="Expense"/>
    <s v="Lyft"/>
    <s v="66500 AppIQ - Research &amp; Development:AppIQ - R&amp;D - Travel"/>
    <x v="3"/>
    <x v="4"/>
    <n v="19.88"/>
    <m/>
    <n v="-19.88"/>
    <n v="483219.37999999966"/>
  </r>
  <r>
    <s v="10/14/2025"/>
    <x v="1"/>
    <x v="10"/>
    <s v="Ramp Card"/>
    <m/>
    <s v="Expense"/>
    <s v="Nick The Greek"/>
    <s v="69505 General &amp; Administrative:G&amp;A - Meals &amp; Entertainment"/>
    <x v="3"/>
    <x v="4"/>
    <n v="56.79"/>
    <m/>
    <n v="-56.79"/>
    <n v="483162.58999999968"/>
  </r>
  <r>
    <s v="10/14/2025"/>
    <x v="1"/>
    <x v="10"/>
    <s v="M&amp;T Operating"/>
    <m/>
    <s v="Expense"/>
    <s v="Paylocity"/>
    <s v="22205 Accrued Expenses:Accrued Expenses - Payroll"/>
    <x v="1"/>
    <x v="1"/>
    <n v="999.5"/>
    <m/>
    <n v="-999.5"/>
    <n v="482163.08999999968"/>
  </r>
  <r>
    <s v="10/14/2025"/>
    <x v="1"/>
    <x v="10"/>
    <s v="M&amp;T Operating"/>
    <m/>
    <s v="Expense"/>
    <s v="Paylocity"/>
    <s v="22205 Accrued Expenses:Accrued Expenses - Payroll"/>
    <x v="1"/>
    <x v="11"/>
    <n v="35498.07"/>
    <m/>
    <n v="-35498.07"/>
    <n v="446665.01999999967"/>
  </r>
  <r>
    <s v="10/14/2025"/>
    <x v="1"/>
    <x v="10"/>
    <s v="M&amp;T Operating"/>
    <m/>
    <s v="Expense"/>
    <s v="Paylocity"/>
    <s v="22205 Accrued Expenses:Accrued Expenses - Payroll"/>
    <x v="1"/>
    <x v="12"/>
    <n v="74834.14"/>
    <m/>
    <n v="-74834.14"/>
    <n v="371830.87999999966"/>
  </r>
  <r>
    <s v="10/14/2025"/>
    <x v="1"/>
    <x v="10"/>
    <s v="Ramp Card"/>
    <m/>
    <s v="Expense"/>
    <s v="Perplexity AI"/>
    <s v="69400 General &amp; Administrative:G&amp;A - Software Applications &amp; Licenses"/>
    <x v="3"/>
    <x v="10"/>
    <n v="212"/>
    <m/>
    <n v="-212"/>
    <n v="371618.87999999966"/>
  </r>
  <r>
    <s v="10/14/2025"/>
    <x v="1"/>
    <x v="10"/>
    <s v="M&amp;T Operating"/>
    <m/>
    <s v="Credit Card Pmt"/>
    <s v="Ramp Business Corporation"/>
    <s v="21020 Ramp Card"/>
    <x v="5"/>
    <x v="24"/>
    <n v="14753.96"/>
    <m/>
    <n v="-14753.96"/>
    <n v="356864.91999999963"/>
  </r>
  <r>
    <s v="10/14/2025"/>
    <x v="1"/>
    <x v="10"/>
    <s v="Ramp Card"/>
    <m/>
    <s v="Credit Card Pmt"/>
    <s v="Ramp Business Corporation"/>
    <s v="10005 M&amp;T Bank - Operating"/>
    <x v="5"/>
    <x v="24"/>
    <m/>
    <n v="14753.96"/>
    <n v="14753.96"/>
    <n v="371618.87999999966"/>
  </r>
  <r>
    <s v="10/14/2025"/>
    <x v="1"/>
    <x v="10"/>
    <s v="Ramp Card"/>
    <m/>
    <s v="Expense"/>
    <s v="Slice House"/>
    <s v="69505 General &amp; Administrative:G&amp;A - Meals &amp; Entertainment"/>
    <x v="3"/>
    <x v="4"/>
    <n v="54.33"/>
    <m/>
    <n v="-54.33"/>
    <n v="371564.54999999964"/>
  </r>
  <r>
    <s v="10/14/2025"/>
    <x v="1"/>
    <x v="10"/>
    <s v="Ramp Card"/>
    <m/>
    <s v="Expense"/>
    <s v="The Lark"/>
    <s v="64505 AppIQ - Sales:AppIQ - Sales - Meals &amp; Entertainment"/>
    <x v="3"/>
    <x v="14"/>
    <n v="74.56"/>
    <m/>
    <n v="-74.56"/>
    <n v="371489.98999999964"/>
  </r>
  <r>
    <s v="10/14/2025"/>
    <x v="1"/>
    <x v="10"/>
    <s v="Ramp Card"/>
    <m/>
    <s v="Expense"/>
    <s v="Uber"/>
    <s v="66500 AppIQ - Research &amp; Development:AppIQ - R&amp;D - Travel"/>
    <x v="3"/>
    <x v="4"/>
    <n v="39.07"/>
    <m/>
    <n v="-39.07"/>
    <n v="371450.91999999963"/>
  </r>
  <r>
    <s v="10/14/2025"/>
    <x v="1"/>
    <x v="10"/>
    <s v="Ramp Card"/>
    <m/>
    <s v="Expense"/>
    <s v="Uber"/>
    <s v="61500 Classic - Sales:Classic - Sales - Travel"/>
    <x v="3"/>
    <x v="4"/>
    <n v="53.93"/>
    <m/>
    <n v="-53.93"/>
    <n v="371396.98999999964"/>
  </r>
  <r>
    <s v="10/14/2025"/>
    <x v="1"/>
    <x v="10"/>
    <s v="Ramp Card"/>
    <m/>
    <s v="Expense"/>
    <s v="Uber"/>
    <s v="61500 Classic - Sales:Classic - Sales - Travel"/>
    <x v="3"/>
    <x v="4"/>
    <n v="70.37"/>
    <m/>
    <n v="-70.37"/>
    <n v="371326.61999999965"/>
  </r>
  <r>
    <s v="10/14/2025"/>
    <x v="1"/>
    <x v="10"/>
    <s v="Ramp Card"/>
    <m/>
    <s v="Expense"/>
    <s v="Uber Eats"/>
    <s v="64505 AppIQ - Sales:AppIQ - Sales - Meals &amp; Entertainment"/>
    <x v="3"/>
    <x v="4"/>
    <n v="108.52"/>
    <m/>
    <n v="-108.52"/>
    <n v="371218.09999999963"/>
  </r>
  <r>
    <s v="10/14/2025"/>
    <x v="1"/>
    <x v="10"/>
    <s v="Ramp Card"/>
    <m/>
    <s v="Expense"/>
    <s v="Uber Eats"/>
    <s v="66505 AppIQ - Research &amp; Development:AppIQ - R&amp;D - Meals &amp; Entertainment"/>
    <x v="3"/>
    <x v="4"/>
    <n v="37.979999999999997"/>
    <m/>
    <n v="-37.979999999999997"/>
    <n v="371180.11999999965"/>
  </r>
  <r>
    <s v="10/14/2025"/>
    <x v="1"/>
    <x v="10"/>
    <s v="Ramp Card"/>
    <m/>
    <s v="Expense"/>
    <s v="Uber Eats"/>
    <s v="66505 AppIQ - Research &amp; Development:AppIQ - R&amp;D - Meals &amp; Entertainment"/>
    <x v="3"/>
    <x v="4"/>
    <n v="24.2"/>
    <m/>
    <n v="-24.2"/>
    <n v="371155.91999999963"/>
  </r>
  <r>
    <s v="10/14/2025"/>
    <x v="1"/>
    <x v="10"/>
    <s v="Ramp Card"/>
    <m/>
    <s v="Expense"/>
    <s v="W Hotels"/>
    <s v="69505 General &amp; Administrative:G&amp;A - Meals &amp; Entertainment"/>
    <x v="3"/>
    <x v="4"/>
    <n v="73.16"/>
    <m/>
    <n v="-73.16"/>
    <n v="371082.75999999966"/>
  </r>
  <r>
    <s v="10/14/2025"/>
    <x v="1"/>
    <x v="10"/>
    <s v="M&amp;T Operating"/>
    <m/>
    <s v="Transfer"/>
    <m/>
    <s v="10010 M&amp;T Bank - IntraFi Network Sweep"/>
    <x v="0"/>
    <x v="0"/>
    <m/>
    <n v="126112.09"/>
    <n v="126112.09"/>
    <n v="497194.84999999963"/>
  </r>
  <r>
    <s v="10/15/2025"/>
    <x v="1"/>
    <x v="10"/>
    <s v="M&amp;T Operating"/>
    <m/>
    <s v="Deposit"/>
    <s v="American Benefit Cobra"/>
    <s v="22325 Accrued Expenses:Accrued Expenses - COBRA Clearing"/>
    <x v="1"/>
    <x v="1"/>
    <m/>
    <n v="476.36"/>
    <n v="476.36"/>
    <n v="497671.20999999961"/>
  </r>
  <r>
    <s v="10/15/2025"/>
    <x v="1"/>
    <x v="10"/>
    <s v="Ramp Card"/>
    <m/>
    <s v="Expense"/>
    <s v="Anthropic"/>
    <s v="69400 General &amp; Administrative:G&amp;A - Software Applications &amp; Licenses"/>
    <x v="3"/>
    <x v="10"/>
    <n v="31.27"/>
    <m/>
    <n v="-31.27"/>
    <n v="497639.93999999959"/>
  </r>
  <r>
    <s v="10/15/2025"/>
    <x v="1"/>
    <x v="10"/>
    <s v="Ramp Card"/>
    <m/>
    <s v="Expense"/>
    <s v="Anthropic"/>
    <s v="69400 General &amp; Administrative:G&amp;A - Software Applications &amp; Licenses"/>
    <x v="3"/>
    <x v="10"/>
    <n v="31.35"/>
    <m/>
    <n v="-31.35"/>
    <n v="497608.58999999962"/>
  </r>
  <r>
    <s v="10/15/2025"/>
    <x v="1"/>
    <x v="10"/>
    <s v="Ramp Card"/>
    <m/>
    <s v="Expense"/>
    <s v="Atlassian"/>
    <s v="69400 General &amp; Administrative:G&amp;A - Software Applications &amp; Licenses"/>
    <x v="3"/>
    <x v="10"/>
    <n v="81.58"/>
    <m/>
    <n v="-81.58"/>
    <n v="497527.0099999996"/>
  </r>
  <r>
    <s v="10/15/2025"/>
    <x v="1"/>
    <x v="10"/>
    <s v="Ramp Card"/>
    <m/>
    <s v="Expense"/>
    <s v="Burma Love - Downtown"/>
    <s v="61505 Classic - Sales:Classic - Sales - Meals &amp; Entertainment"/>
    <x v="3"/>
    <x v="4"/>
    <n v="37.53"/>
    <m/>
    <n v="-37.53"/>
    <n v="497489.47999999957"/>
  </r>
  <r>
    <s v="10/15/2025"/>
    <x v="1"/>
    <x v="10"/>
    <s v="Ramp Card"/>
    <m/>
    <s v="Expense"/>
    <s v="Cafe La Taza"/>
    <s v="64505 AppIQ - Sales:AppIQ - Sales - Meals &amp; Entertainment"/>
    <x v="3"/>
    <x v="4"/>
    <n v="103.2"/>
    <m/>
    <n v="-103.2"/>
    <n v="497386.27999999956"/>
  </r>
  <r>
    <s v="10/15/2025"/>
    <x v="1"/>
    <x v="10"/>
    <s v="Ramp Card"/>
    <m/>
    <s v="Expense"/>
    <s v="Caffecentro_1 Restaurant"/>
    <s v="64505 AppIQ - Sales:AppIQ - Sales - Meals &amp; Entertainment"/>
    <x v="3"/>
    <x v="4"/>
    <n v="46.61"/>
    <m/>
    <n v="-46.61"/>
    <n v="497339.66999999958"/>
  </r>
  <r>
    <s v="10/15/2025"/>
    <x v="1"/>
    <x v="10"/>
    <s v="Ramp Card"/>
    <m/>
    <s v="Expense"/>
    <s v="Chipotle"/>
    <s v="69505 General &amp; Administrative:G&amp;A - Meals &amp; Entertainment"/>
    <x v="3"/>
    <x v="4"/>
    <n v="21.67"/>
    <m/>
    <n v="-21.67"/>
    <n v="497317.99999999959"/>
  </r>
  <r>
    <s v="10/15/2025"/>
    <x v="1"/>
    <x v="10"/>
    <s v="M&amp;T Operating"/>
    <m/>
    <s v="Payment"/>
    <s v="Currencies Direct Limited:Redpin B2B Payments"/>
    <s v="11005 Accounts Receivable"/>
    <x v="2"/>
    <x v="2"/>
    <m/>
    <n v="10000"/>
    <n v="10000"/>
    <n v="507317.99999999959"/>
  </r>
  <r>
    <s v="10/15/2025"/>
    <x v="1"/>
    <x v="10"/>
    <s v="M&amp;T Operating"/>
    <m/>
    <s v="Payment"/>
    <s v="Currencies Direct Limited:Redpin Payments"/>
    <s v="11005 Accounts Receivable"/>
    <x v="2"/>
    <x v="2"/>
    <m/>
    <n v="12000"/>
    <n v="12000"/>
    <n v="519317.99999999959"/>
  </r>
  <r>
    <s v="10/15/2025"/>
    <x v="1"/>
    <x v="10"/>
    <s v="Ramp Card"/>
    <m/>
    <s v="Expense"/>
    <s v="Hard Rock Cafe"/>
    <s v="64505 AppIQ - Sales:AppIQ - Sales - Meals &amp; Entertainment"/>
    <x v="3"/>
    <x v="4"/>
    <n v="425.03"/>
    <m/>
    <n v="-425.03"/>
    <n v="518892.96999999956"/>
  </r>
  <r>
    <s v="10/15/2025"/>
    <x v="1"/>
    <x v="10"/>
    <s v="Ramp Card"/>
    <m/>
    <s v="Expense"/>
    <s v="Lyft"/>
    <s v="66500 AppIQ - Research &amp; Development:AppIQ - R&amp;D - Travel"/>
    <x v="3"/>
    <x v="4"/>
    <n v="9.89"/>
    <m/>
    <n v="-9.89"/>
    <n v="518883.07999999955"/>
  </r>
  <r>
    <s v="10/15/2025"/>
    <x v="1"/>
    <x v="10"/>
    <s v="Ramp Card"/>
    <m/>
    <s v="Expense"/>
    <s v="Lyft"/>
    <s v="66500 AppIQ - Research &amp; Development:AppIQ - R&amp;D - Travel"/>
    <x v="3"/>
    <x v="4"/>
    <n v="1.46"/>
    <m/>
    <n v="-1.46"/>
    <n v="518881.61999999953"/>
  </r>
  <r>
    <s v="10/15/2025"/>
    <x v="1"/>
    <x v="10"/>
    <s v="Ramp Card"/>
    <m/>
    <s v="Expense"/>
    <s v="Philz Coffee"/>
    <s v="64505 AppIQ - Sales:AppIQ - Sales - Meals &amp; Entertainment"/>
    <x v="3"/>
    <x v="4"/>
    <n v="31.36"/>
    <m/>
    <n v="-31.36"/>
    <n v="518850.25999999954"/>
  </r>
  <r>
    <s v="10/15/2025"/>
    <x v="1"/>
    <x v="10"/>
    <s v="Ramp Card"/>
    <m/>
    <s v="Expense"/>
    <s v="Repl.it"/>
    <s v="69400 General &amp; Administrative:G&amp;A - Software Applications &amp; Licenses"/>
    <x v="3"/>
    <x v="10"/>
    <n v="25.75"/>
    <m/>
    <n v="-25.75"/>
    <n v="518824.50999999954"/>
  </r>
  <r>
    <s v="10/15/2025"/>
    <x v="1"/>
    <x v="10"/>
    <s v="Ramp Card"/>
    <m/>
    <s v="Expense"/>
    <s v="Soma Restaurant &amp; Bar"/>
    <s v="64505 AppIQ - Sales:AppIQ - Sales - Meals &amp; Entertainment"/>
    <x v="3"/>
    <x v="4"/>
    <n v="96.21"/>
    <m/>
    <n v="-96.21"/>
    <n v="518728.29999999952"/>
  </r>
  <r>
    <s v="10/15/2025"/>
    <x v="1"/>
    <x v="10"/>
    <s v="Ramp Card"/>
    <m/>
    <s v="Expense"/>
    <s v="Uber"/>
    <s v="69500 General &amp; Administrative:G&amp;A - Travel"/>
    <x v="3"/>
    <x v="4"/>
    <n v="18.7"/>
    <m/>
    <n v="-18.7"/>
    <n v="518709.59999999951"/>
  </r>
  <r>
    <s v="10/15/2025"/>
    <x v="1"/>
    <x v="10"/>
    <s v="Ramp Card"/>
    <m/>
    <s v="Expense"/>
    <s v="Uber"/>
    <s v="64500 AppIQ - Sales:AppIQ - Sales - Travel"/>
    <x v="3"/>
    <x v="4"/>
    <n v="20.97"/>
    <m/>
    <n v="-20.97"/>
    <n v="518688.62999999954"/>
  </r>
  <r>
    <s v="10/15/2025"/>
    <x v="1"/>
    <x v="10"/>
    <s v="Ramp Card"/>
    <m/>
    <s v="Expense"/>
    <s v="Uber"/>
    <s v="64500 AppIQ - Sales:AppIQ - Sales - Travel"/>
    <x v="3"/>
    <x v="4"/>
    <n v="57.15"/>
    <m/>
    <n v="-57.15"/>
    <n v="518631.47999999952"/>
  </r>
  <r>
    <s v="10/15/2025"/>
    <x v="1"/>
    <x v="10"/>
    <s v="Ramp Card"/>
    <m/>
    <s v="Expense"/>
    <s v="Uber"/>
    <s v="64500 AppIQ - Sales:AppIQ - Sales - Travel"/>
    <x v="3"/>
    <x v="4"/>
    <n v="23.29"/>
    <m/>
    <n v="-23.29"/>
    <n v="518608.18999999954"/>
  </r>
  <r>
    <s v="10/15/2025"/>
    <x v="1"/>
    <x v="10"/>
    <s v="Ramp Card"/>
    <m/>
    <s v="Expense"/>
    <s v="Uber"/>
    <s v="66500 AppIQ - Research &amp; Development:AppIQ - R&amp;D - Travel"/>
    <x v="3"/>
    <x v="4"/>
    <n v="22.92"/>
    <m/>
    <n v="-22.92"/>
    <n v="518585.26999999955"/>
  </r>
  <r>
    <s v="10/15/2025"/>
    <x v="1"/>
    <x v="10"/>
    <s v="Ramp Card"/>
    <m/>
    <s v="Expense"/>
    <s v="Uber"/>
    <s v="64500 AppIQ - Sales:AppIQ - Sales - Travel"/>
    <x v="3"/>
    <x v="4"/>
    <n v="29.55"/>
    <m/>
    <n v="-29.55"/>
    <n v="518555.71999999956"/>
  </r>
  <r>
    <s v="10/15/2025"/>
    <x v="1"/>
    <x v="10"/>
    <s v="Ramp Card"/>
    <m/>
    <s v="Expense"/>
    <s v="Uber"/>
    <s v="61500 Classic - Sales:Classic - Sales - Travel"/>
    <x v="3"/>
    <x v="4"/>
    <n v="16.149999999999999"/>
    <m/>
    <n v="-16.149999999999999"/>
    <n v="518539.56999999954"/>
  </r>
  <r>
    <s v="10/15/2025"/>
    <x v="1"/>
    <x v="10"/>
    <s v="Ramp Card"/>
    <m/>
    <s v="Expense"/>
    <s v="Uber"/>
    <s v="64500 AppIQ - Sales:AppIQ - Sales - Travel"/>
    <x v="3"/>
    <x v="4"/>
    <n v="39.94"/>
    <m/>
    <n v="-39.94"/>
    <n v="518499.62999999954"/>
  </r>
  <r>
    <s v="10/15/2025"/>
    <x v="1"/>
    <x v="10"/>
    <s v="Ramp Card"/>
    <m/>
    <s v="Expense"/>
    <s v="Uber"/>
    <s v="61500 Classic - Sales:Classic - Sales - Travel"/>
    <x v="3"/>
    <x v="4"/>
    <n v="45.2"/>
    <m/>
    <n v="-45.2"/>
    <n v="518454.42999999953"/>
  </r>
  <r>
    <s v="10/15/2025"/>
    <x v="1"/>
    <x v="10"/>
    <s v="Ramp Card"/>
    <m/>
    <s v="Expense"/>
    <s v="Uber"/>
    <s v="64500 AppIQ - Sales:AppIQ - Sales - Travel"/>
    <x v="3"/>
    <x v="4"/>
    <n v="66.34"/>
    <m/>
    <n v="-66.34"/>
    <n v="518388.0899999995"/>
  </r>
  <r>
    <s v="10/15/2025"/>
    <x v="1"/>
    <x v="10"/>
    <s v="Ramp Card"/>
    <m/>
    <s v="Expense"/>
    <s v="Uber"/>
    <s v="61500 Classic - Sales:Classic - Sales - Travel"/>
    <x v="3"/>
    <x v="4"/>
    <n v="25.09"/>
    <m/>
    <n v="-25.09"/>
    <n v="518362.99999999948"/>
  </r>
  <r>
    <s v="10/15/2025"/>
    <x v="1"/>
    <x v="10"/>
    <s v="Ramp Card"/>
    <m/>
    <s v="Expense"/>
    <s v="W Hotels"/>
    <s v="69505 General &amp; Administrative:G&amp;A - Meals &amp; Entertainment"/>
    <x v="3"/>
    <x v="4"/>
    <n v="7.72"/>
    <m/>
    <n v="-7.72"/>
    <n v="518355.2799999995"/>
  </r>
  <r>
    <s v="10/15/2025"/>
    <x v="1"/>
    <x v="10"/>
    <s v="M&amp;T Operating"/>
    <m/>
    <s v="Transfer"/>
    <m/>
    <s v="10010 M&amp;T Bank - IntraFi Network Sweep"/>
    <x v="0"/>
    <x v="0"/>
    <n v="22476.36"/>
    <m/>
    <n v="-22476.36"/>
    <n v="495878.91999999952"/>
  </r>
  <r>
    <s v="10/16/2025"/>
    <x v="1"/>
    <x v="10"/>
    <s v="Ramp Card"/>
    <m/>
    <s v="Expense"/>
    <s v="1428 HAIGHT Patio Cafe &amp; Crepery"/>
    <s v="66505 AppIQ - Research &amp; Development:AppIQ - R&amp;D - Meals &amp; Entertainment"/>
    <x v="3"/>
    <x v="4"/>
    <n v="4.82"/>
    <m/>
    <n v="-4.82"/>
    <n v="495874.09999999951"/>
  </r>
  <r>
    <s v="10/16/2025"/>
    <x v="1"/>
    <x v="10"/>
    <s v="Ramp Card"/>
    <m/>
    <s v="Expense"/>
    <s v="1428 HAIGHT Patio Cafe &amp; Crepery"/>
    <s v="66505 AppIQ - Research &amp; Development:AppIQ - R&amp;D - Meals &amp; Entertainment"/>
    <x v="3"/>
    <x v="4"/>
    <n v="39.1"/>
    <m/>
    <n v="-39.1"/>
    <n v="495834.99999999953"/>
  </r>
  <r>
    <s v="10/16/2025"/>
    <x v="1"/>
    <x v="10"/>
    <s v="Ramp Card"/>
    <m/>
    <s v="Expense"/>
    <s v="Anthropic"/>
    <s v="69400 General &amp; Administrative:G&amp;A - Software Applications &amp; Licenses"/>
    <x v="3"/>
    <x v="10"/>
    <n v="34.119999999999997"/>
    <m/>
    <n v="-34.119999999999997"/>
    <n v="495800.87999999954"/>
  </r>
  <r>
    <s v="10/16/2025"/>
    <x v="1"/>
    <x v="10"/>
    <s v="Ramp Card"/>
    <m/>
    <s v="Expense"/>
    <s v="Condor Club"/>
    <s v="64505 AppIQ - Sales:AppIQ - Sales - Meals &amp; Entertainment"/>
    <x v="3"/>
    <x v="4"/>
    <n v="110.85"/>
    <m/>
    <n v="-110.85"/>
    <n v="495690.02999999956"/>
  </r>
  <r>
    <s v="10/16/2025"/>
    <x v="1"/>
    <x v="10"/>
    <s v="M&amp;T Operating"/>
    <m/>
    <s v="Payment"/>
    <s v="Curonix LLC:Curonix Managed Services"/>
    <s v="11005 Accounts Receivable"/>
    <x v="2"/>
    <x v="2"/>
    <m/>
    <n v="1930"/>
    <n v="1930"/>
    <n v="497620.02999999956"/>
  </r>
  <r>
    <s v="10/16/2025"/>
    <x v="1"/>
    <x v="10"/>
    <s v="Ramp Card"/>
    <m/>
    <s v="Expense"/>
    <s v="Drake's Flyaway"/>
    <s v="61505 Classic - Sales:Classic - Sales - Meals &amp; Entertainment"/>
    <x v="3"/>
    <x v="4"/>
    <n v="35.72"/>
    <m/>
    <n v="-35.72"/>
    <n v="497584.30999999959"/>
  </r>
  <r>
    <s v="10/16/2025"/>
    <x v="1"/>
    <x v="10"/>
    <s v="Ramp Card"/>
    <m/>
    <s v="Expense"/>
    <s v="Mel's Drive-in"/>
    <s v="69505 General &amp; Administrative:G&amp;A - Meals &amp; Entertainment"/>
    <x v="3"/>
    <x v="4"/>
    <n v="86.78"/>
    <m/>
    <n v="-86.78"/>
    <n v="497497.52999999956"/>
  </r>
  <r>
    <s v="10/16/2025"/>
    <x v="1"/>
    <x v="10"/>
    <s v="Ramp Card"/>
    <m/>
    <s v="Expense"/>
    <s v="modi"/>
    <s v="66505 AppIQ - Research &amp; Development:AppIQ - R&amp;D - Meals &amp; Entertainment"/>
    <x v="3"/>
    <x v="4"/>
    <n v="198.27"/>
    <m/>
    <n v="-198.27"/>
    <n v="497299.25999999954"/>
  </r>
  <r>
    <s v="10/16/2025"/>
    <x v="1"/>
    <x v="10"/>
    <s v="Ramp Card"/>
    <m/>
    <s v="Expense"/>
    <s v="NetHope"/>
    <s v="64505 AppIQ - Sales:AppIQ - Sales - Meals &amp; Entertainment"/>
    <x v="3"/>
    <x v="4"/>
    <n v="25"/>
    <m/>
    <n v="-25"/>
    <n v="497274.25999999954"/>
  </r>
  <r>
    <s v="10/16/2025"/>
    <x v="1"/>
    <x v="10"/>
    <s v="Ramp Card"/>
    <m/>
    <s v="Expense"/>
    <s v="Rh Restaurant San Franci Restaurant"/>
    <s v="69505 General &amp; Administrative:G&amp;A - Meals &amp; Entertainment"/>
    <x v="3"/>
    <x v="4"/>
    <n v="844.36"/>
    <m/>
    <n v="-844.36"/>
    <n v="496429.89999999956"/>
  </r>
  <r>
    <s v="10/16/2025"/>
    <x v="1"/>
    <x v="10"/>
    <s v="M&amp;T Operating"/>
    <m/>
    <s v="Expense"/>
    <s v="The Principal"/>
    <s v="22310 Accrued Expenses:Accrued Expenses - Principal Clearing"/>
    <x v="1"/>
    <x v="1"/>
    <n v="10372.15"/>
    <m/>
    <n v="-10372.15"/>
    <n v="486057.74999999953"/>
  </r>
  <r>
    <s v="10/16/2025"/>
    <x v="1"/>
    <x v="10"/>
    <s v="Ramp Card"/>
    <m/>
    <s v="Expense"/>
    <s v="Uber"/>
    <s v="66500 AppIQ - Research &amp; Development:AppIQ - R&amp;D - Travel"/>
    <x v="3"/>
    <x v="4"/>
    <n v="21.94"/>
    <m/>
    <n v="-21.94"/>
    <n v="486035.80999999953"/>
  </r>
  <r>
    <s v="10/16/2025"/>
    <x v="1"/>
    <x v="10"/>
    <s v="Ramp Card"/>
    <m/>
    <s v="Expense"/>
    <s v="Uber"/>
    <s v="61500 Classic - Sales:Classic - Sales - Travel"/>
    <x v="3"/>
    <x v="4"/>
    <n v="54.82"/>
    <m/>
    <n v="-54.82"/>
    <n v="485980.98999999953"/>
  </r>
  <r>
    <s v="10/16/2025"/>
    <x v="1"/>
    <x v="10"/>
    <s v="Ramp Card"/>
    <m/>
    <s v="Expense"/>
    <s v="Uber"/>
    <s v="64500 AppIQ - Sales:AppIQ - Sales - Travel"/>
    <x v="3"/>
    <x v="4"/>
    <n v="36.94"/>
    <m/>
    <n v="-36.94"/>
    <n v="485944.04999999952"/>
  </r>
  <r>
    <s v="10/16/2025"/>
    <x v="1"/>
    <x v="10"/>
    <s v="Ramp Card"/>
    <m/>
    <s v="Expense"/>
    <s v="Uber"/>
    <s v="61500 Classic - Sales:Classic - Sales - Travel"/>
    <x v="3"/>
    <x v="4"/>
    <n v="35.44"/>
    <m/>
    <n v="-35.44"/>
    <n v="485908.60999999952"/>
  </r>
  <r>
    <s v="10/16/2025"/>
    <x v="1"/>
    <x v="10"/>
    <s v="Ramp Card"/>
    <m/>
    <s v="Expense"/>
    <s v="Uber"/>
    <s v="51500 Classic COGS - Delivery:Classic COGS - Delivery - Travel"/>
    <x v="3"/>
    <x v="4"/>
    <n v="9.18"/>
    <m/>
    <n v="-9.18"/>
    <n v="485899.42999999953"/>
  </r>
  <r>
    <s v="10/16/2025"/>
    <x v="1"/>
    <x v="10"/>
    <s v="Ramp Card"/>
    <m/>
    <s v="Expense"/>
    <s v="Uber"/>
    <s v="64500 AppIQ - Sales:AppIQ - Sales - Travel"/>
    <x v="3"/>
    <x v="4"/>
    <n v="17.96"/>
    <m/>
    <n v="-17.96"/>
    <n v="485881.46999999951"/>
  </r>
  <r>
    <s v="10/16/2025"/>
    <x v="1"/>
    <x v="10"/>
    <s v="Ramp Card"/>
    <m/>
    <s v="Expense"/>
    <s v="Uber"/>
    <s v="69500 General &amp; Administrative:G&amp;A - Travel"/>
    <x v="3"/>
    <x v="4"/>
    <n v="31.16"/>
    <m/>
    <n v="-31.16"/>
    <n v="485850.30999999953"/>
  </r>
  <r>
    <s v="10/16/2025"/>
    <x v="1"/>
    <x v="10"/>
    <s v="Ramp Card"/>
    <m/>
    <s v="Expense"/>
    <s v="Uber"/>
    <s v="69500 General &amp; Administrative:G&amp;A - Travel"/>
    <x v="3"/>
    <x v="4"/>
    <n v="74.12"/>
    <m/>
    <n v="-74.12"/>
    <n v="485776.18999999954"/>
  </r>
  <r>
    <s v="10/16/2025"/>
    <x v="1"/>
    <x v="10"/>
    <s v="Ramp Card"/>
    <m/>
    <s v="Expense"/>
    <s v="Uber"/>
    <s v="69500 General &amp; Administrative:G&amp;A - Travel"/>
    <x v="3"/>
    <x v="4"/>
    <n v="27.6"/>
    <m/>
    <n v="-27.6"/>
    <n v="485748.58999999956"/>
  </r>
  <r>
    <s v="10/16/2025"/>
    <x v="1"/>
    <x v="10"/>
    <s v="Ramp Card"/>
    <m/>
    <s v="Expense"/>
    <s v="Uber"/>
    <s v="66500 AppIQ - Research &amp; Development:AppIQ - R&amp;D - Travel"/>
    <x v="3"/>
    <x v="4"/>
    <n v="31.94"/>
    <m/>
    <n v="-31.94"/>
    <n v="485716.64999999956"/>
  </r>
  <r>
    <s v="10/16/2025"/>
    <x v="1"/>
    <x v="10"/>
    <s v="Ramp Card"/>
    <m/>
    <s v="Expense"/>
    <s v="Uber"/>
    <s v="66500 AppIQ - Research &amp; Development:AppIQ - R&amp;D - Travel"/>
    <x v="3"/>
    <x v="4"/>
    <n v="5"/>
    <m/>
    <n v="-5"/>
    <n v="485711.64999999956"/>
  </r>
  <r>
    <s v="10/16/2025"/>
    <x v="1"/>
    <x v="10"/>
    <s v="Ramp Card"/>
    <m/>
    <s v="Expense"/>
    <s v="Uber"/>
    <s v="66500 AppIQ - Research &amp; Development:AppIQ - R&amp;D - Travel"/>
    <x v="3"/>
    <x v="4"/>
    <n v="5"/>
    <m/>
    <n v="-5"/>
    <n v="485706.64999999956"/>
  </r>
  <r>
    <s v="10/16/2025"/>
    <x v="1"/>
    <x v="10"/>
    <s v="Ramp Card"/>
    <m/>
    <s v="Expense"/>
    <s v="Uber"/>
    <s v="66500 AppIQ - Research &amp; Development:AppIQ - R&amp;D - Travel"/>
    <x v="3"/>
    <x v="4"/>
    <n v="20.94"/>
    <m/>
    <n v="-20.94"/>
    <n v="485685.70999999956"/>
  </r>
  <r>
    <s v="10/16/2025"/>
    <x v="1"/>
    <x v="10"/>
    <s v="Ramp Card"/>
    <m/>
    <s v="Expense"/>
    <s v="Uber"/>
    <s v="64500 AppIQ - Sales:AppIQ - Sales - Travel"/>
    <x v="3"/>
    <x v="4"/>
    <n v="46.66"/>
    <m/>
    <n v="-46.66"/>
    <n v="485639.04999999958"/>
  </r>
  <r>
    <s v="10/16/2025"/>
    <x v="1"/>
    <x v="10"/>
    <s v="Ramp Card"/>
    <m/>
    <s v="Expense"/>
    <s v="Uber"/>
    <s v="66500 AppIQ - Research &amp; Development:AppIQ - R&amp;D - Travel"/>
    <x v="3"/>
    <x v="4"/>
    <n v="20.96"/>
    <m/>
    <n v="-20.96"/>
    <n v="485618.08999999956"/>
  </r>
  <r>
    <s v="10/16/2025"/>
    <x v="1"/>
    <x v="10"/>
    <s v="Ramp Card"/>
    <m/>
    <s v="Expense"/>
    <s v="United"/>
    <s v="69500 General &amp; Administrative:G&amp;A - Travel"/>
    <x v="3"/>
    <x v="4"/>
    <n v="10"/>
    <m/>
    <n v="-10"/>
    <n v="485608.08999999956"/>
  </r>
  <r>
    <s v="10/16/2025"/>
    <x v="1"/>
    <x v="10"/>
    <s v="Ramp Card"/>
    <m/>
    <s v="Expense"/>
    <s v="United"/>
    <s v="69500 General &amp; Administrative:G&amp;A - Travel"/>
    <x v="3"/>
    <x v="4"/>
    <n v="10"/>
    <m/>
    <n v="-10"/>
    <n v="485598.08999999956"/>
  </r>
  <r>
    <s v="10/16/2025"/>
    <x v="1"/>
    <x v="10"/>
    <s v="Ramp Card"/>
    <m/>
    <s v="Expense"/>
    <s v="W Hotels"/>
    <s v="69505 General &amp; Administrative:G&amp;A - Meals &amp; Entertainment"/>
    <x v="3"/>
    <x v="4"/>
    <n v="45.03"/>
    <m/>
    <n v="-45.03"/>
    <n v="485553.05999999953"/>
  </r>
  <r>
    <s v="10/16/2025"/>
    <x v="1"/>
    <x v="10"/>
    <s v="Ramp Card"/>
    <m/>
    <s v="Expense"/>
    <s v="Waymo"/>
    <s v="66500 AppIQ - Research &amp; Development:AppIQ - R&amp;D - Travel"/>
    <x v="3"/>
    <x v="4"/>
    <n v="20.16"/>
    <m/>
    <n v="-20.16"/>
    <n v="485532.89999999956"/>
  </r>
  <r>
    <s v="10/16/2025"/>
    <x v="1"/>
    <x v="10"/>
    <s v="M&amp;T Operating"/>
    <m/>
    <s v="Expense"/>
    <s v="Wex Health, Inc."/>
    <s v="22320 Accrued Expenses:Accrued Expenses - WEX Clearing"/>
    <x v="1"/>
    <x v="1"/>
    <n v="208.34"/>
    <m/>
    <n v="-208.34"/>
    <n v="485324.55999999953"/>
  </r>
  <r>
    <s v="10/16/2025"/>
    <x v="1"/>
    <x v="10"/>
    <s v="M&amp;T Operating"/>
    <m/>
    <s v="Transfer"/>
    <m/>
    <s v="10010 M&amp;T Bank - IntraFi Network Sweep"/>
    <x v="0"/>
    <x v="0"/>
    <m/>
    <n v="8650.49"/>
    <n v="8650.49"/>
    <n v="493975.04999999952"/>
  </r>
  <r>
    <s v="10/17/2025"/>
    <x v="1"/>
    <x v="10"/>
    <s v="Ramp Card"/>
    <m/>
    <s v="Expense"/>
    <s v="Assaad Madaoui"/>
    <s v="66500 AppIQ - Research &amp; Development:AppIQ - R&amp;D - Travel"/>
    <x v="3"/>
    <x v="4"/>
    <n v="58.75"/>
    <m/>
    <n v="-58.75"/>
    <n v="493916.29999999952"/>
  </r>
  <r>
    <s v="10/17/2025"/>
    <x v="1"/>
    <x v="10"/>
    <s v="Ramp Card"/>
    <m/>
    <s v="Expense"/>
    <s v="Bwi Airport Taxi 3"/>
    <s v="69500 General &amp; Administrative:G&amp;A - Travel"/>
    <x v="3"/>
    <x v="4"/>
    <n v="81.44"/>
    <m/>
    <n v="-81.44"/>
    <n v="493834.85999999952"/>
  </r>
  <r>
    <s v="10/17/2025"/>
    <x v="1"/>
    <x v="10"/>
    <s v="Ramp Card"/>
    <m/>
    <s v="CC-Credit"/>
    <s v="CustomInk"/>
    <s v="65600 AppIQ - Marketing:AppIQ - Marketing - Advertising"/>
    <x v="3"/>
    <x v="15"/>
    <m/>
    <n v="345.51"/>
    <n v="345.51"/>
    <n v="494180.36999999953"/>
  </r>
  <r>
    <s v="10/17/2025"/>
    <x v="1"/>
    <x v="10"/>
    <s v="Ramp Card"/>
    <m/>
    <s v="Expense"/>
    <s v="LastPass"/>
    <s v="69400 General &amp; Administrative:G&amp;A - Software Applications &amp; Licenses"/>
    <x v="3"/>
    <x v="10"/>
    <n v="73.86"/>
    <m/>
    <n v="-73.86"/>
    <n v="494106.50999999954"/>
  </r>
  <r>
    <s v="10/17/2025"/>
    <x v="1"/>
    <x v="10"/>
    <s v="M&amp;T Operating"/>
    <m/>
    <s v="Bill Payment"/>
    <s v="Michael Hartman (michael@synaptic.build)"/>
    <s v="20005 Accounts Payable"/>
    <x v="3"/>
    <x v="4"/>
    <n v="126.43"/>
    <m/>
    <n v="-126.43"/>
    <n v="493980.07999999955"/>
  </r>
  <r>
    <s v="10/17/2025"/>
    <x v="1"/>
    <x v="10"/>
    <s v="Ramp Card"/>
    <m/>
    <s v="Expense"/>
    <s v="Mills Cargo"/>
    <s v="64505 AppIQ - Sales:AppIQ - Sales - Meals &amp; Entertainment"/>
    <x v="3"/>
    <x v="4"/>
    <n v="18.41"/>
    <m/>
    <n v="-18.41"/>
    <n v="493961.66999999958"/>
  </r>
  <r>
    <s v="10/17/2025"/>
    <x v="1"/>
    <x v="10"/>
    <s v="M&amp;T Operating"/>
    <m/>
    <s v="Bill Payment"/>
    <s v="Minh Tran (max@synaptic.build)"/>
    <s v="20005 Accounts Payable"/>
    <x v="3"/>
    <x v="4"/>
    <n v="200"/>
    <m/>
    <n v="-200"/>
    <n v="493761.66999999958"/>
  </r>
  <r>
    <s v="10/17/2025"/>
    <x v="1"/>
    <x v="10"/>
    <s v="Ramp Card"/>
    <m/>
    <s v="Expense"/>
    <s v="Southwest Airlines"/>
    <s v="66500 AppIQ - Research &amp; Development:AppIQ - R&amp;D - Travel"/>
    <x v="3"/>
    <x v="4"/>
    <n v="35"/>
    <m/>
    <n v="-35"/>
    <n v="493726.66999999958"/>
  </r>
  <r>
    <s v="10/17/2025"/>
    <x v="1"/>
    <x v="10"/>
    <s v="Ramp Card"/>
    <m/>
    <s v="Expense"/>
    <s v="Stella"/>
    <s v="61505 Classic - Sales:Classic - Sales - Meals &amp; Entertainment"/>
    <x v="3"/>
    <x v="4"/>
    <n v="102.6"/>
    <m/>
    <n v="-102.6"/>
    <n v="493624.0699999996"/>
  </r>
  <r>
    <s v="10/17/2025"/>
    <x v="1"/>
    <x v="10"/>
    <s v="Ramp Card"/>
    <m/>
    <s v="Expense"/>
    <s v="Sunset Oil"/>
    <s v="66505 AppIQ - Research &amp; Development:AppIQ - R&amp;D - Meals &amp; Entertainment"/>
    <x v="3"/>
    <x v="4"/>
    <n v="14.02"/>
    <m/>
    <n v="-14.02"/>
    <n v="493610.04999999958"/>
  </r>
  <r>
    <s v="10/17/2025"/>
    <x v="1"/>
    <x v="10"/>
    <s v="Ramp Card"/>
    <m/>
    <s v="Expense"/>
    <s v="The Viper Room"/>
    <s v="66505 AppIQ - Research &amp; Development:AppIQ - R&amp;D - Meals &amp; Entertainment"/>
    <x v="3"/>
    <x v="4"/>
    <n v="15.39"/>
    <m/>
    <n v="-15.39"/>
    <n v="493594.65999999957"/>
  </r>
  <r>
    <s v="10/17/2025"/>
    <x v="1"/>
    <x v="10"/>
    <s v="Ramp Card"/>
    <m/>
    <s v="Expense"/>
    <s v="The Viper Room"/>
    <s v="66505 AppIQ - Research &amp; Development:AppIQ - R&amp;D - Meals &amp; Entertainment"/>
    <x v="3"/>
    <x v="4"/>
    <n v="34.94"/>
    <m/>
    <n v="-34.94"/>
    <n v="493559.71999999956"/>
  </r>
  <r>
    <s v="10/17/2025"/>
    <x v="1"/>
    <x v="10"/>
    <s v="Ramp Card"/>
    <m/>
    <s v="Expense"/>
    <s v="Uber"/>
    <s v="61500 Classic - Sales:Classic - Sales - Travel"/>
    <x v="3"/>
    <x v="4"/>
    <n v="37.79"/>
    <m/>
    <n v="-37.79"/>
    <n v="493521.92999999959"/>
  </r>
  <r>
    <s v="10/17/2025"/>
    <x v="1"/>
    <x v="10"/>
    <s v="Ramp Card"/>
    <m/>
    <s v="Expense"/>
    <s v="Waymo"/>
    <s v="66500 AppIQ - Research &amp; Development:AppIQ - R&amp;D - Travel"/>
    <x v="3"/>
    <x v="4"/>
    <n v="12.36"/>
    <m/>
    <n v="-12.36"/>
    <n v="493509.5699999996"/>
  </r>
  <r>
    <s v="10/17/2025"/>
    <x v="1"/>
    <x v="10"/>
    <s v="M&amp;T Operating"/>
    <m/>
    <s v="Transfer"/>
    <m/>
    <s v="10010 M&amp;T Bank - IntraFi Network Sweep"/>
    <x v="0"/>
    <x v="0"/>
    <m/>
    <n v="326.43"/>
    <n v="326.43"/>
    <n v="493835.99999999959"/>
  </r>
  <r>
    <s v="10/18/2025"/>
    <x v="1"/>
    <x v="10"/>
    <s v="Ramp Card"/>
    <m/>
    <s v="Expense"/>
    <s v="LinkedIn"/>
    <s v="69400 General &amp; Administrative:G&amp;A - Software Applications &amp; Licenses"/>
    <x v="3"/>
    <x v="10"/>
    <n v="32.86"/>
    <m/>
    <n v="-32.86"/>
    <n v="493803.13999999961"/>
  </r>
  <r>
    <s v="10/18/2025"/>
    <x v="1"/>
    <x v="10"/>
    <s v="Ramp Card"/>
    <m/>
    <s v="Expense"/>
    <s v="LuggageHero"/>
    <s v="66500 AppIQ - Research &amp; Development:AppIQ - R&amp;D - Travel"/>
    <x v="3"/>
    <x v="4"/>
    <n v="18.760000000000002"/>
    <m/>
    <n v="-18.760000000000002"/>
    <n v="493784.3799999996"/>
  </r>
  <r>
    <s v="10/19/2025"/>
    <x v="1"/>
    <x v="10"/>
    <s v="Ramp Card"/>
    <m/>
    <s v="Expense"/>
    <s v="Anthropic"/>
    <s v="69400 General &amp; Administrative:G&amp;A - Software Applications &amp; Licenses"/>
    <x v="3"/>
    <x v="10"/>
    <n v="30.98"/>
    <m/>
    <n v="-30.98"/>
    <n v="493753.39999999962"/>
  </r>
  <r>
    <s v="10/19/2025"/>
    <x v="1"/>
    <x v="10"/>
    <s v="Ramp Card"/>
    <m/>
    <s v="Expense"/>
    <s v="ElevenLabs"/>
    <s v="69400 General &amp; Administrative:G&amp;A - Software Applications &amp; Licenses"/>
    <x v="3"/>
    <x v="10"/>
    <n v="5.3"/>
    <m/>
    <n v="-5.3"/>
    <n v="493748.09999999963"/>
  </r>
  <r>
    <s v="10/20/2025"/>
    <x v="1"/>
    <x v="10"/>
    <s v="Ramp Card"/>
    <m/>
    <s v="Expense"/>
    <s v="Movio"/>
    <s v="69400 General &amp; Administrative:G&amp;A - Software Applications &amp; Licenses"/>
    <x v="3"/>
    <x v="10"/>
    <n v="93"/>
    <m/>
    <n v="-93"/>
    <n v="493655.09999999963"/>
  </r>
  <r>
    <s v="10/20/2025"/>
    <x v="1"/>
    <x v="10"/>
    <s v="M&amp;T Operating"/>
    <m/>
    <s v="Expense"/>
    <s v="The Hartford"/>
    <s v="69800 General &amp; Administrative:G&amp;A - Insurance"/>
    <x v="3"/>
    <x v="14"/>
    <n v="1332.89"/>
    <m/>
    <n v="-1332.89"/>
    <n v="492322.20999999961"/>
  </r>
  <r>
    <s v="10/20/2025"/>
    <x v="1"/>
    <x v="10"/>
    <s v="M&amp;T Operating"/>
    <m/>
    <s v="Transfer"/>
    <m/>
    <s v="10010 M&amp;T Bank - IntraFi Network Sweep"/>
    <x v="0"/>
    <x v="0"/>
    <m/>
    <n v="1332.89"/>
    <n v="1332.89"/>
    <n v="493655.09999999963"/>
  </r>
  <r>
    <s v="10/21/2025"/>
    <x v="1"/>
    <x v="10"/>
    <s v="Ramp Card"/>
    <m/>
    <s v="Expense"/>
    <s v="Aa Kiosk"/>
    <s v="66500 AppIQ - Research &amp; Development:AppIQ - R&amp;D - Travel"/>
    <x v="3"/>
    <x v="4"/>
    <n v="40"/>
    <m/>
    <n v="-40"/>
    <n v="493615.09999999963"/>
  </r>
  <r>
    <s v="10/21/2025"/>
    <x v="1"/>
    <x v="10"/>
    <s v="Ramp Card"/>
    <m/>
    <s v="Expense"/>
    <s v="Anthropic"/>
    <s v="69400 General &amp; Administrative:G&amp;A - Software Applications &amp; Licenses"/>
    <x v="3"/>
    <x v="10"/>
    <n v="31"/>
    <m/>
    <n v="-31"/>
    <n v="493584.09999999963"/>
  </r>
  <r>
    <s v="10/21/2025"/>
    <x v="1"/>
    <x v="10"/>
    <s v="Ramp Card"/>
    <m/>
    <s v="Expense"/>
    <s v="Anthropic"/>
    <s v="69400 General &amp; Administrative:G&amp;A - Software Applications &amp; Licenses"/>
    <x v="3"/>
    <x v="10"/>
    <n v="30.95"/>
    <m/>
    <n v="-30.95"/>
    <n v="493553.14999999962"/>
  </r>
  <r>
    <s v="10/21/2025"/>
    <x v="1"/>
    <x v="10"/>
    <s v="M&amp;T Operating"/>
    <m/>
    <s v="Expense"/>
    <s v="Cigna Healthcare"/>
    <s v="22305 Accrued Expenses:Accrued Expenses - Cigna Clearing"/>
    <x v="1"/>
    <x v="1"/>
    <n v="1221.48"/>
    <m/>
    <n v="-1221.48"/>
    <n v="492331.66999999963"/>
  </r>
  <r>
    <s v="10/21/2025"/>
    <x v="1"/>
    <x v="10"/>
    <s v="Ramp Card"/>
    <m/>
    <s v="Expense"/>
    <s v="Delta Air Lines"/>
    <s v="66500 AppIQ - Research &amp; Development:AppIQ - R&amp;D - Travel"/>
    <x v="3"/>
    <x v="4"/>
    <n v="288.97000000000003"/>
    <m/>
    <n v="-288.97000000000003"/>
    <n v="492042.69999999966"/>
  </r>
  <r>
    <s v="10/21/2025"/>
    <x v="1"/>
    <x v="10"/>
    <s v="Ramp Card"/>
    <m/>
    <s v="Expense"/>
    <s v="Expertpay"/>
    <s v="64120 AppIQ - Sales:AppIQ - Sales - Health &amp; Benefits"/>
    <x v="1"/>
    <x v="1"/>
    <n v="65"/>
    <m/>
    <n v="-65"/>
    <n v="491977.69999999966"/>
  </r>
  <r>
    <s v="10/21/2025"/>
    <x v="1"/>
    <x v="10"/>
    <s v="Ramp Card"/>
    <m/>
    <s v="Expense"/>
    <s v="Expertpay"/>
    <s v="64120 AppIQ - Sales:AppIQ - Sales - Health &amp; Benefits"/>
    <x v="1"/>
    <x v="1"/>
    <n v="4.42"/>
    <m/>
    <n v="-4.42"/>
    <n v="491973.27999999968"/>
  </r>
  <r>
    <s v="10/21/2025"/>
    <x v="1"/>
    <x v="10"/>
    <s v="M&amp;T Operating"/>
    <m/>
    <s v="Expense"/>
    <s v="Further FKA SelctAccount"/>
    <s v="22330 Accrued Expenses:Accrued Expenses - Further Clearing"/>
    <x v="1"/>
    <x v="1"/>
    <n v="5.64"/>
    <m/>
    <n v="-5.64"/>
    <n v="491967.63999999966"/>
  </r>
  <r>
    <s v="10/21/2025"/>
    <x v="1"/>
    <x v="10"/>
    <s v="Ramp Card"/>
    <m/>
    <s v="Expense"/>
    <s v="Google Cloud"/>
    <s v="57015 Hosting Costs:Hosting Server and Cloud Storage Fees"/>
    <x v="4"/>
    <x v="19"/>
    <n v="500"/>
    <m/>
    <n v="-500"/>
    <n v="491467.63999999966"/>
  </r>
  <r>
    <s v="10/21/2025"/>
    <x v="1"/>
    <x v="10"/>
    <s v="Ramp Card"/>
    <m/>
    <s v="Expense"/>
    <s v="Lucid Software"/>
    <s v="69400 General &amp; Administrative:G&amp;A - Software Applications &amp; Licenses"/>
    <x v="3"/>
    <x v="10"/>
    <n v="361.74"/>
    <m/>
    <n v="-361.74"/>
    <n v="491105.89999999967"/>
  </r>
  <r>
    <s v="10/21/2025"/>
    <x v="1"/>
    <x v="10"/>
    <s v="M&amp;T Operating"/>
    <m/>
    <s v="Expense"/>
    <s v="The Hartford"/>
    <s v="69800 General &amp; Administrative:G&amp;A - Insurance"/>
    <x v="3"/>
    <x v="14"/>
    <n v="613.35"/>
    <m/>
    <n v="-613.35"/>
    <n v="490492.5499999997"/>
  </r>
  <r>
    <s v="10/21/2025"/>
    <x v="1"/>
    <x v="10"/>
    <s v="Ramp Card"/>
    <m/>
    <s v="Expense"/>
    <s v="Zoom"/>
    <s v="69400 General &amp; Administrative:G&amp;A - Software Applications &amp; Licenses"/>
    <x v="3"/>
    <x v="10"/>
    <n v="17.5"/>
    <m/>
    <n v="-17.5"/>
    <n v="490475.0499999997"/>
  </r>
  <r>
    <s v="10/21/2025"/>
    <x v="1"/>
    <x v="10"/>
    <s v="M&amp;T Operating"/>
    <m/>
    <s v="Transfer"/>
    <m/>
    <s v="10010 M&amp;T Bank - IntraFi Network Sweep"/>
    <x v="0"/>
    <x v="0"/>
    <m/>
    <n v="1840.47"/>
    <n v="1840.47"/>
    <n v="492315.51999999967"/>
  </r>
  <r>
    <s v="10/22/2025"/>
    <x v="1"/>
    <x v="10"/>
    <s v="Ramp Card"/>
    <m/>
    <s v="Expense"/>
    <s v="American Airlines"/>
    <s v="64500 AppIQ - Sales:AppIQ - Sales - Travel"/>
    <x v="3"/>
    <x v="4"/>
    <n v="238.18"/>
    <m/>
    <n v="-238.18"/>
    <n v="492077.33999999968"/>
  </r>
  <r>
    <s v="10/22/2025"/>
    <x v="1"/>
    <x v="10"/>
    <s v="Ramp Card"/>
    <m/>
    <s v="Expense"/>
    <s v="Anthropic"/>
    <s v="69400 General &amp; Administrative:G&amp;A - Software Applications &amp; Licenses"/>
    <x v="3"/>
    <x v="10"/>
    <n v="31.22"/>
    <m/>
    <n v="-31.22"/>
    <n v="492046.1199999997"/>
  </r>
  <r>
    <s v="10/22/2025"/>
    <x v="1"/>
    <x v="10"/>
    <s v="Ramp Card"/>
    <m/>
    <s v="Expense"/>
    <s v="Courtyard by Marriott"/>
    <s v="69500 General &amp; Administrative:G&amp;A - Travel"/>
    <x v="3"/>
    <x v="4"/>
    <n v="1470"/>
    <m/>
    <n v="-1470"/>
    <n v="490576.1199999997"/>
  </r>
  <r>
    <s v="10/22/2025"/>
    <x v="1"/>
    <x v="10"/>
    <s v="M&amp;T Operating"/>
    <m/>
    <s v="Bill Payment"/>
    <s v="Josh Smith (josh@synaptic.build)"/>
    <s v="20005 Accounts Payable"/>
    <x v="3"/>
    <x v="4"/>
    <n v="85"/>
    <m/>
    <n v="-85"/>
    <n v="490491.1199999997"/>
  </r>
  <r>
    <s v="10/22/2025"/>
    <x v="1"/>
    <x v="10"/>
    <s v="Ramp Card"/>
    <m/>
    <s v="Expense"/>
    <s v="OpenAI"/>
    <s v="51400 Classic COGS - Delivery:Classic COGS - Delivery - Software Applications &amp; Licenses"/>
    <x v="3"/>
    <x v="10"/>
    <n v="20"/>
    <m/>
    <n v="-20"/>
    <n v="490471.1199999997"/>
  </r>
  <r>
    <s v="10/22/2025"/>
    <x v="1"/>
    <x v="10"/>
    <s v="Ramp Card"/>
    <m/>
    <s v="Expense"/>
    <s v="United"/>
    <s v="64500 AppIQ - Sales:AppIQ - Sales - Travel"/>
    <x v="3"/>
    <x v="4"/>
    <n v="273.19"/>
    <m/>
    <n v="-273.19"/>
    <n v="490197.9299999997"/>
  </r>
  <r>
    <s v="10/22/2025"/>
    <x v="1"/>
    <x v="10"/>
    <s v="M&amp;T Operating"/>
    <m/>
    <s v="Transfer"/>
    <m/>
    <s v="10010 M&amp;T Bank - IntraFi Network Sweep"/>
    <x v="0"/>
    <x v="0"/>
    <m/>
    <n v="85"/>
    <n v="85"/>
    <n v="490282.9299999997"/>
  </r>
  <r>
    <s v="10/23/2025"/>
    <x v="1"/>
    <x v="10"/>
    <s v="Ramp Card"/>
    <m/>
    <s v="Expense"/>
    <s v="Allianz Global Assistance"/>
    <s v="66500 AppIQ - Research &amp; Development:AppIQ - R&amp;D - Travel"/>
    <x v="3"/>
    <x v="4"/>
    <n v="7.26"/>
    <m/>
    <n v="-7.26"/>
    <n v="490275.66999999969"/>
  </r>
  <r>
    <s v="10/23/2025"/>
    <x v="1"/>
    <x v="10"/>
    <s v="Ramp Card"/>
    <m/>
    <s v="Expense"/>
    <s v="Amtrak"/>
    <s v="66500 AppIQ - Research &amp; Development:AppIQ - R&amp;D - Travel"/>
    <x v="3"/>
    <x v="4"/>
    <n v="157"/>
    <m/>
    <n v="-157"/>
    <n v="490118.66999999969"/>
  </r>
  <r>
    <s v="10/23/2025"/>
    <x v="1"/>
    <x v="10"/>
    <s v="Ramp Card"/>
    <m/>
    <s v="Expense"/>
    <s v="Anthropic"/>
    <s v="51400 Classic COGS - Delivery:Classic COGS - Delivery - Software Applications &amp; Licenses"/>
    <x v="3"/>
    <x v="10"/>
    <n v="106"/>
    <m/>
    <n v="-106"/>
    <n v="490012.66999999969"/>
  </r>
  <r>
    <s v="10/23/2025"/>
    <x v="1"/>
    <x v="10"/>
    <s v="Ramp Card"/>
    <m/>
    <s v="Expense"/>
    <s v="Anthropic"/>
    <s v="69400 General &amp; Administrative:G&amp;A - Software Applications &amp; Licenses"/>
    <x v="3"/>
    <x v="10"/>
    <n v="33.49"/>
    <m/>
    <n v="-33.49"/>
    <n v="489979.1799999997"/>
  </r>
  <r>
    <s v="10/23/2025"/>
    <x v="1"/>
    <x v="10"/>
    <s v="Ramp Card"/>
    <m/>
    <s v="Expense"/>
    <s v="Diamondback Brewing Company"/>
    <s v="69505 General &amp; Administrative:G&amp;A - Meals &amp; Entertainment"/>
    <x v="3"/>
    <x v="4"/>
    <n v="115.64"/>
    <m/>
    <n v="-115.64"/>
    <n v="489863.53999999969"/>
  </r>
  <r>
    <s v="10/23/2025"/>
    <x v="1"/>
    <x v="10"/>
    <s v="Ramp Card"/>
    <m/>
    <s v="Expense"/>
    <s v="Southwest Airlines"/>
    <s v="61500 Classic - Sales:Classic - Sales - Travel"/>
    <x v="3"/>
    <x v="4"/>
    <n v="347.96"/>
    <m/>
    <n v="-347.96"/>
    <n v="489515.57999999967"/>
  </r>
  <r>
    <s v="10/24/2025"/>
    <x v="1"/>
    <x v="10"/>
    <s v="Ramp Card"/>
    <m/>
    <s v="Expense"/>
    <s v="Anthropic"/>
    <s v="69400 General &amp; Administrative:G&amp;A - Software Applications &amp; Licenses"/>
    <x v="3"/>
    <x v="10"/>
    <n v="31.19"/>
    <m/>
    <n v="-31.19"/>
    <n v="489484.38999999966"/>
  </r>
  <r>
    <s v="10/24/2025"/>
    <x v="1"/>
    <x v="10"/>
    <s v="Ramp Card"/>
    <m/>
    <s v="Expense"/>
    <s v="Google Cloud"/>
    <s v="57015 Hosting Costs:Hosting Server and Cloud Storage Fees"/>
    <x v="4"/>
    <x v="19"/>
    <n v="1000"/>
    <m/>
    <n v="-1000"/>
    <n v="488484.38999999966"/>
  </r>
  <r>
    <s v="10/24/2025"/>
    <x v="1"/>
    <x v="10"/>
    <s v="Ramp Card"/>
    <m/>
    <s v="Expense"/>
    <s v="In the Bag Promotions"/>
    <s v="65625 AppIQ - Marketing:AppIQ - Marketing - Client Gifts &amp; Entertainment"/>
    <x v="3"/>
    <x v="4"/>
    <n v="969.06"/>
    <m/>
    <n v="-969.06"/>
    <n v="487515.32999999967"/>
  </r>
  <r>
    <s v="10/24/2025"/>
    <x v="1"/>
    <x v="10"/>
    <s v="M&amp;T Operating"/>
    <m/>
    <s v="Bill Payment"/>
    <s v="International Computer Services Inc."/>
    <s v="20005 Accounts Payable"/>
    <x v="3"/>
    <x v="10"/>
    <n v="3158.29"/>
    <m/>
    <n v="-3158.29"/>
    <n v="484357.03999999969"/>
  </r>
  <r>
    <s v="10/24/2025"/>
    <x v="1"/>
    <x v="10"/>
    <s v="M&amp;T Operating"/>
    <m/>
    <s v="Bill Payment"/>
    <s v="Investigo LLC"/>
    <s v="20005 Accounts Payable"/>
    <x v="4"/>
    <x v="9"/>
    <n v="880.75"/>
    <m/>
    <n v="-880.75"/>
    <n v="483476.28999999969"/>
  </r>
  <r>
    <s v="10/24/2025"/>
    <x v="1"/>
    <x v="10"/>
    <s v="M&amp;T Operating"/>
    <m/>
    <s v="Bill Payment"/>
    <s v="Josh Smith (josh@synaptic.build)"/>
    <s v="20005 Accounts Payable"/>
    <x v="3"/>
    <x v="4"/>
    <n v="134.82"/>
    <m/>
    <n v="-134.82"/>
    <n v="483341.46999999968"/>
  </r>
  <r>
    <s v="10/24/2025"/>
    <x v="1"/>
    <x v="10"/>
    <s v="Ramp Card"/>
    <m/>
    <s v="Expense"/>
    <s v="Lovable"/>
    <s v="69400 General &amp; Administrative:G&amp;A - Software Applications &amp; Licenses"/>
    <x v="3"/>
    <x v="10"/>
    <n v="25.75"/>
    <m/>
    <n v="-25.75"/>
    <n v="483315.71999999968"/>
  </r>
  <r>
    <s v="10/24/2025"/>
    <x v="1"/>
    <x v="10"/>
    <s v="M&amp;T Operating"/>
    <m/>
    <s v="Bill Payment"/>
    <s v="Mark Norris"/>
    <s v="20005 Accounts Payable"/>
    <x v="3"/>
    <x v="20"/>
    <n v="150"/>
    <m/>
    <n v="-150"/>
    <n v="483165.71999999968"/>
  </r>
  <r>
    <s v="10/24/2025"/>
    <x v="1"/>
    <x v="10"/>
    <s v="M&amp;T Operating"/>
    <m/>
    <s v="Expense"/>
    <s v="Paylocity"/>
    <s v="69215 General &amp; Administrative:G&amp;A - Payroll Fees"/>
    <x v="1"/>
    <x v="3"/>
    <n v="309.27"/>
    <m/>
    <n v="-309.27"/>
    <n v="482856.44999999966"/>
  </r>
  <r>
    <s v="10/24/2025"/>
    <x v="1"/>
    <x v="10"/>
    <s v="M&amp;T Operating"/>
    <m/>
    <s v="Payment"/>
    <s v="Total Solutions Inc:Total Solutions Inc - HUD Mod 01"/>
    <s v="11005 Accounts Receivable"/>
    <x v="2"/>
    <x v="2"/>
    <m/>
    <n v="24777.599999999999"/>
    <n v="24777.599999999999"/>
    <n v="507634.04999999964"/>
  </r>
  <r>
    <s v="10/24/2025"/>
    <x v="1"/>
    <x v="10"/>
    <s v="Ramp Card"/>
    <m/>
    <s v="Expense"/>
    <s v="Uber"/>
    <s v="69500 General &amp; Administrative:G&amp;A - Travel"/>
    <x v="3"/>
    <x v="4"/>
    <n v="4.3499999999999996"/>
    <m/>
    <n v="-4.3499999999999996"/>
    <n v="507629.69999999966"/>
  </r>
  <r>
    <s v="10/24/2025"/>
    <x v="1"/>
    <x v="10"/>
    <s v="Ramp Card"/>
    <m/>
    <s v="Expense"/>
    <s v="Uber"/>
    <s v="69500 General &amp; Administrative:G&amp;A - Travel"/>
    <x v="3"/>
    <x v="4"/>
    <n v="39.92"/>
    <m/>
    <n v="-39.92"/>
    <n v="507589.77999999968"/>
  </r>
  <r>
    <s v="10/24/2025"/>
    <x v="1"/>
    <x v="10"/>
    <s v="M&amp;T Operating"/>
    <m/>
    <s v="Expense"/>
    <s v="Wex Health, Inc."/>
    <s v="22320 Accrued Expenses:Accrued Expenses - WEX Clearing"/>
    <x v="1"/>
    <x v="1"/>
    <n v="68.959999999999994"/>
    <m/>
    <n v="-68.959999999999994"/>
    <n v="507520.81999999966"/>
  </r>
  <r>
    <s v="10/24/2025"/>
    <x v="1"/>
    <x v="10"/>
    <s v="M&amp;T Operating"/>
    <m/>
    <s v="Bill Payment"/>
    <s v="Whitehouse &amp; Cooper, PLCC"/>
    <s v="20005 Accounts Payable"/>
    <x v="3"/>
    <x v="5"/>
    <n v="4534.5"/>
    <m/>
    <n v="-4534.5"/>
    <n v="502986.31999999966"/>
  </r>
  <r>
    <s v="10/24/2025"/>
    <x v="1"/>
    <x v="10"/>
    <s v="M&amp;T Operating"/>
    <m/>
    <s v="Transfer"/>
    <m/>
    <s v="10010 M&amp;T Bank - IntraFi Network Sweep"/>
    <x v="0"/>
    <x v="0"/>
    <n v="15541.01"/>
    <m/>
    <n v="-15541.01"/>
    <n v="487445.30999999965"/>
  </r>
  <r>
    <s v="10/25/2025"/>
    <x v="1"/>
    <x v="10"/>
    <s v="Ramp Card"/>
    <m/>
    <s v="Expense"/>
    <s v="Anthropic"/>
    <s v="69400 General &amp; Administrative:G&amp;A - Software Applications &amp; Licenses"/>
    <x v="3"/>
    <x v="10"/>
    <n v="1514.1"/>
    <m/>
    <n v="-1514.1"/>
    <n v="485931.20999999967"/>
  </r>
  <r>
    <s v="10/25/2025"/>
    <x v="1"/>
    <x v="10"/>
    <s v="Ramp Card"/>
    <m/>
    <s v="Expense"/>
    <s v="OpenAI"/>
    <s v="51400 Classic COGS - Delivery:Classic COGS - Delivery - Software Applications &amp; Licenses"/>
    <x v="3"/>
    <x v="10"/>
    <n v="21.4"/>
    <m/>
    <n v="-21.4"/>
    <n v="485909.80999999965"/>
  </r>
  <r>
    <s v="10/25/2025"/>
    <x v="1"/>
    <x v="10"/>
    <s v="Ramp Card"/>
    <m/>
    <s v="Expense"/>
    <s v="Uber"/>
    <s v="69500 General &amp; Administrative:G&amp;A - Travel"/>
    <x v="3"/>
    <x v="4"/>
    <n v="5.98"/>
    <m/>
    <n v="-5.98"/>
    <n v="485903.82999999967"/>
  </r>
  <r>
    <s v="10/26/2025"/>
    <x v="1"/>
    <x v="10"/>
    <s v="Ramp Card"/>
    <m/>
    <s v="Expense"/>
    <s v="Willow"/>
    <s v="69400 General &amp; Administrative:G&amp;A - Software Applications &amp; Licenses"/>
    <x v="3"/>
    <x v="10"/>
    <n v="15"/>
    <m/>
    <n v="-15"/>
    <n v="485888.82999999967"/>
  </r>
  <r>
    <s v="10/27/2025"/>
    <x v="1"/>
    <x v="10"/>
    <s v="Ramp Card"/>
    <m/>
    <s v="Expense"/>
    <s v="Amazon"/>
    <s v="69410 General &amp; Administrative:G&amp;A - Office &amp; Supplies"/>
    <x v="3"/>
    <x v="15"/>
    <n v="19.07"/>
    <m/>
    <n v="-19.07"/>
    <n v="485869.75999999966"/>
  </r>
  <r>
    <s v="10/27/2025"/>
    <x v="1"/>
    <x v="10"/>
    <s v="Ramp Card"/>
    <m/>
    <s v="Expense"/>
    <s v="Amazon"/>
    <s v="69410 General &amp; Administrative:G&amp;A - Office &amp; Supplies"/>
    <x v="3"/>
    <x v="15"/>
    <n v="84.78"/>
    <m/>
    <n v="-84.78"/>
    <n v="485784.97999999963"/>
  </r>
  <r>
    <s v="10/27/2025"/>
    <x v="1"/>
    <x v="10"/>
    <s v="Ramp Card"/>
    <m/>
    <s v="Expense"/>
    <s v="Anthropic"/>
    <s v="69400 General &amp; Administrative:G&amp;A - Software Applications &amp; Licenses"/>
    <x v="3"/>
    <x v="10"/>
    <n v="21.2"/>
    <m/>
    <n v="-21.2"/>
    <n v="485763.77999999962"/>
  </r>
  <r>
    <s v="10/27/2025"/>
    <x v="1"/>
    <x v="10"/>
    <s v="M&amp;T Operating"/>
    <m/>
    <s v="Expense"/>
    <s v="Bancorpsv (Benefit Deduction)"/>
    <s v="22335 Accrued Expenses:Accrued Expenses - Bancorpsv Clearing"/>
    <x v="1"/>
    <x v="1"/>
    <n v="25"/>
    <m/>
    <n v="-25"/>
    <n v="485738.77999999962"/>
  </r>
  <r>
    <s v="10/27/2025"/>
    <x v="1"/>
    <x v="10"/>
    <s v="M&amp;T Operating"/>
    <m/>
    <s v="Bill Payment"/>
    <s v="Brenna Hawley-Craig (brenna@synaptic.build)"/>
    <s v="20005 Accounts Payable"/>
    <x v="3"/>
    <x v="4"/>
    <n v="30"/>
    <m/>
    <n v="-30"/>
    <n v="485708.77999999962"/>
  </r>
  <r>
    <s v="10/27/2025"/>
    <x v="1"/>
    <x v="10"/>
    <s v="Ramp Card"/>
    <m/>
    <s v="Expense"/>
    <s v="Etsy"/>
    <s v="65625 AppIQ - Marketing:AppIQ - Marketing - Client Gifts &amp; Entertainment"/>
    <x v="3"/>
    <x v="4"/>
    <n v="385.2"/>
    <m/>
    <n v="-385.2"/>
    <n v="485323.57999999961"/>
  </r>
  <r>
    <s v="10/27/2025"/>
    <x v="1"/>
    <x v="10"/>
    <s v="Ramp Card"/>
    <m/>
    <s v="Expense"/>
    <s v="Etsy"/>
    <s v="65625 AppIQ - Marketing:AppIQ - Marketing - Client Gifts &amp; Entertainment"/>
    <x v="3"/>
    <x v="4"/>
    <n v="577.79999999999995"/>
    <m/>
    <n v="-577.79999999999995"/>
    <n v="484745.77999999962"/>
  </r>
  <r>
    <s v="10/27/2025"/>
    <x v="1"/>
    <x v="10"/>
    <s v="Ramp Card"/>
    <m/>
    <s v="Expense"/>
    <s v="LinkedIn"/>
    <s v="69400 General &amp; Administrative:G&amp;A - Software Applications &amp; Licenses"/>
    <x v="3"/>
    <x v="10"/>
    <n v="95.39"/>
    <m/>
    <n v="-95.39"/>
    <n v="484650.38999999961"/>
  </r>
  <r>
    <s v="10/27/2025"/>
    <x v="1"/>
    <x v="10"/>
    <s v="M&amp;T Operating"/>
    <m/>
    <s v="Bill Payment"/>
    <s v="Minh Tran (max@synaptic.build)"/>
    <s v="20005 Accounts Payable"/>
    <x v="3"/>
    <x v="4"/>
    <n v="514.66999999999996"/>
    <m/>
    <n v="-514.66999999999996"/>
    <n v="484135.71999999962"/>
  </r>
  <r>
    <s v="10/27/2025"/>
    <x v="1"/>
    <x v="10"/>
    <s v="M&amp;T Operating"/>
    <m/>
    <s v="Transfer"/>
    <m/>
    <s v="10010 M&amp;T Bank - IntraFi Network Sweep"/>
    <x v="0"/>
    <x v="0"/>
    <m/>
    <n v="25"/>
    <n v="25"/>
    <n v="484160.71999999962"/>
  </r>
  <r>
    <s v="10/28/2025"/>
    <x v="1"/>
    <x v="10"/>
    <s v="Ramp Card"/>
    <m/>
    <s v="Expense"/>
    <s v="Amazon"/>
    <s v="61405 Classic - Sales:Classic - Sales - Telecom, Internet &amp; Hardware"/>
    <x v="3"/>
    <x v="10"/>
    <n v="123.61"/>
    <m/>
    <n v="-123.61"/>
    <n v="484037.10999999964"/>
  </r>
  <r>
    <s v="10/28/2025"/>
    <x v="1"/>
    <x v="10"/>
    <s v="Ramp Card"/>
    <m/>
    <s v="Expense"/>
    <s v="Anthropic"/>
    <s v="69400 General &amp; Administrative:G&amp;A - Software Applications &amp; Licenses"/>
    <x v="3"/>
    <x v="10"/>
    <n v="31.36"/>
    <m/>
    <n v="-31.36"/>
    <n v="484005.74999999965"/>
  </r>
  <r>
    <s v="10/28/2025"/>
    <x v="1"/>
    <x v="10"/>
    <s v="Ramp Card"/>
    <m/>
    <s v="Expense"/>
    <s v="Anthropic"/>
    <s v="69400 General &amp; Administrative:G&amp;A - Software Applications &amp; Licenses"/>
    <x v="3"/>
    <x v="10"/>
    <n v="31.66"/>
    <m/>
    <n v="-31.66"/>
    <n v="483974.08999999968"/>
  </r>
  <r>
    <s v="10/28/2025"/>
    <x v="1"/>
    <x v="10"/>
    <s v="Ramp Card"/>
    <m/>
    <s v="Expense"/>
    <s v="Anthropic"/>
    <s v="69400 General &amp; Administrative:G&amp;A - Software Applications &amp; Licenses"/>
    <x v="3"/>
    <x v="10"/>
    <n v="31.36"/>
    <m/>
    <n v="-31.36"/>
    <n v="483942.72999999969"/>
  </r>
  <r>
    <s v="10/28/2025"/>
    <x v="1"/>
    <x v="10"/>
    <s v="Ramp Card"/>
    <m/>
    <s v="Expense"/>
    <s v="Anthropic"/>
    <s v="69400 General &amp; Administrative:G&amp;A - Software Applications &amp; Licenses"/>
    <x v="3"/>
    <x v="10"/>
    <n v="31.87"/>
    <m/>
    <n v="-31.87"/>
    <n v="483910.85999999969"/>
  </r>
  <r>
    <s v="10/28/2025"/>
    <x v="1"/>
    <x v="10"/>
    <s v="M&amp;T Operating"/>
    <m/>
    <s v="Expense"/>
    <s v="Further FKA SelctAccount"/>
    <s v="22330 Accrued Expenses:Accrued Expenses - Further Clearing"/>
    <x v="1"/>
    <x v="1"/>
    <n v="17.100000000000001"/>
    <m/>
    <n v="-17.100000000000001"/>
    <n v="483893.75999999972"/>
  </r>
  <r>
    <s v="10/28/2025"/>
    <x v="1"/>
    <x v="10"/>
    <s v="Ramp Card"/>
    <m/>
    <s v="Expense"/>
    <s v="LastPass"/>
    <s v="69400 General &amp; Administrative:G&amp;A - Software Applications &amp; Licenses"/>
    <x v="3"/>
    <x v="10"/>
    <n v="71.17"/>
    <m/>
    <n v="-71.17"/>
    <n v="483822.58999999973"/>
  </r>
  <r>
    <s v="10/28/2025"/>
    <x v="1"/>
    <x v="10"/>
    <s v="M&amp;T Operating"/>
    <m/>
    <s v="Transfer"/>
    <m/>
    <s v="10010 M&amp;T Bank - IntraFi Network Sweep"/>
    <x v="0"/>
    <x v="0"/>
    <m/>
    <n v="561.77"/>
    <n v="561.77"/>
    <n v="484384.35999999975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31.83"/>
    <m/>
    <n v="-31.83"/>
    <n v="484352.52999999974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31.3"/>
    <m/>
    <n v="-31.3"/>
    <n v="484321.22999999975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31.71"/>
    <m/>
    <n v="-31.71"/>
    <n v="484289.51999999973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41.24"/>
    <m/>
    <n v="-41.24"/>
    <n v="484248.27999999974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31.14"/>
    <m/>
    <n v="-31.14"/>
    <n v="484217.13999999972"/>
  </r>
  <r>
    <s v="10/29/2025"/>
    <x v="1"/>
    <x v="10"/>
    <s v="M&amp;T Operating"/>
    <m/>
    <s v="Deposit"/>
    <s v="Freedom Service Dogs Inc.:Managed Services"/>
    <s v="14005 Undeposited Funds"/>
    <x v="2"/>
    <x v="2"/>
    <m/>
    <n v="750"/>
    <n v="750"/>
    <n v="484967.13999999972"/>
  </r>
  <r>
    <s v="10/29/2025"/>
    <x v="1"/>
    <x v="10"/>
    <s v="Ramp Card"/>
    <m/>
    <s v="Expense"/>
    <s v="Perplexity AI"/>
    <s v="51400 Classic COGS - Delivery:Classic COGS - Delivery - Software Applications &amp; Licenses"/>
    <x v="3"/>
    <x v="10"/>
    <n v="20"/>
    <m/>
    <n v="-20"/>
    <n v="484947.13999999972"/>
  </r>
  <r>
    <s v="10/29/2025"/>
    <x v="1"/>
    <x v="10"/>
    <s v="M&amp;T Operating"/>
    <m/>
    <s v="Expense"/>
    <s v="QuickBooks Payments"/>
    <s v="69805 General &amp; Administrative:G&amp;A - Bank Fees"/>
    <x v="0"/>
    <x v="6"/>
    <n v="7.5"/>
    <m/>
    <n v="-7.5"/>
    <n v="484939.63999999972"/>
  </r>
  <r>
    <s v="10/30/2025"/>
    <x v="1"/>
    <x v="10"/>
    <s v="Ramp Card"/>
    <m/>
    <s v="Expense"/>
    <s v="American Airlines"/>
    <s v="64500 AppIQ - Sales:AppIQ - Sales - Travel"/>
    <x v="3"/>
    <x v="4"/>
    <n v="360.37"/>
    <m/>
    <n v="-360.37"/>
    <n v="484579.26999999973"/>
  </r>
  <r>
    <s v="10/30/2025"/>
    <x v="1"/>
    <x v="10"/>
    <s v="Ramp Card"/>
    <m/>
    <s v="Expense"/>
    <s v="Anthropic"/>
    <s v="69400 General &amp; Administrative:G&amp;A - Software Applications &amp; Licenses"/>
    <x v="3"/>
    <x v="10"/>
    <n v="33.71"/>
    <m/>
    <n v="-33.71"/>
    <n v="484545.55999999971"/>
  </r>
  <r>
    <s v="10/30/2025"/>
    <x v="1"/>
    <x v="10"/>
    <s v="Ramp Card"/>
    <m/>
    <s v="Expense"/>
    <s v="Anthropic"/>
    <s v="69400 General &amp; Administrative:G&amp;A - Software Applications &amp; Licenses"/>
    <x v="3"/>
    <x v="10"/>
    <n v="131.53"/>
    <m/>
    <n v="-131.53"/>
    <n v="484414.02999999968"/>
  </r>
  <r>
    <s v="10/30/2025"/>
    <x v="1"/>
    <x v="10"/>
    <s v="Ramp Card"/>
    <m/>
    <s v="Expense"/>
    <s v="Anthropic"/>
    <s v="69400 General &amp; Administrative:G&amp;A - Software Applications &amp; Licenses"/>
    <x v="3"/>
    <x v="10"/>
    <n v="31.45"/>
    <m/>
    <n v="-31.45"/>
    <n v="484382.57999999967"/>
  </r>
  <r>
    <s v="10/30/2025"/>
    <x v="1"/>
    <x v="10"/>
    <s v="M&amp;T Operating"/>
    <m/>
    <s v="Expense"/>
    <s v="Paylocity"/>
    <s v="22205 Accrued Expenses:Accrued Expenses - Payroll"/>
    <x v="1"/>
    <x v="11"/>
    <n v="35168.69"/>
    <m/>
    <n v="-35168.69"/>
    <n v="449213.88999999966"/>
  </r>
  <r>
    <s v="10/30/2025"/>
    <x v="1"/>
    <x v="10"/>
    <s v="M&amp;T Operating"/>
    <m/>
    <s v="Expense"/>
    <s v="Paylocity"/>
    <s v="22205 Accrued Expenses:Accrued Expenses - Payroll"/>
    <x v="1"/>
    <x v="1"/>
    <n v="999.5"/>
    <m/>
    <n v="-999.5"/>
    <n v="448214.38999999966"/>
  </r>
  <r>
    <s v="10/30/2025"/>
    <x v="1"/>
    <x v="10"/>
    <s v="M&amp;T Operating"/>
    <m/>
    <s v="Expense"/>
    <s v="Paylocity"/>
    <s v="22205 Accrued Expenses:Accrued Expenses - Payroll"/>
    <x v="1"/>
    <x v="12"/>
    <n v="75359.64"/>
    <m/>
    <n v="-75359.64"/>
    <n v="372854.74999999965"/>
  </r>
  <r>
    <s v="10/30/2025"/>
    <x v="1"/>
    <x v="10"/>
    <s v="M&amp;T Operating"/>
    <m/>
    <s v="Payment"/>
    <s v="Youreka Labs, Inc"/>
    <s v="11005 Accounts Receivable"/>
    <x v="2"/>
    <x v="2"/>
    <m/>
    <n v="8400"/>
    <n v="8400"/>
    <n v="381254.74999999965"/>
  </r>
  <r>
    <s v="10/30/2025"/>
    <x v="1"/>
    <x v="10"/>
    <s v="M&amp;T Operating"/>
    <m/>
    <s v="Payment"/>
    <s v="Youreka Labs, Inc"/>
    <s v="11005 Accounts Receivable"/>
    <x v="2"/>
    <x v="2"/>
    <m/>
    <n v="11534.5"/>
    <n v="11534.5"/>
    <n v="392789.24999999965"/>
  </r>
  <r>
    <s v="10/30/2025"/>
    <x v="1"/>
    <x v="10"/>
    <s v="M&amp;T Operating"/>
    <m/>
    <s v="Transfer"/>
    <m/>
    <s v="10010 M&amp;T Bank - IntraFi Network Sweep"/>
    <x v="0"/>
    <x v="0"/>
    <m/>
    <n v="90850.83"/>
    <n v="90850.83"/>
    <n v="483640.07999999967"/>
  </r>
  <r>
    <s v="10/31/2025"/>
    <x v="1"/>
    <x v="10"/>
    <s v="Ramp Card"/>
    <m/>
    <s v="CC-Credit"/>
    <s v="Amazon"/>
    <s v="69410 General &amp; Administrative:G&amp;A - Office &amp; Supplies"/>
    <x v="3"/>
    <x v="15"/>
    <m/>
    <n v="19.07"/>
    <n v="19.07"/>
    <n v="483659.14999999967"/>
  </r>
  <r>
    <s v="10/31/2025"/>
    <x v="1"/>
    <x v="10"/>
    <s v="M&amp;T Operating"/>
    <m/>
    <s v="Bill Payment"/>
    <s v="Greenhouse Software, Inc"/>
    <s v="20005 Accounts Payable"/>
    <x v="3"/>
    <x v="10"/>
    <n v="7207.94"/>
    <m/>
    <n v="-7207.94"/>
    <n v="476451.20999999967"/>
  </r>
  <r>
    <s v="10/31/2025"/>
    <x v="1"/>
    <x v="10"/>
    <s v="M&amp;T Operating"/>
    <m/>
    <s v="Bill Payment"/>
    <s v="Justin Nichols (justin@synaptic.build)"/>
    <s v="20005 Accounts Payable"/>
    <x v="3"/>
    <x v="4"/>
    <n v="69.709999999999994"/>
    <m/>
    <n v="-69.709999999999994"/>
    <n v="476381.49999999965"/>
  </r>
  <r>
    <s v="10/31/2025"/>
    <x v="1"/>
    <x v="10"/>
    <s v="M&amp;T Operating"/>
    <m/>
    <s v="Deposit"/>
    <s v="M&amp;T Bank"/>
    <s v="71005 Interest"/>
    <x v="0"/>
    <x v="17"/>
    <m/>
    <n v="613.20000000000005"/>
    <n v="613.20000000000005"/>
    <n v="476994.69999999966"/>
  </r>
  <r>
    <s v="10/31/2025"/>
    <x v="1"/>
    <x v="10"/>
    <s v="M&amp;T Operating"/>
    <m/>
    <s v="Bill Payment"/>
    <s v="Nemphos Braue LLC"/>
    <s v="20005 Accounts Payable"/>
    <x v="3"/>
    <x v="5"/>
    <n v="4666.2"/>
    <m/>
    <n v="-4666.2"/>
    <n v="472328.49999999965"/>
  </r>
  <r>
    <s v="10/31/2025"/>
    <x v="1"/>
    <x v="10"/>
    <s v="Ramp Card"/>
    <m/>
    <s v="Expense"/>
    <s v="TradeShowPlus"/>
    <s v="65615 AppIQ - Marketing:AppIQ - Marketing - Events &amp; Conferences"/>
    <x v="3"/>
    <x v="4"/>
    <n v="230.7"/>
    <m/>
    <n v="-230.7"/>
    <n v="472097.79999999964"/>
  </r>
  <r>
    <s v="10/31/2025"/>
    <x v="1"/>
    <x v="10"/>
    <s v="M&amp;T Operating"/>
    <m/>
    <s v="Transfer"/>
    <m/>
    <s v="10010 M&amp;T Bank - IntraFi Network Sweep"/>
    <x v="0"/>
    <x v="0"/>
    <m/>
    <n v="11330.65"/>
    <n v="11330.65"/>
    <n v="483428.44999999966"/>
  </r>
  <r>
    <s v="11/01/2025"/>
    <x v="1"/>
    <x v="11"/>
    <s v="Ramp Card"/>
    <m/>
    <s v="Expense"/>
    <s v="Anthropic"/>
    <s v="61400 Classic - Sales:Classic - Sales - Software Applications &amp; Licenses"/>
    <x v="3"/>
    <x v="10"/>
    <n v="20"/>
    <m/>
    <n v="-20"/>
    <n v="483408.44999999966"/>
  </r>
  <r>
    <s v="11/01/2025"/>
    <x v="1"/>
    <x v="11"/>
    <s v="Ramp Card"/>
    <m/>
    <s v="Expense"/>
    <s v="Earth Class Mail"/>
    <s v="69400 General &amp; Administrative:G&amp;A - Software Applications &amp; Licenses"/>
    <x v="3"/>
    <x v="10"/>
    <n v="89"/>
    <m/>
    <n v="-89"/>
    <n v="483319.44999999966"/>
  </r>
  <r>
    <s v="11/01/2025"/>
    <x v="1"/>
    <x v="11"/>
    <s v="Ramp Card"/>
    <m/>
    <s v="Expense"/>
    <s v="Google Cloud"/>
    <s v="57015 Hosting Costs:Hosting Server and Cloud Storage Fees"/>
    <x v="4"/>
    <x v="19"/>
    <n v="427.87"/>
    <m/>
    <n v="-427.87"/>
    <n v="482891.57999999967"/>
  </r>
  <r>
    <s v="11/01/2025"/>
    <x v="1"/>
    <x v="11"/>
    <s v="Ramp Card"/>
    <m/>
    <s v="Expense"/>
    <s v="Google Play"/>
    <s v="69400 General &amp; Administrative:G&amp;A - Software Applications &amp; Licenses"/>
    <x v="3"/>
    <x v="10"/>
    <n v="17.39"/>
    <m/>
    <n v="-17.39"/>
    <n v="482874.18999999965"/>
  </r>
  <r>
    <s v="11/01/2025"/>
    <x v="1"/>
    <x v="11"/>
    <s v="Ramp Card"/>
    <m/>
    <s v="Expense"/>
    <s v="Google Workspace"/>
    <s v="69400 General &amp; Administrative:G&amp;A - Software Applications &amp; Licenses"/>
    <x v="3"/>
    <x v="10"/>
    <n v="355.63"/>
    <m/>
    <n v="-355.63"/>
    <n v="482518.55999999965"/>
  </r>
  <r>
    <s v="11/01/2025"/>
    <x v="1"/>
    <x v="11"/>
    <s v="Ramp Card"/>
    <m/>
    <s v="Expense"/>
    <s v="Intuit"/>
    <s v="69400 General &amp; Administrative:G&amp;A - Software Applications &amp; Licenses"/>
    <x v="3"/>
    <x v="10"/>
    <n v="283.25"/>
    <m/>
    <n v="-283.25"/>
    <n v="482235.30999999965"/>
  </r>
  <r>
    <s v="11/01/2025"/>
    <x v="1"/>
    <x v="11"/>
    <s v="M&amp;T Operating"/>
    <m/>
    <s v="Bill Payment"/>
    <s v="Justin Nichols (justin@synaptic.build)"/>
    <s v="20005 Accounts Payable"/>
    <x v="3"/>
    <x v="4"/>
    <n v="24"/>
    <m/>
    <n v="-24"/>
    <n v="482211.30999999965"/>
  </r>
  <r>
    <s v="11/01/2025"/>
    <x v="1"/>
    <x v="11"/>
    <s v="Ramp Card"/>
    <m/>
    <s v="Expense"/>
    <s v="Linked Elf"/>
    <s v="64400 AppIQ - Sales:AppIQ - Sales - Software Applications &amp; Licenses"/>
    <x v="3"/>
    <x v="10"/>
    <n v="150"/>
    <m/>
    <n v="-150"/>
    <n v="482061.30999999965"/>
  </r>
  <r>
    <s v="11/02/2025"/>
    <x v="1"/>
    <x v="11"/>
    <s v="Ramp Card"/>
    <m/>
    <s v="Expense"/>
    <s v="Comcast"/>
    <s v="69405 General &amp; Administrative:G&amp;A - Telecom, Internet &amp; Hardware"/>
    <x v="3"/>
    <x v="10"/>
    <n v="256.69"/>
    <m/>
    <n v="-256.69"/>
    <n v="481804.61999999965"/>
  </r>
  <r>
    <s v="11/02/2025"/>
    <x v="1"/>
    <x v="11"/>
    <s v="Ramp Card"/>
    <m/>
    <s v="Expense"/>
    <s v="Elastic"/>
    <s v="57020 Hosting Costs:Hosting Website Maintenance"/>
    <x v="4"/>
    <x v="19"/>
    <n v="494.4"/>
    <m/>
    <n v="-494.4"/>
    <n v="481310.21999999962"/>
  </r>
  <r>
    <s v="11/02/2025"/>
    <x v="1"/>
    <x v="11"/>
    <s v="Ramp Card"/>
    <m/>
    <s v="Expense"/>
    <s v="Lean IA"/>
    <s v="69400 General &amp; Administrative:G&amp;A - Software Applications &amp; Licenses"/>
    <x v="3"/>
    <x v="10"/>
    <n v="107.15"/>
    <m/>
    <n v="-107.15"/>
    <n v="481203.0699999996"/>
  </r>
  <r>
    <s v="11/02/2025"/>
    <x v="1"/>
    <x v="11"/>
    <s v="Ramp Card"/>
    <m/>
    <s v="Expense"/>
    <s v="Uber Eats"/>
    <s v="66505 AppIQ - Research &amp; Development:AppIQ - R&amp;D - Meals &amp; Entertainment"/>
    <x v="3"/>
    <x v="4"/>
    <n v="70.510000000000005"/>
    <m/>
    <n v="-70.510000000000005"/>
    <n v="481132.55999999959"/>
  </r>
  <r>
    <s v="11/02/2025"/>
    <x v="1"/>
    <x v="11"/>
    <s v="Ramp Card"/>
    <m/>
    <s v="Expense"/>
    <s v="Uizard"/>
    <s v="69400 General &amp; Administrative:G&amp;A - Software Applications &amp; Licenses"/>
    <x v="3"/>
    <x v="10"/>
    <n v="19"/>
    <m/>
    <n v="-19"/>
    <n v="481113.55999999959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2.450000000000003"/>
    <m/>
    <n v="-32.450000000000003"/>
    <n v="481081.10999999958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2.81"/>
    <m/>
    <n v="-32.81"/>
    <n v="481048.29999999958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3.229999999999997"/>
    <m/>
    <n v="-33.229999999999997"/>
    <n v="481015.0699999996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2.520000000000003"/>
    <m/>
    <n v="-32.520000000000003"/>
    <n v="480982.54999999958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3.58"/>
    <m/>
    <n v="-33.58"/>
    <n v="480948.96999999956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7.51"/>
    <m/>
    <n v="-37.51"/>
    <n v="480911.45999999956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1.58"/>
    <m/>
    <n v="-31.58"/>
    <n v="480879.87999999954"/>
  </r>
  <r>
    <s v="11/03/2025"/>
    <x v="1"/>
    <x v="11"/>
    <s v="M&amp;T Operating"/>
    <m/>
    <s v="Bill Payment"/>
    <s v="Bojan Cubela (bojan@synaptic.build)"/>
    <s v="20005 Accounts Payable"/>
    <x v="3"/>
    <x v="4"/>
    <n v="1662.25"/>
    <m/>
    <n v="-1662.25"/>
    <n v="479217.62999999954"/>
  </r>
  <r>
    <s v="11/03/2025"/>
    <x v="1"/>
    <x v="11"/>
    <s v="M&amp;T Operating"/>
    <m/>
    <s v="Expense"/>
    <s v="CareFirst Blue Cross Blue Shield"/>
    <s v="22300 Accrued Expenses:Accrued Expenses - BCBS Clearing"/>
    <x v="1"/>
    <x v="1"/>
    <n v="15000.97"/>
    <m/>
    <n v="-15000.97"/>
    <n v="464216.65999999957"/>
  </r>
  <r>
    <s v="11/03/2025"/>
    <x v="1"/>
    <x v="11"/>
    <s v="Ramp Card"/>
    <m/>
    <s v="Expense"/>
    <s v="Marriott"/>
    <s v="64500 AppIQ - Sales:AppIQ - Sales - Travel"/>
    <x v="3"/>
    <x v="4"/>
    <n v="506.24"/>
    <m/>
    <n v="-506.24"/>
    <n v="463710.41999999958"/>
  </r>
  <r>
    <s v="11/03/2025"/>
    <x v="1"/>
    <x v="11"/>
    <s v="Ramp Card"/>
    <m/>
    <s v="Expense"/>
    <s v="OpenAI"/>
    <s v="61400 Classic - Sales:Classic - Sales - Software Applications &amp; Licenses"/>
    <x v="3"/>
    <x v="10"/>
    <n v="20"/>
    <m/>
    <n v="-20"/>
    <n v="463690.41999999958"/>
  </r>
  <r>
    <s v="11/03/2025"/>
    <x v="1"/>
    <x v="11"/>
    <s v="M&amp;T Operating"/>
    <m/>
    <s v="Payment"/>
    <s v="PowerSchool Group LLC"/>
    <s v="11005 Accounts Receivable"/>
    <x v="2"/>
    <x v="2"/>
    <m/>
    <n v="12000"/>
    <n v="12000"/>
    <n v="475690.41999999958"/>
  </r>
  <r>
    <s v="11/03/2025"/>
    <x v="1"/>
    <x v="11"/>
    <s v="M&amp;T Operating"/>
    <m/>
    <s v="Expense"/>
    <s v="The Principal"/>
    <s v="22310 Accrued Expenses:Accrued Expenses - Principal Clearing"/>
    <x v="1"/>
    <x v="1"/>
    <n v="12444.05"/>
    <m/>
    <n v="-12444.05"/>
    <n v="463246.36999999959"/>
  </r>
  <r>
    <s v="11/03/2025"/>
    <x v="1"/>
    <x v="11"/>
    <s v="Ramp Card"/>
    <m/>
    <s v="Expense"/>
    <s v="Typora"/>
    <s v="69400 General &amp; Administrative:G&amp;A - Software Applications &amp; Licenses"/>
    <x v="3"/>
    <x v="10"/>
    <n v="15.89"/>
    <m/>
    <n v="-15.89"/>
    <n v="463230.47999999957"/>
  </r>
  <r>
    <s v="11/03/2025"/>
    <x v="1"/>
    <x v="11"/>
    <s v="M&amp;T Operating"/>
    <m/>
    <s v="Expense"/>
    <s v="Wex Health, Inc."/>
    <s v="22320 Accrued Expenses:Accrued Expenses - WEX Clearing"/>
    <x v="1"/>
    <x v="1"/>
    <n v="169.53"/>
    <m/>
    <n v="-169.53"/>
    <n v="463060.94999999955"/>
  </r>
  <r>
    <s v="11/03/2025"/>
    <x v="1"/>
    <x v="11"/>
    <s v="M&amp;T Operating"/>
    <m/>
    <s v="Transfer"/>
    <m/>
    <s v="10010 M&amp;T Bank - IntraFi Network Sweep"/>
    <x v="0"/>
    <x v="0"/>
    <m/>
    <n v="15638.55"/>
    <n v="15638.55"/>
    <n v="478699.49999999953"/>
  </r>
  <r>
    <s v="11/04/2025"/>
    <x v="1"/>
    <x v="11"/>
    <s v="Ramp Card"/>
    <m/>
    <s v="Expense"/>
    <s v="Adobe"/>
    <s v="69400 General &amp; Administrative:G&amp;A - Software Applications &amp; Licenses"/>
    <x v="3"/>
    <x v="10"/>
    <n v="21.19"/>
    <m/>
    <n v="-21.19"/>
    <n v="478678.30999999953"/>
  </r>
  <r>
    <s v="11/04/2025"/>
    <x v="1"/>
    <x v="11"/>
    <s v="Ramp Card"/>
    <m/>
    <s v="Expense"/>
    <s v="Anthropic"/>
    <s v="69400 General &amp; Administrative:G&amp;A - Software Applications &amp; Licenses"/>
    <x v="3"/>
    <x v="10"/>
    <n v="104.43"/>
    <m/>
    <n v="-104.43"/>
    <n v="478573.87999999954"/>
  </r>
  <r>
    <s v="11/04/2025"/>
    <x v="1"/>
    <x v="11"/>
    <s v="Ramp Card"/>
    <m/>
    <s v="Expense"/>
    <s v="Anthropic"/>
    <s v="69400 General &amp; Administrative:G&amp;A - Software Applications &amp; Licenses"/>
    <x v="3"/>
    <x v="10"/>
    <n v="32.200000000000003"/>
    <m/>
    <n v="-32.200000000000003"/>
    <n v="478541.67999999953"/>
  </r>
  <r>
    <s v="11/04/2025"/>
    <x v="1"/>
    <x v="11"/>
    <s v="Ramp Card"/>
    <m/>
    <s v="Expense"/>
    <s v="Anthropic"/>
    <s v="69400 General &amp; Administrative:G&amp;A - Software Applications &amp; Licenses"/>
    <x v="3"/>
    <x v="10"/>
    <n v="32.619999999999997"/>
    <m/>
    <n v="-32.619999999999997"/>
    <n v="478509.05999999953"/>
  </r>
  <r>
    <s v="11/04/2025"/>
    <x v="1"/>
    <x v="11"/>
    <s v="M&amp;T Operating"/>
    <m/>
    <s v="Payment"/>
    <s v="Currencies Direct Limited:Redpin Payments"/>
    <s v="11005 Accounts Receivable"/>
    <x v="2"/>
    <x v="2"/>
    <m/>
    <n v="12000"/>
    <n v="12000"/>
    <n v="490509.05999999953"/>
  </r>
  <r>
    <s v="11/04/2025"/>
    <x v="1"/>
    <x v="11"/>
    <s v="M&amp;T Operating"/>
    <m/>
    <s v="Payment"/>
    <s v="Currencies Direct Limited:Redpin Staff Aug"/>
    <s v="11005 Accounts Receivable"/>
    <x v="2"/>
    <x v="2"/>
    <m/>
    <n v="2200"/>
    <n v="2200"/>
    <n v="492709.05999999953"/>
  </r>
  <r>
    <s v="11/04/2025"/>
    <x v="1"/>
    <x v="11"/>
    <s v="M&amp;T Operating"/>
    <m/>
    <s v="Bill Payment"/>
    <s v="Fort Offices LLC"/>
    <s v="20005 Accounts Payable"/>
    <x v="3"/>
    <x v="22"/>
    <n v="3545.63"/>
    <m/>
    <n v="-3545.63"/>
    <n v="489163.42999999953"/>
  </r>
  <r>
    <s v="11/04/2025"/>
    <x v="1"/>
    <x v="11"/>
    <s v="M&amp;T Operating"/>
    <m/>
    <s v="Expense"/>
    <s v="Further FKA SelctAccount"/>
    <s v="22330 Accrued Expenses:Accrued Expenses - Further Clearing"/>
    <x v="1"/>
    <x v="1"/>
    <n v="139"/>
    <m/>
    <n v="-139"/>
    <n v="489024.42999999953"/>
  </r>
  <r>
    <s v="11/04/2025"/>
    <x v="1"/>
    <x v="11"/>
    <s v="Ramp Card"/>
    <m/>
    <s v="Expense"/>
    <s v="LastPass"/>
    <s v="69400 General &amp; Administrative:G&amp;A - Software Applications &amp; Licenses"/>
    <x v="3"/>
    <x v="10"/>
    <n v="69.47"/>
    <m/>
    <n v="-69.47"/>
    <n v="488954.95999999956"/>
  </r>
  <r>
    <s v="11/04/2025"/>
    <x v="1"/>
    <x v="11"/>
    <s v="M&amp;T Operating"/>
    <m/>
    <s v="Deposit"/>
    <s v="National Rural Health Resource Center:NRHRC Managed Services August 2025- July 2026"/>
    <s v="14005 Undeposited Funds"/>
    <x v="2"/>
    <x v="2"/>
    <m/>
    <n v="14500"/>
    <n v="14500"/>
    <n v="503454.95999999956"/>
  </r>
  <r>
    <s v="11/04/2025"/>
    <x v="1"/>
    <x v="11"/>
    <s v="M&amp;T Operating"/>
    <m/>
    <s v="Expense"/>
    <s v="New York Life"/>
    <s v="22315 Accrued Expenses:Accrued Expenses - NY Life Clearing"/>
    <x v="1"/>
    <x v="1"/>
    <n v="1177.3"/>
    <m/>
    <n v="-1177.3"/>
    <n v="502277.65999999957"/>
  </r>
  <r>
    <s v="11/04/2025"/>
    <x v="1"/>
    <x v="11"/>
    <s v="M&amp;T Operating"/>
    <m/>
    <s v="Payment"/>
    <s v="Youreka Labs, Inc"/>
    <s v="11005 Accounts Receivable"/>
    <x v="2"/>
    <x v="2"/>
    <m/>
    <n v="6011"/>
    <n v="6011"/>
    <n v="508288.65999999957"/>
  </r>
  <r>
    <s v="11/04/2025"/>
    <x v="1"/>
    <x v="11"/>
    <s v="M&amp;T Operating"/>
    <m/>
    <s v="Transfer"/>
    <m/>
    <s v="10010 M&amp;T Bank - IntraFi Network Sweep"/>
    <x v="0"/>
    <x v="0"/>
    <n v="13686.82"/>
    <m/>
    <n v="-13686.82"/>
    <n v="494601.83999999956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1.32"/>
    <m/>
    <n v="-31.32"/>
    <n v="494570.51999999955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3.700000000000003"/>
    <m/>
    <n v="-33.700000000000003"/>
    <n v="494536.81999999954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2.130000000000003"/>
    <m/>
    <n v="-32.130000000000003"/>
    <n v="494504.68999999954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1.25"/>
    <m/>
    <n v="-31.25"/>
    <n v="494473.43999999954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99.59"/>
    <m/>
    <n v="-99.59"/>
    <n v="494373.84999999951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2.07"/>
    <m/>
    <n v="-32.07"/>
    <n v="494341.7799999995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8.56"/>
    <m/>
    <n v="-38.56"/>
    <n v="494303.21999999951"/>
  </r>
  <r>
    <s v="11/05/2025"/>
    <x v="1"/>
    <x v="11"/>
    <s v="M&amp;T Operating"/>
    <m/>
    <s v="Bill Payment"/>
    <s v="Josh Smith (josh@synaptic.build)"/>
    <s v="20005 Accounts Payable"/>
    <x v="3"/>
    <x v="4"/>
    <n v="80.040000000000006"/>
    <m/>
    <n v="-80.040000000000006"/>
    <n v="494223.17999999953"/>
  </r>
  <r>
    <s v="11/05/2025"/>
    <x v="1"/>
    <x v="11"/>
    <s v="M&amp;T Operating"/>
    <m/>
    <s v="Payment"/>
    <s v="Macro Solutions, LLC"/>
    <s v="11005 Accounts Receivable"/>
    <x v="2"/>
    <x v="2"/>
    <m/>
    <n v="63306.5"/>
    <n v="63306.5"/>
    <n v="557529.67999999947"/>
  </r>
  <r>
    <s v="11/05/2025"/>
    <x v="1"/>
    <x v="11"/>
    <s v="Ramp Card"/>
    <m/>
    <s v="Expense"/>
    <s v="Marriott"/>
    <s v="61500 Classic - Sales:Classic - Sales - Travel"/>
    <x v="3"/>
    <x v="4"/>
    <n v="329.96"/>
    <m/>
    <n v="-329.96"/>
    <n v="557199.71999999951"/>
  </r>
  <r>
    <s v="11/05/2025"/>
    <x v="1"/>
    <x v="11"/>
    <s v="Ramp Card"/>
    <m/>
    <s v="Expense"/>
    <s v="Otter"/>
    <s v="69400 General &amp; Administrative:G&amp;A - Software Applications &amp; Licenses"/>
    <x v="3"/>
    <x v="10"/>
    <n v="31.8"/>
    <m/>
    <n v="-31.8"/>
    <n v="557167.91999999946"/>
  </r>
  <r>
    <s v="11/05/2025"/>
    <x v="1"/>
    <x v="11"/>
    <s v="M&amp;T Operating"/>
    <m/>
    <s v="Transfer"/>
    <m/>
    <s v="10010 M&amp;T Bank - IntraFi Network Sweep"/>
    <x v="0"/>
    <x v="0"/>
    <n v="77726.460000000006"/>
    <m/>
    <n v="-77726.460000000006"/>
    <n v="479441.45999999944"/>
  </r>
  <r>
    <s v="11/06/2025"/>
    <x v="1"/>
    <x v="11"/>
    <s v="Ramp Card"/>
    <m/>
    <s v="Expense"/>
    <s v="Anthropic"/>
    <s v="51400 Classic COGS - Delivery:Classic COGS - Delivery - Software Applications &amp; Licenses"/>
    <x v="3"/>
    <x v="10"/>
    <n v="21.2"/>
    <m/>
    <n v="-21.2"/>
    <n v="479420.25999999943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2.82"/>
    <m/>
    <n v="-32.82"/>
    <n v="479387.43999999942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1.09"/>
    <m/>
    <n v="-31.09"/>
    <n v="479356.34999999939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2.869999999999997"/>
    <m/>
    <n v="-32.869999999999997"/>
    <n v="479323.4799999994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1.6"/>
    <m/>
    <n v="-31.6"/>
    <n v="479291.87999999942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6.26"/>
    <m/>
    <n v="-36.26"/>
    <n v="479255.61999999941"/>
  </r>
  <r>
    <s v="11/06/2025"/>
    <x v="1"/>
    <x v="11"/>
    <s v="M&amp;T Operating"/>
    <m/>
    <s v="Bill Payment"/>
    <s v="Ashley MacArthur ashley@getboss.io USD"/>
    <s v="20005 Accounts Payable"/>
    <x v="3"/>
    <x v="8"/>
    <n v="990"/>
    <m/>
    <n v="-990"/>
    <n v="478265.61999999941"/>
  </r>
  <r>
    <s v="11/06/2025"/>
    <x v="1"/>
    <x v="11"/>
    <s v="M&amp;T Operating"/>
    <m/>
    <s v="Bill Payment"/>
    <s v="Ashley MacArthur ashley@getboss.io USD"/>
    <s v="20005 Accounts Payable"/>
    <x v="3"/>
    <x v="8"/>
    <n v="945"/>
    <m/>
    <n v="-945"/>
    <n v="477320.61999999941"/>
  </r>
  <r>
    <s v="11/06/2025"/>
    <x v="1"/>
    <x v="11"/>
    <s v="M&amp;T Operating"/>
    <m/>
    <s v="Bill Payment"/>
    <s v="Ashley MacArthur ashley@getboss.io USD"/>
    <s v="20005 Accounts Payable"/>
    <x v="3"/>
    <x v="8"/>
    <n v="1890"/>
    <m/>
    <n v="-1890"/>
    <n v="475430.61999999941"/>
  </r>
  <r>
    <s v="11/06/2025"/>
    <x v="1"/>
    <x v="11"/>
    <s v="M&amp;T Operating"/>
    <m/>
    <s v="Bill Payment"/>
    <s v="Bartosz Juriewicz bartosz.juriewicz@gmail.com USD"/>
    <s v="20005 Accounts Payable"/>
    <x v="4"/>
    <x v="7"/>
    <n v="16275"/>
    <m/>
    <n v="-16275"/>
    <n v="459155.61999999941"/>
  </r>
  <r>
    <s v="11/06/2025"/>
    <x v="1"/>
    <x v="11"/>
    <s v="M&amp;T Operating"/>
    <m/>
    <s v="Bill Payment"/>
    <s v="Bojan Cubela (bojan@synaptic.build)"/>
    <s v="20005 Accounts Payable"/>
    <x v="3"/>
    <x v="4"/>
    <n v="694.97"/>
    <m/>
    <n v="-694.97"/>
    <n v="458460.64999999944"/>
  </r>
  <r>
    <s v="11/06/2025"/>
    <x v="1"/>
    <x v="11"/>
    <s v="M&amp;T Operating"/>
    <m/>
    <s v="Bill Payment"/>
    <s v="Candy Marte Garcia candymartegarcia@gmail.com USD"/>
    <s v="20005 Accounts Payable"/>
    <x v="4"/>
    <x v="7"/>
    <n v="3015"/>
    <m/>
    <n v="-3015"/>
    <n v="455445.64999999944"/>
  </r>
  <r>
    <s v="11/06/2025"/>
    <x v="1"/>
    <x v="11"/>
    <s v="M&amp;T Operating"/>
    <m/>
    <s v="Bill Payment"/>
    <s v="Charles McGuinness charles@mcguinness.ai USD"/>
    <s v="20005 Accounts Payable"/>
    <x v="4"/>
    <x v="9"/>
    <n v="25000"/>
    <m/>
    <n v="-25000"/>
    <n v="430445.64999999944"/>
  </r>
  <r>
    <s v="11/06/2025"/>
    <x v="1"/>
    <x v="11"/>
    <s v="M&amp;T Operating"/>
    <m/>
    <s v="Bill Payment"/>
    <s v="Christopher Karpovich cjkarp20@gmail.com USD"/>
    <s v="20005 Accounts Payable"/>
    <x v="4"/>
    <x v="9"/>
    <n v="2000"/>
    <m/>
    <n v="-2000"/>
    <n v="428445.64999999944"/>
  </r>
  <r>
    <s v="11/06/2025"/>
    <x v="1"/>
    <x v="11"/>
    <s v="M&amp;T Operating"/>
    <m/>
    <s v="Bill Payment"/>
    <s v="David Wong david1wong1@gmail.com USD"/>
    <s v="20005 Accounts Payable"/>
    <x v="4"/>
    <x v="9"/>
    <n v="6350"/>
    <m/>
    <n v="-6350"/>
    <n v="422095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5"/>
    <m/>
    <n v="-5"/>
    <n v="422090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10"/>
    <m/>
    <n v="-10"/>
    <n v="422080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2031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982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933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884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835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786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737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688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639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590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541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492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443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394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345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296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247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198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149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100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051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002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953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904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855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806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757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708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659.64999999944"/>
  </r>
  <r>
    <s v="11/06/2025"/>
    <x v="1"/>
    <x v="11"/>
    <s v="M&amp;T Operating"/>
    <m/>
    <s v="Bill Payment"/>
    <s v="Focus Fractional LLC"/>
    <s v="20005 Accounts Payable"/>
    <x v="3"/>
    <x v="8"/>
    <n v="977.5"/>
    <m/>
    <n v="-977.5"/>
    <n v="419682.14999999944"/>
  </r>
  <r>
    <s v="11/06/2025"/>
    <x v="1"/>
    <x v="11"/>
    <s v="M&amp;T Operating"/>
    <m/>
    <s v="Bill Payment"/>
    <s v="Focus Fractional LLC"/>
    <s v="20005 Accounts Payable"/>
    <x v="3"/>
    <x v="8"/>
    <n v="20583.330000000002"/>
    <m/>
    <n v="-20583.330000000002"/>
    <n v="399098.81999999942"/>
  </r>
  <r>
    <s v="11/06/2025"/>
    <x v="1"/>
    <x v="11"/>
    <s v="M&amp;T Operating"/>
    <m/>
    <s v="Bill Payment"/>
    <s v="Herbert Donald Edwards don.edwards01@gmail.com USD"/>
    <s v="20005 Accounts Payable"/>
    <x v="4"/>
    <x v="7"/>
    <n v="8400"/>
    <m/>
    <n v="-8400"/>
    <n v="390698.81999999942"/>
  </r>
  <r>
    <s v="11/06/2025"/>
    <x v="1"/>
    <x v="11"/>
    <s v="M&amp;T Operating"/>
    <m/>
    <s v="Bill Payment"/>
    <s v="Joseph Mallek joe@nimblefire.com USD"/>
    <s v="20005 Accounts Payable"/>
    <x v="4"/>
    <x v="9"/>
    <n v="10000"/>
    <m/>
    <n v="-10000"/>
    <n v="380698.81999999942"/>
  </r>
  <r>
    <s v="11/06/2025"/>
    <x v="1"/>
    <x v="11"/>
    <s v="Ramp Card"/>
    <m/>
    <s v="Expense"/>
    <s v="LastPass"/>
    <s v="69400 General &amp; Administrative:G&amp;A - Software Applications &amp; Licenses"/>
    <x v="3"/>
    <x v="10"/>
    <n v="68.98"/>
    <m/>
    <n v="-68.98"/>
    <n v="380629.83999999944"/>
  </r>
  <r>
    <s v="11/06/2025"/>
    <x v="1"/>
    <x v="11"/>
    <s v="M&amp;T Operating"/>
    <m/>
    <s v="Bill Payment"/>
    <s v="Michael Hartman (michael@synaptic.build)"/>
    <s v="20005 Accounts Payable"/>
    <x v="3"/>
    <x v="4"/>
    <n v="30"/>
    <m/>
    <n v="-30"/>
    <n v="380599.83999999944"/>
  </r>
  <r>
    <s v="11/06/2025"/>
    <x v="1"/>
    <x v="11"/>
    <s v="M&amp;T Operating"/>
    <m/>
    <s v="Expense"/>
    <s v="Paylocity"/>
    <s v="69125 General &amp; Administrative:G&amp;A - Payroll Tax"/>
    <x v="1"/>
    <x v="3"/>
    <n v="4"/>
    <m/>
    <n v="-4"/>
    <n v="380595.83999999944"/>
  </r>
  <r>
    <s v="11/06/2025"/>
    <x v="1"/>
    <x v="11"/>
    <s v="M&amp;T Operating"/>
    <m/>
    <s v="Bill Payment"/>
    <s v="Pedro Rubio pedro@blackfyre.app USD"/>
    <s v="20005 Accounts Payable"/>
    <x v="4"/>
    <x v="9"/>
    <n v="199"/>
    <m/>
    <n v="-199"/>
    <n v="380396.83999999944"/>
  </r>
  <r>
    <s v="11/06/2025"/>
    <x v="1"/>
    <x v="11"/>
    <s v="Ramp Card"/>
    <m/>
    <s v="Expense"/>
    <s v="Perplexity AI"/>
    <s v="51400 Classic COGS - Delivery:Classic COGS - Delivery - Software Applications &amp; Licenses"/>
    <x v="3"/>
    <x v="10"/>
    <n v="21.2"/>
    <m/>
    <n v="-21.2"/>
    <n v="380375.63999999943"/>
  </r>
  <r>
    <s v="11/06/2025"/>
    <x v="1"/>
    <x v="11"/>
    <s v="M&amp;T Operating"/>
    <m/>
    <s v="Bill Payment"/>
    <s v="Prasanna Patel prasanna.patel@xtransmatrix.com USD"/>
    <s v="20005 Accounts Payable"/>
    <x v="4"/>
    <x v="9"/>
    <n v="7560"/>
    <m/>
    <n v="-7560"/>
    <n v="372815.63999999943"/>
  </r>
  <r>
    <s v="11/06/2025"/>
    <x v="1"/>
    <x v="11"/>
    <s v="M&amp;T Operating"/>
    <m/>
    <s v="Bill Payment"/>
    <s v="Prasanna Patel prasanna.patel@xtransmatrix.com USD"/>
    <s v="20005 Accounts Payable"/>
    <x v="4"/>
    <x v="9"/>
    <n v="4480"/>
    <m/>
    <n v="-4480"/>
    <n v="368335.63999999943"/>
  </r>
  <r>
    <s v="11/06/2025"/>
    <x v="1"/>
    <x v="11"/>
    <s v="M&amp;T Operating"/>
    <m/>
    <s v="Bill Payment"/>
    <s v="Resolute Creative Group, LLC"/>
    <s v="20005 Accounts Payable"/>
    <x v="4"/>
    <x v="7"/>
    <n v="62.5"/>
    <m/>
    <n v="-62.5"/>
    <n v="368273.13999999943"/>
  </r>
  <r>
    <s v="11/06/2025"/>
    <x v="1"/>
    <x v="11"/>
    <s v="M&amp;T Operating"/>
    <m/>
    <s v="Bill Payment"/>
    <s v="SALESFORCE CRM CONSULTING PTY LTD"/>
    <s v="20005 Accounts Payable"/>
    <x v="4"/>
    <x v="7"/>
    <n v="1185"/>
    <m/>
    <n v="-1185"/>
    <n v="367088.13999999943"/>
  </r>
  <r>
    <s v="11/06/2025"/>
    <x v="1"/>
    <x v="11"/>
    <s v="M&amp;T Operating"/>
    <m/>
    <s v="Bill Payment"/>
    <s v="SALESFORCE CRM CONSULTING PTY LTD"/>
    <s v="20005 Accounts Payable"/>
    <x v="4"/>
    <x v="7"/>
    <n v="4077"/>
    <m/>
    <n v="-4077"/>
    <n v="363011.13999999943"/>
  </r>
  <r>
    <s v="11/06/2025"/>
    <x v="1"/>
    <x v="11"/>
    <s v="M&amp;T Operating"/>
    <m/>
    <s v="Bill Payment"/>
    <s v="SALESFORCE CRM CONSULTING PTY LTD"/>
    <s v="20005 Accounts Payable"/>
    <x v="4"/>
    <x v="7"/>
    <n v="3253.5"/>
    <m/>
    <n v="-3253.5"/>
    <n v="359757.63999999943"/>
  </r>
  <r>
    <s v="11/06/2025"/>
    <x v="1"/>
    <x v="11"/>
    <s v="M&amp;T Operating"/>
    <m/>
    <s v="Bill Payment"/>
    <s v="SALESFORCE CRM CONSULTING PTY LTD"/>
    <s v="20005 Accounts Payable"/>
    <x v="4"/>
    <x v="7"/>
    <n v="36"/>
    <m/>
    <n v="-36"/>
    <n v="359721.63999999943"/>
  </r>
  <r>
    <s v="11/06/2025"/>
    <x v="1"/>
    <x v="11"/>
    <s v="M&amp;T Operating"/>
    <m/>
    <s v="Bill Payment"/>
    <s v="SALESFORCE CRM CONSULTING PTY LTD"/>
    <s v="20005 Accounts Payable"/>
    <x v="4"/>
    <x v="7"/>
    <n v="3920"/>
    <m/>
    <n v="-3920"/>
    <n v="355801.63999999943"/>
  </r>
  <r>
    <s v="11/06/2025"/>
    <x v="1"/>
    <x v="11"/>
    <s v="M&amp;T Operating"/>
    <m/>
    <s v="Bill Payment"/>
    <s v="SALESFORCE CRM CONSULTING PTY LTD"/>
    <s v="20005 Accounts Payable"/>
    <x v="4"/>
    <x v="7"/>
    <n v="1175"/>
    <m/>
    <n v="-1175"/>
    <n v="354626.63999999943"/>
  </r>
  <r>
    <s v="11/06/2025"/>
    <x v="1"/>
    <x v="11"/>
    <s v="M&amp;T Operating"/>
    <m/>
    <s v="Bill Payment"/>
    <s v="SALESFORCE CRM CONSULTING PTY LTD"/>
    <s v="20005 Accounts Payable"/>
    <x v="4"/>
    <x v="7"/>
    <n v="4864"/>
    <m/>
    <n v="-4864"/>
    <n v="349762.63999999943"/>
  </r>
  <r>
    <s v="11/06/2025"/>
    <x v="1"/>
    <x v="11"/>
    <s v="M&amp;T Operating"/>
    <m/>
    <s v="Bill Payment"/>
    <s v="SALESFORCE CRM CONSULTING PTY LTD"/>
    <s v="20005 Accounts Payable"/>
    <x v="4"/>
    <x v="7"/>
    <n v="2574"/>
    <m/>
    <n v="-2574"/>
    <n v="347188.63999999943"/>
  </r>
  <r>
    <s v="11/06/2025"/>
    <x v="1"/>
    <x v="11"/>
    <s v="M&amp;T Operating"/>
    <m/>
    <s v="Bill Payment"/>
    <s v="SALESFORCE CRM CONSULTING PTY LTD"/>
    <s v="20005 Accounts Payable"/>
    <x v="4"/>
    <x v="7"/>
    <n v="3220"/>
    <m/>
    <n v="-3220"/>
    <n v="343968.63999999943"/>
  </r>
  <r>
    <s v="11/06/2025"/>
    <x v="1"/>
    <x v="11"/>
    <s v="M&amp;T Operating"/>
    <m/>
    <s v="Bill Payment"/>
    <s v="SALESFORCE CRM CONSULTING PTY LTD"/>
    <s v="20005 Accounts Payable"/>
    <x v="4"/>
    <x v="7"/>
    <n v="1722"/>
    <m/>
    <n v="-1722"/>
    <n v="342246.63999999943"/>
  </r>
  <r>
    <s v="11/06/2025"/>
    <x v="1"/>
    <x v="11"/>
    <s v="M&amp;T Operating"/>
    <m/>
    <s v="Bill Payment"/>
    <s v="SALESFORCE CRM CONSULTING PTY LTD"/>
    <s v="20005 Accounts Payable"/>
    <x v="4"/>
    <x v="7"/>
    <n v="132"/>
    <m/>
    <n v="-132"/>
    <n v="342114.63999999943"/>
  </r>
  <r>
    <s v="11/06/2025"/>
    <x v="1"/>
    <x v="11"/>
    <s v="M&amp;T Operating"/>
    <m/>
    <s v="Bill Payment"/>
    <s v="SALESFORCE CRM CONSULTING PTY LTD"/>
    <s v="20005 Accounts Payable"/>
    <x v="4"/>
    <x v="7"/>
    <n v="5118.75"/>
    <m/>
    <n v="-5118.75"/>
    <n v="336995.88999999943"/>
  </r>
  <r>
    <s v="11/06/2025"/>
    <x v="1"/>
    <x v="11"/>
    <s v="M&amp;T Operating"/>
    <m/>
    <s v="Bill Payment"/>
    <s v="SALESFORCE CRM CONSULTING PTY LTD"/>
    <s v="20005 Accounts Payable"/>
    <x v="4"/>
    <x v="7"/>
    <n v="2450"/>
    <m/>
    <n v="-2450"/>
    <n v="334545.88999999943"/>
  </r>
  <r>
    <s v="11/06/2025"/>
    <x v="1"/>
    <x v="11"/>
    <s v="M&amp;T Operating"/>
    <m/>
    <s v="Bill Payment"/>
    <s v="Shazib Mahmood shazibm91@gmail.com USD"/>
    <s v="20005 Accounts Payable"/>
    <x v="4"/>
    <x v="7"/>
    <n v="18544"/>
    <m/>
    <n v="-18544"/>
    <n v="316001.88999999943"/>
  </r>
  <r>
    <s v="11/06/2025"/>
    <x v="1"/>
    <x v="11"/>
    <s v="M&amp;T Operating"/>
    <m/>
    <s v="Transfer"/>
    <m/>
    <s v="10010 M&amp;T Bank - IntraFi Network Sweep"/>
    <x v="0"/>
    <x v="0"/>
    <m/>
    <n v="728.97"/>
    <n v="728.97"/>
    <n v="316730.8599999994"/>
  </r>
  <r>
    <s v="11/07/2025"/>
    <x v="1"/>
    <x v="11"/>
    <s v="Ramp Card"/>
    <m/>
    <s v="Expense"/>
    <s v="Anthropic"/>
    <s v="69400 General &amp; Administrative:G&amp;A - Software Applications &amp; Licenses"/>
    <x v="3"/>
    <x v="10"/>
    <n v="31.88"/>
    <m/>
    <n v="-31.88"/>
    <n v="316698.9799999994"/>
  </r>
  <r>
    <s v="11/07/2025"/>
    <x v="1"/>
    <x v="11"/>
    <s v="Ramp Card"/>
    <m/>
    <s v="Expense"/>
    <s v="Anthropic"/>
    <s v="69400 General &amp; Administrative:G&amp;A - Software Applications &amp; Licenses"/>
    <x v="3"/>
    <x v="10"/>
    <n v="31.08"/>
    <m/>
    <n v="-31.08"/>
    <n v="316667.89999999938"/>
  </r>
  <r>
    <s v="11/07/2025"/>
    <x v="1"/>
    <x v="11"/>
    <s v="Ramp Card"/>
    <m/>
    <s v="Expense"/>
    <s v="Anthropic"/>
    <s v="69400 General &amp; Administrative:G&amp;A - Software Applications &amp; Licenses"/>
    <x v="3"/>
    <x v="10"/>
    <n v="31.08"/>
    <m/>
    <n v="-31.08"/>
    <n v="316636.81999999937"/>
  </r>
  <r>
    <s v="11/07/2025"/>
    <x v="1"/>
    <x v="11"/>
    <s v="Ramp Card"/>
    <m/>
    <s v="Expense"/>
    <s v="Cursor"/>
    <s v="66400 AppIQ - Research &amp; Development:AppIQ - R&amp;D - Software Applications &amp; Licenses"/>
    <x v="3"/>
    <x v="10"/>
    <n v="21.78"/>
    <m/>
    <n v="-21.78"/>
    <n v="316615.03999999934"/>
  </r>
  <r>
    <s v="11/07/2025"/>
    <x v="1"/>
    <x v="11"/>
    <s v="Ramp Card"/>
    <m/>
    <s v="CC-Credit"/>
    <s v="Diamondback Brewing Company"/>
    <s v="69505 General &amp; Administrative:G&amp;A - Meals &amp; Entertainment"/>
    <x v="3"/>
    <x v="4"/>
    <m/>
    <n v="0.17"/>
    <n v="0.17"/>
    <n v="316615.20999999932"/>
  </r>
  <r>
    <s v="11/07/2025"/>
    <x v="1"/>
    <x v="11"/>
    <s v="M&amp;T Operating"/>
    <m/>
    <s v="Deposit"/>
    <s v="Dominick Defazio"/>
    <s v="66500 AppIQ - Research &amp; Development:AppIQ - R&amp;D - Travel"/>
    <x v="3"/>
    <x v="4"/>
    <m/>
    <n v="76.709999999999994"/>
    <n v="76.709999999999994"/>
    <n v="316691.91999999934"/>
  </r>
  <r>
    <s v="11/07/2025"/>
    <x v="1"/>
    <x v="11"/>
    <s v="M&amp;T Operating"/>
    <m/>
    <s v="Payment"/>
    <s v="Federation of State Massage Therapy Boards (FSMTB):FSMTB - Advisory"/>
    <s v="11005 Accounts Receivable"/>
    <x v="2"/>
    <x v="2"/>
    <m/>
    <n v="17500"/>
    <n v="17500"/>
    <n v="334191.91999999934"/>
  </r>
  <r>
    <s v="11/07/2025"/>
    <x v="1"/>
    <x v="11"/>
    <s v="M&amp;T Operating"/>
    <m/>
    <s v="Payment"/>
    <s v="Federation of State Massage Therapy Boards (FSMTB):FSMTB - Managed Services"/>
    <s v="11005 Accounts Receivable"/>
    <x v="2"/>
    <x v="2"/>
    <m/>
    <n v="10000"/>
    <n v="10000"/>
    <n v="344191.91999999934"/>
  </r>
  <r>
    <s v="11/07/2025"/>
    <x v="1"/>
    <x v="11"/>
    <s v="M&amp;T Operating"/>
    <m/>
    <s v="Payment"/>
    <s v="Federation of State Massage Therapy Boards (FSMTB):FSMTB - Managed Services"/>
    <s v="11005 Accounts Receivable"/>
    <x v="2"/>
    <x v="2"/>
    <m/>
    <n v="10000"/>
    <n v="10000"/>
    <n v="354191.91999999934"/>
  </r>
  <r>
    <s v="11/07/2025"/>
    <x v="1"/>
    <x v="11"/>
    <s v="Ramp Card"/>
    <m/>
    <s v="CC-Credit"/>
    <s v="Google Cloud"/>
    <s v="57015 Hosting Costs:Hosting Server and Cloud Storage Fees"/>
    <x v="4"/>
    <x v="19"/>
    <m/>
    <n v="9"/>
    <n v="9"/>
    <n v="354200.91999999934"/>
  </r>
  <r>
    <s v="11/07/2025"/>
    <x v="1"/>
    <x v="11"/>
    <s v="Ramp Card"/>
    <m/>
    <s v="CC-Credit"/>
    <s v="Google Cloud"/>
    <s v="57015 Hosting Costs:Hosting Server and Cloud Storage Fees"/>
    <x v="4"/>
    <x v="19"/>
    <m/>
    <n v="4.5"/>
    <n v="4.5"/>
    <n v="354205.41999999934"/>
  </r>
  <r>
    <s v="11/07/2025"/>
    <x v="1"/>
    <x v="11"/>
    <s v="Ramp Card"/>
    <m/>
    <s v="Expense"/>
    <s v="OpenAI"/>
    <s v="51400 Classic COGS - Delivery:Classic COGS - Delivery - Software Applications &amp; Licenses"/>
    <x v="3"/>
    <x v="10"/>
    <n v="20"/>
    <m/>
    <n v="-20"/>
    <n v="354185.41999999934"/>
  </r>
  <r>
    <s v="11/07/2025"/>
    <x v="1"/>
    <x v="11"/>
    <s v="Ramp Card"/>
    <m/>
    <s v="Expense"/>
    <s v="Replika"/>
    <s v="69400 General &amp; Administrative:G&amp;A - Software Applications &amp; Licenses"/>
    <x v="3"/>
    <x v="10"/>
    <n v="9.9"/>
    <m/>
    <n v="-9.9"/>
    <n v="354175.51999999932"/>
  </r>
  <r>
    <s v="11/07/2025"/>
    <x v="1"/>
    <x v="11"/>
    <s v="M&amp;T Operating"/>
    <m/>
    <s v="Transfer"/>
    <m/>
    <s v="10010 M&amp;T Bank - IntraFi Network Sweep"/>
    <x v="0"/>
    <x v="0"/>
    <m/>
    <n v="124857.87"/>
    <n v="124857.87"/>
    <n v="479033.38999999932"/>
  </r>
  <r>
    <s v="11/08/2025"/>
    <x v="1"/>
    <x v="11"/>
    <s v="Ramp Card"/>
    <m/>
    <s v="Expense"/>
    <s v="Anthropic"/>
    <s v="51400 Classic COGS - Delivery:Classic COGS - Delivery - Software Applications &amp; Licenses"/>
    <x v="3"/>
    <x v="10"/>
    <n v="86.23"/>
    <m/>
    <n v="-86.23"/>
    <n v="478947.15999999933"/>
  </r>
  <r>
    <s v="11/08/2025"/>
    <x v="1"/>
    <x v="11"/>
    <s v="Ramp Card"/>
    <m/>
    <s v="Expense"/>
    <s v="Doordash"/>
    <s v="69505 General &amp; Administrative:G&amp;A - Meals &amp; Entertainment"/>
    <x v="3"/>
    <x v="4"/>
    <n v="27.5"/>
    <m/>
    <n v="-27.5"/>
    <n v="478919.65999999933"/>
  </r>
  <r>
    <s v="11/08/2025"/>
    <x v="1"/>
    <x v="11"/>
    <s v="Ramp Card"/>
    <m/>
    <s v="Expense"/>
    <s v="Fax.Plus"/>
    <s v="69400 General &amp; Administrative:G&amp;A - Software Applications &amp; Licenses"/>
    <x v="3"/>
    <x v="4"/>
    <n v="8.99"/>
    <m/>
    <n v="-8.99"/>
    <n v="478910.66999999934"/>
  </r>
  <r>
    <s v="11/08/2025"/>
    <x v="1"/>
    <x v="11"/>
    <s v="Ramp Card"/>
    <m/>
    <s v="Expense"/>
    <s v="LinkedIn"/>
    <s v="69400 General &amp; Administrative:G&amp;A - Software Applications &amp; Licenses"/>
    <x v="3"/>
    <x v="10"/>
    <n v="63.59"/>
    <m/>
    <n v="-63.59"/>
    <n v="478847.07999999932"/>
  </r>
  <r>
    <s v="11/08/2025"/>
    <x v="1"/>
    <x v="11"/>
    <s v="Ramp Card"/>
    <m/>
    <s v="Expense"/>
    <s v="OpenAI"/>
    <s v="69400 General &amp; Administrative:G&amp;A - Software Applications &amp; Licenses"/>
    <x v="3"/>
    <x v="10"/>
    <n v="51.5"/>
    <m/>
    <n v="-51.5"/>
    <n v="478795.57999999932"/>
  </r>
  <r>
    <s v="11/08/2025"/>
    <x v="1"/>
    <x v="11"/>
    <s v="Ramp Card"/>
    <m/>
    <s v="Expense"/>
    <s v="OpenAI"/>
    <s v="69400 General &amp; Administrative:G&amp;A - Software Applications &amp; Licenses"/>
    <x v="3"/>
    <x v="10"/>
    <n v="51.86"/>
    <m/>
    <n v="-51.86"/>
    <n v="478743.71999999933"/>
  </r>
  <r>
    <s v="11/08/2025"/>
    <x v="1"/>
    <x v="11"/>
    <s v="Ramp Card"/>
    <m/>
    <s v="Expense"/>
    <s v="OpenAI"/>
    <s v="69400 General &amp; Administrative:G&amp;A - Software Applications &amp; Licenses"/>
    <x v="3"/>
    <x v="10"/>
    <n v="51.5"/>
    <m/>
    <n v="-51.5"/>
    <n v="478692.21999999933"/>
  </r>
  <r>
    <s v="11/09/2025"/>
    <x v="1"/>
    <x v="11"/>
    <s v="Ramp Card"/>
    <m/>
    <s v="Expense"/>
    <s v="Firecrawl"/>
    <s v="58005 Direct Third Party Costs:Direct Third Party Software License Fees"/>
    <x v="4"/>
    <x v="19"/>
    <n v="99"/>
    <m/>
    <n v="-99"/>
    <n v="478593.21999999933"/>
  </r>
  <r>
    <s v="11/09/2025"/>
    <x v="1"/>
    <x v="11"/>
    <s v="Ramp Card"/>
    <m/>
    <s v="Expense"/>
    <s v="Loom"/>
    <s v="64400 AppIQ - Sales:AppIQ - Sales - Software Applications &amp; Licenses"/>
    <x v="3"/>
    <x v="10"/>
    <n v="24"/>
    <m/>
    <n v="-24"/>
    <n v="478569.21999999933"/>
  </r>
  <r>
    <s v="11/09/2025"/>
    <x v="1"/>
    <x v="11"/>
    <s v="Ramp Card"/>
    <m/>
    <s v="Expense"/>
    <s v="Tessell"/>
    <s v="69400 General &amp; Administrative:G&amp;A - Software Applications &amp; Licenses"/>
    <x v="3"/>
    <x v="10"/>
    <n v="180"/>
    <m/>
    <n v="-180"/>
    <n v="478389.21999999933"/>
  </r>
  <r>
    <s v="11/10/2025"/>
    <x v="1"/>
    <x v="11"/>
    <s v="Ramp Card"/>
    <m/>
    <s v="Expense"/>
    <s v="Colpark Loc 916"/>
    <s v="69500 General &amp; Administrative:G&amp;A - Travel"/>
    <x v="3"/>
    <x v="4"/>
    <n v="16"/>
    <m/>
    <n v="-16"/>
    <n v="478373.21999999933"/>
  </r>
  <r>
    <s v="11/10/2025"/>
    <x v="1"/>
    <x v="11"/>
    <s v="M&amp;T Operating"/>
    <m/>
    <s v="Expense"/>
    <s v="Further FKA SelctAccount"/>
    <s v="22330 Accrued Expenses:Accrued Expenses - Further Clearing"/>
    <x v="1"/>
    <x v="1"/>
    <n v="1000"/>
    <m/>
    <n v="-1000"/>
    <n v="477373.21999999933"/>
  </r>
  <r>
    <s v="11/10/2025"/>
    <x v="1"/>
    <x v="11"/>
    <s v="M&amp;T Operating"/>
    <m/>
    <s v="Expense"/>
    <s v="M&amp;T Bank"/>
    <s v="69805 General &amp; Administrative:G&amp;A - Bank Fees"/>
    <x v="0"/>
    <x v="6"/>
    <n v="311.16000000000003"/>
    <m/>
    <n v="-311.16000000000003"/>
    <n v="477062.05999999936"/>
  </r>
  <r>
    <s v="11/10/2025"/>
    <x v="1"/>
    <x v="11"/>
    <s v="Ramp Card"/>
    <m/>
    <s v="Expense"/>
    <s v="OpenAI"/>
    <s v="69400 General &amp; Administrative:G&amp;A - Software Applications &amp; Licenses"/>
    <x v="3"/>
    <x v="10"/>
    <n v="212"/>
    <m/>
    <n v="-212"/>
    <n v="476850.05999999936"/>
  </r>
  <r>
    <s v="11/10/2025"/>
    <x v="1"/>
    <x v="11"/>
    <s v="M&amp;T Operating"/>
    <m/>
    <s v="Transfer"/>
    <m/>
    <s v="10010 M&amp;T Bank - IntraFi Network Sweep"/>
    <x v="0"/>
    <x v="0"/>
    <m/>
    <n v="1311.16"/>
    <n v="1311.16"/>
    <n v="478161.21999999933"/>
  </r>
  <r>
    <s v="11/11/2025"/>
    <x v="1"/>
    <x v="11"/>
    <s v="Ramp Card"/>
    <m/>
    <s v="Expense"/>
    <s v="Abacus"/>
    <s v="69400 General &amp; Administrative:G&amp;A - Software Applications &amp; Licenses"/>
    <x v="3"/>
    <x v="10"/>
    <n v="10"/>
    <m/>
    <n v="-10"/>
    <n v="478151.21999999933"/>
  </r>
  <r>
    <s v="11/11/2025"/>
    <x v="1"/>
    <x v="11"/>
    <s v="Ramp Card"/>
    <m/>
    <s v="Expense"/>
    <s v="Dolan Uyghur Restaurant"/>
    <s v="69505 General &amp; Administrative:G&amp;A - Meals &amp; Entertainment"/>
    <x v="3"/>
    <x v="4"/>
    <n v="95.67"/>
    <m/>
    <n v="-95.67"/>
    <n v="478055.54999999935"/>
  </r>
  <r>
    <s v="11/11/2025"/>
    <x v="1"/>
    <x v="11"/>
    <s v="Ramp Card"/>
    <m/>
    <s v="Expense"/>
    <s v="OpenAI"/>
    <s v="51400 Classic COGS - Delivery:Classic COGS - Delivery - Software Applications &amp; Licenses"/>
    <x v="3"/>
    <x v="10"/>
    <n v="21.2"/>
    <m/>
    <n v="-21.2"/>
    <n v="478034.34999999934"/>
  </r>
  <r>
    <s v="11/11/2025"/>
    <x v="1"/>
    <x v="11"/>
    <s v="Ramp Card"/>
    <m/>
    <s v="Expense"/>
    <s v="Salesforce"/>
    <s v="69400 General &amp; Administrative:G&amp;A - Software Applications &amp; Licenses"/>
    <x v="3"/>
    <x v="10"/>
    <n v="999"/>
    <m/>
    <n v="-999"/>
    <n v="477035.34999999934"/>
  </r>
  <r>
    <s v="11/11/2025"/>
    <x v="1"/>
    <x v="11"/>
    <s v="Ramp Card"/>
    <m/>
    <s v="Expense"/>
    <s v="Tessell"/>
    <s v="66400 AppIQ - Research &amp; Development:AppIQ - R&amp;D - Software Applications &amp; Licenses"/>
    <x v="3"/>
    <x v="10"/>
    <n v="180"/>
    <m/>
    <n v="-180"/>
    <n v="476855.34999999934"/>
  </r>
  <r>
    <s v="11/12/2025"/>
    <x v="1"/>
    <x v="11"/>
    <s v="Ramp Card"/>
    <m/>
    <s v="Expense"/>
    <s v="American Airlines"/>
    <s v="64500 AppIQ - Sales:AppIQ - Sales - Travel"/>
    <x v="3"/>
    <x v="4"/>
    <n v="20"/>
    <m/>
    <n v="-20"/>
    <n v="476835.34999999934"/>
  </r>
  <r>
    <s v="11/12/2025"/>
    <x v="1"/>
    <x v="11"/>
    <s v="M&amp;T Operating"/>
    <m/>
    <s v="Deposit"/>
    <s v="American Benefit Cobra"/>
    <s v="22325 Accrued Expenses:Accrued Expenses - COBRA Clearing"/>
    <x v="1"/>
    <x v="1"/>
    <m/>
    <n v="476.36"/>
    <n v="476.36"/>
    <n v="477311.70999999932"/>
  </r>
  <r>
    <s v="11/12/2025"/>
    <x v="1"/>
    <x v="11"/>
    <s v="Ramp Card"/>
    <m/>
    <s v="Expense"/>
    <s v="Anthropic"/>
    <s v="69400 General &amp; Administrative:G&amp;A - Software Applications &amp; Licenses"/>
    <x v="3"/>
    <x v="10"/>
    <n v="41.42"/>
    <m/>
    <n v="-41.42"/>
    <n v="477270.28999999934"/>
  </r>
  <r>
    <s v="11/12/2025"/>
    <x v="1"/>
    <x v="11"/>
    <s v="Ramp Card"/>
    <m/>
    <s v="Expense"/>
    <s v="Anthropic"/>
    <s v="69400 General &amp; Administrative:G&amp;A - Software Applications &amp; Licenses"/>
    <x v="3"/>
    <x v="10"/>
    <n v="31.01"/>
    <m/>
    <n v="-31.01"/>
    <n v="477239.27999999933"/>
  </r>
  <r>
    <s v="11/12/2025"/>
    <x v="1"/>
    <x v="11"/>
    <s v="Ramp Card"/>
    <m/>
    <s v="Expense"/>
    <s v="Anthropic"/>
    <s v="69400 General &amp; Administrative:G&amp;A - Software Applications &amp; Licenses"/>
    <x v="3"/>
    <x v="10"/>
    <n v="31.35"/>
    <m/>
    <n v="-31.35"/>
    <n v="477207.92999999935"/>
  </r>
  <r>
    <s v="11/12/2025"/>
    <x v="1"/>
    <x v="11"/>
    <s v="Ramp Card"/>
    <m/>
    <s v="Expense"/>
    <s v="Atlassian"/>
    <s v="69400 General &amp; Administrative:G&amp;A - Software Applications &amp; Licenses"/>
    <x v="3"/>
    <x v="10"/>
    <n v="1355.83"/>
    <m/>
    <n v="-1355.83"/>
    <n v="475852.09999999934"/>
  </r>
  <r>
    <s v="11/12/2025"/>
    <x v="1"/>
    <x v="11"/>
    <s v="Ramp Card"/>
    <m/>
    <s v="Expense"/>
    <s v="Cookiebot"/>
    <s v="69400 General &amp; Administrative:G&amp;A - Software Applications &amp; Licenses"/>
    <x v="3"/>
    <x v="10"/>
    <n v="34"/>
    <m/>
    <n v="-34"/>
    <n v="475818.09999999934"/>
  </r>
  <r>
    <s v="11/12/2025"/>
    <x v="1"/>
    <x v="11"/>
    <s v="Ramp Card"/>
    <m/>
    <s v="Expense"/>
    <s v="GoDaddy"/>
    <s v="69400 General &amp; Administrative:G&amp;A - Software Applications &amp; Licenses"/>
    <x v="3"/>
    <x v="10"/>
    <n v="12.56"/>
    <m/>
    <n v="-12.56"/>
    <n v="475805.53999999934"/>
  </r>
  <r>
    <s v="11/12/2025"/>
    <x v="1"/>
    <x v="11"/>
    <s v="Ramp Card"/>
    <m/>
    <s v="Expense"/>
    <s v="Mitchell Market"/>
    <s v="64505 AppIQ - Sales:AppIQ - Sales - Meals &amp; Entertainment"/>
    <x v="3"/>
    <x v="4"/>
    <n v="17.96"/>
    <m/>
    <n v="-17.96"/>
    <n v="475787.57999999932"/>
  </r>
  <r>
    <s v="11/12/2025"/>
    <x v="1"/>
    <x v="11"/>
    <s v="Ramp Card"/>
    <m/>
    <s v="Expense"/>
    <s v="OpenAI"/>
    <s v="61400 Classic - Sales:Classic - Sales - Software Applications &amp; Licenses"/>
    <x v="3"/>
    <x v="10"/>
    <n v="20"/>
    <m/>
    <n v="-20"/>
    <n v="475767.57999999932"/>
  </r>
  <r>
    <s v="11/12/2025"/>
    <x v="1"/>
    <x v="11"/>
    <s v="Ramp Card"/>
    <m/>
    <s v="Expense"/>
    <s v="Staples"/>
    <s v="61410 Classic - Sales:Classic - Sales - Office &amp; Supplies"/>
    <x v="3"/>
    <x v="15"/>
    <n v="73.709999999999994"/>
    <m/>
    <n v="-73.709999999999994"/>
    <n v="475693.8699999993"/>
  </r>
  <r>
    <s v="11/12/2025"/>
    <x v="1"/>
    <x v="11"/>
    <s v="Ramp Card"/>
    <m/>
    <s v="Expense"/>
    <s v="Uber"/>
    <s v="64500 AppIQ - Sales:AppIQ - Sales - Travel"/>
    <x v="3"/>
    <x v="4"/>
    <n v="43.99"/>
    <m/>
    <n v="-43.99"/>
    <n v="475649.87999999931"/>
  </r>
  <r>
    <s v="11/12/2025"/>
    <x v="1"/>
    <x v="11"/>
    <s v="M&amp;T Operating"/>
    <m/>
    <s v="Deposit"/>
    <s v="Verizon"/>
    <s v="69405 General &amp; Administrative:G&amp;A - Telecom, Internet &amp; Hardware"/>
    <x v="3"/>
    <x v="10"/>
    <m/>
    <n v="114.88"/>
    <n v="114.88"/>
    <n v="475764.75999999931"/>
  </r>
  <r>
    <s v="11/12/2025"/>
    <x v="1"/>
    <x v="11"/>
    <s v="Ramp Card"/>
    <m/>
    <s v="Expense"/>
    <s v="Vidyard"/>
    <s v="65400 AppIQ - Marketing:AppIQ - Marketing - Software Applications &amp; Licenses"/>
    <x v="3"/>
    <x v="10"/>
    <n v="29"/>
    <m/>
    <n v="-29"/>
    <n v="475735.75999999931"/>
  </r>
  <r>
    <s v="11/12/2025"/>
    <x v="1"/>
    <x v="11"/>
    <s v="M&amp;T Operating"/>
    <m/>
    <s v="Transfer"/>
    <m/>
    <s v="10010 M&amp;T Bank - IntraFi Network Sweep"/>
    <x v="0"/>
    <x v="0"/>
    <n v="591.24"/>
    <m/>
    <n v="-591.24"/>
    <n v="475144.51999999932"/>
  </r>
  <r>
    <s v="11/13/2025"/>
    <x v="1"/>
    <x v="11"/>
    <s v="Ramp Card"/>
    <m/>
    <s v="Expense"/>
    <s v="Anthropic"/>
    <s v="69400 General &amp; Administrative:G&amp;A - Software Applications &amp; Licenses"/>
    <x v="3"/>
    <x v="10"/>
    <n v="31.66"/>
    <m/>
    <n v="-31.66"/>
    <n v="475112.85999999935"/>
  </r>
  <r>
    <s v="11/13/2025"/>
    <x v="1"/>
    <x v="11"/>
    <s v="Ramp Card"/>
    <m/>
    <s v="Expense"/>
    <s v="Anthropic"/>
    <s v="69400 General &amp; Administrative:G&amp;A - Software Applications &amp; Licenses"/>
    <x v="3"/>
    <x v="10"/>
    <n v="33.81"/>
    <m/>
    <n v="-33.81"/>
    <n v="475079.04999999935"/>
  </r>
  <r>
    <s v="11/13/2025"/>
    <x v="1"/>
    <x v="11"/>
    <s v="M&amp;T Operating"/>
    <m/>
    <s v="Payment"/>
    <s v="Curonix LLC:Curonix Managed Services"/>
    <s v="11005 Accounts Receivable"/>
    <x v="2"/>
    <x v="2"/>
    <m/>
    <n v="1930"/>
    <n v="1930"/>
    <n v="477009.04999999935"/>
  </r>
  <r>
    <s v="11/13/2025"/>
    <x v="1"/>
    <x v="11"/>
    <s v="M&amp;T Operating"/>
    <m/>
    <s v="Payment"/>
    <s v="Federation of State Massage Therapy Boards (FSMTB):Federation of State Massage Therapy Boards (FSMTB) - Scope A"/>
    <s v="11005 Accounts Receivable"/>
    <x v="2"/>
    <x v="2"/>
    <m/>
    <n v="103535"/>
    <n v="103535"/>
    <n v="580544.04999999935"/>
  </r>
  <r>
    <s v="11/13/2025"/>
    <x v="1"/>
    <x v="11"/>
    <s v="M&amp;T Operating"/>
    <m/>
    <s v="Payment"/>
    <s v="Federation of State Massage Therapy Boards (FSMTB):Federation of State Massage Therapy Boards (FSMTB) - Scope B"/>
    <s v="11005 Accounts Receivable"/>
    <x v="2"/>
    <x v="2"/>
    <m/>
    <n v="29000"/>
    <n v="29000"/>
    <n v="609544.04999999935"/>
  </r>
  <r>
    <s v="11/13/2025"/>
    <x v="1"/>
    <x v="11"/>
    <s v="Ramp Card"/>
    <m/>
    <s v="Expense"/>
    <s v="Giftshopminneapolismarrio"/>
    <s v="64505 AppIQ - Sales:AppIQ - Sales - Meals &amp; Entertainment"/>
    <x v="3"/>
    <x v="4"/>
    <n v="11.24"/>
    <m/>
    <n v="-11.24"/>
    <n v="609532.80999999936"/>
  </r>
  <r>
    <s v="11/13/2025"/>
    <x v="1"/>
    <x v="11"/>
    <s v="Ramp Card"/>
    <m/>
    <s v="Expense"/>
    <s v="Mike's At Venetia"/>
    <s v="64505 AppIQ - Sales:AppIQ - Sales - Meals &amp; Entertainment"/>
    <x v="3"/>
    <x v="4"/>
    <n v="93.18"/>
    <m/>
    <n v="-93.18"/>
    <n v="609439.62999999931"/>
  </r>
  <r>
    <s v="11/13/2025"/>
    <x v="1"/>
    <x v="11"/>
    <s v="M&amp;T Operating"/>
    <m/>
    <s v="Expense"/>
    <s v="Paylocity"/>
    <s v="22205 Accrued Expenses:Accrued Expenses - Payroll"/>
    <x v="1"/>
    <x v="12"/>
    <n v="72668.289999999994"/>
    <m/>
    <n v="-72668.289999999994"/>
    <n v="536771.33999999927"/>
  </r>
  <r>
    <s v="11/13/2025"/>
    <x v="1"/>
    <x v="11"/>
    <s v="M&amp;T Operating"/>
    <m/>
    <s v="Expense"/>
    <s v="Paylocity"/>
    <s v="22205 Accrued Expenses:Accrued Expenses - Payroll"/>
    <x v="1"/>
    <x v="1"/>
    <n v="1162.5"/>
    <m/>
    <n v="-1162.5"/>
    <n v="535608.83999999927"/>
  </r>
  <r>
    <s v="11/13/2025"/>
    <x v="1"/>
    <x v="11"/>
    <s v="M&amp;T Operating"/>
    <m/>
    <s v="Expense"/>
    <s v="Paylocity"/>
    <s v="22205 Accrued Expenses:Accrued Expenses - Payroll"/>
    <x v="1"/>
    <x v="11"/>
    <n v="33429.57"/>
    <m/>
    <n v="-33429.57"/>
    <n v="502179.26999999926"/>
  </r>
  <r>
    <s v="11/13/2025"/>
    <x v="1"/>
    <x v="11"/>
    <s v="Ramp Card"/>
    <m/>
    <s v="Expense"/>
    <s v="Rescuetime"/>
    <s v="69400 General &amp; Administrative:G&amp;A - Software Applications &amp; Licenses"/>
    <x v="3"/>
    <x v="10"/>
    <n v="18"/>
    <m/>
    <n v="-18"/>
    <n v="502161.26999999926"/>
  </r>
  <r>
    <s v="11/13/2025"/>
    <x v="1"/>
    <x v="11"/>
    <s v="Ramp Card"/>
    <m/>
    <s v="Expense"/>
    <s v="Starbucks"/>
    <s v="64505 AppIQ - Sales:AppIQ - Sales - Meals &amp; Entertainment"/>
    <x v="3"/>
    <x v="4"/>
    <n v="10.62"/>
    <m/>
    <n v="-10.62"/>
    <n v="502150.64999999927"/>
  </r>
  <r>
    <s v="11/13/2025"/>
    <x v="1"/>
    <x v="11"/>
    <s v="Ramp Card"/>
    <m/>
    <s v="Expense"/>
    <s v="Tanka"/>
    <s v="64505 AppIQ - Sales:AppIQ - Sales - Meals &amp; Entertainment"/>
    <x v="3"/>
    <x v="4"/>
    <n v="106.58"/>
    <m/>
    <n v="-106.58"/>
    <n v="502044.06999999925"/>
  </r>
  <r>
    <s v="11/13/2025"/>
    <x v="1"/>
    <x v="11"/>
    <s v="M&amp;T Operating"/>
    <m/>
    <s v="Transfer"/>
    <m/>
    <s v="10010 M&amp;T Bank - IntraFi Network Sweep"/>
    <x v="0"/>
    <x v="0"/>
    <n v="27204.639999999999"/>
    <m/>
    <n v="-27204.639999999999"/>
    <n v="474839.42999999924"/>
  </r>
  <r>
    <s v="11/14/2025"/>
    <x v="1"/>
    <x v="11"/>
    <s v="M&amp;T Operating"/>
    <m/>
    <s v="Bill Payment"/>
    <s v="Josh Smith (josh@synaptic.build)"/>
    <s v="20005 Accounts Payable"/>
    <x v="3"/>
    <x v="4"/>
    <n v="60"/>
    <m/>
    <n v="-60"/>
    <n v="474779.42999999924"/>
  </r>
  <r>
    <s v="11/14/2025"/>
    <x v="1"/>
    <x v="11"/>
    <s v="M&amp;T Operating"/>
    <m/>
    <s v="Bill Payment"/>
    <s v="Kashish Shah (kash@synaptic.build)"/>
    <s v="20005 Accounts Payable"/>
    <x v="3"/>
    <x v="4"/>
    <n v="510"/>
    <m/>
    <n v="-510"/>
    <n v="474269.42999999924"/>
  </r>
  <r>
    <s v="11/14/2025"/>
    <x v="1"/>
    <x v="11"/>
    <s v="Ramp Card"/>
    <m/>
    <s v="Expense"/>
    <s v="La Carreta"/>
    <s v="64505 AppIQ - Sales:AppIQ - Sales - Meals &amp; Entertainment"/>
    <x v="3"/>
    <x v="4"/>
    <n v="22.39"/>
    <m/>
    <n v="-22.39"/>
    <n v="474247.03999999922"/>
  </r>
  <r>
    <s v="11/14/2025"/>
    <x v="1"/>
    <x v="11"/>
    <s v="Ramp Card"/>
    <m/>
    <s v="Expense"/>
    <s v="Marriott"/>
    <s v="61500 Classic - Sales:Classic - Sales - Travel"/>
    <x v="3"/>
    <x v="4"/>
    <n v="51.68"/>
    <m/>
    <n v="-51.68"/>
    <n v="474195.35999999923"/>
  </r>
  <r>
    <s v="11/14/2025"/>
    <x v="1"/>
    <x v="11"/>
    <s v="Ramp Card"/>
    <m/>
    <s v="Expense"/>
    <s v="Miami news"/>
    <s v="64505 AppIQ - Sales:AppIQ - Sales - Meals &amp; Entertainment"/>
    <x v="3"/>
    <x v="4"/>
    <n v="6.94"/>
    <m/>
    <n v="-6.94"/>
    <n v="474188.41999999923"/>
  </r>
  <r>
    <s v="11/14/2025"/>
    <x v="1"/>
    <x v="11"/>
    <s v="Ramp Card"/>
    <m/>
    <s v="Expense"/>
    <s v="Mike's At Venetia"/>
    <s v="64505 AppIQ - Sales:AppIQ - Sales - Meals &amp; Entertainment"/>
    <x v="3"/>
    <x v="4"/>
    <n v="30.14"/>
    <m/>
    <n v="-30.14"/>
    <n v="474158.27999999921"/>
  </r>
  <r>
    <s v="11/14/2025"/>
    <x v="1"/>
    <x v="11"/>
    <s v="Ramp Card"/>
    <m/>
    <s v="Expense"/>
    <s v="Mke Smartpark"/>
    <s v="64500 AppIQ - Sales:AppIQ - Sales - Travel"/>
    <x v="3"/>
    <x v="4"/>
    <n v="44"/>
    <m/>
    <n v="-44"/>
    <n v="474114.27999999921"/>
  </r>
  <r>
    <s v="11/14/2025"/>
    <x v="1"/>
    <x v="11"/>
    <s v="M&amp;T Operating"/>
    <m/>
    <s v="Deposit"/>
    <s v="National Rural Health Resource Center:NRHRC Managed Services August 2025- July 2026"/>
    <s v="14005 Undeposited Funds"/>
    <x v="2"/>
    <x v="2"/>
    <m/>
    <n v="14500"/>
    <n v="14500"/>
    <n v="488614.27999999921"/>
  </r>
  <r>
    <s v="11/14/2025"/>
    <x v="1"/>
    <x v="11"/>
    <s v="Ramp Card"/>
    <m/>
    <s v="Expense"/>
    <s v="Perplexity AI"/>
    <s v="69400 General &amp; Administrative:G&amp;A - Software Applications &amp; Licenses"/>
    <x v="3"/>
    <x v="10"/>
    <n v="212"/>
    <m/>
    <n v="-212"/>
    <n v="488402.27999999921"/>
  </r>
  <r>
    <s v="11/14/2025"/>
    <x v="1"/>
    <x v="11"/>
    <s v="Ramp Card"/>
    <m/>
    <s v="Expense"/>
    <s v="Replika"/>
    <s v="69400 General &amp; Administrative:G&amp;A - Software Applications &amp; Licenses"/>
    <x v="3"/>
    <x v="10"/>
    <n v="39.5"/>
    <m/>
    <n v="-39.5"/>
    <n v="488362.77999999921"/>
  </r>
  <r>
    <s v="11/14/2025"/>
    <x v="1"/>
    <x v="11"/>
    <s v="Ramp Card"/>
    <m/>
    <s v="Expense"/>
    <s v="Stone Mill Bakery"/>
    <s v="69505 General &amp; Administrative:G&amp;A - Meals &amp; Entertainment"/>
    <x v="3"/>
    <x v="4"/>
    <n v="27.08"/>
    <m/>
    <n v="-27.08"/>
    <n v="488335.6999999992"/>
  </r>
  <r>
    <s v="11/14/2025"/>
    <x v="1"/>
    <x v="11"/>
    <s v="Ramp Card"/>
    <m/>
    <s v="Expense"/>
    <s v="Uber"/>
    <s v="64500 AppIQ - Sales:AppIQ - Sales - Travel"/>
    <x v="3"/>
    <x v="4"/>
    <n v="19.97"/>
    <m/>
    <n v="-19.97"/>
    <n v="488315.72999999922"/>
  </r>
  <r>
    <s v="11/14/2025"/>
    <x v="1"/>
    <x v="11"/>
    <s v="M&amp;T Operating"/>
    <m/>
    <s v="Credit Card Pmt"/>
    <m/>
    <s v="21020 Ramp Card"/>
    <x v="5"/>
    <x v="24"/>
    <n v="24558.76"/>
    <m/>
    <n v="-24558.76"/>
    <n v="463756.96999999922"/>
  </r>
  <r>
    <s v="11/14/2025"/>
    <x v="1"/>
    <x v="11"/>
    <s v="M&amp;T Operating"/>
    <m/>
    <s v="Transfer"/>
    <m/>
    <s v="10010 M&amp;T Bank - IntraFi Network Sweep"/>
    <x v="0"/>
    <x v="0"/>
    <m/>
    <n v="25128.76"/>
    <n v="25128.76"/>
    <n v="488885.72999999922"/>
  </r>
  <r>
    <s v="11/14/2025"/>
    <x v="1"/>
    <x v="11"/>
    <s v="Ramp Card"/>
    <m/>
    <s v="Credit Card Pmt"/>
    <m/>
    <s v="10005 M&amp;T Bank - Operating"/>
    <x v="5"/>
    <x v="24"/>
    <m/>
    <n v="24558.76"/>
    <n v="24558.76"/>
    <n v="513444.48999999923"/>
  </r>
  <r>
    <s v="11/15/2025"/>
    <x v="1"/>
    <x v="11"/>
    <s v="Ramp Card"/>
    <m/>
    <s v="Expense"/>
    <s v="Atlassian"/>
    <s v="69400 General &amp; Administrative:G&amp;A - Software Applications &amp; Licenses"/>
    <x v="3"/>
    <x v="10"/>
    <n v="97.75"/>
    <m/>
    <n v="-97.75"/>
    <n v="513346.73999999923"/>
  </r>
  <r>
    <s v="11/15/2025"/>
    <x v="1"/>
    <x v="11"/>
    <s v="Ramp Card"/>
    <m/>
    <s v="Expense"/>
    <s v="Doordash"/>
    <s v="69505 General &amp; Administrative:G&amp;A - Meals &amp; Entertainment"/>
    <x v="3"/>
    <x v="4"/>
    <n v="46.12"/>
    <m/>
    <n v="-46.12"/>
    <n v="513300.61999999924"/>
  </r>
  <r>
    <s v="11/15/2025"/>
    <x v="1"/>
    <x v="11"/>
    <s v="Ramp Card"/>
    <m/>
    <s v="Expense"/>
    <s v="Doordash"/>
    <s v="69505 General &amp; Administrative:G&amp;A - Meals &amp; Entertainment"/>
    <x v="3"/>
    <x v="4"/>
    <n v="55.93"/>
    <m/>
    <n v="-55.93"/>
    <n v="513244.68999999925"/>
  </r>
  <r>
    <s v="11/15/2025"/>
    <x v="1"/>
    <x v="11"/>
    <s v="Ramp Card"/>
    <m/>
    <s v="Expense"/>
    <s v="Repl.it"/>
    <s v="69400 General &amp; Administrative:G&amp;A - Software Applications &amp; Licenses"/>
    <x v="3"/>
    <x v="10"/>
    <n v="25.75"/>
    <m/>
    <n v="-25.75"/>
    <n v="513218.93999999925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4.53"/>
    <m/>
    <n v="-34.53"/>
    <n v="513184.40999999922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4.39"/>
    <m/>
    <n v="-34.39"/>
    <n v="513150.0199999992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3.44"/>
    <m/>
    <n v="-33.44"/>
    <n v="513116.5799999992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4.880000000000003"/>
    <m/>
    <n v="-34.880000000000003"/>
    <n v="513081.6999999992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4.42"/>
    <m/>
    <n v="-34.42"/>
    <n v="513047.27999999921"/>
  </r>
  <r>
    <s v="11/16/2025"/>
    <x v="1"/>
    <x v="11"/>
    <s v="Ramp Card"/>
    <m/>
    <s v="Expense"/>
    <s v="Doordash"/>
    <s v="69505 General &amp; Administrative:G&amp;A - Meals &amp; Entertainment"/>
    <x v="3"/>
    <x v="4"/>
    <n v="19.73"/>
    <m/>
    <n v="-19.73"/>
    <n v="513027.54999999923"/>
  </r>
  <r>
    <s v="11/16/2025"/>
    <x v="1"/>
    <x v="11"/>
    <s v="Ramp Card"/>
    <m/>
    <s v="Expense"/>
    <s v="Rize"/>
    <s v="69400 General &amp; Administrative:G&amp;A - Software Applications &amp; Licenses"/>
    <x v="3"/>
    <x v="4"/>
    <n v="17.989999999999998"/>
    <m/>
    <n v="-17.989999999999998"/>
    <n v="513009.55999999924"/>
  </r>
  <r>
    <s v="11/17/2025"/>
    <x v="1"/>
    <x v="11"/>
    <s v="Ramp Card"/>
    <m/>
    <s v="Expense"/>
    <s v="Anthropic"/>
    <s v="69400 General &amp; Administrative:G&amp;A - Software Applications &amp; Licenses"/>
    <x v="3"/>
    <x v="10"/>
    <n v="31.22"/>
    <m/>
    <n v="-31.22"/>
    <n v="512978.33999999927"/>
  </r>
  <r>
    <s v="11/17/2025"/>
    <x v="1"/>
    <x v="11"/>
    <s v="Ramp Card"/>
    <m/>
    <s v="Expense"/>
    <s v="Anthropic"/>
    <s v="69400 General &amp; Administrative:G&amp;A - Software Applications &amp; Licenses"/>
    <x v="3"/>
    <x v="10"/>
    <n v="31.84"/>
    <m/>
    <n v="-31.84"/>
    <n v="512946.49999999924"/>
  </r>
  <r>
    <s v="11/17/2025"/>
    <x v="1"/>
    <x v="11"/>
    <s v="Ramp Card"/>
    <m/>
    <s v="Expense"/>
    <s v="Anthropic"/>
    <s v="69400 General &amp; Administrative:G&amp;A - Software Applications &amp; Licenses"/>
    <x v="3"/>
    <x v="10"/>
    <n v="34.1"/>
    <m/>
    <n v="-34.1"/>
    <n v="512912.39999999927"/>
  </r>
  <r>
    <s v="11/17/2025"/>
    <x v="1"/>
    <x v="11"/>
    <s v="Ramp Card"/>
    <m/>
    <s v="Expense"/>
    <s v="Anthropic"/>
    <s v="69400 General &amp; Administrative:G&amp;A - Software Applications &amp; Licenses"/>
    <x v="3"/>
    <x v="10"/>
    <n v="34.520000000000003"/>
    <m/>
    <n v="-34.520000000000003"/>
    <n v="512877.87999999925"/>
  </r>
  <r>
    <s v="11/17/2025"/>
    <x v="1"/>
    <x v="11"/>
    <s v="Ramp Card"/>
    <m/>
    <s v="Expense"/>
    <s v="In the Bag Promotions"/>
    <s v="65625 AppIQ - Marketing:AppIQ - Marketing - Client Gifts &amp; Entertainment"/>
    <x v="3"/>
    <x v="4"/>
    <n v="952.05"/>
    <m/>
    <n v="-952.05"/>
    <n v="511925.82999999926"/>
  </r>
  <r>
    <s v="11/17/2025"/>
    <x v="1"/>
    <x v="11"/>
    <s v="Ramp Card"/>
    <m/>
    <s v="Expense"/>
    <s v="LastPass"/>
    <s v="69400 General &amp; Administrative:G&amp;A - Software Applications &amp; Licenses"/>
    <x v="3"/>
    <x v="10"/>
    <n v="66.19"/>
    <m/>
    <n v="-66.19"/>
    <n v="511859.63999999926"/>
  </r>
  <r>
    <s v="11/17/2025"/>
    <x v="1"/>
    <x v="11"/>
    <s v="Ramp Card"/>
    <m/>
    <s v="CC-Credit"/>
    <s v="Replika"/>
    <s v="69400 General &amp; Administrative:G&amp;A - Software Applications &amp; Licenses"/>
    <x v="3"/>
    <x v="10"/>
    <m/>
    <n v="39.5"/>
    <n v="39.5"/>
    <n v="511899.13999999926"/>
  </r>
  <r>
    <s v="11/17/2025"/>
    <x v="1"/>
    <x v="11"/>
    <s v="M&amp;T Operating"/>
    <m/>
    <s v="Expense"/>
    <s v="The Principal"/>
    <s v="22310 Accrued Expenses:Accrued Expenses - Principal Clearing"/>
    <x v="1"/>
    <x v="1"/>
    <n v="11291.36"/>
    <m/>
    <n v="-11291.36"/>
    <n v="500607.77999999927"/>
  </r>
  <r>
    <s v="11/17/2025"/>
    <x v="1"/>
    <x v="11"/>
    <s v="M&amp;T Operating"/>
    <m/>
    <s v="Transfer"/>
    <m/>
    <s v="10010 M&amp;T Bank - IntraFi Network Sweep"/>
    <x v="0"/>
    <x v="0"/>
    <n v="3208.64"/>
    <m/>
    <n v="-3208.64"/>
    <n v="497399.13999999926"/>
  </r>
  <r>
    <s v="11/18/2025"/>
    <x v="1"/>
    <x v="11"/>
    <s v="Ramp Card"/>
    <m/>
    <s v="Expense"/>
    <s v="Anthropic"/>
    <s v="69400 General &amp; Administrative:G&amp;A - Software Applications &amp; Licenses"/>
    <x v="3"/>
    <x v="10"/>
    <n v="31.82"/>
    <m/>
    <n v="-31.82"/>
    <n v="497367.31999999925"/>
  </r>
  <r>
    <s v="11/18/2025"/>
    <x v="1"/>
    <x v="11"/>
    <s v="Ramp Card"/>
    <m/>
    <s v="Expense"/>
    <s v="Colson Patisserie"/>
    <s v="66505 AppIQ - Research &amp; Development:AppIQ - R&amp;D - Meals &amp; Entertainment"/>
    <x v="3"/>
    <x v="4"/>
    <n v="9"/>
    <m/>
    <n v="-9"/>
    <n v="497358.31999999925"/>
  </r>
  <r>
    <s v="11/18/2025"/>
    <x v="1"/>
    <x v="11"/>
    <s v="M&amp;T Operating"/>
    <m/>
    <s v="Expense"/>
    <s v="Further FKA SelctAccount"/>
    <s v="22330 Accrued Expenses:Accrued Expenses - Further Clearing"/>
    <x v="1"/>
    <x v="1"/>
    <n v="49.58"/>
    <m/>
    <n v="-49.58"/>
    <n v="497308.73999999923"/>
  </r>
  <r>
    <s v="11/18/2025"/>
    <x v="1"/>
    <x v="11"/>
    <s v="Ramp Card"/>
    <m/>
    <s v="Expense"/>
    <s v="Japan Village"/>
    <s v="66505 AppIQ - Research &amp; Development:AppIQ - R&amp;D - Meals &amp; Entertainment"/>
    <x v="3"/>
    <x v="4"/>
    <n v="18"/>
    <m/>
    <n v="-18"/>
    <n v="497290.73999999923"/>
  </r>
  <r>
    <s v="11/18/2025"/>
    <x v="1"/>
    <x v="11"/>
    <s v="Ramp Card"/>
    <m/>
    <s v="Expense"/>
    <s v="Japan Village"/>
    <s v="66505 AppIQ - Research &amp; Development:AppIQ - R&amp;D - Meals &amp; Entertainment"/>
    <x v="3"/>
    <x v="4"/>
    <n v="10.199999999999999"/>
    <m/>
    <n v="-10.199999999999999"/>
    <n v="497280.53999999922"/>
  </r>
  <r>
    <s v="11/18/2025"/>
    <x v="1"/>
    <x v="11"/>
    <s v="Ramp Card"/>
    <m/>
    <s v="Expense"/>
    <s v="LinkedIn"/>
    <s v="61400 Classic - Sales:Classic - Sales - Software Applications &amp; Licenses"/>
    <x v="3"/>
    <x v="10"/>
    <n v="32.86"/>
    <m/>
    <n v="-32.86"/>
    <n v="497247.67999999924"/>
  </r>
  <r>
    <s v="11/18/2025"/>
    <x v="1"/>
    <x v="11"/>
    <s v="Ramp Card"/>
    <m/>
    <s v="Expense"/>
    <s v="Lyft"/>
    <s v="66500 AppIQ - Research &amp; Development:AppIQ - R&amp;D - Travel"/>
    <x v="3"/>
    <x v="4"/>
    <n v="51.81"/>
    <m/>
    <n v="-51.81"/>
    <n v="497195.86999999924"/>
  </r>
  <r>
    <s v="11/18/2025"/>
    <x v="1"/>
    <x v="11"/>
    <s v="Ramp Card"/>
    <m/>
    <s v="Expense"/>
    <s v="Lyft"/>
    <s v="66500 AppIQ - Research &amp; Development:AppIQ - R&amp;D - Travel"/>
    <x v="3"/>
    <x v="4"/>
    <n v="69.19"/>
    <m/>
    <n v="-69.19"/>
    <n v="497126.67999999924"/>
  </r>
  <r>
    <s v="11/18/2025"/>
    <x v="1"/>
    <x v="11"/>
    <s v="Ramp Card"/>
    <m/>
    <s v="Expense"/>
    <s v="McHenry Row Conference Center"/>
    <s v="69500 General &amp; Administrative:G&amp;A - Travel"/>
    <x v="3"/>
    <x v="4"/>
    <n v="550"/>
    <m/>
    <n v="-550"/>
    <n v="496576.67999999924"/>
  </r>
  <r>
    <s v="11/18/2025"/>
    <x v="1"/>
    <x v="11"/>
    <s v="Ramp Card"/>
    <m/>
    <s v="Expense"/>
    <s v="TestDriver"/>
    <s v="66400 AppIQ - Research &amp; Development:AppIQ - R&amp;D - Software Applications &amp; Licenses"/>
    <x v="3"/>
    <x v="10"/>
    <n v="20"/>
    <m/>
    <n v="-20"/>
    <n v="496556.67999999924"/>
  </r>
  <r>
    <s v="11/18/2025"/>
    <x v="1"/>
    <x v="11"/>
    <s v="M&amp;T Operating"/>
    <m/>
    <s v="Transfer"/>
    <m/>
    <s v="10010 M&amp;T Bank - IntraFi Network Sweep"/>
    <x v="0"/>
    <x v="0"/>
    <m/>
    <n v="49.58"/>
    <n v="49.58"/>
    <n v="496606.25999999925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1.67"/>
    <m/>
    <n v="-31.67"/>
    <n v="496574.58999999927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5.450000000000003"/>
    <m/>
    <n v="-35.450000000000003"/>
    <n v="496539.13999999926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1.04"/>
    <m/>
    <n v="-31.04"/>
    <n v="496508.09999999928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9.4"/>
    <m/>
    <n v="-39.4"/>
    <n v="496468.69999999925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1.04"/>
    <m/>
    <n v="-31.04"/>
    <n v="496437.65999999928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2.4"/>
    <m/>
    <n v="-32.4"/>
    <n v="496405.25999999925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1.48"/>
    <m/>
    <n v="-31.48"/>
    <n v="496373.77999999927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0.93"/>
    <m/>
    <n v="-30.93"/>
    <n v="496342.84999999928"/>
  </r>
  <r>
    <s v="11/19/2025"/>
    <x v="1"/>
    <x v="11"/>
    <s v="Ramp Card"/>
    <m/>
    <s v="Expense"/>
    <s v="CustomInk"/>
    <s v="69205 General &amp; Administrative:G&amp;A - Staff Meals, Awards &amp; Incentives"/>
    <x v="3"/>
    <x v="15"/>
    <n v="2590.56"/>
    <m/>
    <n v="-2590.56"/>
    <n v="493752.28999999928"/>
  </r>
  <r>
    <s v="11/19/2025"/>
    <x v="1"/>
    <x v="11"/>
    <s v="Ramp Card"/>
    <m/>
    <s v="Expense"/>
    <s v="ElevenLabs"/>
    <s v="69400 General &amp; Administrative:G&amp;A - Software Applications &amp; Licenses"/>
    <x v="3"/>
    <x v="10"/>
    <n v="5.3"/>
    <m/>
    <n v="-5.3"/>
    <n v="493746.98999999929"/>
  </r>
  <r>
    <s v="11/19/2025"/>
    <x v="1"/>
    <x v="11"/>
    <s v="Ramp Card"/>
    <m/>
    <s v="Expense"/>
    <s v="Lyft"/>
    <s v="66500 AppIQ - Research &amp; Development:AppIQ - R&amp;D - Travel"/>
    <x v="3"/>
    <x v="4"/>
    <n v="89.8"/>
    <m/>
    <n v="-89.8"/>
    <n v="493657.1899999993"/>
  </r>
  <r>
    <s v="11/19/2025"/>
    <x v="1"/>
    <x v="11"/>
    <s v="M&amp;T Operating"/>
    <m/>
    <s v="Expense"/>
    <s v="The Hartford"/>
    <s v="69800 General &amp; Administrative:G&amp;A - Insurance"/>
    <x v="3"/>
    <x v="14"/>
    <n v="1332.89"/>
    <m/>
    <n v="-1332.89"/>
    <n v="492324.29999999929"/>
  </r>
  <r>
    <s v="11/19/2025"/>
    <x v="1"/>
    <x v="11"/>
    <s v="M&amp;T Operating"/>
    <m/>
    <s v="Transfer"/>
    <m/>
    <s v="10010 M&amp;T Bank - IntraFi Network Sweep"/>
    <x v="0"/>
    <x v="0"/>
    <m/>
    <n v="1332.89"/>
    <n v="1332.89"/>
    <n v="493657.1899999993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1.88"/>
    <m/>
    <n v="-31.88"/>
    <n v="493625.3099999993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2.78"/>
    <m/>
    <n v="-32.78"/>
    <n v="493592.52999999927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1.58"/>
    <m/>
    <n v="-31.58"/>
    <n v="493560.94999999925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2.869999999999997"/>
    <m/>
    <n v="-32.869999999999997"/>
    <n v="493528.07999999926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1.16"/>
    <m/>
    <n v="-31.16"/>
    <n v="493496.91999999929"/>
  </r>
  <r>
    <s v="11/20/2025"/>
    <x v="1"/>
    <x v="11"/>
    <s v="M&amp;T Operating"/>
    <m/>
    <s v="Expense"/>
    <s v="Cigna Healthcare"/>
    <s v="22305 Accrued Expenses:Accrued Expenses - Cigna Clearing"/>
    <x v="1"/>
    <x v="1"/>
    <n v="1452.72"/>
    <m/>
    <n v="-1452.72"/>
    <n v="492044.19999999931"/>
  </r>
  <r>
    <s v="11/20/2025"/>
    <x v="1"/>
    <x v="11"/>
    <s v="Ramp Card"/>
    <m/>
    <s v="Expense"/>
    <s v="Movio"/>
    <s v="69400 General &amp; Administrative:G&amp;A - Software Applications &amp; Licenses"/>
    <x v="3"/>
    <x v="10"/>
    <n v="44"/>
    <m/>
    <n v="-44"/>
    <n v="492000.19999999931"/>
  </r>
  <r>
    <s v="11/20/2025"/>
    <x v="1"/>
    <x v="11"/>
    <s v="M&amp;T Operating"/>
    <m/>
    <s v="Transfer"/>
    <m/>
    <s v="10010 M&amp;T Bank - IntraFi Network Sweep"/>
    <x v="0"/>
    <x v="0"/>
    <m/>
    <n v="1452.72"/>
    <n v="1452.72"/>
    <n v="493452.91999999929"/>
  </r>
  <r>
    <s v="11/21/2025"/>
    <x v="1"/>
    <x v="11"/>
    <s v="M&amp;T Operating"/>
    <m/>
    <s v="Expense"/>
    <s v="Bancorpsv (Benefit Deduction)"/>
    <s v="22335 Accrued Expenses:Accrued Expenses - Bancorpsv Clearing"/>
    <x v="1"/>
    <x v="1"/>
    <n v="4.3899999999999997"/>
    <m/>
    <n v="-4.3899999999999997"/>
    <n v="493448.52999999927"/>
  </r>
  <r>
    <s v="11/21/2025"/>
    <x v="1"/>
    <x v="11"/>
    <s v="Ramp Card"/>
    <m/>
    <s v="Expense"/>
    <s v="CustomInk"/>
    <s v="69205 General &amp; Administrative:G&amp;A - Staff Meals, Awards &amp; Incentives"/>
    <x v="3"/>
    <x v="15"/>
    <n v="943.8"/>
    <m/>
    <n v="-943.8"/>
    <n v="492504.72999999928"/>
  </r>
  <r>
    <s v="11/21/2025"/>
    <x v="1"/>
    <x v="11"/>
    <s v="M&amp;T Operating"/>
    <m/>
    <s v="Bill Payment"/>
    <s v="Investigo LLC"/>
    <s v="20005 Accounts Payable"/>
    <x v="4"/>
    <x v="9"/>
    <n v="4471.5"/>
    <m/>
    <n v="-4471.5"/>
    <n v="488033.22999999928"/>
  </r>
  <r>
    <s v="11/21/2025"/>
    <x v="1"/>
    <x v="11"/>
    <s v="M&amp;T Operating"/>
    <m/>
    <s v="Bill Payment"/>
    <s v="Investigo LLC"/>
    <s v="20005 Accounts Payable"/>
    <x v="4"/>
    <x v="9"/>
    <n v="2032.5"/>
    <m/>
    <n v="-2032.5"/>
    <n v="486000.72999999928"/>
  </r>
  <r>
    <s v="11/21/2025"/>
    <x v="1"/>
    <x v="11"/>
    <s v="Ramp Card"/>
    <m/>
    <s v="Expense"/>
    <s v="Lucid Software"/>
    <s v="69400 General &amp; Administrative:G&amp;A - Software Applications &amp; Licenses"/>
    <x v="3"/>
    <x v="10"/>
    <n v="361.74"/>
    <m/>
    <n v="-361.74"/>
    <n v="485638.98999999929"/>
  </r>
  <r>
    <s v="11/21/2025"/>
    <x v="1"/>
    <x v="11"/>
    <s v="M&amp;T Operating"/>
    <m/>
    <s v="Payment"/>
    <s v="On Lok, Inc.:On Lok, Inc. - Solution Activation"/>
    <s v="11005 Accounts Receivable"/>
    <x v="2"/>
    <x v="2"/>
    <m/>
    <n v="100000"/>
    <n v="100000"/>
    <n v="585638.98999999929"/>
  </r>
  <r>
    <s v="11/21/2025"/>
    <x v="1"/>
    <x v="11"/>
    <s v="Ramp Card"/>
    <m/>
    <s v="Expense"/>
    <s v="OpenAI"/>
    <s v="51400 Classic COGS - Delivery:Classic COGS - Delivery - Software Applications &amp; Licenses"/>
    <x v="3"/>
    <x v="10"/>
    <n v="20"/>
    <m/>
    <n v="-20"/>
    <n v="585618.98999999929"/>
  </r>
  <r>
    <s v="11/21/2025"/>
    <x v="1"/>
    <x v="11"/>
    <s v="Ramp Card"/>
    <m/>
    <s v="Expense"/>
    <s v="Paraflow"/>
    <s v="69400 General &amp; Administrative:G&amp;A - Software Applications &amp; Licenses"/>
    <x v="3"/>
    <x v="10"/>
    <n v="25"/>
    <m/>
    <n v="-25"/>
    <n v="585593.98999999929"/>
  </r>
  <r>
    <s v="11/21/2025"/>
    <x v="1"/>
    <x v="11"/>
    <s v="M&amp;T Operating"/>
    <m/>
    <s v="Expense"/>
    <s v="The Hartford"/>
    <s v="69800 General &amp; Administrative:G&amp;A - Insurance"/>
    <x v="3"/>
    <x v="14"/>
    <n v="450.35"/>
    <m/>
    <n v="-450.35"/>
    <n v="585143.63999999932"/>
  </r>
  <r>
    <s v="11/21/2025"/>
    <x v="1"/>
    <x v="11"/>
    <s v="M&amp;T Operating"/>
    <m/>
    <s v="Payment"/>
    <s v="Total Solutions Inc:Total Solutions Inc - HUD Mod 01"/>
    <s v="11005 Accounts Receivable"/>
    <x v="2"/>
    <x v="2"/>
    <m/>
    <n v="24777.599999999999"/>
    <n v="24777.599999999999"/>
    <n v="609921.23999999929"/>
  </r>
  <r>
    <s v="11/21/2025"/>
    <x v="1"/>
    <x v="11"/>
    <s v="Ramp Card"/>
    <m/>
    <s v="Expense"/>
    <s v="Zoom"/>
    <s v="69400 General &amp; Administrative:G&amp;A - Software Applications &amp; Licenses"/>
    <x v="3"/>
    <x v="10"/>
    <n v="17.5"/>
    <m/>
    <n v="-17.5"/>
    <n v="609903.73999999929"/>
  </r>
  <r>
    <s v="11/21/2025"/>
    <x v="1"/>
    <x v="11"/>
    <s v="M&amp;T Operating"/>
    <m/>
    <s v="Transfer"/>
    <m/>
    <s v="10010 M&amp;T Bank - IntraFi Network Sweep"/>
    <x v="0"/>
    <x v="0"/>
    <n v="117818.86"/>
    <m/>
    <n v="-117818.86"/>
    <n v="492084.87999999931"/>
  </r>
  <r>
    <s v="11/22/2025"/>
    <x v="1"/>
    <x v="11"/>
    <s v="Ramp Card"/>
    <m/>
    <s v="Expense"/>
    <s v="Anthropic"/>
    <s v="69400 General &amp; Administrative:G&amp;A - Software Applications &amp; Licenses"/>
    <x v="3"/>
    <x v="10"/>
    <n v="32.380000000000003"/>
    <m/>
    <n v="-32.380000000000003"/>
    <n v="492052.4999999993"/>
  </r>
  <r>
    <s v="11/22/2025"/>
    <x v="1"/>
    <x v="11"/>
    <s v="Ramp Card"/>
    <m/>
    <s v="Expense"/>
    <s v="Anthropic"/>
    <s v="69400 General &amp; Administrative:G&amp;A - Software Applications &amp; Licenses"/>
    <x v="3"/>
    <x v="10"/>
    <n v="3.19"/>
    <m/>
    <n v="-3.19"/>
    <n v="492049.3099999993"/>
  </r>
  <r>
    <s v="11/22/2025"/>
    <x v="1"/>
    <x v="11"/>
    <s v="Ramp Card"/>
    <m/>
    <s v="Expense"/>
    <s v="Anthropic"/>
    <s v="69400 General &amp; Administrative:G&amp;A - Software Applications &amp; Licenses"/>
    <x v="3"/>
    <x v="10"/>
    <n v="12.79"/>
    <m/>
    <n v="-12.79"/>
    <n v="492036.51999999932"/>
  </r>
  <r>
    <s v="11/22/2025"/>
    <x v="1"/>
    <x v="11"/>
    <s v="Ramp Card"/>
    <m/>
    <s v="Expense"/>
    <s v="H&amp;M"/>
    <s v="66500 AppIQ - Research &amp; Development:AppIQ - R&amp;D - Travel"/>
    <x v="3"/>
    <x v="4"/>
    <n v="341.31"/>
    <m/>
    <n v="-341.31"/>
    <n v="491695.20999999932"/>
  </r>
  <r>
    <s v="11/22/2025"/>
    <x v="1"/>
    <x v="11"/>
    <s v="Ramp Card"/>
    <m/>
    <s v="Expense"/>
    <s v="OMNIA Nightclub"/>
    <s v="66505 AppIQ - Research &amp; Development:AppIQ - R&amp;D - Meals &amp; Entertainment"/>
    <x v="3"/>
    <x v="4"/>
    <n v="277.5"/>
    <m/>
    <n v="-277.5"/>
    <n v="491417.70999999932"/>
  </r>
  <r>
    <s v="11/22/2025"/>
    <x v="1"/>
    <x v="11"/>
    <s v="Ramp Card"/>
    <m/>
    <s v="Expense"/>
    <s v="OpenAI"/>
    <s v="51400 Classic COGS - Delivery:Classic COGS - Delivery - Software Applications &amp; Licenses"/>
    <x v="3"/>
    <x v="10"/>
    <n v="20"/>
    <m/>
    <n v="-20"/>
    <n v="491397.70999999932"/>
  </r>
  <r>
    <s v="11/23/2025"/>
    <x v="1"/>
    <x v="11"/>
    <s v="Ramp Card"/>
    <m/>
    <s v="Expense"/>
    <s v="Anthropic"/>
    <s v="69400 General &amp; Administrative:G&amp;A - Software Applications &amp; Licenses"/>
    <x v="3"/>
    <x v="10"/>
    <n v="34.96"/>
    <m/>
    <n v="-34.96"/>
    <n v="491362.7499999993"/>
  </r>
  <r>
    <s v="11/23/2025"/>
    <x v="1"/>
    <x v="11"/>
    <s v="Ramp Card"/>
    <m/>
    <s v="Expense"/>
    <s v="Anthropic"/>
    <s v="69400 General &amp; Administrative:G&amp;A - Software Applications &amp; Licenses"/>
    <x v="3"/>
    <x v="10"/>
    <n v="35.56"/>
    <m/>
    <n v="-35.56"/>
    <n v="491327.1899999993"/>
  </r>
  <r>
    <s v="11/23/2025"/>
    <x v="1"/>
    <x v="11"/>
    <s v="Ramp Card"/>
    <m/>
    <s v="Expense"/>
    <s v="Anthropic"/>
    <s v="51400 Classic COGS - Delivery:Classic COGS - Delivery - Software Applications &amp; Licenses"/>
    <x v="3"/>
    <x v="10"/>
    <n v="106"/>
    <m/>
    <n v="-106"/>
    <n v="491221.1899999993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4.71"/>
    <m/>
    <n v="-34.71"/>
    <n v="491186.47999999928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0.99"/>
    <m/>
    <n v="-30.99"/>
    <n v="491155.48999999929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3.67"/>
    <m/>
    <n v="-33.67"/>
    <n v="491121.81999999931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2.159999999999997"/>
    <m/>
    <n v="-32.159999999999997"/>
    <n v="491089.65999999933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1.46"/>
    <m/>
    <n v="-31.46"/>
    <n v="491058.19999999931"/>
  </r>
  <r>
    <s v="11/24/2025"/>
    <x v="1"/>
    <x v="11"/>
    <s v="Ramp Card"/>
    <m/>
    <s v="Expense"/>
    <s v="Lovable"/>
    <s v="69400 General &amp; Administrative:G&amp;A - Software Applications &amp; Licenses"/>
    <x v="3"/>
    <x v="10"/>
    <n v="26.5"/>
    <m/>
    <n v="-26.5"/>
    <n v="491031.69999999931"/>
  </r>
  <r>
    <s v="11/25/2025"/>
    <x v="1"/>
    <x v="11"/>
    <s v="Ramp Card"/>
    <m/>
    <s v="Expense"/>
    <s v="Anthropic"/>
    <s v="69400 General &amp; Administrative:G&amp;A - Software Applications &amp; Licenses"/>
    <x v="3"/>
    <x v="10"/>
    <n v="33.76"/>
    <m/>
    <n v="-33.76"/>
    <n v="490997.9399999993"/>
  </r>
  <r>
    <s v="11/25/2025"/>
    <x v="1"/>
    <x v="11"/>
    <s v="Ramp Card"/>
    <m/>
    <s v="Expense"/>
    <s v="Anthropic"/>
    <s v="69400 General &amp; Administrative:G&amp;A - Software Applications &amp; Licenses"/>
    <x v="3"/>
    <x v="10"/>
    <n v="1977.6"/>
    <m/>
    <n v="-1977.6"/>
    <n v="489020.33999999933"/>
  </r>
  <r>
    <s v="11/25/2025"/>
    <x v="1"/>
    <x v="11"/>
    <s v="M&amp;T Operating"/>
    <m/>
    <s v="Bill Payment"/>
    <s v="Deel billing invoices deel@deel.com USD"/>
    <s v="20005 Accounts Payable"/>
    <x v="4"/>
    <x v="9"/>
    <n v="23738.05"/>
    <m/>
    <n v="-23738.05"/>
    <n v="465282.28999999934"/>
  </r>
  <r>
    <s v="11/25/2025"/>
    <x v="1"/>
    <x v="11"/>
    <s v="M&amp;T Operating"/>
    <m/>
    <s v="Bill Payment"/>
    <s v="Deel billing invoices deel@deel.com USD"/>
    <s v="20005 Accounts Payable"/>
    <x v="3"/>
    <x v="10"/>
    <n v="5"/>
    <m/>
    <n v="-5"/>
    <n v="465277.28999999934"/>
  </r>
  <r>
    <s v="11/25/2025"/>
    <x v="1"/>
    <x v="11"/>
    <s v="Ramp Card"/>
    <m/>
    <s v="CC-Credit"/>
    <s v="H&amp;M"/>
    <s v="66500 AppIQ - Research &amp; Development:AppIQ - R&amp;D - Travel"/>
    <x v="3"/>
    <x v="4"/>
    <m/>
    <n v="54.18"/>
    <n v="54.18"/>
    <n v="465331.46999999933"/>
  </r>
  <r>
    <s v="11/25/2025"/>
    <x v="1"/>
    <x v="11"/>
    <s v="Ramp Card"/>
    <m/>
    <s v="Expense"/>
    <s v="OpenAI"/>
    <s v="51400 Classic COGS - Delivery:Classic COGS - Delivery - Software Applications &amp; Licenses"/>
    <x v="3"/>
    <x v="10"/>
    <n v="21.4"/>
    <m/>
    <n v="-21.4"/>
    <n v="465310.06999999931"/>
  </r>
  <r>
    <s v="11/25/2025"/>
    <x v="1"/>
    <x v="11"/>
    <s v="Ramp Card"/>
    <m/>
    <s v="Expense"/>
    <s v="OpenAI"/>
    <s v="69400 General &amp; Administrative:G&amp;A - Software Applications &amp; Licenses"/>
    <x v="3"/>
    <x v="10"/>
    <n v="51.55"/>
    <m/>
    <n v="-51.55"/>
    <n v="465258.51999999932"/>
  </r>
  <r>
    <s v="11/25/2025"/>
    <x v="1"/>
    <x v="11"/>
    <s v="M&amp;T Operating"/>
    <m/>
    <s v="Expense"/>
    <s v="Paylocity"/>
    <s v="69215 General &amp; Administrative:G&amp;A - Payroll Fees"/>
    <x v="1"/>
    <x v="3"/>
    <n v="465.17"/>
    <m/>
    <n v="-465.17"/>
    <n v="464793.34999999934"/>
  </r>
  <r>
    <s v="11/25/2025"/>
    <x v="1"/>
    <x v="11"/>
    <s v="Ramp Card"/>
    <m/>
    <s v="Expense"/>
    <s v="Summit Group"/>
    <s v="69205 General &amp; Administrative:G&amp;A - Staff Meals, Awards &amp; Incentives"/>
    <x v="3"/>
    <x v="4"/>
    <n v="469.05"/>
    <m/>
    <n v="-469.05"/>
    <n v="464324.29999999935"/>
  </r>
  <r>
    <s v="11/25/2025"/>
    <x v="1"/>
    <x v="11"/>
    <s v="M&amp;T Operating"/>
    <m/>
    <s v="Expense"/>
    <s v="Wex Health, Inc."/>
    <s v="22320 Accrued Expenses:Accrued Expenses - WEX Clearing"/>
    <x v="1"/>
    <x v="1"/>
    <n v="63.65"/>
    <m/>
    <n v="-63.65"/>
    <n v="464260.64999999932"/>
  </r>
  <r>
    <s v="11/25/2025"/>
    <x v="1"/>
    <x v="11"/>
    <s v="M&amp;T Operating"/>
    <m/>
    <s v="Expense"/>
    <s v="Wex Health, Inc."/>
    <s v="22320 Accrued Expenses:Accrued Expenses - WEX Clearing"/>
    <x v="1"/>
    <x v="1"/>
    <n v="247.15"/>
    <m/>
    <n v="-247.15"/>
    <n v="464013.4999999993"/>
  </r>
  <r>
    <s v="11/25/2025"/>
    <x v="1"/>
    <x v="11"/>
    <s v="M&amp;T Operating"/>
    <m/>
    <s v="Transfer"/>
    <m/>
    <s v="10010 M&amp;T Bank - IntraFi Network Sweep"/>
    <x v="0"/>
    <x v="0"/>
    <m/>
    <n v="24519.02"/>
    <n v="24519.02"/>
    <n v="488532.51999999932"/>
  </r>
  <r>
    <s v="11/26/2025"/>
    <x v="1"/>
    <x v="11"/>
    <s v="Ramp Card"/>
    <m/>
    <s v="Expense"/>
    <s v="Anthropic"/>
    <s v="69400 General &amp; Administrative:G&amp;A - Software Applications &amp; Licenses"/>
    <x v="3"/>
    <x v="10"/>
    <n v="31.51"/>
    <m/>
    <n v="-31.51"/>
    <n v="488501.00999999931"/>
  </r>
  <r>
    <s v="11/26/2025"/>
    <x v="1"/>
    <x v="11"/>
    <s v="Ramp Card"/>
    <m/>
    <s v="Expense"/>
    <s v="Anthropic"/>
    <s v="69400 General &amp; Administrative:G&amp;A - Software Applications &amp; Licenses"/>
    <x v="3"/>
    <x v="10"/>
    <n v="31.09"/>
    <m/>
    <n v="-31.09"/>
    <n v="488469.91999999929"/>
  </r>
  <r>
    <s v="11/26/2025"/>
    <x v="1"/>
    <x v="11"/>
    <s v="Ramp Card"/>
    <m/>
    <s v="Expense"/>
    <s v="Courtyard by Marriott"/>
    <s v="69500 General &amp; Administrative:G&amp;A - Travel"/>
    <x v="3"/>
    <x v="4"/>
    <n v="3756.4"/>
    <m/>
    <n v="-3756.4"/>
    <n v="484713.51999999926"/>
  </r>
  <r>
    <s v="11/26/2025"/>
    <x v="1"/>
    <x v="11"/>
    <s v="Ramp Card"/>
    <m/>
    <s v="CC-Credit"/>
    <s v="CustomInk"/>
    <s v="69205 General &amp; Administrative:G&amp;A - Staff Meals, Awards &amp; Incentives"/>
    <x v="3"/>
    <x v="15"/>
    <m/>
    <n v="117"/>
    <n v="117"/>
    <n v="484830.51999999926"/>
  </r>
  <r>
    <s v="11/26/2025"/>
    <x v="1"/>
    <x v="11"/>
    <s v="M&amp;T Operating"/>
    <m/>
    <s v="Bill Payment"/>
    <s v="Deel billing invoices deel@deel.com USD"/>
    <s v="20005 Accounts Payable"/>
    <x v="3"/>
    <x v="10"/>
    <n v="15"/>
    <m/>
    <n v="-15"/>
    <n v="484815.51999999926"/>
  </r>
  <r>
    <s v="11/26/2025"/>
    <x v="1"/>
    <x v="11"/>
    <s v="M&amp;T Operating"/>
    <m/>
    <s v="Bill Payment"/>
    <s v="Deel billing invoices deel@deel.com USD"/>
    <s v="20005 Accounts Payable"/>
    <x v="3"/>
    <x v="10"/>
    <n v="5"/>
    <m/>
    <n v="-5"/>
    <n v="484810.51999999926"/>
  </r>
  <r>
    <s v="11/26/2025"/>
    <x v="1"/>
    <x v="11"/>
    <s v="M&amp;T Operating"/>
    <m/>
    <s v="Bill Payment"/>
    <s v="Deel billing invoices deel@deel.com USD"/>
    <s v="20005 Accounts Payable"/>
    <x v="4"/>
    <x v="9"/>
    <n v="250"/>
    <m/>
    <n v="-250"/>
    <n v="484560.51999999926"/>
  </r>
  <r>
    <s v="11/26/2025"/>
    <x v="1"/>
    <x v="11"/>
    <s v="M&amp;T Operating"/>
    <m/>
    <s v="Payment"/>
    <s v="Delta Dental Washington:Delta Dental Washington - Scope C"/>
    <s v="11005 Accounts Receivable"/>
    <x v="2"/>
    <x v="2"/>
    <m/>
    <n v="3250"/>
    <n v="3250"/>
    <n v="487810.51999999926"/>
  </r>
  <r>
    <s v="11/26/2025"/>
    <x v="1"/>
    <x v="11"/>
    <s v="M&amp;T Operating"/>
    <m/>
    <s v="Expense"/>
    <s v="Paylocity"/>
    <s v="22205 Accrued Expenses:Accrued Expenses - Payroll"/>
    <x v="1"/>
    <x v="12"/>
    <n v="71580.679999999993"/>
    <m/>
    <n v="-71580.679999999993"/>
    <n v="416229.83999999927"/>
  </r>
  <r>
    <s v="11/26/2025"/>
    <x v="1"/>
    <x v="11"/>
    <s v="M&amp;T Operating"/>
    <m/>
    <s v="Expense"/>
    <s v="Paylocity"/>
    <s v="22205 Accrued Expenses:Accrued Expenses - Payroll"/>
    <x v="1"/>
    <x v="11"/>
    <n v="32865.07"/>
    <m/>
    <n v="-32865.07"/>
    <n v="383364.76999999926"/>
  </r>
  <r>
    <s v="11/26/2025"/>
    <x v="1"/>
    <x v="11"/>
    <s v="M&amp;T Operating"/>
    <m/>
    <s v="Expense"/>
    <s v="Paylocity"/>
    <s v="22205 Accrued Expenses:Accrued Expenses - Payroll"/>
    <x v="1"/>
    <x v="1"/>
    <n v="2736.5"/>
    <m/>
    <n v="-2736.5"/>
    <n v="380628.26999999926"/>
  </r>
  <r>
    <s v="11/26/2025"/>
    <x v="1"/>
    <x v="11"/>
    <s v="Ramp Card"/>
    <m/>
    <s v="Expense"/>
    <s v="Rye Street Tavern"/>
    <s v="69505 General &amp; Administrative:G&amp;A - Meals &amp; Entertainment"/>
    <x v="3"/>
    <x v="4"/>
    <n v="1250"/>
    <m/>
    <n v="-1250"/>
    <n v="379378.26999999926"/>
  </r>
  <r>
    <s v="11/26/2025"/>
    <x v="1"/>
    <x v="11"/>
    <s v="Ramp Card"/>
    <m/>
    <s v="Expense"/>
    <s v="Willow"/>
    <s v="69400 General &amp; Administrative:G&amp;A - Software Applications &amp; Licenses"/>
    <x v="3"/>
    <x v="10"/>
    <n v="15"/>
    <m/>
    <n v="-15"/>
    <n v="379363.26999999926"/>
  </r>
  <r>
    <s v="11/26/2025"/>
    <x v="1"/>
    <x v="11"/>
    <s v="M&amp;T Operating"/>
    <m/>
    <s v="Transfer"/>
    <m/>
    <s v="10010 M&amp;T Bank - IntraFi Network Sweep"/>
    <x v="0"/>
    <x v="0"/>
    <m/>
    <n v="103932.25"/>
    <n v="103932.25"/>
    <n v="483295.51999999926"/>
  </r>
  <r>
    <s v="11/27/2025"/>
    <x v="1"/>
    <x v="11"/>
    <s v="Ramp Card"/>
    <m/>
    <s v="Expense"/>
    <s v="Anthropic"/>
    <s v="69400 General &amp; Administrative:G&amp;A - Software Applications &amp; Licenses"/>
    <x v="3"/>
    <x v="10"/>
    <n v="21.2"/>
    <m/>
    <n v="-21.2"/>
    <n v="483274.31999999925"/>
  </r>
  <r>
    <s v="11/27/2025"/>
    <x v="1"/>
    <x v="11"/>
    <s v="M&amp;T Operating"/>
    <m/>
    <s v="Bill Payment"/>
    <s v="Brenna Hawley-Craig (brenna@synaptic.build)"/>
    <s v="20005 Accounts Payable"/>
    <x v="3"/>
    <x v="4"/>
    <n v="40"/>
    <m/>
    <n v="-40"/>
    <n v="483234.31999999925"/>
  </r>
  <r>
    <s v="11/27/2025"/>
    <x v="1"/>
    <x v="11"/>
    <s v="M&amp;T Operating"/>
    <m/>
    <s v="Bill Payment"/>
    <s v="Kashish Shah (kash@synaptic.build)"/>
    <s v="20005 Accounts Payable"/>
    <x v="3"/>
    <x v="4"/>
    <n v="160"/>
    <m/>
    <n v="-160"/>
    <n v="483074.31999999925"/>
  </r>
  <r>
    <s v="11/27/2025"/>
    <x v="1"/>
    <x v="11"/>
    <s v="Ramp Card"/>
    <m/>
    <s v="Expense"/>
    <s v="LinkedIn"/>
    <s v="69400 General &amp; Administrative:G&amp;A - Software Applications &amp; Licenses"/>
    <x v="3"/>
    <x v="10"/>
    <n v="95.39"/>
    <m/>
    <n v="-95.39"/>
    <n v="482978.92999999924"/>
  </r>
  <r>
    <s v="11/27/2025"/>
    <x v="1"/>
    <x v="11"/>
    <s v="M&amp;T Operating"/>
    <m/>
    <s v="Bill Payment"/>
    <s v="Michael Hartman (michael@synaptic.build)"/>
    <s v="20005 Accounts Payable"/>
    <x v="3"/>
    <x v="4"/>
    <n v="30"/>
    <m/>
    <n v="-30"/>
    <n v="482948.92999999924"/>
  </r>
  <r>
    <s v="11/28/2025"/>
    <x v="1"/>
    <x v="11"/>
    <s v="Ramp Card"/>
    <m/>
    <s v="Expense"/>
    <s v="Anthropic"/>
    <s v="69400 General &amp; Administrative:G&amp;A - Software Applications &amp; Licenses"/>
    <x v="3"/>
    <x v="10"/>
    <n v="32.97"/>
    <m/>
    <n v="-32.97"/>
    <n v="482915.95999999926"/>
  </r>
  <r>
    <s v="11/28/2025"/>
    <x v="1"/>
    <x v="11"/>
    <s v="M&amp;T Operating"/>
    <m/>
    <s v="Bill Payment"/>
    <s v="Carahsoft Technology Corp"/>
    <s v="20005 Accounts Payable"/>
    <x v="4"/>
    <x v="9"/>
    <n v="5000"/>
    <m/>
    <n v="-5000"/>
    <n v="477915.95999999926"/>
  </r>
  <r>
    <s v="11/28/2025"/>
    <x v="1"/>
    <x v="11"/>
    <s v="Ramp Card"/>
    <m/>
    <s v="Expense"/>
    <s v="Doordash"/>
    <s v="69505 General &amp; Administrative:G&amp;A - Meals &amp; Entertainment"/>
    <x v="3"/>
    <x v="4"/>
    <n v="37.08"/>
    <m/>
    <n v="-37.08"/>
    <n v="477878.87999999925"/>
  </r>
  <r>
    <s v="11/28/2025"/>
    <x v="1"/>
    <x v="11"/>
    <s v="M&amp;T Operating"/>
    <m/>
    <s v="Deposit"/>
    <s v="M&amp;T Bank"/>
    <s v="71005 Interest"/>
    <x v="0"/>
    <x v="17"/>
    <m/>
    <n v="312.41000000000003"/>
    <n v="312.41000000000003"/>
    <n v="478191.28999999922"/>
  </r>
  <r>
    <s v="11/28/2025"/>
    <x v="1"/>
    <x v="11"/>
    <s v="M&amp;T Operating"/>
    <m/>
    <s v="Bill Payment"/>
    <s v="Nemphos Braue LLC"/>
    <s v="20005 Accounts Payable"/>
    <x v="3"/>
    <x v="5"/>
    <n v="340"/>
    <m/>
    <n v="-340"/>
    <n v="477851.28999999922"/>
  </r>
  <r>
    <s v="11/28/2025"/>
    <x v="1"/>
    <x v="11"/>
    <s v="M&amp;T Operating"/>
    <m/>
    <s v="Bill Payment"/>
    <s v="Studebaker Submetering, Inc"/>
    <s v="20005 Accounts Payable"/>
    <x v="3"/>
    <x v="15"/>
    <n v="327.99"/>
    <m/>
    <n v="-327.99"/>
    <n v="477523.29999999923"/>
  </r>
  <r>
    <s v="11/28/2025"/>
    <x v="1"/>
    <x v="11"/>
    <s v="M&amp;T Operating"/>
    <m/>
    <s v="Bill Payment"/>
    <s v="Studebaker Submetering, Inc"/>
    <s v="20005 Accounts Payable"/>
    <x v="3"/>
    <x v="15"/>
    <n v="438.58"/>
    <m/>
    <n v="-438.58"/>
    <n v="477084.71999999922"/>
  </r>
  <r>
    <s v="11/28/2025"/>
    <x v="1"/>
    <x v="11"/>
    <s v="M&amp;T Operating"/>
    <m/>
    <s v="Bill Payment"/>
    <s v="Studebaker Submetering, Inc"/>
    <s v="20005 Accounts Payable"/>
    <x v="3"/>
    <x v="15"/>
    <n v="135.99"/>
    <m/>
    <n v="-135.99"/>
    <n v="476948.72999999922"/>
  </r>
  <r>
    <s v="11/28/2025"/>
    <x v="1"/>
    <x v="11"/>
    <s v="M&amp;T Operating"/>
    <m/>
    <s v="Bill Payment"/>
    <s v="Whitehouse &amp; Cooper, PLCC"/>
    <s v="20005 Accounts Payable"/>
    <x v="3"/>
    <x v="5"/>
    <n v="1086"/>
    <m/>
    <n v="-1086"/>
    <n v="475862.72999999922"/>
  </r>
  <r>
    <s v="11/28/2025"/>
    <x v="1"/>
    <x v="11"/>
    <s v="M&amp;T Operating"/>
    <m/>
    <s v="Transfer"/>
    <m/>
    <s v="10010 M&amp;T Bank - IntraFi Network Sweep"/>
    <x v="0"/>
    <x v="0"/>
    <m/>
    <n v="11061.78"/>
    <n v="11061.78"/>
    <n v="486924.50999999925"/>
  </r>
  <r>
    <s v="11/29/2025"/>
    <x v="1"/>
    <x v="11"/>
    <s v="Ramp Card"/>
    <m/>
    <s v="Expense"/>
    <s v="Anthropic"/>
    <s v="69400 General &amp; Administrative:G&amp;A - Software Applications &amp; Licenses"/>
    <x v="3"/>
    <x v="10"/>
    <n v="31.8"/>
    <m/>
    <n v="-31.8"/>
    <n v="486892.70999999926"/>
  </r>
  <r>
    <s v="11/30/2025"/>
    <x v="1"/>
    <x v="11"/>
    <s v="Ramp Card"/>
    <m/>
    <s v="Expense"/>
    <s v="Anthropic"/>
    <s v="69400 General &amp; Administrative:G&amp;A - Software Applications &amp; Licenses"/>
    <x v="3"/>
    <x v="10"/>
    <n v="31.75"/>
    <m/>
    <n v="-31.75"/>
    <n v="486860.95999999926"/>
  </r>
  <r>
    <s v="11/30/2025"/>
    <x v="1"/>
    <x v="11"/>
    <s v="Ramp Card"/>
    <m/>
    <s v="Expense"/>
    <s v="Anthropic"/>
    <s v="69400 General &amp; Administrative:G&amp;A - Software Applications &amp; Licenses"/>
    <x v="3"/>
    <x v="10"/>
    <n v="32.17"/>
    <m/>
    <n v="-32.17"/>
    <n v="486828.78999999928"/>
  </r>
  <r>
    <s v="11/30/2025"/>
    <x v="1"/>
    <x v="11"/>
    <s v="Ramp Card"/>
    <m/>
    <s v="Expense"/>
    <s v="Anthropic"/>
    <s v="69400 General &amp; Administrative:G&amp;A - Software Applications &amp; Licenses"/>
    <x v="3"/>
    <x v="10"/>
    <n v="32.35"/>
    <m/>
    <n v="-32.35"/>
    <n v="486796.43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D9546-47D1-48AE-AC73-E16A57CD98CD}" name="PivotTable1" cacheId="3" applyNumberFormats="0" applyBorderFormats="0" applyFontFormats="0" applyPatternFormats="0" applyAlignmentFormats="0" applyWidthHeightFormats="1" dataCaption="Values" missingCaption="0" updatedVersion="8" minRefreshableVersion="3" colGrandTotals="0" itemPrintTitles="1" createdVersion="8" indent="0" outline="1" outlineData="1" multipleFieldFilters="0">
  <location ref="A3:N37" firstHeaderRow="1" firstDataRow="3" firstDataCol="1"/>
  <pivotFields count="14">
    <pivotField showAll="0"/>
    <pivotField axis="axisCol" showAll="0">
      <items count="3">
        <item sd="0" x="0"/>
        <item x="1"/>
        <item t="default"/>
      </items>
    </pivotField>
    <pivotField axis="axisCol" showAll="0">
      <items count="13">
        <item x="2"/>
        <item x="3"/>
        <item x="1"/>
        <item x="4"/>
        <item x="5"/>
        <item x="6"/>
        <item x="7"/>
        <item x="8"/>
        <item x="0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5"/>
        <item x="2"/>
        <item x="0"/>
        <item x="1"/>
        <item x="3"/>
        <item t="default"/>
      </items>
    </pivotField>
    <pivotField axis="axisRow" showAll="0">
      <items count="26">
        <item x="23"/>
        <item x="6"/>
        <item x="0"/>
        <item x="1"/>
        <item x="13"/>
        <item x="20"/>
        <item x="18"/>
        <item x="2"/>
        <item x="7"/>
        <item x="9"/>
        <item x="8"/>
        <item x="3"/>
        <item x="10"/>
        <item x="14"/>
        <item x="17"/>
        <item x="16"/>
        <item x="5"/>
        <item x="15"/>
        <item x="21"/>
        <item x="22"/>
        <item x="11"/>
        <item x="4"/>
        <item x="12"/>
        <item x="19"/>
        <item x="24"/>
        <item t="default"/>
      </items>
    </pivotField>
    <pivotField showAll="0"/>
    <pivotField showAll="0"/>
    <pivotField dataField="1" numFmtId="8" showAll="0"/>
    <pivotField numFmtId="8" showAll="0"/>
  </pivotFields>
  <rowFields count="2">
    <field x="8"/>
    <field x="9"/>
  </rowFields>
  <rowItems count="32">
    <i>
      <x/>
    </i>
    <i r="1">
      <x v="8"/>
    </i>
    <i r="1">
      <x v="9"/>
    </i>
    <i r="1">
      <x v="23"/>
    </i>
    <i>
      <x v="1"/>
    </i>
    <i r="1">
      <x v="4"/>
    </i>
    <i r="1">
      <x v="6"/>
    </i>
    <i r="1">
      <x v="24"/>
    </i>
    <i>
      <x v="2"/>
    </i>
    <i r="1">
      <x v="7"/>
    </i>
    <i>
      <x v="3"/>
    </i>
    <i r="1">
      <x v="1"/>
    </i>
    <i r="1">
      <x v="2"/>
    </i>
    <i r="1">
      <x v="14"/>
    </i>
    <i r="1">
      <x v="15"/>
    </i>
    <i>
      <x v="4"/>
    </i>
    <i r="1">
      <x v="3"/>
    </i>
    <i r="1">
      <x v="11"/>
    </i>
    <i r="1">
      <x v="20"/>
    </i>
    <i r="1">
      <x v="22"/>
    </i>
    <i>
      <x v="5"/>
    </i>
    <i r="1">
      <x/>
    </i>
    <i r="1">
      <x v="5"/>
    </i>
    <i r="1">
      <x v="10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1"/>
    </i>
    <i t="grand">
      <x/>
    </i>
  </rowItems>
  <colFields count="2">
    <field x="1"/>
    <field x="2"/>
  </colFields>
  <colItems count="13">
    <i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t="default">
      <x v="1"/>
    </i>
  </colItems>
  <dataFields count="1">
    <dataField name="Sum of Amount" fld="12" baseField="0" baseItem="0" numFmtId="40"/>
  </dataFields>
  <formats count="29"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2">
          <reference field="8" count="1" selected="0">
            <x v="0"/>
          </reference>
          <reference field="9" count="2">
            <x v="8"/>
            <x v="9"/>
          </reference>
        </references>
      </pivotArea>
    </format>
    <format dxfId="25">
      <pivotArea dataOnly="0" labelOnly="1" fieldPosition="0">
        <references count="2">
          <reference field="8" count="1" selected="0">
            <x v="1"/>
          </reference>
          <reference field="9" count="2">
            <x v="4"/>
            <x v="6"/>
          </reference>
        </references>
      </pivotArea>
    </format>
    <format dxfId="24">
      <pivotArea dataOnly="0" labelOnly="1" fieldPosition="0">
        <references count="2">
          <reference field="8" count="1" selected="0">
            <x v="2"/>
          </reference>
          <reference field="9" count="1">
            <x v="7"/>
          </reference>
        </references>
      </pivotArea>
    </format>
    <format dxfId="23">
      <pivotArea dataOnly="0" labelOnly="1" fieldPosition="0">
        <references count="2">
          <reference field="8" count="1" selected="0">
            <x v="3"/>
          </reference>
          <reference field="9" count="4">
            <x v="1"/>
            <x v="2"/>
            <x v="14"/>
            <x v="15"/>
          </reference>
        </references>
      </pivotArea>
    </format>
    <format dxfId="22">
      <pivotArea dataOnly="0" labelOnly="1" fieldPosition="0">
        <references count="2">
          <reference field="8" count="1" selected="0">
            <x v="4"/>
          </reference>
          <reference field="9" count="4">
            <x v="3"/>
            <x v="11"/>
            <x v="20"/>
            <x v="22"/>
          </reference>
        </references>
      </pivotArea>
    </format>
    <format dxfId="21">
      <pivotArea dataOnly="0" labelOnly="1" fieldPosition="0">
        <references count="1">
          <reference field="1" count="0" defaultSubtotal="1"/>
        </references>
      </pivotArea>
    </format>
    <format dxfId="20">
      <pivotArea dataOnly="0" labelOnly="1" grandCol="1" outline="0" fieldPosition="0"/>
    </format>
    <format dxfId="19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18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" type="button" dataOnly="0" labelOnly="1" outline="0" axis="axisCol" fieldPosition="0"/>
    </format>
    <format dxfId="13">
      <pivotArea field="2" type="button" dataOnly="0" labelOnly="1" outline="0" axis="axisCol" fieldPosition="1"/>
    </format>
    <format dxfId="12">
      <pivotArea type="topRight" dataOnly="0" labelOnly="1" outline="0" fieldPosition="0"/>
    </format>
    <format dxfId="11">
      <pivotArea field="8" type="button" dataOnly="0" labelOnly="1" outline="0" axis="axisRow" fieldPosition="0"/>
    </format>
    <format dxfId="10">
      <pivotArea dataOnly="0" labelOnly="1" fieldPosition="0">
        <references count="1">
          <reference field="8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2">
          <reference field="8" count="1" selected="0">
            <x v="5"/>
          </reference>
          <reference field="9" count="10">
            <x v="0"/>
            <x v="5"/>
            <x v="10"/>
            <x v="12"/>
            <x v="13"/>
            <x v="16"/>
            <x v="17"/>
            <x v="18"/>
            <x v="19"/>
            <x v="21"/>
          </reference>
        </references>
      </pivotArea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fieldPosition="0">
        <references count="1">
          <reference field="1" count="1" defaultSubtotal="1">
            <x v="1"/>
          </reference>
        </references>
      </pivotArea>
    </format>
    <format dxfId="5">
      <pivotArea dataOnly="0" labelOnly="1" fieldPosition="0">
        <references count="2">
          <reference field="1" count="1" selected="0">
            <x v="1"/>
          </reference>
          <reference field="2" count="2">
            <x v="0"/>
            <x v="1"/>
          </reference>
        </references>
      </pivotArea>
    </format>
    <format dxfId="4">
      <pivotArea outline="0" collapsedLevelsAreSubtotals="1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1">
            <x v="1"/>
          </reference>
        </references>
      </pivotArea>
    </format>
    <format dxfId="1">
      <pivotArea dataOnly="0" labelOnly="1" fieldPosition="0">
        <references count="1">
          <reference field="1" count="1" defaultSubtotal="1">
            <x v="1"/>
          </reference>
        </references>
      </pivotArea>
    </format>
    <format dxfId="0">
      <pivotArea dataOnly="0" labelOnly="1" fieldPosition="0">
        <references count="2">
          <reference field="1" count="1" selected="0">
            <x v="1"/>
          </reference>
          <reference field="2" count="11">
            <x v="0"/>
            <x v="1"/>
            <x v="2"/>
            <x v="3"/>
            <x v="4"/>
            <x v="5"/>
            <x v="6"/>
            <x v="7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F6C3-7955-4080-8A38-8F7DFCB4A661}">
  <dimension ref="A3:E28"/>
  <sheetViews>
    <sheetView workbookViewId="0">
      <selection activeCell="B23" sqref="B23"/>
    </sheetView>
  </sheetViews>
  <sheetFormatPr baseColWidth="10" defaultColWidth="9.1640625" defaultRowHeight="14" x14ac:dyDescent="0.2"/>
  <cols>
    <col min="1" max="1" width="20.6640625" style="1" customWidth="1"/>
    <col min="2" max="3" width="12.6640625" style="1" customWidth="1"/>
    <col min="4" max="4" width="9.1640625" style="1"/>
    <col min="5" max="5" width="12.6640625" style="1" customWidth="1"/>
    <col min="6" max="16384" width="9.1640625" style="1"/>
  </cols>
  <sheetData>
    <row r="3" spans="1:5" x14ac:dyDescent="0.2">
      <c r="B3" s="10" t="s">
        <v>855</v>
      </c>
      <c r="C3" s="10" t="s">
        <v>856</v>
      </c>
      <c r="D3" s="10"/>
      <c r="E3" s="10" t="s">
        <v>857</v>
      </c>
    </row>
    <row r="5" spans="1:5" x14ac:dyDescent="0.2">
      <c r="A5" s="1" t="s">
        <v>844</v>
      </c>
      <c r="B5" s="4">
        <f>SUM('1 Collections'!E15:J15)</f>
        <v>1425932.9399999997</v>
      </c>
      <c r="C5" s="4">
        <f>SUM('1 Collections'!K15:P15)</f>
        <v>2066373</v>
      </c>
      <c r="D5" s="4"/>
      <c r="E5" s="4">
        <f>SUM(B5:C5)</f>
        <v>3492305.9399999995</v>
      </c>
    </row>
    <row r="6" spans="1:5" x14ac:dyDescent="0.2">
      <c r="A6" s="1" t="s">
        <v>845</v>
      </c>
      <c r="B6" s="4">
        <f>SUM('1 Collections'!E27:J27)</f>
        <v>0</v>
      </c>
      <c r="C6" s="4">
        <f>SUM('1 Collections'!K27:P27)</f>
        <v>100000</v>
      </c>
      <c r="D6" s="4"/>
      <c r="E6" s="4">
        <f>SUM(B6:C6)</f>
        <v>100000</v>
      </c>
    </row>
    <row r="7" spans="1:5" x14ac:dyDescent="0.2">
      <c r="A7" s="8" t="s">
        <v>843</v>
      </c>
      <c r="B7" s="12">
        <f>SUM(B5:B6)</f>
        <v>1425932.9399999997</v>
      </c>
      <c r="C7" s="12">
        <f>SUM(C5:C6)</f>
        <v>2166373</v>
      </c>
      <c r="D7" s="12"/>
      <c r="E7" s="12">
        <f>SUM(E5:E6)</f>
        <v>3592305.9399999995</v>
      </c>
    </row>
    <row r="8" spans="1:5" x14ac:dyDescent="0.2">
      <c r="B8" s="4"/>
      <c r="C8" s="4"/>
      <c r="D8" s="4"/>
      <c r="E8" s="4"/>
    </row>
    <row r="9" spans="1:5" x14ac:dyDescent="0.2">
      <c r="A9" s="1" t="s">
        <v>847</v>
      </c>
      <c r="B9" s="4">
        <f>SUM('2 Employees'!C286:H288)+SUM('3 Benefits'!C116:H116)</f>
        <v>1928165.27</v>
      </c>
      <c r="C9" s="4">
        <f>SUM('2 Employees'!I289:N289)+SUM('3 Benefits'!I116:N116)</f>
        <v>1694975.7400000002</v>
      </c>
      <c r="D9" s="4"/>
      <c r="E9" s="4">
        <f t="shared" ref="E9:E11" si="0">SUM(B9:C9)</f>
        <v>3623141.0100000002</v>
      </c>
    </row>
    <row r="10" spans="1:5" x14ac:dyDescent="0.2">
      <c r="A10" s="1" t="s">
        <v>848</v>
      </c>
      <c r="B10" s="4">
        <f>SUM('4 Contractors'!C131:H131)</f>
        <v>1304965.18</v>
      </c>
      <c r="C10" s="4">
        <f>SUM('4 Contractors'!I131:N131)</f>
        <v>1088280.8600000001</v>
      </c>
      <c r="D10" s="4"/>
      <c r="E10" s="4">
        <f t="shared" si="0"/>
        <v>2393246.04</v>
      </c>
    </row>
    <row r="11" spans="1:5" x14ac:dyDescent="0.2">
      <c r="A11" s="1" t="s">
        <v>849</v>
      </c>
      <c r="B11" s="4">
        <f>SUM('6 Other'!C34:H34)</f>
        <v>3545.63</v>
      </c>
      <c r="C11" s="4">
        <f>SUM('6 Other'!I34:N34)</f>
        <v>0</v>
      </c>
      <c r="D11" s="4"/>
      <c r="E11" s="4">
        <f t="shared" si="0"/>
        <v>3545.63</v>
      </c>
    </row>
    <row r="12" spans="1:5" x14ac:dyDescent="0.2">
      <c r="A12" s="8" t="s">
        <v>850</v>
      </c>
      <c r="B12" s="12">
        <f>SUM(B9:B11)</f>
        <v>3236676.08</v>
      </c>
      <c r="C12" s="12">
        <f>SUM(C9:C11)</f>
        <v>2783256.6000000006</v>
      </c>
      <c r="D12" s="12"/>
      <c r="E12" s="12">
        <f>SUM(E9:E11)</f>
        <v>6019932.6800000006</v>
      </c>
    </row>
    <row r="13" spans="1:5" x14ac:dyDescent="0.2">
      <c r="B13" s="4"/>
      <c r="C13" s="4"/>
      <c r="D13" s="4"/>
      <c r="E13" s="4"/>
    </row>
    <row r="14" spans="1:5" x14ac:dyDescent="0.2">
      <c r="A14" s="1" t="s">
        <v>851</v>
      </c>
      <c r="B14" s="4">
        <f>+'2025 CF Basic'!E50</f>
        <v>3334341.02</v>
      </c>
      <c r="C14" s="4">
        <f>+B19</f>
        <v>2248597.3199999994</v>
      </c>
      <c r="D14" s="4"/>
      <c r="E14" s="4">
        <f>+B14</f>
        <v>3334341.02</v>
      </c>
    </row>
    <row r="15" spans="1:5" x14ac:dyDescent="0.2">
      <c r="B15" s="4"/>
      <c r="C15" s="4"/>
      <c r="D15" s="4"/>
      <c r="E15" s="4"/>
    </row>
    <row r="16" spans="1:5" x14ac:dyDescent="0.2">
      <c r="A16" s="1" t="s">
        <v>853</v>
      </c>
      <c r="B16" s="4">
        <f>+B7-B12</f>
        <v>-1810743.1400000004</v>
      </c>
      <c r="C16" s="4">
        <f>+C7-C12</f>
        <v>-616883.60000000056</v>
      </c>
      <c r="D16" s="4"/>
      <c r="E16" s="4">
        <f>+E7-E12</f>
        <v>-2427626.7400000012</v>
      </c>
    </row>
    <row r="17" spans="1:5" x14ac:dyDescent="0.2">
      <c r="A17" s="1" t="s">
        <v>854</v>
      </c>
      <c r="B17" s="4">
        <f>SUM('6 Other'!D29:H29)</f>
        <v>724999.44</v>
      </c>
      <c r="C17" s="4">
        <f>SUM('6 Other'!I29:N29)</f>
        <v>-25000</v>
      </c>
      <c r="D17" s="4"/>
      <c r="E17" s="4">
        <f>SUM(B17:C17)</f>
        <v>699999.44</v>
      </c>
    </row>
    <row r="18" spans="1:5" x14ac:dyDescent="0.2">
      <c r="B18" s="4"/>
      <c r="C18" s="4"/>
      <c r="D18" s="4"/>
      <c r="E18" s="4"/>
    </row>
    <row r="19" spans="1:5" x14ac:dyDescent="0.2">
      <c r="A19" s="8" t="s">
        <v>852</v>
      </c>
      <c r="B19" s="12">
        <f>+B14+B16+B17</f>
        <v>2248597.3199999994</v>
      </c>
      <c r="C19" s="12">
        <f>+C14+C16+C17</f>
        <v>1606713.7199999988</v>
      </c>
      <c r="D19" s="12"/>
      <c r="E19" s="12">
        <f>+E14+E16+E17</f>
        <v>1606713.7199999988</v>
      </c>
    </row>
    <row r="20" spans="1:5" x14ac:dyDescent="0.2">
      <c r="B20" s="4"/>
      <c r="C20" s="4"/>
      <c r="D20" s="4"/>
      <c r="E20" s="4"/>
    </row>
    <row r="21" spans="1:5" x14ac:dyDescent="0.2">
      <c r="A21" s="1" t="s">
        <v>13</v>
      </c>
      <c r="B21" s="4">
        <f>+B19-'2025 Detail'!H61</f>
        <v>225314.03999999934</v>
      </c>
      <c r="C21" s="4">
        <f>+C19-'2025 Detail'!N61</f>
        <v>642602.98999999883</v>
      </c>
      <c r="D21" s="4"/>
      <c r="E21" s="4">
        <f>+E19-'2025 Detail'!N61</f>
        <v>642602.98999999883</v>
      </c>
    </row>
    <row r="24" spans="1:5" x14ac:dyDescent="0.2">
      <c r="B24" s="5">
        <f>SUM('2025 CF Basic'!E21:J21)</f>
        <v>1928165.27</v>
      </c>
    </row>
    <row r="25" spans="1:5" x14ac:dyDescent="0.2">
      <c r="B25" s="5">
        <f>SUM('2025 CF Basic'!E26:J26)</f>
        <v>1299922.06</v>
      </c>
    </row>
    <row r="26" spans="1:5" x14ac:dyDescent="0.2">
      <c r="B26" s="4">
        <f>+B10</f>
        <v>1304965.18</v>
      </c>
    </row>
    <row r="28" spans="1:5" x14ac:dyDescent="0.2">
      <c r="B28" s="5">
        <f>+B26-B25</f>
        <v>5043.1199999998789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085E-4297-F744-87EB-EEC60FCA08E7}">
  <sheetPr>
    <pageSetUpPr fitToPage="1"/>
  </sheetPr>
  <dimension ref="A2:Z97"/>
  <sheetViews>
    <sheetView tabSelected="1" zoomScale="160" zoomScaleNormal="160" workbookViewId="0">
      <pane xSplit="2" ySplit="3" topLeftCell="C45" activePane="bottomRight" state="frozen"/>
      <selection activeCell="D1" sqref="D1"/>
      <selection pane="topRight" activeCell="E1" sqref="E1"/>
      <selection pane="bottomLeft" activeCell="D4" sqref="D4"/>
      <selection pane="bottomRight" activeCell="N85" sqref="N85"/>
    </sheetView>
  </sheetViews>
  <sheetFormatPr baseColWidth="10" defaultColWidth="9.1640625" defaultRowHeight="14" outlineLevelRow="1" x14ac:dyDescent="0.2"/>
  <cols>
    <col min="1" max="1" width="2.6640625" style="1" customWidth="1"/>
    <col min="2" max="2" width="30.6640625" style="1" customWidth="1"/>
    <col min="3" max="14" width="10.6640625" style="1" customWidth="1"/>
    <col min="15" max="15" width="2.6640625" style="1" customWidth="1"/>
    <col min="16" max="19" width="10.6640625" style="1" customWidth="1"/>
    <col min="20" max="20" width="2.6640625" style="1" customWidth="1"/>
    <col min="21" max="21" width="10.6640625" style="1" customWidth="1"/>
    <col min="22" max="22" width="2.6640625" style="1" customWidth="1"/>
    <col min="23" max="23" width="6.6640625" style="1" customWidth="1"/>
    <col min="24" max="24" width="9.1640625" style="1"/>
    <col min="25" max="25" width="18.1640625" style="1" customWidth="1"/>
    <col min="26" max="16384" width="9.1640625" style="1"/>
  </cols>
  <sheetData>
    <row r="2" spans="2:26" x14ac:dyDescent="0.2">
      <c r="B2" s="8" t="s">
        <v>47</v>
      </c>
      <c r="C2" s="9">
        <v>46023</v>
      </c>
      <c r="D2" s="9">
        <f>EDATE(C2,1)</f>
        <v>46054</v>
      </c>
      <c r="E2" s="9">
        <f t="shared" ref="E2:N2" si="0">EDATE(D2,1)</f>
        <v>46082</v>
      </c>
      <c r="F2" s="9">
        <f t="shared" si="0"/>
        <v>46113</v>
      </c>
      <c r="G2" s="9">
        <f t="shared" si="0"/>
        <v>46143</v>
      </c>
      <c r="H2" s="9">
        <f t="shared" si="0"/>
        <v>46174</v>
      </c>
      <c r="I2" s="9">
        <f t="shared" si="0"/>
        <v>46204</v>
      </c>
      <c r="J2" s="9">
        <f t="shared" si="0"/>
        <v>46235</v>
      </c>
      <c r="K2" s="9">
        <f t="shared" si="0"/>
        <v>46266</v>
      </c>
      <c r="L2" s="9">
        <f t="shared" si="0"/>
        <v>46296</v>
      </c>
      <c r="M2" s="9">
        <f t="shared" si="0"/>
        <v>46327</v>
      </c>
      <c r="N2" s="9">
        <f t="shared" si="0"/>
        <v>46357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2026</v>
      </c>
      <c r="W2" s="3" t="s">
        <v>13</v>
      </c>
    </row>
    <row r="3" spans="2:26" x14ac:dyDescent="0.2">
      <c r="B3" s="24" t="str">
        <f>+Version!$C$3</f>
        <v>Y2025 12 v001</v>
      </c>
      <c r="W3" s="3"/>
    </row>
    <row r="4" spans="2:26" x14ac:dyDescent="0.2">
      <c r="B4" s="24"/>
      <c r="W4" s="3"/>
    </row>
    <row r="5" spans="2:26" x14ac:dyDescent="0.2">
      <c r="B5" s="7" t="s">
        <v>138</v>
      </c>
      <c r="C5" s="38">
        <f>+'2026 Detail'!C8</f>
        <v>126737</v>
      </c>
      <c r="D5" s="38">
        <f>+'2026 Detail'!D8</f>
        <v>270160</v>
      </c>
      <c r="E5" s="38">
        <f>+'2026 Detail'!E8</f>
        <v>223350</v>
      </c>
      <c r="F5" s="38">
        <f>+'2026 Detail'!F8</f>
        <v>197930</v>
      </c>
      <c r="G5" s="38">
        <f>+'2026 Detail'!G8</f>
        <v>151930</v>
      </c>
      <c r="H5" s="38">
        <f>+'2026 Detail'!H8</f>
        <v>151930</v>
      </c>
      <c r="I5" s="38">
        <f>+'2026 Detail'!I8</f>
        <v>146930</v>
      </c>
      <c r="J5" s="38">
        <f>+'2026 Detail'!J8</f>
        <v>145000</v>
      </c>
      <c r="K5" s="38">
        <f>+'2026 Detail'!K8</f>
        <v>145000</v>
      </c>
      <c r="L5" s="38">
        <f>+'2026 Detail'!L8</f>
        <v>140000</v>
      </c>
      <c r="M5" s="38">
        <f>+'2026 Detail'!M8</f>
        <v>140000</v>
      </c>
      <c r="N5" s="38">
        <f>+'2026 Detail'!N8</f>
        <v>130000</v>
      </c>
      <c r="O5" s="4"/>
      <c r="P5" s="4">
        <f>SUM(C5:E5)</f>
        <v>620247</v>
      </c>
      <c r="Q5" s="4">
        <f>SUM(F5:H5)</f>
        <v>501790</v>
      </c>
      <c r="R5" s="4">
        <f>SUM(I5:K5)</f>
        <v>436930</v>
      </c>
      <c r="S5" s="4">
        <f>SUM(L5:N5)</f>
        <v>410000</v>
      </c>
      <c r="T5" s="4"/>
      <c r="U5" s="4">
        <f>SUM(C5:N5)</f>
        <v>1968967</v>
      </c>
      <c r="W5" s="25">
        <f>ROUND(SUM(P5:S5)-U5,2)</f>
        <v>0</v>
      </c>
    </row>
    <row r="6" spans="2:26" x14ac:dyDescent="0.2">
      <c r="B6" s="7" t="s">
        <v>139</v>
      </c>
      <c r="C6" s="38">
        <f>+'2026 Detail'!C13</f>
        <v>163027.6</v>
      </c>
      <c r="D6" s="38">
        <f>+'2026 Detail'!D13</f>
        <v>123027.6</v>
      </c>
      <c r="E6" s="38">
        <f>+'2026 Detail'!E13</f>
        <v>366527.6</v>
      </c>
      <c r="F6" s="38">
        <f>+'2026 Detail'!F13</f>
        <v>386527.6</v>
      </c>
      <c r="G6" s="38">
        <f>+'2026 Detail'!G13</f>
        <v>268277.59999999998</v>
      </c>
      <c r="H6" s="38">
        <f>+'2026 Detail'!H13</f>
        <v>268277.59999999998</v>
      </c>
      <c r="I6" s="38">
        <f>+'2026 Detail'!I13</f>
        <v>403277.6</v>
      </c>
      <c r="J6" s="38">
        <f>+'2026 Detail'!J13</f>
        <v>390500</v>
      </c>
      <c r="K6" s="38">
        <f>+'2026 Detail'!K13</f>
        <v>286000</v>
      </c>
      <c r="L6" s="38">
        <f>+'2026 Detail'!L13</f>
        <v>431000</v>
      </c>
      <c r="M6" s="38">
        <f>+'2026 Detail'!M13</f>
        <v>506000</v>
      </c>
      <c r="N6" s="38">
        <f>+'2026 Detail'!N13</f>
        <v>550000</v>
      </c>
      <c r="O6" s="4"/>
      <c r="P6" s="4">
        <f>SUM(C6:E6)</f>
        <v>652582.80000000005</v>
      </c>
      <c r="Q6" s="4">
        <f>SUM(F6:H6)</f>
        <v>923082.79999999993</v>
      </c>
      <c r="R6" s="4">
        <f>SUM(I6:K6)</f>
        <v>1079777.6000000001</v>
      </c>
      <c r="S6" s="4">
        <f>SUM(L6:N6)</f>
        <v>1487000</v>
      </c>
      <c r="T6" s="4"/>
      <c r="U6" s="4">
        <f>SUM(C6:N6)</f>
        <v>4142443.2</v>
      </c>
      <c r="W6" s="25">
        <f>ROUND(SUM(P6:S6)-U6,2)</f>
        <v>0</v>
      </c>
    </row>
    <row r="7" spans="2:26" ht="6" customHeight="1" x14ac:dyDescent="0.2">
      <c r="B7" s="24"/>
      <c r="W7" s="3"/>
    </row>
    <row r="8" spans="2:26" x14ac:dyDescent="0.2">
      <c r="B8" s="8" t="s">
        <v>42</v>
      </c>
      <c r="C8" s="34">
        <f>SUM(C5:C6)</f>
        <v>289764.59999999998</v>
      </c>
      <c r="D8" s="34">
        <f t="shared" ref="D8:U8" si="1">SUM(D5:D6)</f>
        <v>393187.6</v>
      </c>
      <c r="E8" s="34">
        <f t="shared" si="1"/>
        <v>589877.6</v>
      </c>
      <c r="F8" s="34">
        <f t="shared" si="1"/>
        <v>584457.6</v>
      </c>
      <c r="G8" s="34">
        <f t="shared" si="1"/>
        <v>420207.6</v>
      </c>
      <c r="H8" s="34">
        <f t="shared" si="1"/>
        <v>420207.6</v>
      </c>
      <c r="I8" s="34">
        <f t="shared" si="1"/>
        <v>550207.6</v>
      </c>
      <c r="J8" s="34">
        <f t="shared" si="1"/>
        <v>535500</v>
      </c>
      <c r="K8" s="34">
        <f t="shared" si="1"/>
        <v>431000</v>
      </c>
      <c r="L8" s="34">
        <f t="shared" si="1"/>
        <v>571000</v>
      </c>
      <c r="M8" s="34">
        <f t="shared" si="1"/>
        <v>646000</v>
      </c>
      <c r="N8" s="34">
        <f t="shared" si="1"/>
        <v>680000</v>
      </c>
      <c r="O8" s="34"/>
      <c r="P8" s="34">
        <f t="shared" si="1"/>
        <v>1272829.8</v>
      </c>
      <c r="Q8" s="34">
        <f t="shared" si="1"/>
        <v>1424872.7999999998</v>
      </c>
      <c r="R8" s="34">
        <f t="shared" si="1"/>
        <v>1516707.6</v>
      </c>
      <c r="S8" s="34">
        <f t="shared" si="1"/>
        <v>1897000</v>
      </c>
      <c r="T8" s="34"/>
      <c r="U8" s="34">
        <f t="shared" si="1"/>
        <v>6111410.2000000002</v>
      </c>
      <c r="W8" s="25">
        <f>ROUND(SUM(P8:S8)-U8,2)</f>
        <v>0</v>
      </c>
      <c r="Z8" s="4"/>
    </row>
    <row r="9" spans="2:26" x14ac:dyDescent="0.2">
      <c r="B9" s="8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W9" s="25"/>
      <c r="Z9" s="4"/>
    </row>
    <row r="10" spans="2:26" x14ac:dyDescent="0.2">
      <c r="B10" s="7" t="s">
        <v>82</v>
      </c>
      <c r="C10" s="38">
        <f>+'2026 Detail'!C17+'2026 Detail'!C18</f>
        <v>184080</v>
      </c>
      <c r="D10" s="124">
        <f>C10</f>
        <v>184080</v>
      </c>
      <c r="E10" s="38">
        <f>+'2026 Detail'!E17+'2026 Detail'!E18</f>
        <v>187171.8</v>
      </c>
      <c r="F10" s="38">
        <f>+'2026 Detail'!F17+'2026 Detail'!F18</f>
        <v>181171.8</v>
      </c>
      <c r="G10" s="38">
        <f>+'2026 Detail'!G17+'2026 Detail'!G18</f>
        <v>181171.8</v>
      </c>
      <c r="H10" s="38">
        <f>+'2026 Detail'!H17+'2026 Detail'!H18</f>
        <v>181171.8</v>
      </c>
      <c r="I10" s="38">
        <f>+'2026 Detail'!I17+'2026 Detail'!I18</f>
        <v>174671.8</v>
      </c>
      <c r="J10" s="38">
        <f>+'2026 Detail'!J17+'2026 Detail'!J18</f>
        <v>174671.8</v>
      </c>
      <c r="K10" s="38">
        <f>+'2026 Detail'!K17+'2026 Detail'!K18</f>
        <v>174671.8</v>
      </c>
      <c r="L10" s="38">
        <f>+'2026 Detail'!L17+'2026 Detail'!L18</f>
        <v>170171.8</v>
      </c>
      <c r="M10" s="38">
        <f>+'2026 Detail'!M17+'2026 Detail'!M18</f>
        <v>170171.8</v>
      </c>
      <c r="N10" s="38">
        <f>+'2026 Detail'!N17+'2026 Detail'!N18</f>
        <v>170171.8</v>
      </c>
      <c r="O10" s="4"/>
      <c r="P10" s="4">
        <f>SUM(C10:E10)</f>
        <v>555331.80000000005</v>
      </c>
      <c r="Q10" s="4">
        <f>SUM(F10:H10)</f>
        <v>543515.39999999991</v>
      </c>
      <c r="R10" s="4">
        <f>SUM(I10:K10)</f>
        <v>524015.39999999997</v>
      </c>
      <c r="S10" s="4">
        <f>SUM(L10:N10)</f>
        <v>510515.39999999997</v>
      </c>
      <c r="T10" s="4"/>
      <c r="U10" s="4">
        <f>SUM(C10:N10)</f>
        <v>2133378.0000000005</v>
      </c>
      <c r="W10" s="25">
        <f t="shared" ref="W10:W12" si="2">ROUND(SUM(P10:S10)-U10,2)</f>
        <v>0</v>
      </c>
      <c r="Z10" s="4"/>
    </row>
    <row r="11" spans="2:26" x14ac:dyDescent="0.2">
      <c r="B11" s="7" t="s">
        <v>99</v>
      </c>
      <c r="C11" s="38">
        <f>+'2026 Detail'!C19+'2026 Detail'!C20</f>
        <v>40630</v>
      </c>
      <c r="D11" s="124">
        <f>C11</f>
        <v>40630</v>
      </c>
      <c r="E11" s="38">
        <f>+'2026 Detail'!E19+'2026 Detail'!E20</f>
        <v>41546.5</v>
      </c>
      <c r="F11" s="38">
        <f>+'2026 Detail'!F19+'2026 Detail'!F20</f>
        <v>41546.5</v>
      </c>
      <c r="G11" s="38">
        <f>+'2026 Detail'!G19+'2026 Detail'!G20</f>
        <v>41546.5</v>
      </c>
      <c r="H11" s="38">
        <f>+'2026 Detail'!H19+'2026 Detail'!H20</f>
        <v>41546.5</v>
      </c>
      <c r="I11" s="38">
        <f>+'2026 Detail'!I19+'2026 Detail'!I20</f>
        <v>41546.5</v>
      </c>
      <c r="J11" s="38">
        <f>+'2026 Detail'!J19+'2026 Detail'!J20</f>
        <v>41546.5</v>
      </c>
      <c r="K11" s="38">
        <f>+'2026 Detail'!K19+'2026 Detail'!K20</f>
        <v>41546.5</v>
      </c>
      <c r="L11" s="38">
        <f>+'2026 Detail'!L19+'2026 Detail'!L20</f>
        <v>41546.5</v>
      </c>
      <c r="M11" s="38">
        <f>+'2026 Detail'!M19+'2026 Detail'!M20</f>
        <v>41546.5</v>
      </c>
      <c r="N11" s="38">
        <f>+'2026 Detail'!N19+'2026 Detail'!N20</f>
        <v>41546.5</v>
      </c>
      <c r="O11" s="4"/>
      <c r="P11" s="4">
        <f>SUM(C11:E11)</f>
        <v>122806.5</v>
      </c>
      <c r="Q11" s="4">
        <f>SUM(F11:H11)</f>
        <v>124639.5</v>
      </c>
      <c r="R11" s="4">
        <f>SUM(I11:K11)</f>
        <v>124639.5</v>
      </c>
      <c r="S11" s="4">
        <f>SUM(L11:N11)</f>
        <v>124639.5</v>
      </c>
      <c r="T11" s="4"/>
      <c r="U11" s="4">
        <f>SUM(C11:N11)</f>
        <v>496725</v>
      </c>
      <c r="W11" s="25">
        <f t="shared" si="2"/>
        <v>0</v>
      </c>
    </row>
    <row r="12" spans="2:26" x14ac:dyDescent="0.2">
      <c r="B12" s="8" t="s">
        <v>88</v>
      </c>
      <c r="C12" s="34">
        <f t="shared" ref="C12:N12" si="3">SUM(C10:C11)</f>
        <v>224710</v>
      </c>
      <c r="D12" s="193">
        <f t="shared" si="3"/>
        <v>224710</v>
      </c>
      <c r="E12" s="34">
        <f t="shared" si="3"/>
        <v>228718.3</v>
      </c>
      <c r="F12" s="34">
        <f t="shared" si="3"/>
        <v>222718.3</v>
      </c>
      <c r="G12" s="34">
        <f t="shared" si="3"/>
        <v>222718.3</v>
      </c>
      <c r="H12" s="34">
        <f t="shared" si="3"/>
        <v>222718.3</v>
      </c>
      <c r="I12" s="34">
        <f t="shared" si="3"/>
        <v>216218.3</v>
      </c>
      <c r="J12" s="34">
        <f t="shared" si="3"/>
        <v>216218.3</v>
      </c>
      <c r="K12" s="34">
        <f t="shared" si="3"/>
        <v>216218.3</v>
      </c>
      <c r="L12" s="34">
        <f t="shared" si="3"/>
        <v>211718.3</v>
      </c>
      <c r="M12" s="34">
        <f t="shared" si="3"/>
        <v>211718.3</v>
      </c>
      <c r="N12" s="34">
        <f t="shared" si="3"/>
        <v>211718.3</v>
      </c>
      <c r="O12" s="34"/>
      <c r="P12" s="34">
        <f>SUM(P10:P11)</f>
        <v>678138.3</v>
      </c>
      <c r="Q12" s="34">
        <f>SUM(Q10:Q11)</f>
        <v>668154.89999999991</v>
      </c>
      <c r="R12" s="34">
        <f>SUM(R10:R11)</f>
        <v>648654.89999999991</v>
      </c>
      <c r="S12" s="34">
        <f>SUM(S10:S11)</f>
        <v>635154.89999999991</v>
      </c>
      <c r="T12" s="34"/>
      <c r="U12" s="34">
        <f>SUM(U10:U11)</f>
        <v>2630103.0000000005</v>
      </c>
      <c r="W12" s="25">
        <f t="shared" si="2"/>
        <v>0</v>
      </c>
      <c r="Z12" s="40"/>
    </row>
    <row r="13" spans="2:26" x14ac:dyDescent="0.2">
      <c r="B13" s="8"/>
      <c r="C13" s="12"/>
      <c r="D13" s="194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W13" s="25"/>
    </row>
    <row r="14" spans="2:26" x14ac:dyDescent="0.2">
      <c r="B14" s="7" t="s">
        <v>82</v>
      </c>
      <c r="C14" s="38">
        <f>+'2026 Detail'!C23+'2026 Detail'!C24</f>
        <v>10600</v>
      </c>
      <c r="D14" s="124">
        <f>+'2026 Detail'!D23+'2026 Detail'!D24</f>
        <v>10600</v>
      </c>
      <c r="E14" s="38">
        <f>+'2026 Detail'!E23+'2026 Detail'!E24</f>
        <v>10600</v>
      </c>
      <c r="F14" s="38">
        <f>+'2026 Detail'!F23+'2026 Detail'!F24</f>
        <v>10600</v>
      </c>
      <c r="G14" s="38">
        <f>+'2026 Detail'!G23+'2026 Detail'!G24</f>
        <v>10600</v>
      </c>
      <c r="H14" s="38">
        <f>+'2026 Detail'!H23+'2026 Detail'!H24</f>
        <v>10600</v>
      </c>
      <c r="I14" s="38">
        <f>+'2026 Detail'!I23+'2026 Detail'!I24</f>
        <v>10600</v>
      </c>
      <c r="J14" s="38">
        <f>+'2026 Detail'!J23+'2026 Detail'!J24</f>
        <v>10600</v>
      </c>
      <c r="K14" s="38">
        <f>+'2026 Detail'!K23+'2026 Detail'!K24</f>
        <v>10600</v>
      </c>
      <c r="L14" s="38">
        <f>+'2026 Detail'!L23+'2026 Detail'!L24</f>
        <v>10600</v>
      </c>
      <c r="M14" s="38">
        <f>+'2026 Detail'!M23+'2026 Detail'!M24</f>
        <v>10600</v>
      </c>
      <c r="N14" s="38">
        <f>+'2026 Detail'!N23+'2026 Detail'!N24</f>
        <v>10600</v>
      </c>
      <c r="O14" s="4"/>
      <c r="P14" s="4">
        <f t="shared" ref="P14:P16" si="4">SUM(C14:E14)</f>
        <v>31800</v>
      </c>
      <c r="Q14" s="4">
        <f t="shared" ref="Q14:Q16" si="5">SUM(F14:H14)</f>
        <v>31800</v>
      </c>
      <c r="R14" s="4">
        <f t="shared" ref="R14:R16" si="6">SUM(I14:K14)</f>
        <v>31800</v>
      </c>
      <c r="S14" s="4">
        <f t="shared" ref="S14:S16" si="7">SUM(L14:N14)</f>
        <v>31800</v>
      </c>
      <c r="T14" s="4"/>
      <c r="U14" s="4">
        <f t="shared" ref="U14:U16" si="8">SUM(C14:N14)</f>
        <v>127200</v>
      </c>
      <c r="W14" s="25">
        <f t="shared" ref="W14:W17" si="9">ROUND(SUM(P14:S14)-U14,2)</f>
        <v>0</v>
      </c>
      <c r="Z14" s="4"/>
    </row>
    <row r="15" spans="2:26" x14ac:dyDescent="0.2">
      <c r="B15" s="7" t="s">
        <v>99</v>
      </c>
      <c r="C15" s="38">
        <f>+'2026 Detail'!C25+'2026 Detail'!C26</f>
        <v>47260</v>
      </c>
      <c r="D15" s="124">
        <f>+'2026 Detail'!D25+'2026 Detail'!D26</f>
        <v>47260</v>
      </c>
      <c r="E15" s="38">
        <f>+'2026 Detail'!E25+'2026 Detail'!E26</f>
        <v>47734</v>
      </c>
      <c r="F15" s="38">
        <f>+'2026 Detail'!F25+'2026 Detail'!F26</f>
        <v>34734</v>
      </c>
      <c r="G15" s="38">
        <f>+'2026 Detail'!G25+'2026 Detail'!G26</f>
        <v>34734</v>
      </c>
      <c r="H15" s="38">
        <f>+'2026 Detail'!H25+'2026 Detail'!H26</f>
        <v>34734</v>
      </c>
      <c r="I15" s="38">
        <f>+'2026 Detail'!I25+'2026 Detail'!I26</f>
        <v>34734</v>
      </c>
      <c r="J15" s="38">
        <f>+'2026 Detail'!J25+'2026 Detail'!J26</f>
        <v>34734</v>
      </c>
      <c r="K15" s="38">
        <f>+'2026 Detail'!K25+'2026 Detail'!K26</f>
        <v>34734</v>
      </c>
      <c r="L15" s="38">
        <f>+'2026 Detail'!L25+'2026 Detail'!L26</f>
        <v>34734</v>
      </c>
      <c r="M15" s="38">
        <f>+'2026 Detail'!M25+'2026 Detail'!M26</f>
        <v>34734</v>
      </c>
      <c r="N15" s="38">
        <f>+'2026 Detail'!N25+'2026 Detail'!N26</f>
        <v>34734</v>
      </c>
      <c r="O15" s="4"/>
      <c r="P15" s="4">
        <f t="shared" si="4"/>
        <v>142254</v>
      </c>
      <c r="Q15" s="4">
        <f t="shared" si="5"/>
        <v>104202</v>
      </c>
      <c r="R15" s="4">
        <f t="shared" si="6"/>
        <v>104202</v>
      </c>
      <c r="S15" s="4">
        <f t="shared" si="7"/>
        <v>104202</v>
      </c>
      <c r="T15" s="4"/>
      <c r="U15" s="4">
        <f t="shared" si="8"/>
        <v>454860</v>
      </c>
      <c r="W15" s="25">
        <f t="shared" si="9"/>
        <v>0</v>
      </c>
      <c r="Z15" s="4"/>
    </row>
    <row r="16" spans="2:26" x14ac:dyDescent="0.2">
      <c r="B16" s="7" t="s">
        <v>140</v>
      </c>
      <c r="C16" s="38">
        <f>+'2026 Detail'!C27+'2026 Detail'!C28</f>
        <v>74520</v>
      </c>
      <c r="D16" s="124">
        <f>C16</f>
        <v>74520</v>
      </c>
      <c r="E16" s="38">
        <f>+'2026 Detail'!E27+'2026 Detail'!E28</f>
        <v>75498</v>
      </c>
      <c r="F16" s="38">
        <f>+'2026 Detail'!F27+'2026 Detail'!F28</f>
        <v>75498</v>
      </c>
      <c r="G16" s="38">
        <f>+'2026 Detail'!G27+'2026 Detail'!G28</f>
        <v>75498</v>
      </c>
      <c r="H16" s="38">
        <f>+'2026 Detail'!H27+'2026 Detail'!H28</f>
        <v>75498</v>
      </c>
      <c r="I16" s="38">
        <f>+'2026 Detail'!I27+'2026 Detail'!I28</f>
        <v>75498</v>
      </c>
      <c r="J16" s="38">
        <f>+'2026 Detail'!J27+'2026 Detail'!J28</f>
        <v>75498</v>
      </c>
      <c r="K16" s="38">
        <f>+'2026 Detail'!K27+'2026 Detail'!K28</f>
        <v>75498</v>
      </c>
      <c r="L16" s="38">
        <f>+'2026 Detail'!L27+'2026 Detail'!L28</f>
        <v>75498</v>
      </c>
      <c r="M16" s="38">
        <f>+'2026 Detail'!M27+'2026 Detail'!M28</f>
        <v>75498</v>
      </c>
      <c r="N16" s="38">
        <f>+'2026 Detail'!N27+'2026 Detail'!N28</f>
        <v>75498</v>
      </c>
      <c r="O16" s="4"/>
      <c r="P16" s="4">
        <f t="shared" si="4"/>
        <v>224538</v>
      </c>
      <c r="Q16" s="4">
        <f t="shared" si="5"/>
        <v>226494</v>
      </c>
      <c r="R16" s="4">
        <f t="shared" si="6"/>
        <v>226494</v>
      </c>
      <c r="S16" s="4">
        <f t="shared" si="7"/>
        <v>226494</v>
      </c>
      <c r="T16" s="4"/>
      <c r="U16" s="4">
        <f t="shared" si="8"/>
        <v>904020</v>
      </c>
      <c r="W16" s="25">
        <f t="shared" si="9"/>
        <v>0</v>
      </c>
      <c r="Z16" s="4"/>
    </row>
    <row r="17" spans="2:26" x14ac:dyDescent="0.2">
      <c r="B17" s="8" t="s">
        <v>93</v>
      </c>
      <c r="C17" s="34">
        <f t="shared" ref="C17:N17" si="10">SUM(C14:C16)</f>
        <v>132380</v>
      </c>
      <c r="D17" s="193">
        <f t="shared" si="10"/>
        <v>132380</v>
      </c>
      <c r="E17" s="34">
        <f t="shared" si="10"/>
        <v>133832</v>
      </c>
      <c r="F17" s="34">
        <f t="shared" si="10"/>
        <v>120832</v>
      </c>
      <c r="G17" s="34">
        <f t="shared" si="10"/>
        <v>120832</v>
      </c>
      <c r="H17" s="34">
        <f t="shared" si="10"/>
        <v>120832</v>
      </c>
      <c r="I17" s="34">
        <f t="shared" si="10"/>
        <v>120832</v>
      </c>
      <c r="J17" s="34">
        <f t="shared" si="10"/>
        <v>120832</v>
      </c>
      <c r="K17" s="34">
        <f t="shared" si="10"/>
        <v>120832</v>
      </c>
      <c r="L17" s="34">
        <f t="shared" si="10"/>
        <v>120832</v>
      </c>
      <c r="M17" s="34">
        <f t="shared" si="10"/>
        <v>120832</v>
      </c>
      <c r="N17" s="34">
        <f t="shared" si="10"/>
        <v>120832</v>
      </c>
      <c r="O17" s="34"/>
      <c r="P17" s="34">
        <f>SUM(P14:P16)</f>
        <v>398592</v>
      </c>
      <c r="Q17" s="34">
        <f>SUM(Q14:Q16)</f>
        <v>362496</v>
      </c>
      <c r="R17" s="34">
        <f>SUM(R14:R16)</f>
        <v>362496</v>
      </c>
      <c r="S17" s="34">
        <f>SUM(S14:S16)</f>
        <v>362496</v>
      </c>
      <c r="T17" s="34"/>
      <c r="U17" s="34">
        <f>SUM(U14:U16)</f>
        <v>1486080</v>
      </c>
      <c r="W17" s="25">
        <f t="shared" si="9"/>
        <v>0</v>
      </c>
      <c r="Z17" s="4"/>
    </row>
    <row r="18" spans="2:26" x14ac:dyDescent="0.2">
      <c r="B18" s="8"/>
      <c r="C18" s="12"/>
      <c r="D18" s="194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W18" s="25"/>
      <c r="Z18" s="4"/>
    </row>
    <row r="19" spans="2:26" x14ac:dyDescent="0.2">
      <c r="B19" s="7" t="s">
        <v>103</v>
      </c>
      <c r="C19" s="38">
        <f>+'2026 Detail'!C33</f>
        <v>67260</v>
      </c>
      <c r="D19" s="124">
        <f>C19</f>
        <v>67260</v>
      </c>
      <c r="E19" s="38">
        <f>+'2026 Detail'!E33</f>
        <v>67260</v>
      </c>
      <c r="F19" s="38">
        <f>+'2026 Detail'!F33</f>
        <v>65760</v>
      </c>
      <c r="G19" s="38">
        <f>+'2026 Detail'!G33</f>
        <v>65760</v>
      </c>
      <c r="H19" s="38">
        <f>+'2026 Detail'!H33</f>
        <v>65760</v>
      </c>
      <c r="I19" s="38">
        <f>+'2026 Detail'!I33</f>
        <v>65260</v>
      </c>
      <c r="J19" s="38">
        <f>+'2026 Detail'!J33</f>
        <v>65260</v>
      </c>
      <c r="K19" s="38">
        <f>+'2026 Detail'!K33</f>
        <v>65260</v>
      </c>
      <c r="L19" s="38">
        <f>+'2026 Detail'!L33</f>
        <v>65260</v>
      </c>
      <c r="M19" s="38">
        <f>+'2026 Detail'!M33</f>
        <v>65260</v>
      </c>
      <c r="N19" s="38">
        <f>+'2026 Detail'!N33</f>
        <v>65260</v>
      </c>
      <c r="O19" s="4"/>
      <c r="P19" s="4">
        <f>SUM(C19:E19)</f>
        <v>201780</v>
      </c>
      <c r="Q19" s="4">
        <f>SUM(F19:H19)</f>
        <v>197280</v>
      </c>
      <c r="R19" s="4">
        <f>SUM(I19:K19)</f>
        <v>195780</v>
      </c>
      <c r="S19" s="4">
        <f>SUM(L19:N19)</f>
        <v>195780</v>
      </c>
      <c r="T19" s="4"/>
      <c r="U19" s="4">
        <f>SUM(C19:N19)</f>
        <v>790620</v>
      </c>
      <c r="W19" s="25">
        <f t="shared" ref="W19:W20" si="11">ROUND(SUM(P19:S19)-U19,2)</f>
        <v>0</v>
      </c>
      <c r="Z19" s="4"/>
    </row>
    <row r="20" spans="2:26" x14ac:dyDescent="0.2">
      <c r="B20" s="8" t="s">
        <v>96</v>
      </c>
      <c r="C20" s="34">
        <f t="shared" ref="C20:N20" si="12">SUM(C19:C19)</f>
        <v>67260</v>
      </c>
      <c r="D20" s="193">
        <f>C20</f>
        <v>67260</v>
      </c>
      <c r="E20" s="34">
        <f t="shared" si="12"/>
        <v>67260</v>
      </c>
      <c r="F20" s="34">
        <f t="shared" si="12"/>
        <v>65760</v>
      </c>
      <c r="G20" s="34">
        <f t="shared" si="12"/>
        <v>65760</v>
      </c>
      <c r="H20" s="34">
        <f t="shared" si="12"/>
        <v>65760</v>
      </c>
      <c r="I20" s="34">
        <f t="shared" si="12"/>
        <v>65260</v>
      </c>
      <c r="J20" s="34">
        <f t="shared" si="12"/>
        <v>65260</v>
      </c>
      <c r="K20" s="34">
        <f t="shared" si="12"/>
        <v>65260</v>
      </c>
      <c r="L20" s="34">
        <f t="shared" si="12"/>
        <v>65260</v>
      </c>
      <c r="M20" s="34">
        <f t="shared" si="12"/>
        <v>65260</v>
      </c>
      <c r="N20" s="34">
        <f t="shared" si="12"/>
        <v>65260</v>
      </c>
      <c r="O20" s="34"/>
      <c r="P20" s="34">
        <f>SUM(P19:P19)</f>
        <v>201780</v>
      </c>
      <c r="Q20" s="34">
        <f>SUM(Q19:Q19)</f>
        <v>197280</v>
      </c>
      <c r="R20" s="34">
        <f>SUM(R19:R19)</f>
        <v>195780</v>
      </c>
      <c r="S20" s="34">
        <f>SUM(S19:S19)</f>
        <v>195780</v>
      </c>
      <c r="T20" s="34"/>
      <c r="U20" s="34">
        <f>SUM(U19:U19)</f>
        <v>790620</v>
      </c>
      <c r="W20" s="25">
        <f t="shared" si="11"/>
        <v>0</v>
      </c>
    </row>
    <row r="21" spans="2:26" x14ac:dyDescent="0.2"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W21" s="25"/>
      <c r="Z21" s="4"/>
    </row>
    <row r="22" spans="2:26" x14ac:dyDescent="0.2">
      <c r="B22" s="7" t="s">
        <v>34</v>
      </c>
      <c r="C22" s="38">
        <f>+'2026 Detail'!C35</f>
        <v>3550</v>
      </c>
      <c r="D22" s="38">
        <f>+'2026 Detail'!D35</f>
        <v>3550</v>
      </c>
      <c r="E22" s="38">
        <f>+'2026 Detail'!E35</f>
        <v>3550</v>
      </c>
      <c r="F22" s="38">
        <f>+'2026 Detail'!F35</f>
        <v>3550</v>
      </c>
      <c r="G22" s="38">
        <f>+'2026 Detail'!G35</f>
        <v>3550</v>
      </c>
      <c r="H22" s="38">
        <f>+'2026 Detail'!H35</f>
        <v>3550</v>
      </c>
      <c r="I22" s="38">
        <f>+'2026 Detail'!I35</f>
        <v>3550</v>
      </c>
      <c r="J22" s="38">
        <f>+'2026 Detail'!J35</f>
        <v>3550</v>
      </c>
      <c r="K22" s="38">
        <f>+'2026 Detail'!K35</f>
        <v>3550</v>
      </c>
      <c r="L22" s="38">
        <f>+'2026 Detail'!L35</f>
        <v>3550</v>
      </c>
      <c r="M22" s="38">
        <f>+'2026 Detail'!M35</f>
        <v>3550</v>
      </c>
      <c r="N22" s="38">
        <f>+'2026 Detail'!N35</f>
        <v>3550</v>
      </c>
      <c r="O22" s="4"/>
      <c r="P22" s="4">
        <f t="shared" ref="P22:P30" si="13">SUM(C22:E22)</f>
        <v>10650</v>
      </c>
      <c r="Q22" s="4">
        <f t="shared" ref="Q22:Q30" si="14">SUM(F22:H22)</f>
        <v>10650</v>
      </c>
      <c r="R22" s="4">
        <f t="shared" ref="R22:R30" si="15">SUM(I22:K22)</f>
        <v>10650</v>
      </c>
      <c r="S22" s="4">
        <f t="shared" ref="S22:S30" si="16">SUM(L22:N22)</f>
        <v>10650</v>
      </c>
      <c r="T22" s="4"/>
      <c r="U22" s="4">
        <f t="shared" ref="U22:U30" si="17">SUM(C22:N22)</f>
        <v>42600</v>
      </c>
      <c r="W22" s="25">
        <f t="shared" ref="W22:W31" si="18">ROUND(SUM(P22:S22)-U22,2)</f>
        <v>0</v>
      </c>
      <c r="Z22" s="4"/>
    </row>
    <row r="23" spans="2:26" x14ac:dyDescent="0.2">
      <c r="B23" s="7" t="s">
        <v>17</v>
      </c>
      <c r="C23" s="38">
        <f>+'2026 Detail'!C36</f>
        <v>4060.2450000000003</v>
      </c>
      <c r="D23" s="38">
        <f>+'2026 Detail'!D36</f>
        <v>4804.6949999999997</v>
      </c>
      <c r="E23" s="38">
        <f>+'2026 Detail'!E36</f>
        <v>13162.9575</v>
      </c>
      <c r="F23" s="38">
        <f>+'2026 Detail'!F36</f>
        <v>11670.067500000001</v>
      </c>
      <c r="G23" s="38">
        <f>+'2026 Detail'!G36</f>
        <v>26012.721000000005</v>
      </c>
      <c r="H23" s="38">
        <f>+'2026 Detail'!H36</f>
        <v>24274.236000000001</v>
      </c>
      <c r="I23" s="38">
        <f>+'2026 Detail'!I36</f>
        <v>23138.230500000001</v>
      </c>
      <c r="J23" s="38">
        <f>+'2026 Detail'!J36</f>
        <v>96432.766499999998</v>
      </c>
      <c r="K23" s="38">
        <f>+'2026 Detail'!K36</f>
        <v>10803.943499999998</v>
      </c>
      <c r="L23" s="38">
        <f>+'2026 Detail'!L36</f>
        <v>25464.211500000001</v>
      </c>
      <c r="M23" s="38">
        <f>+'2026 Detail'!M36</f>
        <v>12659.041499999999</v>
      </c>
      <c r="N23" s="38">
        <f>+'2026 Detail'!N36</f>
        <v>12600</v>
      </c>
      <c r="O23" s="4"/>
      <c r="P23" s="4">
        <f t="shared" si="13"/>
        <v>22027.897499999999</v>
      </c>
      <c r="Q23" s="4">
        <f t="shared" si="14"/>
        <v>61957.024500000014</v>
      </c>
      <c r="R23" s="4">
        <f t="shared" si="15"/>
        <v>130374.9405</v>
      </c>
      <c r="S23" s="4">
        <f t="shared" si="16"/>
        <v>50723.252999999997</v>
      </c>
      <c r="T23" s="4"/>
      <c r="U23" s="4">
        <f t="shared" si="17"/>
        <v>265083.11549999996</v>
      </c>
      <c r="W23" s="25">
        <f t="shared" si="18"/>
        <v>0</v>
      </c>
      <c r="Z23" s="4"/>
    </row>
    <row r="24" spans="2:26" x14ac:dyDescent="0.2">
      <c r="B24" s="7" t="s">
        <v>28</v>
      </c>
      <c r="C24" s="38">
        <f>+'2026 Detail'!C37</f>
        <v>750</v>
      </c>
      <c r="D24" s="38">
        <f>+'2026 Detail'!D37</f>
        <v>750</v>
      </c>
      <c r="E24" s="38">
        <f>+'2026 Detail'!E37</f>
        <v>750</v>
      </c>
      <c r="F24" s="38">
        <f>+'2026 Detail'!F37</f>
        <v>750</v>
      </c>
      <c r="G24" s="38">
        <f>+'2026 Detail'!G37</f>
        <v>750</v>
      </c>
      <c r="H24" s="38">
        <f>+'2026 Detail'!H37</f>
        <v>750</v>
      </c>
      <c r="I24" s="38">
        <f>+'2026 Detail'!I37</f>
        <v>750</v>
      </c>
      <c r="J24" s="38">
        <f>+'2026 Detail'!J37</f>
        <v>750</v>
      </c>
      <c r="K24" s="38">
        <f>+'2026 Detail'!K37</f>
        <v>750</v>
      </c>
      <c r="L24" s="38">
        <f>+'2026 Detail'!L37</f>
        <v>750</v>
      </c>
      <c r="M24" s="38">
        <f>+'2026 Detail'!M37</f>
        <v>750</v>
      </c>
      <c r="N24" s="38">
        <f>+'2026 Detail'!N37</f>
        <v>750</v>
      </c>
      <c r="O24" s="4"/>
      <c r="P24" s="4">
        <f t="shared" si="13"/>
        <v>2250</v>
      </c>
      <c r="Q24" s="4">
        <f t="shared" si="14"/>
        <v>2250</v>
      </c>
      <c r="R24" s="4">
        <f t="shared" si="15"/>
        <v>2250</v>
      </c>
      <c r="S24" s="4">
        <f t="shared" si="16"/>
        <v>2250</v>
      </c>
      <c r="T24" s="4"/>
      <c r="U24" s="4">
        <f t="shared" si="17"/>
        <v>9000</v>
      </c>
      <c r="W24" s="25">
        <f t="shared" si="18"/>
        <v>0</v>
      </c>
    </row>
    <row r="25" spans="2:26" x14ac:dyDescent="0.2">
      <c r="B25" s="7" t="s">
        <v>18</v>
      </c>
      <c r="C25" s="38">
        <f>+'2026 Detail'!C38</f>
        <v>511.87910000000005</v>
      </c>
      <c r="D25" s="38">
        <f>+'2026 Detail'!D38</f>
        <v>8528.5853999999999</v>
      </c>
      <c r="E25" s="38">
        <f>+'2026 Detail'!E38</f>
        <v>3182.5867000000003</v>
      </c>
      <c r="F25" s="38">
        <f>+'2026 Detail'!F38</f>
        <v>9254.4367000000002</v>
      </c>
      <c r="G25" s="38">
        <f>+'2026 Detail'!G38</f>
        <v>1593.9765000000002</v>
      </c>
      <c r="H25" s="38">
        <f>+'2026 Detail'!H38</f>
        <v>3130.6747</v>
      </c>
      <c r="I25" s="38">
        <f>+'2026 Detail'!I38</f>
        <v>5747.6472000000012</v>
      </c>
      <c r="J25" s="38">
        <f>+'2026 Detail'!J38</f>
        <v>1836.7372000000003</v>
      </c>
      <c r="K25" s="38">
        <f>+'2026 Detail'!K38</f>
        <v>3130.6747</v>
      </c>
      <c r="L25" s="38">
        <f>+'2026 Detail'!L38</f>
        <v>5992.3340000000007</v>
      </c>
      <c r="M25" s="38">
        <f>+'2026 Detail'!M38</f>
        <v>1836.7372000000003</v>
      </c>
      <c r="N25" s="38">
        <f>+'2026 Detail'!N38</f>
        <v>2575</v>
      </c>
      <c r="O25" s="4"/>
      <c r="P25" s="4">
        <f t="shared" si="13"/>
        <v>12223.0512</v>
      </c>
      <c r="Q25" s="4">
        <f t="shared" si="14"/>
        <v>13979.0879</v>
      </c>
      <c r="R25" s="4">
        <f t="shared" si="15"/>
        <v>10715.059100000002</v>
      </c>
      <c r="S25" s="4">
        <f t="shared" si="16"/>
        <v>10404.071200000002</v>
      </c>
      <c r="T25" s="4"/>
      <c r="U25" s="4">
        <f t="shared" si="17"/>
        <v>47321.269400000012</v>
      </c>
      <c r="W25" s="25">
        <f t="shared" si="18"/>
        <v>0</v>
      </c>
    </row>
    <row r="26" spans="2:26" x14ac:dyDescent="0.2">
      <c r="B26" s="7" t="s">
        <v>29</v>
      </c>
      <c r="C26" s="38">
        <f>+'2026 Detail'!C39</f>
        <v>12500</v>
      </c>
      <c r="D26" s="38">
        <f>+'2026 Detail'!D39</f>
        <v>12500</v>
      </c>
      <c r="E26" s="38">
        <f>+'2026 Detail'!E39</f>
        <v>12500</v>
      </c>
      <c r="F26" s="38">
        <f>+'2026 Detail'!F39</f>
        <v>10000</v>
      </c>
      <c r="G26" s="38">
        <f>+'2026 Detail'!G39</f>
        <v>10000</v>
      </c>
      <c r="H26" s="38">
        <f>+'2026 Detail'!H39</f>
        <v>10000</v>
      </c>
      <c r="I26" s="38">
        <f>+'2026 Detail'!I39</f>
        <v>8000</v>
      </c>
      <c r="J26" s="38">
        <f>+'2026 Detail'!J39</f>
        <v>8000</v>
      </c>
      <c r="K26" s="38">
        <f>+'2026 Detail'!K39</f>
        <v>8000</v>
      </c>
      <c r="L26" s="38">
        <f>+'2026 Detail'!L39</f>
        <v>8000</v>
      </c>
      <c r="M26" s="38">
        <f>+'2026 Detail'!M39</f>
        <v>8000</v>
      </c>
      <c r="N26" s="38">
        <f>+'2026 Detail'!N39</f>
        <v>8000</v>
      </c>
      <c r="O26" s="4"/>
      <c r="P26" s="4">
        <f t="shared" si="13"/>
        <v>37500</v>
      </c>
      <c r="Q26" s="4">
        <f t="shared" si="14"/>
        <v>30000</v>
      </c>
      <c r="R26" s="4">
        <f t="shared" si="15"/>
        <v>24000</v>
      </c>
      <c r="S26" s="4">
        <f t="shared" si="16"/>
        <v>24000</v>
      </c>
      <c r="T26" s="4"/>
      <c r="U26" s="4">
        <f t="shared" si="17"/>
        <v>115500</v>
      </c>
      <c r="W26" s="25">
        <f t="shared" si="18"/>
        <v>0</v>
      </c>
    </row>
    <row r="27" spans="2:26" x14ac:dyDescent="0.2">
      <c r="B27" s="7" t="s">
        <v>32</v>
      </c>
      <c r="C27" s="38">
        <f>+'2026 Detail'!C40</f>
        <v>2500</v>
      </c>
      <c r="D27" s="38">
        <f>+'2026 Detail'!D40</f>
        <v>1500</v>
      </c>
      <c r="E27" s="38">
        <f>+'2026 Detail'!E40</f>
        <v>2000</v>
      </c>
      <c r="F27" s="38">
        <f>+'2026 Detail'!F40</f>
        <v>1500</v>
      </c>
      <c r="G27" s="38">
        <f>+'2026 Detail'!G40</f>
        <v>1500</v>
      </c>
      <c r="H27" s="38">
        <f>+'2026 Detail'!H40</f>
        <v>2000</v>
      </c>
      <c r="I27" s="38">
        <f>+'2026 Detail'!I40</f>
        <v>1500</v>
      </c>
      <c r="J27" s="38">
        <f>+'2026 Detail'!J40</f>
        <v>1500</v>
      </c>
      <c r="K27" s="38">
        <f>+'2026 Detail'!K40</f>
        <v>2000</v>
      </c>
      <c r="L27" s="38">
        <f>+'2026 Detail'!L40</f>
        <v>1500</v>
      </c>
      <c r="M27" s="38">
        <f>+'2026 Detail'!M40</f>
        <v>1500</v>
      </c>
      <c r="N27" s="38">
        <f>+'2026 Detail'!N40</f>
        <v>2000</v>
      </c>
      <c r="O27" s="4"/>
      <c r="P27" s="4">
        <f t="shared" si="13"/>
        <v>6000</v>
      </c>
      <c r="Q27" s="4">
        <f t="shared" si="14"/>
        <v>5000</v>
      </c>
      <c r="R27" s="4">
        <f t="shared" si="15"/>
        <v>5000</v>
      </c>
      <c r="S27" s="4">
        <f t="shared" si="16"/>
        <v>5000</v>
      </c>
      <c r="T27" s="4"/>
      <c r="U27" s="4">
        <f t="shared" si="17"/>
        <v>21000</v>
      </c>
      <c r="W27" s="25">
        <f t="shared" si="18"/>
        <v>0</v>
      </c>
    </row>
    <row r="28" spans="2:26" x14ac:dyDescent="0.2">
      <c r="B28" s="7" t="s">
        <v>31</v>
      </c>
      <c r="C28" s="38">
        <f>+'2026 Detail'!C41</f>
        <v>5000</v>
      </c>
      <c r="D28" s="38">
        <f>+'2026 Detail'!D41</f>
        <v>5000</v>
      </c>
      <c r="E28" s="38">
        <f>+'2026 Detail'!E41</f>
        <v>5000</v>
      </c>
      <c r="F28" s="38">
        <f>+'2026 Detail'!F41</f>
        <v>5000</v>
      </c>
      <c r="G28" s="38">
        <f>+'2026 Detail'!G41</f>
        <v>5000</v>
      </c>
      <c r="H28" s="38">
        <f>+'2026 Detail'!H41</f>
        <v>5000</v>
      </c>
      <c r="I28" s="38">
        <f>+'2026 Detail'!I41</f>
        <v>5000</v>
      </c>
      <c r="J28" s="38">
        <f>+'2026 Detail'!J41</f>
        <v>5000</v>
      </c>
      <c r="K28" s="38">
        <f>+'2026 Detail'!K41</f>
        <v>5000</v>
      </c>
      <c r="L28" s="38">
        <f>+'2026 Detail'!L41</f>
        <v>5000</v>
      </c>
      <c r="M28" s="38">
        <f>+'2026 Detail'!M41</f>
        <v>5000</v>
      </c>
      <c r="N28" s="38">
        <f>+'2026 Detail'!N41</f>
        <v>5000</v>
      </c>
      <c r="O28" s="4"/>
      <c r="P28" s="4">
        <f t="shared" si="13"/>
        <v>15000</v>
      </c>
      <c r="Q28" s="4">
        <f t="shared" si="14"/>
        <v>15000</v>
      </c>
      <c r="R28" s="4">
        <f t="shared" si="15"/>
        <v>15000</v>
      </c>
      <c r="S28" s="4">
        <f t="shared" si="16"/>
        <v>15000</v>
      </c>
      <c r="T28" s="4"/>
      <c r="U28" s="4">
        <f t="shared" si="17"/>
        <v>60000</v>
      </c>
      <c r="W28" s="25">
        <f t="shared" si="18"/>
        <v>0</v>
      </c>
    </row>
    <row r="29" spans="2:26" x14ac:dyDescent="0.2">
      <c r="B29" s="7" t="s">
        <v>62</v>
      </c>
      <c r="C29" s="38">
        <f>+'2026 Detail'!C42</f>
        <v>250</v>
      </c>
      <c r="D29" s="38">
        <f>+'2026 Detail'!D42</f>
        <v>250</v>
      </c>
      <c r="E29" s="38">
        <f>+'2026 Detail'!E42</f>
        <v>250</v>
      </c>
      <c r="F29" s="38">
        <f>+'2026 Detail'!F42</f>
        <v>250</v>
      </c>
      <c r="G29" s="38">
        <f>+'2026 Detail'!G42</f>
        <v>250</v>
      </c>
      <c r="H29" s="38">
        <f>+'2026 Detail'!H42</f>
        <v>250</v>
      </c>
      <c r="I29" s="38">
        <f>+'2026 Detail'!I42</f>
        <v>250</v>
      </c>
      <c r="J29" s="38">
        <f>+'2026 Detail'!J42</f>
        <v>250</v>
      </c>
      <c r="K29" s="38">
        <f>+'2026 Detail'!K42</f>
        <v>250</v>
      </c>
      <c r="L29" s="38">
        <f>+'2026 Detail'!L42</f>
        <v>250</v>
      </c>
      <c r="M29" s="38">
        <f>+'2026 Detail'!M42</f>
        <v>250</v>
      </c>
      <c r="N29" s="38">
        <f>+'2026 Detail'!N42</f>
        <v>250</v>
      </c>
      <c r="O29" s="4"/>
      <c r="P29" s="4">
        <f t="shared" si="13"/>
        <v>750</v>
      </c>
      <c r="Q29" s="4">
        <f t="shared" si="14"/>
        <v>750</v>
      </c>
      <c r="R29" s="4">
        <f t="shared" si="15"/>
        <v>750</v>
      </c>
      <c r="S29" s="4">
        <f t="shared" si="16"/>
        <v>750</v>
      </c>
      <c r="T29" s="4"/>
      <c r="U29" s="4">
        <f t="shared" si="17"/>
        <v>3000</v>
      </c>
      <c r="W29" s="25">
        <f t="shared" si="18"/>
        <v>0</v>
      </c>
    </row>
    <row r="30" spans="2:26" x14ac:dyDescent="0.2">
      <c r="B30" s="7" t="s">
        <v>22</v>
      </c>
      <c r="C30" s="38">
        <f>+'2026 Detail'!C43</f>
        <v>15000</v>
      </c>
      <c r="D30" s="38">
        <f>+'2026 Detail'!D43</f>
        <v>15000</v>
      </c>
      <c r="E30" s="38">
        <f>+'2026 Detail'!E43</f>
        <v>15000</v>
      </c>
      <c r="F30" s="38">
        <f>+'2026 Detail'!F43</f>
        <v>15000</v>
      </c>
      <c r="G30" s="38">
        <f>+'2026 Detail'!G43</f>
        <v>15000</v>
      </c>
      <c r="H30" s="38">
        <f>+'2026 Detail'!H43</f>
        <v>15000</v>
      </c>
      <c r="I30" s="38">
        <f>+'2026 Detail'!I43</f>
        <v>15000</v>
      </c>
      <c r="J30" s="38">
        <f>+'2026 Detail'!J43</f>
        <v>15000</v>
      </c>
      <c r="K30" s="38">
        <f>+'2026 Detail'!K43</f>
        <v>15000</v>
      </c>
      <c r="L30" s="38">
        <f>+'2026 Detail'!L43</f>
        <v>15000</v>
      </c>
      <c r="M30" s="38">
        <f>+'2026 Detail'!M43</f>
        <v>15000</v>
      </c>
      <c r="N30" s="38">
        <f>+'2026 Detail'!N43</f>
        <v>15000</v>
      </c>
      <c r="O30" s="4"/>
      <c r="P30" s="4">
        <f t="shared" si="13"/>
        <v>45000</v>
      </c>
      <c r="Q30" s="4">
        <f t="shared" si="14"/>
        <v>45000</v>
      </c>
      <c r="R30" s="4">
        <f t="shared" si="15"/>
        <v>45000</v>
      </c>
      <c r="S30" s="4">
        <f t="shared" si="16"/>
        <v>45000</v>
      </c>
      <c r="T30" s="4"/>
      <c r="U30" s="4">
        <f t="shared" si="17"/>
        <v>180000</v>
      </c>
      <c r="W30" s="25">
        <f t="shared" si="18"/>
        <v>0</v>
      </c>
    </row>
    <row r="31" spans="2:26" x14ac:dyDescent="0.2">
      <c r="B31" s="8" t="s">
        <v>97</v>
      </c>
      <c r="C31" s="34">
        <f t="shared" ref="C31:N31" si="19">SUM(C22:C30)</f>
        <v>44122.124100000001</v>
      </c>
      <c r="D31" s="34">
        <f t="shared" si="19"/>
        <v>51883.280400000003</v>
      </c>
      <c r="E31" s="34">
        <f t="shared" si="19"/>
        <v>55395.544200000004</v>
      </c>
      <c r="F31" s="34">
        <f t="shared" si="19"/>
        <v>56974.504200000003</v>
      </c>
      <c r="G31" s="34">
        <f t="shared" si="19"/>
        <v>63656.697500000009</v>
      </c>
      <c r="H31" s="34">
        <f t="shared" si="19"/>
        <v>63954.9107</v>
      </c>
      <c r="I31" s="34">
        <f t="shared" si="19"/>
        <v>62935.877700000005</v>
      </c>
      <c r="J31" s="34">
        <f t="shared" si="19"/>
        <v>132319.5037</v>
      </c>
      <c r="K31" s="34">
        <f t="shared" si="19"/>
        <v>48484.618199999997</v>
      </c>
      <c r="L31" s="34">
        <f t="shared" si="19"/>
        <v>65506.5455</v>
      </c>
      <c r="M31" s="34">
        <f t="shared" si="19"/>
        <v>48545.778699999995</v>
      </c>
      <c r="N31" s="34">
        <f t="shared" si="19"/>
        <v>49725</v>
      </c>
      <c r="O31" s="34"/>
      <c r="P31" s="34">
        <f>SUM(P22:P30)</f>
        <v>151400.94870000001</v>
      </c>
      <c r="Q31" s="34">
        <f>SUM(Q22:Q30)</f>
        <v>184586.11240000001</v>
      </c>
      <c r="R31" s="34">
        <f>SUM(R22:R30)</f>
        <v>243739.99960000001</v>
      </c>
      <c r="S31" s="34">
        <f>SUM(S22:S30)</f>
        <v>163777.3242</v>
      </c>
      <c r="T31" s="34"/>
      <c r="U31" s="34">
        <f>SUM(U22:U30)</f>
        <v>743504.38489999995</v>
      </c>
      <c r="W31" s="25">
        <f t="shared" si="18"/>
        <v>0</v>
      </c>
    </row>
    <row r="32" spans="2:26" x14ac:dyDescent="0.2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W32" s="25"/>
    </row>
    <row r="33" spans="2:26" x14ac:dyDescent="0.2">
      <c r="B33" s="8" t="s">
        <v>43</v>
      </c>
      <c r="C33" s="34">
        <f t="shared" ref="C33:N33" si="20">+C12+C17+C20+C31</f>
        <v>468472.12410000002</v>
      </c>
      <c r="D33" s="34">
        <f t="shared" si="20"/>
        <v>476233.28039999999</v>
      </c>
      <c r="E33" s="34">
        <f t="shared" si="20"/>
        <v>485205.84419999999</v>
      </c>
      <c r="F33" s="34">
        <f t="shared" si="20"/>
        <v>466284.80420000001</v>
      </c>
      <c r="G33" s="34">
        <f t="shared" si="20"/>
        <v>472966.9975</v>
      </c>
      <c r="H33" s="34">
        <f t="shared" si="20"/>
        <v>473265.2107</v>
      </c>
      <c r="I33" s="34">
        <f t="shared" si="20"/>
        <v>465246.1777</v>
      </c>
      <c r="J33" s="34">
        <f t="shared" si="20"/>
        <v>534629.80370000005</v>
      </c>
      <c r="K33" s="34">
        <f t="shared" si="20"/>
        <v>450794.91819999996</v>
      </c>
      <c r="L33" s="34">
        <f t="shared" si="20"/>
        <v>463316.8455</v>
      </c>
      <c r="M33" s="34">
        <f t="shared" si="20"/>
        <v>446356.07869999995</v>
      </c>
      <c r="N33" s="34">
        <f t="shared" si="20"/>
        <v>447535.3</v>
      </c>
      <c r="O33" s="34"/>
      <c r="P33" s="34">
        <f>+P12+P17+P20+P31</f>
        <v>1429911.2487000001</v>
      </c>
      <c r="Q33" s="34">
        <f>+Q12+Q17+Q20+Q31</f>
        <v>1412517.0123999999</v>
      </c>
      <c r="R33" s="34">
        <f>+R12+R17+R20+R31</f>
        <v>1450670.8995999999</v>
      </c>
      <c r="S33" s="34">
        <f>+S12+S17+S20+S31</f>
        <v>1357208.2241999998</v>
      </c>
      <c r="T33" s="34"/>
      <c r="U33" s="34">
        <f>+U12+U17+U20+U31</f>
        <v>5650307.3848999999</v>
      </c>
      <c r="W33" s="25">
        <f>ROUND(SUM(P33:S33)-U33,2)</f>
        <v>0</v>
      </c>
      <c r="Z33" s="4"/>
    </row>
    <row r="34" spans="2:26" x14ac:dyDescent="0.2">
      <c r="W34" s="25"/>
      <c r="Z34" s="4"/>
    </row>
    <row r="35" spans="2:26" x14ac:dyDescent="0.2">
      <c r="B35" s="7" t="s">
        <v>33</v>
      </c>
      <c r="C35" s="38">
        <f>+'2026 Detail'!C48</f>
        <v>0</v>
      </c>
      <c r="D35" s="38">
        <f>+'2026 Detail'!D48</f>
        <v>0</v>
      </c>
      <c r="E35" s="38">
        <f>+'2026 Detail'!E48</f>
        <v>0</v>
      </c>
      <c r="F35" s="38">
        <f>+'2026 Detail'!F48</f>
        <v>0</v>
      </c>
      <c r="G35" s="38">
        <f>+'2026 Detail'!G48</f>
        <v>0</v>
      </c>
      <c r="H35" s="38">
        <f>+'2026 Detail'!H48</f>
        <v>0</v>
      </c>
      <c r="I35" s="38">
        <f>+'2026 Detail'!I48</f>
        <v>0</v>
      </c>
      <c r="J35" s="38">
        <f>+'2026 Detail'!J48</f>
        <v>0</v>
      </c>
      <c r="K35" s="38">
        <f>+'2026 Detail'!K48</f>
        <v>0</v>
      </c>
      <c r="L35" s="38">
        <f>+'2026 Detail'!L48</f>
        <v>0</v>
      </c>
      <c r="M35" s="38">
        <f>+'2026 Detail'!M48</f>
        <v>0</v>
      </c>
      <c r="N35" s="38">
        <f>+'2026 Detail'!N48</f>
        <v>0</v>
      </c>
      <c r="O35" s="4"/>
      <c r="P35" s="4">
        <f>SUM(C35:E35)</f>
        <v>0</v>
      </c>
      <c r="Q35" s="4">
        <f>SUM(F35:H35)</f>
        <v>0</v>
      </c>
      <c r="R35" s="4">
        <f>SUM(I35:K35)</f>
        <v>0</v>
      </c>
      <c r="S35" s="4">
        <f>SUM(L35:N35)</f>
        <v>0</v>
      </c>
      <c r="T35" s="4"/>
      <c r="U35" s="4">
        <f>SUM(C35:N35)</f>
        <v>0</v>
      </c>
      <c r="W35" s="25">
        <f t="shared" ref="W35:W41" si="21">ROUND(SUM(P35:S35)-U35,2)</f>
        <v>0</v>
      </c>
      <c r="Z35" s="4"/>
    </row>
    <row r="36" spans="2:26" x14ac:dyDescent="0.2">
      <c r="B36" s="7" t="s">
        <v>35</v>
      </c>
      <c r="C36" s="38">
        <f>+'2026 Detail'!C49</f>
        <v>0</v>
      </c>
      <c r="D36" s="38">
        <f>+'2026 Detail'!D49</f>
        <v>0</v>
      </c>
      <c r="E36" s="38">
        <f>+'2026 Detail'!E49</f>
        <v>0</v>
      </c>
      <c r="F36" s="38">
        <f>+'2026 Detail'!F49</f>
        <v>0</v>
      </c>
      <c r="G36" s="38">
        <f>+'2026 Detail'!G49</f>
        <v>0</v>
      </c>
      <c r="H36" s="38">
        <f>+'2026 Detail'!H49</f>
        <v>0</v>
      </c>
      <c r="I36" s="38">
        <f>+'2026 Detail'!I49</f>
        <v>0</v>
      </c>
      <c r="J36" s="38">
        <f>+'2026 Detail'!J49</f>
        <v>0</v>
      </c>
      <c r="K36" s="38">
        <f>+'2026 Detail'!K49</f>
        <v>0</v>
      </c>
      <c r="L36" s="38">
        <f>+'2026 Detail'!L49</f>
        <v>0</v>
      </c>
      <c r="M36" s="38">
        <f>+'2026 Detail'!M49</f>
        <v>0</v>
      </c>
      <c r="N36" s="38">
        <f>+'2026 Detail'!N49</f>
        <v>0</v>
      </c>
      <c r="O36" s="4"/>
      <c r="P36" s="4">
        <f t="shared" ref="P36:P40" si="22">SUM(C36:E36)</f>
        <v>0</v>
      </c>
      <c r="Q36" s="4">
        <f t="shared" ref="Q36:Q40" si="23">SUM(F36:H36)</f>
        <v>0</v>
      </c>
      <c r="R36" s="4">
        <f t="shared" ref="R36:R40" si="24">SUM(I36:K36)</f>
        <v>0</v>
      </c>
      <c r="S36" s="4">
        <f t="shared" ref="S36:S40" si="25">SUM(L36:N36)</f>
        <v>0</v>
      </c>
      <c r="T36" s="4"/>
      <c r="U36" s="4">
        <f t="shared" ref="U36:U40" si="26">SUM(C36:N36)</f>
        <v>0</v>
      </c>
      <c r="W36" s="25">
        <f t="shared" si="21"/>
        <v>0</v>
      </c>
    </row>
    <row r="37" spans="2:26" x14ac:dyDescent="0.2">
      <c r="B37" s="7" t="s">
        <v>16</v>
      </c>
      <c r="C37" s="38">
        <f>+'2026 Detail'!C50</f>
        <v>0</v>
      </c>
      <c r="D37" s="38">
        <f>+'2026 Detail'!D50</f>
        <v>0</v>
      </c>
      <c r="E37" s="38">
        <f>+'2026 Detail'!E50</f>
        <v>0</v>
      </c>
      <c r="F37" s="38">
        <f>+'2026 Detail'!F50</f>
        <v>0</v>
      </c>
      <c r="G37" s="38">
        <f>+'2026 Detail'!G50</f>
        <v>0</v>
      </c>
      <c r="H37" s="38">
        <f>+'2026 Detail'!H50</f>
        <v>0</v>
      </c>
      <c r="I37" s="38">
        <f>+'2026 Detail'!I50</f>
        <v>0</v>
      </c>
      <c r="J37" s="38">
        <f>+'2026 Detail'!J50</f>
        <v>0</v>
      </c>
      <c r="K37" s="38">
        <f>+'2026 Detail'!K50</f>
        <v>0</v>
      </c>
      <c r="L37" s="38">
        <f>+'2026 Detail'!L50</f>
        <v>0</v>
      </c>
      <c r="M37" s="38">
        <f>+'2026 Detail'!M50</f>
        <v>0</v>
      </c>
      <c r="N37" s="38">
        <f>+'2026 Detail'!N50</f>
        <v>0</v>
      </c>
      <c r="O37" s="4"/>
      <c r="P37" s="4">
        <f t="shared" si="22"/>
        <v>0</v>
      </c>
      <c r="Q37" s="4">
        <f t="shared" si="23"/>
        <v>0</v>
      </c>
      <c r="R37" s="4">
        <f t="shared" si="24"/>
        <v>0</v>
      </c>
      <c r="S37" s="4">
        <f t="shared" si="25"/>
        <v>0</v>
      </c>
      <c r="T37" s="4"/>
      <c r="U37" s="4">
        <f t="shared" si="26"/>
        <v>0</v>
      </c>
      <c r="W37" s="25">
        <f t="shared" si="21"/>
        <v>0</v>
      </c>
      <c r="Z37" s="4"/>
    </row>
    <row r="38" spans="2:26" x14ac:dyDescent="0.2">
      <c r="B38" s="7" t="s">
        <v>0</v>
      </c>
      <c r="C38" s="38">
        <f>+'2026 Detail'!C51</f>
        <v>0</v>
      </c>
      <c r="D38" s="38">
        <f>+'2026 Detail'!D51</f>
        <v>0</v>
      </c>
      <c r="E38" s="38">
        <f>+'2026 Detail'!E51</f>
        <v>0</v>
      </c>
      <c r="F38" s="38">
        <f>+'2026 Detail'!F51</f>
        <v>0</v>
      </c>
      <c r="G38" s="38">
        <f>+'2026 Detail'!G51</f>
        <v>0</v>
      </c>
      <c r="H38" s="38">
        <f>+'2026 Detail'!H51</f>
        <v>0</v>
      </c>
      <c r="I38" s="38">
        <f>+'2026 Detail'!I51</f>
        <v>0</v>
      </c>
      <c r="J38" s="38">
        <f>+'2026 Detail'!J51</f>
        <v>0</v>
      </c>
      <c r="K38" s="38">
        <f>+'2026 Detail'!K51</f>
        <v>0</v>
      </c>
      <c r="L38" s="38">
        <f>+'2026 Detail'!L51</f>
        <v>0</v>
      </c>
      <c r="M38" s="38">
        <f>+'2026 Detail'!M51</f>
        <v>0</v>
      </c>
      <c r="N38" s="38">
        <f>+'2026 Detail'!N51</f>
        <v>0</v>
      </c>
      <c r="O38" s="4"/>
      <c r="P38" s="4">
        <f t="shared" si="22"/>
        <v>0</v>
      </c>
      <c r="Q38" s="4">
        <f t="shared" si="23"/>
        <v>0</v>
      </c>
      <c r="R38" s="4">
        <f t="shared" si="24"/>
        <v>0</v>
      </c>
      <c r="S38" s="4">
        <f t="shared" si="25"/>
        <v>0</v>
      </c>
      <c r="T38" s="4"/>
      <c r="U38" s="4">
        <f t="shared" si="26"/>
        <v>0</v>
      </c>
      <c r="W38" s="25">
        <f t="shared" si="21"/>
        <v>0</v>
      </c>
    </row>
    <row r="39" spans="2:26" x14ac:dyDescent="0.2">
      <c r="B39" s="7" t="s">
        <v>840</v>
      </c>
      <c r="C39" s="38">
        <f>+'2026 Detail'!C52</f>
        <v>0</v>
      </c>
      <c r="D39" s="38">
        <f>+'2026 Detail'!D52</f>
        <v>0</v>
      </c>
      <c r="E39" s="38">
        <f>+'2026 Detail'!E52</f>
        <v>0</v>
      </c>
      <c r="F39" s="38">
        <f>+'2026 Detail'!F52</f>
        <v>0</v>
      </c>
      <c r="G39" s="38">
        <f>+'2026 Detail'!G52</f>
        <v>0</v>
      </c>
      <c r="H39" s="38">
        <f>+'2026 Detail'!H52</f>
        <v>0</v>
      </c>
      <c r="I39" s="38">
        <f>+'2026 Detail'!I52</f>
        <v>0</v>
      </c>
      <c r="J39" s="38">
        <f>+'2026 Detail'!J52</f>
        <v>0</v>
      </c>
      <c r="K39" s="38">
        <f>+'2026 Detail'!K52</f>
        <v>0</v>
      </c>
      <c r="L39" s="38">
        <f>+'2026 Detail'!L52</f>
        <v>0</v>
      </c>
      <c r="M39" s="38">
        <f>+'2026 Detail'!M52</f>
        <v>0</v>
      </c>
      <c r="N39" s="38">
        <f>+'2026 Detail'!N52</f>
        <v>0</v>
      </c>
      <c r="O39" s="4"/>
      <c r="P39" s="4">
        <f t="shared" ref="P39" si="27">SUM(C39:E39)</f>
        <v>0</v>
      </c>
      <c r="Q39" s="4">
        <f t="shared" si="23"/>
        <v>0</v>
      </c>
      <c r="R39" s="4">
        <f t="shared" si="24"/>
        <v>0</v>
      </c>
      <c r="S39" s="4">
        <f t="shared" si="25"/>
        <v>0</v>
      </c>
      <c r="T39" s="4"/>
      <c r="U39" s="4">
        <f t="shared" si="26"/>
        <v>0</v>
      </c>
      <c r="W39" s="25">
        <f t="shared" ref="W39" si="28">ROUND(SUM(P39:S39)-U39,2)</f>
        <v>0</v>
      </c>
    </row>
    <row r="40" spans="2:26" x14ac:dyDescent="0.2">
      <c r="B40" s="7" t="s">
        <v>26</v>
      </c>
      <c r="C40" s="38">
        <f>+'2026 Detail'!C53</f>
        <v>-400</v>
      </c>
      <c r="D40" s="38">
        <f>+'2026 Detail'!D53</f>
        <v>-400</v>
      </c>
      <c r="E40" s="38">
        <f>+'2026 Detail'!E53</f>
        <v>-400</v>
      </c>
      <c r="F40" s="38">
        <f>+'2026 Detail'!F53</f>
        <v>-400</v>
      </c>
      <c r="G40" s="38">
        <f>+'2026 Detail'!G53</f>
        <v>-400</v>
      </c>
      <c r="H40" s="38">
        <f>+'2026 Detail'!H53</f>
        <v>-400</v>
      </c>
      <c r="I40" s="38">
        <f>+'2026 Detail'!I53</f>
        <v>-400</v>
      </c>
      <c r="J40" s="38">
        <f>+'2026 Detail'!J53</f>
        <v>-400</v>
      </c>
      <c r="K40" s="38">
        <f>+'2026 Detail'!K53</f>
        <v>-400</v>
      </c>
      <c r="L40" s="38">
        <f>+'2026 Detail'!L53</f>
        <v>-400</v>
      </c>
      <c r="M40" s="38">
        <f>+'2026 Detail'!M53</f>
        <v>-400</v>
      </c>
      <c r="N40" s="38">
        <f>+'2026 Detail'!N53</f>
        <v>-400</v>
      </c>
      <c r="O40" s="4"/>
      <c r="P40" s="4">
        <f t="shared" si="22"/>
        <v>-1200</v>
      </c>
      <c r="Q40" s="4">
        <f t="shared" si="23"/>
        <v>-1200</v>
      </c>
      <c r="R40" s="4">
        <f t="shared" si="24"/>
        <v>-1200</v>
      </c>
      <c r="S40" s="4">
        <f t="shared" si="25"/>
        <v>-1200</v>
      </c>
      <c r="T40" s="4"/>
      <c r="U40" s="4">
        <f t="shared" si="26"/>
        <v>-4800</v>
      </c>
      <c r="W40" s="25">
        <f t="shared" si="21"/>
        <v>0</v>
      </c>
    </row>
    <row r="41" spans="2:26" x14ac:dyDescent="0.2">
      <c r="B41" s="7" t="s">
        <v>48</v>
      </c>
      <c r="C41" s="38">
        <f>+'2026 Detail'!C54</f>
        <v>500</v>
      </c>
      <c r="D41" s="38">
        <f>+'2026 Detail'!D54</f>
        <v>400</v>
      </c>
      <c r="E41" s="38">
        <f>+'2026 Detail'!E54</f>
        <v>100</v>
      </c>
      <c r="F41" s="38">
        <f>+'2026 Detail'!F54</f>
        <v>200</v>
      </c>
      <c r="G41" s="38">
        <f>+'2026 Detail'!G54</f>
        <v>300</v>
      </c>
      <c r="H41" s="38">
        <f>+'2026 Detail'!H54</f>
        <v>200</v>
      </c>
      <c r="I41" s="38">
        <f>+'2026 Detail'!I54</f>
        <v>200</v>
      </c>
      <c r="J41" s="38">
        <f>+'2026 Detail'!J54</f>
        <v>200</v>
      </c>
      <c r="K41" s="38">
        <f>+'2026 Detail'!K54</f>
        <v>200</v>
      </c>
      <c r="L41" s="38">
        <f>+'2026 Detail'!L54</f>
        <v>200</v>
      </c>
      <c r="M41" s="38">
        <f>+'2026 Detail'!M54</f>
        <v>300</v>
      </c>
      <c r="N41" s="38">
        <f>+'2026 Detail'!N54</f>
        <v>400</v>
      </c>
      <c r="O41" s="4"/>
      <c r="P41" s="4">
        <f>SUM(C41:E41)</f>
        <v>1000</v>
      </c>
      <c r="Q41" s="4">
        <f>SUM(F41:H41)</f>
        <v>700</v>
      </c>
      <c r="R41" s="4">
        <f>SUM(I41:K41)</f>
        <v>600</v>
      </c>
      <c r="S41" s="4">
        <f>SUM(L41:N41)</f>
        <v>900</v>
      </c>
      <c r="T41" s="4"/>
      <c r="U41" s="4">
        <f>SUM(C41:N41)</f>
        <v>3200</v>
      </c>
      <c r="W41" s="25">
        <f t="shared" si="21"/>
        <v>0</v>
      </c>
    </row>
    <row r="42" spans="2:26" x14ac:dyDescent="0.2">
      <c r="W42" s="25"/>
    </row>
    <row r="43" spans="2:26" x14ac:dyDescent="0.2">
      <c r="B43" s="1" t="s">
        <v>44</v>
      </c>
      <c r="C43" s="5">
        <f>+'2026 Detail'!C56</f>
        <v>964110.73</v>
      </c>
      <c r="D43" s="5">
        <f>+C48</f>
        <v>785503.21</v>
      </c>
      <c r="E43" s="5">
        <f t="shared" ref="E43:N43" si="29">+D48</f>
        <v>702457.53</v>
      </c>
      <c r="F43" s="5">
        <f t="shared" si="29"/>
        <v>806829.29</v>
      </c>
      <c r="G43" s="5">
        <f t="shared" si="29"/>
        <v>924802.09</v>
      </c>
      <c r="H43" s="5">
        <f t="shared" si="29"/>
        <v>871942.69</v>
      </c>
      <c r="I43" s="5">
        <f t="shared" si="29"/>
        <v>818685.08</v>
      </c>
      <c r="J43" s="5">
        <f t="shared" si="29"/>
        <v>903446.5</v>
      </c>
      <c r="K43" s="5">
        <f t="shared" si="29"/>
        <v>904116.7</v>
      </c>
      <c r="L43" s="5">
        <f t="shared" si="29"/>
        <v>884121.78</v>
      </c>
      <c r="M43" s="5">
        <f t="shared" si="29"/>
        <v>991604.93</v>
      </c>
      <c r="N43" s="5">
        <f t="shared" si="29"/>
        <v>1191148.8500000001</v>
      </c>
      <c r="O43" s="5"/>
      <c r="P43" s="5">
        <f>+C43</f>
        <v>964110.73</v>
      </c>
      <c r="Q43" s="5">
        <f>+P48</f>
        <v>806829</v>
      </c>
      <c r="R43" s="5">
        <f>+Q48</f>
        <v>818685</v>
      </c>
      <c r="S43" s="5">
        <f>+R48</f>
        <v>884122</v>
      </c>
      <c r="T43" s="5"/>
      <c r="U43" s="5">
        <f>+P43</f>
        <v>964110.73</v>
      </c>
      <c r="W43" s="25"/>
    </row>
    <row r="44" spans="2:26" x14ac:dyDescent="0.2">
      <c r="W44" s="25"/>
    </row>
    <row r="45" spans="2:26" x14ac:dyDescent="0.2">
      <c r="B45" s="7" t="s">
        <v>45</v>
      </c>
      <c r="C45" s="38">
        <f>C8-C33+SUM(C35:C41)</f>
        <v>-178607.52410000004</v>
      </c>
      <c r="D45" s="38">
        <f>D8-D33+SUM(D35:D41)</f>
        <v>-83045.680400000012</v>
      </c>
      <c r="E45" s="38">
        <f>E8-E33+SUM(E35:E41)</f>
        <v>104371.75579999998</v>
      </c>
      <c r="F45" s="38">
        <f>F8-F33+SUM(F35:F41)</f>
        <v>117972.79579999996</v>
      </c>
      <c r="G45" s="38">
        <f>G8-G33+SUM(G35:G41)</f>
        <v>-52859.397500000021</v>
      </c>
      <c r="H45" s="38">
        <f>H8-H33+SUM(H35:H41)</f>
        <v>-53257.610700000019</v>
      </c>
      <c r="I45" s="38">
        <f>I8-I33+SUM(I35:I41)</f>
        <v>84761.422299999977</v>
      </c>
      <c r="J45" s="38">
        <f>J8-J33+SUM(J35:J41)</f>
        <v>670.19629999995232</v>
      </c>
      <c r="K45" s="38">
        <f>K8-K33+SUM(K35:K41)</f>
        <v>-19994.918199999956</v>
      </c>
      <c r="L45" s="38">
        <f>L8-L33+SUM(L35:L41)</f>
        <v>107483.1545</v>
      </c>
      <c r="M45" s="38">
        <f>M8-M33+SUM(M35:M41)</f>
        <v>199543.92130000005</v>
      </c>
      <c r="N45" s="38">
        <f>N8-N33+SUM(N35:N41)</f>
        <v>232464.7</v>
      </c>
      <c r="O45" s="4"/>
      <c r="P45" s="4">
        <f>SUM(C45:E45)</f>
        <v>-157281.44870000007</v>
      </c>
      <c r="Q45" s="4">
        <f>SUM(F45:H45)</f>
        <v>11855.787599999923</v>
      </c>
      <c r="R45" s="4">
        <f>SUM(I45:K45)</f>
        <v>65436.700399999972</v>
      </c>
      <c r="S45" s="4">
        <f>SUM(L45:N45)</f>
        <v>539491.77580000006</v>
      </c>
      <c r="T45" s="4"/>
      <c r="U45" s="4">
        <f>SUM(C45:N45)</f>
        <v>459502.81509999989</v>
      </c>
      <c r="W45" s="25">
        <f>ROUND(SUM(P45:S45)-U45,2)</f>
        <v>0</v>
      </c>
    </row>
    <row r="46" spans="2:26" x14ac:dyDescent="0.2">
      <c r="B46" s="7" t="s">
        <v>50</v>
      </c>
      <c r="C46" s="38">
        <f>+'2026 Detail'!C59</f>
        <v>0</v>
      </c>
      <c r="D46" s="38">
        <f>+'2026 Detail'!D59</f>
        <v>0</v>
      </c>
      <c r="E46" s="38">
        <f>+'2026 Detail'!E59</f>
        <v>0</v>
      </c>
      <c r="F46" s="38">
        <f>+'2026 Detail'!F59</f>
        <v>0</v>
      </c>
      <c r="G46" s="38">
        <f>+'2026 Detail'!G59</f>
        <v>0</v>
      </c>
      <c r="H46" s="38">
        <f>+'2026 Detail'!H59</f>
        <v>0</v>
      </c>
      <c r="I46" s="38">
        <f>+'2026 Detail'!I59</f>
        <v>0</v>
      </c>
      <c r="J46" s="38">
        <f>+'2026 Detail'!J59</f>
        <v>0</v>
      </c>
      <c r="K46" s="38">
        <f>+'2026 Detail'!K59</f>
        <v>0</v>
      </c>
      <c r="L46" s="38">
        <f>+'2026 Detail'!L59</f>
        <v>0</v>
      </c>
      <c r="M46" s="38">
        <f>+'2026 Detail'!M59</f>
        <v>0</v>
      </c>
      <c r="N46" s="38">
        <f>+'2026 Detail'!N59</f>
        <v>0</v>
      </c>
      <c r="O46" s="4"/>
      <c r="P46" s="4">
        <f>SUM(C46:E46)</f>
        <v>0</v>
      </c>
      <c r="Q46" s="4">
        <f>SUM(F46:H46)</f>
        <v>0</v>
      </c>
      <c r="R46" s="4">
        <f>SUM(I46:K46)</f>
        <v>0</v>
      </c>
      <c r="S46" s="4">
        <f>SUM(L46:N46)</f>
        <v>0</v>
      </c>
      <c r="T46" s="4"/>
      <c r="U46" s="4">
        <f>SUM(C46:N46)</f>
        <v>0</v>
      </c>
      <c r="W46" s="25">
        <f>ROUND(SUM(P46:S46)-U46,2)</f>
        <v>0</v>
      </c>
    </row>
    <row r="47" spans="2:26" x14ac:dyDescent="0.2">
      <c r="B47" s="7"/>
      <c r="W47" s="3"/>
    </row>
    <row r="48" spans="2:26" x14ac:dyDescent="0.2">
      <c r="B48" s="8" t="s">
        <v>46</v>
      </c>
      <c r="C48" s="34">
        <f>ROUND(+C43+C45+C46,2)</f>
        <v>785503.21</v>
      </c>
      <c r="D48" s="34">
        <f t="shared" ref="D48:N48" si="30">ROUND(+D43+D45+D46,2)</f>
        <v>702457.53</v>
      </c>
      <c r="E48" s="34">
        <f t="shared" si="30"/>
        <v>806829.29</v>
      </c>
      <c r="F48" s="34">
        <f t="shared" si="30"/>
        <v>924802.09</v>
      </c>
      <c r="G48" s="34">
        <f t="shared" si="30"/>
        <v>871942.69</v>
      </c>
      <c r="H48" s="34">
        <f t="shared" si="30"/>
        <v>818685.08</v>
      </c>
      <c r="I48" s="34">
        <f t="shared" si="30"/>
        <v>903446.5</v>
      </c>
      <c r="J48" s="34">
        <f t="shared" si="30"/>
        <v>904116.7</v>
      </c>
      <c r="K48" s="34">
        <f t="shared" si="30"/>
        <v>884121.78</v>
      </c>
      <c r="L48" s="34">
        <f t="shared" si="30"/>
        <v>991604.93</v>
      </c>
      <c r="M48" s="34">
        <f t="shared" si="30"/>
        <v>1191148.8500000001</v>
      </c>
      <c r="N48" s="34">
        <f t="shared" si="30"/>
        <v>1423613.55</v>
      </c>
      <c r="O48" s="34"/>
      <c r="P48" s="34">
        <f t="shared" ref="P48:U48" si="31">ROUND(+P43+P45+P46,0)</f>
        <v>806829</v>
      </c>
      <c r="Q48" s="34">
        <f t="shared" si="31"/>
        <v>818685</v>
      </c>
      <c r="R48" s="34">
        <f t="shared" si="31"/>
        <v>884122</v>
      </c>
      <c r="S48" s="34">
        <f t="shared" si="31"/>
        <v>1423614</v>
      </c>
      <c r="T48" s="34"/>
      <c r="U48" s="34">
        <f t="shared" si="31"/>
        <v>1423614</v>
      </c>
      <c r="W48" s="3"/>
      <c r="Y48" s="4"/>
    </row>
    <row r="49" spans="1:26" x14ac:dyDescent="0.2">
      <c r="G49" s="4"/>
      <c r="H49" s="4"/>
      <c r="I49" s="4"/>
      <c r="J49" s="4"/>
      <c r="Y49" s="4"/>
      <c r="Z49" s="4"/>
    </row>
    <row r="50" spans="1:26" x14ac:dyDescent="0.2">
      <c r="B50" s="1" t="s">
        <v>192</v>
      </c>
      <c r="C50" s="4">
        <f>+C8</f>
        <v>289764.59999999998</v>
      </c>
      <c r="D50" s="4">
        <f>+D8</f>
        <v>393187.6</v>
      </c>
      <c r="E50" s="4">
        <f>+E8</f>
        <v>589877.6</v>
      </c>
      <c r="F50" s="4">
        <f>+F8</f>
        <v>584457.6</v>
      </c>
      <c r="G50" s="4">
        <f>+G8</f>
        <v>420207.6</v>
      </c>
      <c r="H50" s="4">
        <f>+H8</f>
        <v>420207.6</v>
      </c>
      <c r="I50" s="4">
        <f>+I8</f>
        <v>550207.6</v>
      </c>
      <c r="J50" s="4">
        <f>+J8</f>
        <v>535500</v>
      </c>
      <c r="K50" s="4">
        <f>+K8</f>
        <v>431000</v>
      </c>
      <c r="L50" s="4">
        <f>+L8</f>
        <v>571000</v>
      </c>
      <c r="M50" s="4">
        <f>+M8</f>
        <v>646000</v>
      </c>
      <c r="N50" s="4">
        <f>+N8</f>
        <v>680000</v>
      </c>
      <c r="P50" s="4">
        <f>+P8</f>
        <v>1272829.8</v>
      </c>
      <c r="Q50" s="4">
        <f>+Q8</f>
        <v>1424872.7999999998</v>
      </c>
      <c r="R50" s="4">
        <f>+R8</f>
        <v>1516707.6</v>
      </c>
      <c r="S50" s="4">
        <f>+S8</f>
        <v>1897000</v>
      </c>
      <c r="U50" s="4">
        <f>+U8</f>
        <v>6111410.2000000002</v>
      </c>
      <c r="Y50" s="4"/>
      <c r="Z50" s="4"/>
    </row>
    <row r="51" spans="1:26" x14ac:dyDescent="0.2">
      <c r="B51" s="1" t="s">
        <v>193</v>
      </c>
      <c r="C51" s="4">
        <f t="shared" ref="C51:N51" si="32">+C10+C14</f>
        <v>194680</v>
      </c>
      <c r="D51" s="4">
        <f t="shared" si="32"/>
        <v>194680</v>
      </c>
      <c r="E51" s="4">
        <f t="shared" si="32"/>
        <v>197771.8</v>
      </c>
      <c r="F51" s="4">
        <f t="shared" si="32"/>
        <v>191771.8</v>
      </c>
      <c r="G51" s="4">
        <f t="shared" si="32"/>
        <v>191771.8</v>
      </c>
      <c r="H51" s="4">
        <f t="shared" si="32"/>
        <v>191771.8</v>
      </c>
      <c r="I51" s="4">
        <f t="shared" si="32"/>
        <v>185271.8</v>
      </c>
      <c r="J51" s="4">
        <f t="shared" si="32"/>
        <v>185271.8</v>
      </c>
      <c r="K51" s="4">
        <f t="shared" si="32"/>
        <v>185271.8</v>
      </c>
      <c r="L51" s="4">
        <f t="shared" si="32"/>
        <v>180771.8</v>
      </c>
      <c r="M51" s="4">
        <f t="shared" si="32"/>
        <v>180771.8</v>
      </c>
      <c r="N51" s="4">
        <f t="shared" si="32"/>
        <v>180771.8</v>
      </c>
      <c r="P51" s="4">
        <f>+P10+P14</f>
        <v>587131.80000000005</v>
      </c>
      <c r="Q51" s="4">
        <f>+Q10+Q14</f>
        <v>575315.39999999991</v>
      </c>
      <c r="R51" s="4">
        <f>+R10+R14</f>
        <v>555815.39999999991</v>
      </c>
      <c r="S51" s="4">
        <f>+S10+S14</f>
        <v>542315.39999999991</v>
      </c>
      <c r="U51" s="4">
        <f>+U10+U14</f>
        <v>2260578.0000000005</v>
      </c>
    </row>
    <row r="52" spans="1:26" x14ac:dyDescent="0.2">
      <c r="B52" s="1" t="s">
        <v>194</v>
      </c>
      <c r="C52" s="4">
        <f>+C50-C51</f>
        <v>95084.599999999977</v>
      </c>
      <c r="D52" s="4">
        <f t="shared" ref="D52:N52" si="33">+D50-D51</f>
        <v>198507.59999999998</v>
      </c>
      <c r="E52" s="4">
        <f t="shared" si="33"/>
        <v>392105.8</v>
      </c>
      <c r="F52" s="4">
        <f t="shared" si="33"/>
        <v>392685.8</v>
      </c>
      <c r="G52" s="4">
        <f t="shared" si="33"/>
        <v>228435.8</v>
      </c>
      <c r="H52" s="4">
        <f t="shared" si="33"/>
        <v>228435.8</v>
      </c>
      <c r="I52" s="4">
        <f t="shared" si="33"/>
        <v>364935.8</v>
      </c>
      <c r="J52" s="4">
        <f t="shared" si="33"/>
        <v>350228.2</v>
      </c>
      <c r="K52" s="4">
        <f t="shared" si="33"/>
        <v>245728.2</v>
      </c>
      <c r="L52" s="4">
        <f t="shared" si="33"/>
        <v>390228.2</v>
      </c>
      <c r="M52" s="4">
        <f t="shared" si="33"/>
        <v>465228.2</v>
      </c>
      <c r="N52" s="4">
        <f t="shared" si="33"/>
        <v>499228.2</v>
      </c>
      <c r="P52" s="4">
        <f t="shared" ref="P52:S52" si="34">+P50-P51</f>
        <v>685698</v>
      </c>
      <c r="Q52" s="4">
        <f t="shared" si="34"/>
        <v>849557.39999999991</v>
      </c>
      <c r="R52" s="4">
        <f t="shared" si="34"/>
        <v>960892.20000000019</v>
      </c>
      <c r="S52" s="4">
        <f t="shared" si="34"/>
        <v>1354684.6</v>
      </c>
      <c r="U52" s="4">
        <f t="shared" ref="U52" si="35">+U50-U51</f>
        <v>3850832.1999999997</v>
      </c>
      <c r="Y52" s="40"/>
    </row>
    <row r="53" spans="1:26" x14ac:dyDescent="0.2">
      <c r="B53" s="1" t="s">
        <v>195</v>
      </c>
      <c r="C53" s="40">
        <f>+C52/C50</f>
        <v>0.32814429367838577</v>
      </c>
      <c r="D53" s="40">
        <f t="shared" ref="D53:N53" si="36">+D52/D50</f>
        <v>0.50486739663204028</v>
      </c>
      <c r="E53" s="40">
        <f t="shared" si="36"/>
        <v>0.66472400375942398</v>
      </c>
      <c r="F53" s="40">
        <f t="shared" si="36"/>
        <v>0.67188073181014329</v>
      </c>
      <c r="G53" s="40">
        <f t="shared" si="36"/>
        <v>0.54362605531170782</v>
      </c>
      <c r="H53" s="40">
        <f t="shared" si="36"/>
        <v>0.54362605531170782</v>
      </c>
      <c r="I53" s="40">
        <f t="shared" si="36"/>
        <v>0.66326928235814986</v>
      </c>
      <c r="J53" s="40">
        <f t="shared" si="36"/>
        <v>0.65402091503267978</v>
      </c>
      <c r="K53" s="40">
        <f t="shared" si="36"/>
        <v>0.57013503480278427</v>
      </c>
      <c r="L53" s="40">
        <f t="shared" si="36"/>
        <v>0.68341190893169879</v>
      </c>
      <c r="M53" s="40">
        <f t="shared" si="36"/>
        <v>0.72016749226006194</v>
      </c>
      <c r="N53" s="40">
        <f t="shared" si="36"/>
        <v>0.73415911764705888</v>
      </c>
      <c r="P53" s="40">
        <f t="shared" ref="P53:S53" si="37">+P52/P50</f>
        <v>0.53871931659676731</v>
      </c>
      <c r="Q53" s="40">
        <f t="shared" si="37"/>
        <v>0.59623385329553624</v>
      </c>
      <c r="R53" s="40">
        <f t="shared" si="37"/>
        <v>0.63353819813390544</v>
      </c>
      <c r="S53" s="40">
        <f t="shared" si="37"/>
        <v>0.71411945176594627</v>
      </c>
      <c r="U53" s="40">
        <f t="shared" ref="U53" si="38">+U52/U50</f>
        <v>0.63010533968084803</v>
      </c>
    </row>
    <row r="54" spans="1:26" x14ac:dyDescent="0.2">
      <c r="G54" s="4"/>
      <c r="H54" s="4"/>
      <c r="I54" s="4"/>
      <c r="J54" s="4"/>
    </row>
    <row r="55" spans="1:26" x14ac:dyDescent="0.2">
      <c r="B55" s="7" t="s">
        <v>13</v>
      </c>
      <c r="C55" s="4">
        <f>+C48-'2026 Detail'!C61</f>
        <v>0</v>
      </c>
      <c r="D55" s="4">
        <f>+D48-'2026 Detail'!D61</f>
        <v>413820.29000000004</v>
      </c>
      <c r="E55" s="4">
        <f>+E48-'2026 Detail'!E61</f>
        <v>413820.29000000004</v>
      </c>
      <c r="F55" s="4">
        <f>+F48-'2026 Detail'!F61</f>
        <v>413820.29</v>
      </c>
      <c r="G55" s="4">
        <f>+G48-'2026 Detail'!G61</f>
        <v>413820.28999999992</v>
      </c>
      <c r="H55" s="4">
        <f>+H48-'2026 Detail'!H61</f>
        <v>413820.29</v>
      </c>
      <c r="I55" s="4">
        <f>+I48-'2026 Detail'!I61</f>
        <v>413820.29</v>
      </c>
      <c r="J55" s="4">
        <f>+J48-'2026 Detail'!J61</f>
        <v>413820.29</v>
      </c>
      <c r="K55" s="4">
        <f>+K48-'2026 Detail'!K61</f>
        <v>413820.29000000004</v>
      </c>
      <c r="L55" s="4">
        <f>+L48-'2026 Detail'!L61</f>
        <v>413820.29000000004</v>
      </c>
      <c r="M55" s="4">
        <f>+M48-'2026 Detail'!M61</f>
        <v>413820.29000000004</v>
      </c>
      <c r="N55" s="4">
        <f>+N48-'2026 Detail'!N61</f>
        <v>413820.29000000004</v>
      </c>
      <c r="P55" s="4"/>
      <c r="Q55" s="4"/>
      <c r="R55" s="4"/>
      <c r="S55" s="4"/>
      <c r="U55" s="4"/>
    </row>
    <row r="56" spans="1:26" x14ac:dyDescent="0.2">
      <c r="G56" s="4"/>
    </row>
    <row r="58" spans="1:26" s="183" customFormat="1" x14ac:dyDescent="0.2">
      <c r="A58" s="183" t="s">
        <v>1547</v>
      </c>
    </row>
    <row r="59" spans="1:26" hidden="1" outlineLevel="1" x14ac:dyDescent="0.2">
      <c r="B59" s="1" t="s">
        <v>1540</v>
      </c>
      <c r="C59" s="4">
        <v>637897.35</v>
      </c>
      <c r="D59" s="4">
        <v>204430</v>
      </c>
      <c r="E59" s="4">
        <v>201394.6</v>
      </c>
      <c r="F59" s="4">
        <v>289457.59999999998</v>
      </c>
      <c r="G59" s="4">
        <v>349652.6</v>
      </c>
      <c r="H59" s="4">
        <v>259207.6</v>
      </c>
      <c r="I59" s="4">
        <v>207395.85</v>
      </c>
      <c r="J59" s="4">
        <v>192430</v>
      </c>
      <c r="K59" s="4">
        <v>102930</v>
      </c>
      <c r="L59" s="4">
        <v>102930</v>
      </c>
      <c r="M59" s="4">
        <v>102930</v>
      </c>
      <c r="N59" s="4">
        <v>96930</v>
      </c>
      <c r="P59" s="182">
        <f>SUM(C59:E59)</f>
        <v>1043721.95</v>
      </c>
      <c r="Q59" s="182">
        <f>SUM(F59:H59)</f>
        <v>898317.79999999993</v>
      </c>
      <c r="R59" s="182">
        <f>SUM(I59:K59)</f>
        <v>502755.85</v>
      </c>
      <c r="S59" s="182">
        <f>SUM(L59:N59)</f>
        <v>302790</v>
      </c>
      <c r="T59" s="182"/>
      <c r="U59" s="182">
        <f>SUM(C59:N59)</f>
        <v>2747585.6</v>
      </c>
    </row>
    <row r="60" spans="1:26" hidden="1" outlineLevel="1" x14ac:dyDescent="0.2">
      <c r="B60" s="1" t="s">
        <v>1539</v>
      </c>
      <c r="C60" s="4">
        <f>+'1 Collections'!R27</f>
        <v>62500</v>
      </c>
      <c r="D60" s="4">
        <f>+'1 Collections'!S27</f>
        <v>62500</v>
      </c>
      <c r="E60" s="4">
        <f>+'1 Collections'!T27</f>
        <v>210000</v>
      </c>
      <c r="F60" s="4">
        <f>+'1 Collections'!U27</f>
        <v>160000</v>
      </c>
      <c r="G60" s="4">
        <f>+'1 Collections'!V27</f>
        <v>260000</v>
      </c>
      <c r="H60" s="4">
        <f>+'1 Collections'!W27</f>
        <v>260000</v>
      </c>
      <c r="I60" s="4">
        <f>+'1 Collections'!X27</f>
        <v>390000</v>
      </c>
      <c r="J60" s="4">
        <f>+'1 Collections'!Y27</f>
        <v>390000</v>
      </c>
      <c r="K60" s="4">
        <f>+'1 Collections'!Z27</f>
        <v>390000</v>
      </c>
      <c r="L60" s="4">
        <f>+'1 Collections'!AA27</f>
        <v>530000</v>
      </c>
      <c r="M60" s="4">
        <f>+'1 Collections'!AB27</f>
        <v>605000</v>
      </c>
      <c r="N60" s="4">
        <f>+'1 Collections'!AC27</f>
        <v>645000</v>
      </c>
      <c r="P60" s="182">
        <f>SUM(C60:E60)</f>
        <v>335000</v>
      </c>
      <c r="Q60" s="182">
        <f>SUM(F60:H60)</f>
        <v>680000</v>
      </c>
      <c r="R60" s="182">
        <f>SUM(I60:K60)</f>
        <v>1170000</v>
      </c>
      <c r="S60" s="182">
        <f>SUM(L60:N60)</f>
        <v>1780000</v>
      </c>
      <c r="T60" s="182"/>
      <c r="U60" s="182">
        <f>SUM(C60:N60)</f>
        <v>3965000</v>
      </c>
    </row>
    <row r="61" spans="1:26" hidden="1" outlineLevel="1" x14ac:dyDescent="0.2">
      <c r="B61" s="1" t="s">
        <v>1538</v>
      </c>
      <c r="C61" s="4">
        <f>SUM(C59:C60)</f>
        <v>700397.35</v>
      </c>
      <c r="D61" s="4">
        <f t="shared" ref="D61:N61" si="39">SUM(D59:D60)</f>
        <v>266930</v>
      </c>
      <c r="E61" s="4">
        <f t="shared" si="39"/>
        <v>411394.6</v>
      </c>
      <c r="F61" s="4">
        <f t="shared" si="39"/>
        <v>449457.6</v>
      </c>
      <c r="G61" s="4">
        <f t="shared" si="39"/>
        <v>609652.6</v>
      </c>
      <c r="H61" s="4">
        <f t="shared" si="39"/>
        <v>519207.6</v>
      </c>
      <c r="I61" s="4">
        <f t="shared" si="39"/>
        <v>597395.85</v>
      </c>
      <c r="J61" s="4">
        <f t="shared" si="39"/>
        <v>582430</v>
      </c>
      <c r="K61" s="4">
        <f t="shared" si="39"/>
        <v>492930</v>
      </c>
      <c r="L61" s="4">
        <f t="shared" si="39"/>
        <v>632930</v>
      </c>
      <c r="M61" s="4">
        <f t="shared" si="39"/>
        <v>707930</v>
      </c>
      <c r="N61" s="4">
        <f t="shared" si="39"/>
        <v>741930</v>
      </c>
      <c r="P61" s="182">
        <f>SUM(C61:E61)</f>
        <v>1378721.95</v>
      </c>
      <c r="Q61" s="182">
        <f>SUM(F61:H61)</f>
        <v>1578317.7999999998</v>
      </c>
      <c r="R61" s="182">
        <f>SUM(I61:K61)</f>
        <v>1672755.85</v>
      </c>
      <c r="S61" s="182">
        <f>SUM(L61:N61)</f>
        <v>2082790</v>
      </c>
      <c r="T61" s="182"/>
      <c r="U61" s="182">
        <f>SUM(C61:N61)</f>
        <v>6712585.5999999996</v>
      </c>
    </row>
    <row r="62" spans="1:26" hidden="1" outlineLevel="1" x14ac:dyDescent="0.2"/>
    <row r="63" spans="1:26" hidden="1" outlineLevel="1" x14ac:dyDescent="0.2">
      <c r="B63" s="1" t="s">
        <v>44</v>
      </c>
      <c r="C63" s="4">
        <v>812310.92</v>
      </c>
      <c r="D63" s="4">
        <f>+C66</f>
        <v>1044336.1459</v>
      </c>
      <c r="E63" s="4">
        <f t="shared" ref="E63:N63" si="40">+D66</f>
        <v>835032.86549999984</v>
      </c>
      <c r="F63" s="4">
        <f t="shared" si="40"/>
        <v>760921.6213</v>
      </c>
      <c r="G63" s="4">
        <f t="shared" si="40"/>
        <v>743894.41709999985</v>
      </c>
      <c r="H63" s="4">
        <f t="shared" si="40"/>
        <v>880480.01959999977</v>
      </c>
      <c r="I63" s="4">
        <f t="shared" si="40"/>
        <v>926222.40889999992</v>
      </c>
      <c r="J63" s="4">
        <f t="shared" si="40"/>
        <v>1058172.0811999999</v>
      </c>
      <c r="K63" s="4">
        <f t="shared" si="40"/>
        <v>1105772.2774999999</v>
      </c>
      <c r="L63" s="4">
        <f t="shared" si="40"/>
        <v>1147707.3592999999</v>
      </c>
      <c r="M63" s="4">
        <f t="shared" si="40"/>
        <v>1317120.5137999998</v>
      </c>
      <c r="N63" s="4">
        <f t="shared" si="40"/>
        <v>1578594.4350999999</v>
      </c>
      <c r="P63" s="182">
        <f>+C63</f>
        <v>812310.92</v>
      </c>
      <c r="Q63" s="182">
        <f>+P66</f>
        <v>760921.62130000023</v>
      </c>
      <c r="R63" s="182">
        <f>+Q66</f>
        <v>926222.40890000015</v>
      </c>
      <c r="S63" s="182">
        <f>+R66</f>
        <v>1147707.3593000001</v>
      </c>
      <c r="T63" s="182"/>
      <c r="U63" s="182">
        <f>+C63</f>
        <v>812310.92</v>
      </c>
    </row>
    <row r="64" spans="1:26" hidden="1" outlineLevel="1" x14ac:dyDescent="0.2">
      <c r="B64" s="1" t="s">
        <v>1541</v>
      </c>
      <c r="C64" s="4">
        <f>+C61</f>
        <v>700397.35</v>
      </c>
      <c r="D64" s="4">
        <f>+D61</f>
        <v>266930</v>
      </c>
      <c r="E64" s="4">
        <f t="shared" ref="E64:N64" si="41">+E61</f>
        <v>411394.6</v>
      </c>
      <c r="F64" s="4">
        <f t="shared" si="41"/>
        <v>449457.6</v>
      </c>
      <c r="G64" s="4">
        <f t="shared" si="41"/>
        <v>609652.6</v>
      </c>
      <c r="H64" s="4">
        <f t="shared" si="41"/>
        <v>519207.6</v>
      </c>
      <c r="I64" s="4">
        <f t="shared" si="41"/>
        <v>597395.85</v>
      </c>
      <c r="J64" s="4">
        <f t="shared" si="41"/>
        <v>582430</v>
      </c>
      <c r="K64" s="4">
        <f t="shared" si="41"/>
        <v>492930</v>
      </c>
      <c r="L64" s="4">
        <f t="shared" si="41"/>
        <v>632930</v>
      </c>
      <c r="M64" s="4">
        <f t="shared" si="41"/>
        <v>707930</v>
      </c>
      <c r="N64" s="4">
        <f t="shared" si="41"/>
        <v>741930</v>
      </c>
      <c r="P64" s="182">
        <f t="shared" ref="P64:P65" si="42">SUM(C64:E64)</f>
        <v>1378721.95</v>
      </c>
      <c r="Q64" s="182">
        <f t="shared" ref="Q64:Q65" si="43">SUM(F64:H64)</f>
        <v>1578317.7999999998</v>
      </c>
      <c r="R64" s="182">
        <f t="shared" ref="R64:R65" si="44">SUM(I64:K64)</f>
        <v>1672755.85</v>
      </c>
      <c r="S64" s="182">
        <f t="shared" ref="S64:S65" si="45">SUM(L64:N64)</f>
        <v>2082790</v>
      </c>
      <c r="T64" s="182"/>
      <c r="U64" s="182">
        <f t="shared" ref="U64:U65" si="46">SUM(C64:N64)</f>
        <v>6712585.5999999996</v>
      </c>
    </row>
    <row r="65" spans="1:21" hidden="1" outlineLevel="1" x14ac:dyDescent="0.2">
      <c r="B65" s="1" t="s">
        <v>1542</v>
      </c>
      <c r="C65" s="4">
        <f>-+C33+SUM(C35:C41)</f>
        <v>-468372.12410000002</v>
      </c>
      <c r="D65" s="4">
        <f>-+D33+SUM(D35:D41)</f>
        <v>-476233.28039999999</v>
      </c>
      <c r="E65" s="4">
        <f t="shared" ref="E65:N65" si="47">-+E33+SUM(E35:E41)</f>
        <v>-485505.84419999999</v>
      </c>
      <c r="F65" s="4">
        <f t="shared" si="47"/>
        <v>-466484.80420000001</v>
      </c>
      <c r="G65" s="4">
        <f t="shared" si="47"/>
        <v>-473066.9975</v>
      </c>
      <c r="H65" s="4">
        <f t="shared" si="47"/>
        <v>-473465.2107</v>
      </c>
      <c r="I65" s="4">
        <f t="shared" si="47"/>
        <v>-465446.1777</v>
      </c>
      <c r="J65" s="4">
        <f t="shared" si="47"/>
        <v>-534829.80370000005</v>
      </c>
      <c r="K65" s="4">
        <f t="shared" si="47"/>
        <v>-450994.91819999996</v>
      </c>
      <c r="L65" s="4">
        <f t="shared" si="47"/>
        <v>-463516.8455</v>
      </c>
      <c r="M65" s="4">
        <f t="shared" si="47"/>
        <v>-446456.07869999995</v>
      </c>
      <c r="N65" s="4">
        <f t="shared" si="47"/>
        <v>-447535.3</v>
      </c>
      <c r="P65" s="182">
        <f t="shared" si="42"/>
        <v>-1430111.2486999999</v>
      </c>
      <c r="Q65" s="182">
        <f t="shared" si="43"/>
        <v>-1413017.0123999999</v>
      </c>
      <c r="R65" s="182">
        <f t="shared" si="44"/>
        <v>-1451270.8996000001</v>
      </c>
      <c r="S65" s="182">
        <f t="shared" si="45"/>
        <v>-1357508.2242000001</v>
      </c>
      <c r="T65" s="182"/>
      <c r="U65" s="182">
        <f t="shared" si="46"/>
        <v>-5651907.384899999</v>
      </c>
    </row>
    <row r="66" spans="1:21" hidden="1" outlineLevel="1" x14ac:dyDescent="0.2">
      <c r="B66" s="1" t="s">
        <v>46</v>
      </c>
      <c r="C66" s="4">
        <f>SUM(C63:C65)</f>
        <v>1044336.1459</v>
      </c>
      <c r="D66" s="4">
        <f>SUM(D63:D65)</f>
        <v>835032.86549999984</v>
      </c>
      <c r="E66" s="4">
        <f t="shared" ref="E66:S66" si="48">SUM(E63:E65)</f>
        <v>760921.6213</v>
      </c>
      <c r="F66" s="4">
        <f t="shared" si="48"/>
        <v>743894.41709999985</v>
      </c>
      <c r="G66" s="4">
        <f t="shared" si="48"/>
        <v>880480.01959999977</v>
      </c>
      <c r="H66" s="4">
        <f t="shared" si="48"/>
        <v>926222.40889999992</v>
      </c>
      <c r="I66" s="4">
        <f t="shared" si="48"/>
        <v>1058172.0811999999</v>
      </c>
      <c r="J66" s="4">
        <f t="shared" si="48"/>
        <v>1105772.2774999999</v>
      </c>
      <c r="K66" s="4">
        <f t="shared" si="48"/>
        <v>1147707.3592999999</v>
      </c>
      <c r="L66" s="4">
        <f t="shared" si="48"/>
        <v>1317120.5137999998</v>
      </c>
      <c r="M66" s="4">
        <f t="shared" si="48"/>
        <v>1578594.4350999999</v>
      </c>
      <c r="N66" s="4">
        <f t="shared" si="48"/>
        <v>1872989.1350999998</v>
      </c>
      <c r="P66" s="182">
        <f t="shared" si="48"/>
        <v>760921.62130000023</v>
      </c>
      <c r="Q66" s="182">
        <f t="shared" si="48"/>
        <v>926222.40890000015</v>
      </c>
      <c r="R66" s="182">
        <f t="shared" si="48"/>
        <v>1147707.3593000001</v>
      </c>
      <c r="S66" s="182">
        <f t="shared" si="48"/>
        <v>1872989.1351000001</v>
      </c>
      <c r="T66" s="182"/>
      <c r="U66" s="182">
        <f t="shared" ref="U66" si="49">SUM(U63:U65)</f>
        <v>1872989.1351000005</v>
      </c>
    </row>
    <row r="67" spans="1:21" hidden="1" outlineLevel="1" x14ac:dyDescent="0.2">
      <c r="P67" s="183"/>
      <c r="Q67" s="183"/>
      <c r="R67" s="183"/>
      <c r="S67" s="183"/>
      <c r="T67" s="183"/>
      <c r="U67" s="183"/>
    </row>
    <row r="68" spans="1:21" hidden="1" outlineLevel="1" x14ac:dyDescent="0.2">
      <c r="B68" s="8" t="s">
        <v>46</v>
      </c>
      <c r="C68" s="34">
        <f>+C48</f>
        <v>785503.21</v>
      </c>
      <c r="D68" s="34">
        <f t="shared" ref="D68:N68" si="50">+D48</f>
        <v>702457.53</v>
      </c>
      <c r="E68" s="34">
        <f t="shared" si="50"/>
        <v>806829.29</v>
      </c>
      <c r="F68" s="34">
        <f t="shared" si="50"/>
        <v>924802.09</v>
      </c>
      <c r="G68" s="34">
        <f t="shared" si="50"/>
        <v>871942.69</v>
      </c>
      <c r="H68" s="34">
        <f t="shared" si="50"/>
        <v>818685.08</v>
      </c>
      <c r="I68" s="34">
        <f t="shared" si="50"/>
        <v>903446.5</v>
      </c>
      <c r="J68" s="34">
        <f t="shared" si="50"/>
        <v>904116.7</v>
      </c>
      <c r="K68" s="34">
        <f t="shared" si="50"/>
        <v>884121.78</v>
      </c>
      <c r="L68" s="34">
        <f t="shared" si="50"/>
        <v>991604.93</v>
      </c>
      <c r="M68" s="34">
        <f t="shared" si="50"/>
        <v>1191148.8500000001</v>
      </c>
      <c r="N68" s="34">
        <f t="shared" si="50"/>
        <v>1423613.55</v>
      </c>
      <c r="O68" s="34"/>
      <c r="P68" s="184">
        <f t="shared" ref="P68:S68" si="51">+P48</f>
        <v>806829</v>
      </c>
      <c r="Q68" s="184">
        <f t="shared" si="51"/>
        <v>818685</v>
      </c>
      <c r="R68" s="184">
        <f t="shared" si="51"/>
        <v>884122</v>
      </c>
      <c r="S68" s="184">
        <f t="shared" si="51"/>
        <v>1423614</v>
      </c>
      <c r="T68" s="184"/>
      <c r="U68" s="184">
        <f t="shared" ref="U68" si="52">+U48</f>
        <v>1423614</v>
      </c>
    </row>
    <row r="69" spans="1:21" hidden="1" outlineLevel="1" x14ac:dyDescent="0.2">
      <c r="B69" s="1" t="s">
        <v>1543</v>
      </c>
      <c r="C69" s="4">
        <f>+C66-C68</f>
        <v>258832.93590000004</v>
      </c>
      <c r="D69" s="4">
        <f t="shared" ref="D69:U69" si="53">+D66-D68</f>
        <v>132575.33549999981</v>
      </c>
      <c r="E69" s="4">
        <f t="shared" si="53"/>
        <v>-45907.668700000038</v>
      </c>
      <c r="F69" s="4">
        <f t="shared" si="53"/>
        <v>-180907.67290000012</v>
      </c>
      <c r="G69" s="4">
        <f t="shared" si="53"/>
        <v>8537.3295999998227</v>
      </c>
      <c r="H69" s="4">
        <f t="shared" si="53"/>
        <v>107537.32889999996</v>
      </c>
      <c r="I69" s="4">
        <f t="shared" si="53"/>
        <v>154725.5811999999</v>
      </c>
      <c r="J69" s="4">
        <f t="shared" si="53"/>
        <v>201655.5774999999</v>
      </c>
      <c r="K69" s="4">
        <f t="shared" si="53"/>
        <v>263585.57929999987</v>
      </c>
      <c r="L69" s="4">
        <f t="shared" si="53"/>
        <v>325515.58379999979</v>
      </c>
      <c r="M69" s="4">
        <f t="shared" si="53"/>
        <v>387445.58509999979</v>
      </c>
      <c r="N69" s="4">
        <f t="shared" si="53"/>
        <v>449375.58509999979</v>
      </c>
      <c r="P69" s="182">
        <f t="shared" si="53"/>
        <v>-45907.378699999768</v>
      </c>
      <c r="Q69" s="182">
        <f t="shared" si="53"/>
        <v>107537.40890000015</v>
      </c>
      <c r="R69" s="182">
        <f t="shared" si="53"/>
        <v>263585.35930000013</v>
      </c>
      <c r="S69" s="182">
        <f t="shared" si="53"/>
        <v>449375.13510000007</v>
      </c>
      <c r="T69" s="183"/>
      <c r="U69" s="182">
        <f t="shared" si="53"/>
        <v>449375.13510000054</v>
      </c>
    </row>
    <row r="70" spans="1:21" hidden="1" outlineLevel="1" x14ac:dyDescent="0.2">
      <c r="P70" s="183"/>
      <c r="Q70" s="183"/>
      <c r="R70" s="183"/>
      <c r="S70" s="183"/>
      <c r="T70" s="183"/>
      <c r="U70" s="183"/>
    </row>
    <row r="71" spans="1:21" hidden="1" outlineLevel="1" x14ac:dyDescent="0.2">
      <c r="B71" s="1" t="s">
        <v>1544</v>
      </c>
      <c r="C71" s="4">
        <f>+C59</f>
        <v>637897.35</v>
      </c>
      <c r="D71" s="4">
        <f>+D59</f>
        <v>204430</v>
      </c>
      <c r="E71" s="4">
        <f>+E59</f>
        <v>201394.6</v>
      </c>
      <c r="F71" s="4">
        <f>+F59</f>
        <v>289457.59999999998</v>
      </c>
      <c r="G71" s="4">
        <f>+G59</f>
        <v>349652.6</v>
      </c>
      <c r="H71" s="4">
        <f>+H59</f>
        <v>259207.6</v>
      </c>
      <c r="I71" s="4">
        <f>+I59</f>
        <v>207395.85</v>
      </c>
      <c r="J71" s="4">
        <f>+J59</f>
        <v>192430</v>
      </c>
      <c r="K71" s="4">
        <f>+K59</f>
        <v>102930</v>
      </c>
      <c r="L71" s="4">
        <f>+L59</f>
        <v>102930</v>
      </c>
      <c r="M71" s="4">
        <f>+M59</f>
        <v>102930</v>
      </c>
      <c r="N71" s="4">
        <f>+N59</f>
        <v>96930</v>
      </c>
      <c r="P71" s="182">
        <f>SUM(C71:E71)</f>
        <v>1043721.95</v>
      </c>
      <c r="Q71" s="182">
        <f>SUM(F71:H71)</f>
        <v>898317.79999999993</v>
      </c>
      <c r="R71" s="182">
        <f>SUM(I71:K71)</f>
        <v>502755.85</v>
      </c>
      <c r="S71" s="182">
        <f>SUM(L71:N71)</f>
        <v>302790</v>
      </c>
      <c r="T71" s="182"/>
      <c r="U71" s="182">
        <f>SUM(C71:N71)</f>
        <v>2747585.6</v>
      </c>
    </row>
    <row r="72" spans="1:21" hidden="1" outlineLevel="1" x14ac:dyDescent="0.2">
      <c r="B72" s="1" t="s">
        <v>1545</v>
      </c>
      <c r="C72" s="4">
        <f>+'1 Collections'!R15</f>
        <v>227264.6</v>
      </c>
      <c r="D72" s="4">
        <f>+'1 Collections'!S15</f>
        <v>330687.59999999998</v>
      </c>
      <c r="E72" s="4">
        <f>+'1 Collections'!T15</f>
        <v>379877.6</v>
      </c>
      <c r="F72" s="4">
        <f>+'1 Collections'!U15</f>
        <v>424457.6</v>
      </c>
      <c r="G72" s="4">
        <f>+'1 Collections'!V15</f>
        <v>160207.6</v>
      </c>
      <c r="H72" s="4">
        <f>+'1 Collections'!W15</f>
        <v>160207.6</v>
      </c>
      <c r="I72" s="4">
        <f>+'1 Collections'!X15</f>
        <v>160207.6</v>
      </c>
      <c r="J72" s="4">
        <f>+'1 Collections'!Y15</f>
        <v>145500</v>
      </c>
      <c r="K72" s="4">
        <f>+'1 Collections'!Z15</f>
        <v>41000</v>
      </c>
      <c r="L72" s="4">
        <f>+'1 Collections'!AA15</f>
        <v>41000</v>
      </c>
      <c r="M72" s="4">
        <f>+'1 Collections'!AB15</f>
        <v>41000</v>
      </c>
      <c r="N72" s="4">
        <f>+'1 Collections'!AC15</f>
        <v>35000</v>
      </c>
      <c r="P72" s="182">
        <f>SUM(C72:E72)</f>
        <v>937829.79999999993</v>
      </c>
      <c r="Q72" s="182">
        <f>SUM(F72:H72)</f>
        <v>744872.79999999993</v>
      </c>
      <c r="R72" s="182">
        <f>SUM(I72:K72)</f>
        <v>346707.6</v>
      </c>
      <c r="S72" s="182">
        <f>SUM(L72:N72)</f>
        <v>117000</v>
      </c>
      <c r="T72" s="182"/>
      <c r="U72" s="182">
        <f>SUM(C72:N72)</f>
        <v>2146410.2000000002</v>
      </c>
    </row>
    <row r="73" spans="1:21" hidden="1" outlineLevel="1" x14ac:dyDescent="0.2">
      <c r="B73" s="1" t="s">
        <v>1546</v>
      </c>
      <c r="C73" s="4">
        <f>+C71-C72</f>
        <v>410632.75</v>
      </c>
      <c r="D73" s="4">
        <f t="shared" ref="D73:N73" si="54">+D71-D72</f>
        <v>-126257.59999999998</v>
      </c>
      <c r="E73" s="4">
        <f t="shared" si="54"/>
        <v>-178482.99999999997</v>
      </c>
      <c r="F73" s="4">
        <f t="shared" si="54"/>
        <v>-135000</v>
      </c>
      <c r="G73" s="4">
        <f t="shared" si="54"/>
        <v>189444.99999999997</v>
      </c>
      <c r="H73" s="4">
        <f t="shared" si="54"/>
        <v>99000</v>
      </c>
      <c r="I73" s="4">
        <f t="shared" si="54"/>
        <v>47188.25</v>
      </c>
      <c r="J73" s="4">
        <f t="shared" si="54"/>
        <v>46930</v>
      </c>
      <c r="K73" s="4">
        <f t="shared" si="54"/>
        <v>61930</v>
      </c>
      <c r="L73" s="4">
        <f t="shared" si="54"/>
        <v>61930</v>
      </c>
      <c r="M73" s="4">
        <f t="shared" si="54"/>
        <v>61930</v>
      </c>
      <c r="N73" s="4">
        <f t="shared" si="54"/>
        <v>61930</v>
      </c>
      <c r="P73" s="182">
        <f>SUM(C73:E73)</f>
        <v>105892.15000000005</v>
      </c>
      <c r="Q73" s="182">
        <f>SUM(F73:H73)</f>
        <v>153444.99999999997</v>
      </c>
      <c r="R73" s="182">
        <f>SUM(I73:K73)</f>
        <v>156048.25</v>
      </c>
      <c r="S73" s="182">
        <f>SUM(L73:N73)</f>
        <v>185790</v>
      </c>
      <c r="T73" s="182"/>
      <c r="U73" s="182">
        <f>SUM(C73:N73)</f>
        <v>601175.4</v>
      </c>
    </row>
    <row r="74" spans="1:21" collapsed="1" x14ac:dyDescent="0.2"/>
    <row r="75" spans="1:21" s="187" customFormat="1" ht="18" customHeight="1" x14ac:dyDescent="0.2">
      <c r="A75" s="187" t="s">
        <v>1548</v>
      </c>
    </row>
    <row r="76" spans="1:21" x14ac:dyDescent="0.2">
      <c r="B76" s="1" t="s">
        <v>1540</v>
      </c>
      <c r="C76" s="4">
        <f>C59</f>
        <v>637897.35</v>
      </c>
      <c r="D76" s="4">
        <f>D59</f>
        <v>204430</v>
      </c>
      <c r="E76" s="4">
        <f>E59</f>
        <v>201394.6</v>
      </c>
      <c r="F76" s="4">
        <f>F59</f>
        <v>289457.59999999998</v>
      </c>
      <c r="G76" s="4">
        <f>G59</f>
        <v>349652.6</v>
      </c>
      <c r="H76" s="4">
        <f>H59</f>
        <v>259207.6</v>
      </c>
      <c r="I76" s="4">
        <f>I59</f>
        <v>207395.85</v>
      </c>
      <c r="J76" s="4">
        <f>J59</f>
        <v>192430</v>
      </c>
      <c r="K76" s="4">
        <f>K59</f>
        <v>102930</v>
      </c>
      <c r="L76" s="4">
        <f>L59</f>
        <v>102930</v>
      </c>
      <c r="M76" s="4">
        <f>M59</f>
        <v>102930</v>
      </c>
      <c r="N76" s="4">
        <f>N59</f>
        <v>96930</v>
      </c>
      <c r="P76" s="182">
        <f>P59</f>
        <v>1043721.95</v>
      </c>
      <c r="Q76" s="182">
        <f>Q59</f>
        <v>898317.79999999993</v>
      </c>
      <c r="R76" s="182">
        <f>R59</f>
        <v>502755.85</v>
      </c>
      <c r="S76" s="182">
        <f>S59</f>
        <v>302790</v>
      </c>
      <c r="T76" s="182"/>
      <c r="U76" s="182">
        <f>U59</f>
        <v>2747585.6</v>
      </c>
    </row>
    <row r="77" spans="1:21" x14ac:dyDescent="0.2">
      <c r="B77" s="122" t="s">
        <v>1539</v>
      </c>
      <c r="C77" s="190">
        <v>0</v>
      </c>
      <c r="D77" s="190">
        <v>30000</v>
      </c>
      <c r="E77" s="190">
        <v>50000</v>
      </c>
      <c r="F77" s="190">
        <v>50000</v>
      </c>
      <c r="G77" s="190">
        <v>50000</v>
      </c>
      <c r="H77" s="190">
        <v>100000</v>
      </c>
      <c r="I77" s="190">
        <v>200000</v>
      </c>
      <c r="J77" s="190">
        <v>200000</v>
      </c>
      <c r="K77" s="190">
        <v>250000</v>
      </c>
      <c r="L77" s="190">
        <v>250000</v>
      </c>
      <c r="M77" s="190">
        <v>300000</v>
      </c>
      <c r="N77" s="190">
        <v>300000</v>
      </c>
      <c r="O77" s="191"/>
      <c r="P77" s="192">
        <f t="shared" ref="P77" si="55">SUM(C77:E77)</f>
        <v>80000</v>
      </c>
      <c r="Q77" s="192">
        <f t="shared" ref="Q77" si="56">SUM(F77:H77)</f>
        <v>200000</v>
      </c>
      <c r="R77" s="192">
        <f t="shared" ref="R77" si="57">SUM(I77:K77)</f>
        <v>650000</v>
      </c>
      <c r="S77" s="192">
        <f t="shared" ref="S77" si="58">SUM(L77:N77)</f>
        <v>850000</v>
      </c>
      <c r="T77" s="192"/>
      <c r="U77" s="192">
        <f t="shared" ref="U77" si="59">SUM(C77:N77)</f>
        <v>1780000</v>
      </c>
    </row>
    <row r="78" spans="1:21" x14ac:dyDescent="0.2">
      <c r="B78" s="1" t="s">
        <v>1538</v>
      </c>
      <c r="C78" s="4">
        <f>C76+C77</f>
        <v>637897.35</v>
      </c>
      <c r="D78" s="4">
        <f t="shared" ref="D78:N78" si="60">D76+D77</f>
        <v>234430</v>
      </c>
      <c r="E78" s="4">
        <f t="shared" si="60"/>
        <v>251394.6</v>
      </c>
      <c r="F78" s="4">
        <f t="shared" si="60"/>
        <v>339457.6</v>
      </c>
      <c r="G78" s="4">
        <f t="shared" si="60"/>
        <v>399652.6</v>
      </c>
      <c r="H78" s="4">
        <f t="shared" si="60"/>
        <v>359207.6</v>
      </c>
      <c r="I78" s="4">
        <f t="shared" si="60"/>
        <v>407395.85</v>
      </c>
      <c r="J78" s="4">
        <f t="shared" si="60"/>
        <v>392430</v>
      </c>
      <c r="K78" s="4">
        <f t="shared" si="60"/>
        <v>352930</v>
      </c>
      <c r="L78" s="4">
        <f t="shared" si="60"/>
        <v>352930</v>
      </c>
      <c r="M78" s="4">
        <f t="shared" si="60"/>
        <v>402930</v>
      </c>
      <c r="N78" s="4">
        <f t="shared" si="60"/>
        <v>396930</v>
      </c>
      <c r="P78" s="182">
        <f>P76+P77</f>
        <v>1123721.95</v>
      </c>
      <c r="Q78" s="182">
        <f t="shared" ref="Q78:U78" si="61">Q76+Q77</f>
        <v>1098317.7999999998</v>
      </c>
      <c r="R78" s="182">
        <f t="shared" si="61"/>
        <v>1152755.8500000001</v>
      </c>
      <c r="S78" s="182">
        <f t="shared" si="61"/>
        <v>1152790</v>
      </c>
      <c r="T78" s="182"/>
      <c r="U78" s="182">
        <f t="shared" si="61"/>
        <v>4527585.5999999996</v>
      </c>
    </row>
    <row r="80" spans="1:21" x14ac:dyDescent="0.2">
      <c r="B80" s="1" t="s">
        <v>44</v>
      </c>
      <c r="C80" s="4">
        <f>C63</f>
        <v>812310.92</v>
      </c>
      <c r="D80" s="4">
        <f>D63</f>
        <v>1044336.1459</v>
      </c>
      <c r="E80" s="4">
        <f>E63</f>
        <v>835032.86549999984</v>
      </c>
      <c r="F80" s="4">
        <f>F63</f>
        <v>760921.6213</v>
      </c>
      <c r="G80" s="4">
        <f>G63</f>
        <v>743894.41709999985</v>
      </c>
      <c r="H80" s="4">
        <f>H63</f>
        <v>880480.01959999977</v>
      </c>
      <c r="I80" s="4">
        <f>I63</f>
        <v>926222.40889999992</v>
      </c>
      <c r="J80" s="4">
        <f>J63</f>
        <v>1058172.0811999999</v>
      </c>
      <c r="K80" s="4">
        <f>K63</f>
        <v>1105772.2774999999</v>
      </c>
      <c r="L80" s="4">
        <f>L63</f>
        <v>1147707.3592999999</v>
      </c>
      <c r="M80" s="4">
        <f>M63</f>
        <v>1317120.5137999998</v>
      </c>
      <c r="N80" s="4">
        <f>N63</f>
        <v>1578594.4350999999</v>
      </c>
      <c r="P80" s="182">
        <f>P63</f>
        <v>812310.92</v>
      </c>
      <c r="Q80" s="182">
        <f>Q63</f>
        <v>760921.62130000023</v>
      </c>
      <c r="R80" s="182">
        <f>R63</f>
        <v>926222.40890000015</v>
      </c>
      <c r="S80" s="182">
        <f>S63</f>
        <v>1147707.3593000001</v>
      </c>
      <c r="T80" s="182"/>
      <c r="U80" s="182">
        <f>U63</f>
        <v>812310.92</v>
      </c>
    </row>
    <row r="81" spans="2:21" x14ac:dyDescent="0.2">
      <c r="B81" s="1" t="s">
        <v>1541</v>
      </c>
      <c r="C81" s="4">
        <f>C64</f>
        <v>700397.35</v>
      </c>
      <c r="D81" s="4">
        <f>D64</f>
        <v>266930</v>
      </c>
      <c r="E81" s="4">
        <f>E64</f>
        <v>411394.6</v>
      </c>
      <c r="F81" s="4">
        <f>F64</f>
        <v>449457.6</v>
      </c>
      <c r="G81" s="4">
        <f>G64</f>
        <v>609652.6</v>
      </c>
      <c r="H81" s="4">
        <f>H64</f>
        <v>519207.6</v>
      </c>
      <c r="I81" s="4">
        <f>I64</f>
        <v>597395.85</v>
      </c>
      <c r="J81" s="4">
        <f>J64</f>
        <v>582430</v>
      </c>
      <c r="K81" s="4">
        <f>K64</f>
        <v>492930</v>
      </c>
      <c r="L81" s="4">
        <f>L64</f>
        <v>632930</v>
      </c>
      <c r="M81" s="4">
        <f>M64</f>
        <v>707930</v>
      </c>
      <c r="N81" s="4">
        <f>N64</f>
        <v>741930</v>
      </c>
      <c r="P81" s="182">
        <f>P64</f>
        <v>1378721.95</v>
      </c>
      <c r="Q81" s="182">
        <f>Q64</f>
        <v>1578317.7999999998</v>
      </c>
      <c r="R81" s="182">
        <f>R64</f>
        <v>1672755.85</v>
      </c>
      <c r="S81" s="182">
        <f>S64</f>
        <v>2082790</v>
      </c>
      <c r="T81" s="182"/>
      <c r="U81" s="182">
        <f>U64</f>
        <v>6712585.5999999996</v>
      </c>
    </row>
    <row r="82" spans="2:21" x14ac:dyDescent="0.2">
      <c r="B82" s="1" t="s">
        <v>1542</v>
      </c>
      <c r="C82" s="4">
        <f>C65</f>
        <v>-468372.12410000002</v>
      </c>
      <c r="D82" s="4">
        <f>D65</f>
        <v>-476233.28039999999</v>
      </c>
      <c r="E82" s="4">
        <f>E65</f>
        <v>-485505.84419999999</v>
      </c>
      <c r="F82" s="4">
        <f>F65</f>
        <v>-466484.80420000001</v>
      </c>
      <c r="G82" s="4">
        <f>G65</f>
        <v>-473066.9975</v>
      </c>
      <c r="H82" s="4">
        <f>H65</f>
        <v>-473465.2107</v>
      </c>
      <c r="I82" s="4">
        <f>I65</f>
        <v>-465446.1777</v>
      </c>
      <c r="J82" s="4">
        <f>J65</f>
        <v>-534829.80370000005</v>
      </c>
      <c r="K82" s="4">
        <f>K65</f>
        <v>-450994.91819999996</v>
      </c>
      <c r="L82" s="4">
        <f>L65</f>
        <v>-463516.8455</v>
      </c>
      <c r="M82" s="4">
        <f>M65</f>
        <v>-446456.07869999995</v>
      </c>
      <c r="N82" s="4">
        <f>N65</f>
        <v>-447535.3</v>
      </c>
      <c r="P82" s="182">
        <f>P65</f>
        <v>-1430111.2486999999</v>
      </c>
      <c r="Q82" s="182">
        <f>Q65</f>
        <v>-1413017.0123999999</v>
      </c>
      <c r="R82" s="182">
        <f>R65</f>
        <v>-1451270.8996000001</v>
      </c>
      <c r="S82" s="182">
        <f>S65</f>
        <v>-1357508.2242000001</v>
      </c>
      <c r="T82" s="182"/>
      <c r="U82" s="182">
        <f>U65</f>
        <v>-5651907.384899999</v>
      </c>
    </row>
    <row r="83" spans="2:21" x14ac:dyDescent="0.2">
      <c r="B83" s="188" t="s">
        <v>1549</v>
      </c>
      <c r="C83" s="124">
        <f>C81+C82</f>
        <v>232025.22589999996</v>
      </c>
      <c r="D83" s="124">
        <f t="shared" ref="D83:N83" si="62">D81+D82</f>
        <v>-209303.28039999999</v>
      </c>
      <c r="E83" s="124">
        <f t="shared" si="62"/>
        <v>-74111.244200000016</v>
      </c>
      <c r="F83" s="124">
        <f t="shared" si="62"/>
        <v>-17027.204200000037</v>
      </c>
      <c r="G83" s="124">
        <f t="shared" si="62"/>
        <v>136585.60249999998</v>
      </c>
      <c r="H83" s="124">
        <f t="shared" si="62"/>
        <v>45742.389299999981</v>
      </c>
      <c r="I83" s="124">
        <f t="shared" si="62"/>
        <v>131949.67229999998</v>
      </c>
      <c r="J83" s="124">
        <f t="shared" si="62"/>
        <v>47600.196299999952</v>
      </c>
      <c r="K83" s="124">
        <f t="shared" si="62"/>
        <v>41935.081800000044</v>
      </c>
      <c r="L83" s="124">
        <f t="shared" si="62"/>
        <v>169413.1545</v>
      </c>
      <c r="M83" s="124">
        <f t="shared" si="62"/>
        <v>261473.92130000005</v>
      </c>
      <c r="N83" s="124">
        <f t="shared" si="62"/>
        <v>294394.7</v>
      </c>
      <c r="O83" s="122"/>
      <c r="P83" s="189">
        <f t="shared" ref="P83" si="63">SUM(C83:E83)</f>
        <v>-51389.298700000043</v>
      </c>
      <c r="Q83" s="189">
        <f t="shared" ref="Q83" si="64">SUM(F83:H83)</f>
        <v>165300.78759999992</v>
      </c>
      <c r="R83" s="189">
        <f t="shared" ref="R83" si="65">SUM(I83:K83)</f>
        <v>221484.95039999997</v>
      </c>
      <c r="S83" s="189">
        <f t="shared" ref="S83" si="66">SUM(L83:N83)</f>
        <v>725281.77580000006</v>
      </c>
      <c r="T83" s="189"/>
      <c r="U83" s="189">
        <f t="shared" ref="U83" si="67">SUM(C83:N83)</f>
        <v>1060678.2150999999</v>
      </c>
    </row>
    <row r="84" spans="2:21" x14ac:dyDescent="0.2">
      <c r="B84" s="1" t="s">
        <v>46</v>
      </c>
      <c r="C84" s="4">
        <f>C66</f>
        <v>1044336.1459</v>
      </c>
      <c r="D84" s="4">
        <f>D66</f>
        <v>835032.86549999984</v>
      </c>
      <c r="E84" s="4">
        <f>E66</f>
        <v>760921.6213</v>
      </c>
      <c r="F84" s="4">
        <f>F66</f>
        <v>743894.41709999985</v>
      </c>
      <c r="G84" s="4">
        <f>G66</f>
        <v>880480.01959999977</v>
      </c>
      <c r="H84" s="4">
        <f>H66</f>
        <v>926222.40889999992</v>
      </c>
      <c r="I84" s="4">
        <f>I66</f>
        <v>1058172.0811999999</v>
      </c>
      <c r="J84" s="4">
        <f>J66</f>
        <v>1105772.2774999999</v>
      </c>
      <c r="K84" s="4">
        <f>K66</f>
        <v>1147707.3592999999</v>
      </c>
      <c r="L84" s="4">
        <f>L66</f>
        <v>1317120.5137999998</v>
      </c>
      <c r="M84" s="4">
        <f>M66</f>
        <v>1578594.4350999999</v>
      </c>
      <c r="N84" s="4">
        <f>N66</f>
        <v>1872989.1350999998</v>
      </c>
      <c r="P84" s="182">
        <f>P66</f>
        <v>760921.62130000023</v>
      </c>
      <c r="Q84" s="182">
        <f>Q66</f>
        <v>926222.40890000015</v>
      </c>
      <c r="R84" s="182">
        <f>R66</f>
        <v>1147707.3593000001</v>
      </c>
      <c r="S84" s="182">
        <f>S66</f>
        <v>1872989.1351000001</v>
      </c>
      <c r="T84" s="182"/>
      <c r="U84" s="182">
        <f>U66</f>
        <v>1872989.1351000005</v>
      </c>
    </row>
    <row r="85" spans="2:21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P85" s="182"/>
      <c r="Q85" s="182"/>
      <c r="R85" s="182"/>
      <c r="S85" s="182"/>
      <c r="T85" s="182"/>
      <c r="U85" s="182"/>
    </row>
    <row r="86" spans="2:21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P86" s="185">
        <f>P82/3</f>
        <v>-476703.74956666661</v>
      </c>
      <c r="Q86" s="185">
        <f>Q82/3</f>
        <v>-471005.67079999996</v>
      </c>
      <c r="R86" s="185">
        <f>R82/3</f>
        <v>-483756.96653333335</v>
      </c>
      <c r="S86" s="185">
        <f>S82/3</f>
        <v>-452502.7414</v>
      </c>
      <c r="T86" s="186"/>
      <c r="U86" s="185">
        <f>U82/12</f>
        <v>-470992.28207499994</v>
      </c>
    </row>
    <row r="87" spans="2:21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P87" s="182"/>
      <c r="Q87" s="182"/>
      <c r="R87" s="182"/>
      <c r="S87" s="182"/>
      <c r="T87" s="182"/>
      <c r="U87" s="182"/>
    </row>
    <row r="88" spans="2:21" x14ac:dyDescent="0.2">
      <c r="P88" s="183"/>
      <c r="Q88" s="183"/>
      <c r="R88" s="183"/>
      <c r="S88" s="183"/>
      <c r="T88" s="183"/>
      <c r="U88" s="183"/>
    </row>
    <row r="89" spans="2:21" x14ac:dyDescent="0.2">
      <c r="B89" s="8" t="s">
        <v>46</v>
      </c>
      <c r="C89" s="34">
        <f>C68</f>
        <v>785503.21</v>
      </c>
      <c r="D89" s="34">
        <f>D68</f>
        <v>702457.53</v>
      </c>
      <c r="E89" s="34">
        <f>E68</f>
        <v>806829.29</v>
      </c>
      <c r="F89" s="34">
        <f>F68</f>
        <v>924802.09</v>
      </c>
      <c r="G89" s="34">
        <f>G68</f>
        <v>871942.69</v>
      </c>
      <c r="H89" s="34">
        <f>H68</f>
        <v>818685.08</v>
      </c>
      <c r="I89" s="34">
        <f>I68</f>
        <v>903446.5</v>
      </c>
      <c r="J89" s="34">
        <f>J68</f>
        <v>904116.7</v>
      </c>
      <c r="K89" s="34">
        <f>K68</f>
        <v>884121.78</v>
      </c>
      <c r="L89" s="34">
        <f>L68</f>
        <v>991604.93</v>
      </c>
      <c r="M89" s="34">
        <f>M68</f>
        <v>1191148.8500000001</v>
      </c>
      <c r="N89" s="34">
        <f>N68</f>
        <v>1423613.55</v>
      </c>
      <c r="O89" s="34"/>
      <c r="P89" s="184">
        <f>P68</f>
        <v>806829</v>
      </c>
      <c r="Q89" s="184">
        <f>Q68</f>
        <v>818685</v>
      </c>
      <c r="R89" s="184">
        <f>R68</f>
        <v>884122</v>
      </c>
      <c r="S89" s="184">
        <f>S68</f>
        <v>1423614</v>
      </c>
      <c r="T89" s="184"/>
      <c r="U89" s="184">
        <f>U68</f>
        <v>1423614</v>
      </c>
    </row>
    <row r="90" spans="2:21" x14ac:dyDescent="0.2">
      <c r="B90" s="1" t="s">
        <v>1543</v>
      </c>
      <c r="C90" s="4">
        <f>C69</f>
        <v>258832.93590000004</v>
      </c>
      <c r="D90" s="4">
        <f>D69</f>
        <v>132575.33549999981</v>
      </c>
      <c r="E90" s="4">
        <f>E69</f>
        <v>-45907.668700000038</v>
      </c>
      <c r="F90" s="4">
        <f>F69</f>
        <v>-180907.67290000012</v>
      </c>
      <c r="G90" s="4">
        <f>G69</f>
        <v>8537.3295999998227</v>
      </c>
      <c r="H90" s="4">
        <f>H69</f>
        <v>107537.32889999996</v>
      </c>
      <c r="I90" s="4">
        <f>I69</f>
        <v>154725.5811999999</v>
      </c>
      <c r="J90" s="4">
        <f>J69</f>
        <v>201655.5774999999</v>
      </c>
      <c r="K90" s="4">
        <f>K69</f>
        <v>263585.57929999987</v>
      </c>
      <c r="L90" s="4">
        <f>L69</f>
        <v>325515.58379999979</v>
      </c>
      <c r="M90" s="4">
        <f>M69</f>
        <v>387445.58509999979</v>
      </c>
      <c r="N90" s="4">
        <f>N69</f>
        <v>449375.58509999979</v>
      </c>
      <c r="P90" s="182">
        <f>P69</f>
        <v>-45907.378699999768</v>
      </c>
      <c r="Q90" s="182">
        <f>Q69</f>
        <v>107537.40890000015</v>
      </c>
      <c r="R90" s="182">
        <f>R69</f>
        <v>263585.35930000013</v>
      </c>
      <c r="S90" s="182">
        <f>S69</f>
        <v>449375.13510000007</v>
      </c>
      <c r="T90" s="183"/>
      <c r="U90" s="182">
        <f>U69</f>
        <v>449375.13510000054</v>
      </c>
    </row>
    <row r="91" spans="2:21" x14ac:dyDescent="0.2">
      <c r="P91" s="183"/>
      <c r="Q91" s="183"/>
      <c r="R91" s="183"/>
      <c r="S91" s="183"/>
      <c r="T91" s="183"/>
      <c r="U91" s="183"/>
    </row>
    <row r="92" spans="2:21" x14ac:dyDescent="0.2">
      <c r="B92" s="1" t="s">
        <v>1544</v>
      </c>
      <c r="C92" s="4">
        <f>C71</f>
        <v>637897.35</v>
      </c>
      <c r="D92" s="4">
        <f>D71</f>
        <v>204430</v>
      </c>
      <c r="E92" s="4">
        <f>E71</f>
        <v>201394.6</v>
      </c>
      <c r="F92" s="4">
        <f>F71</f>
        <v>289457.59999999998</v>
      </c>
      <c r="G92" s="4">
        <f>G71</f>
        <v>349652.6</v>
      </c>
      <c r="H92" s="4">
        <f>H71</f>
        <v>259207.6</v>
      </c>
      <c r="I92" s="4">
        <f>I71</f>
        <v>207395.85</v>
      </c>
      <c r="J92" s="4">
        <f>J71</f>
        <v>192430</v>
      </c>
      <c r="K92" s="4">
        <f>K71</f>
        <v>102930</v>
      </c>
      <c r="L92" s="4">
        <f>L71</f>
        <v>102930</v>
      </c>
      <c r="M92" s="4">
        <f>M71</f>
        <v>102930</v>
      </c>
      <c r="N92" s="4">
        <f>N71</f>
        <v>96930</v>
      </c>
      <c r="P92" s="182">
        <f>P71</f>
        <v>1043721.95</v>
      </c>
      <c r="Q92" s="182">
        <f>Q71</f>
        <v>898317.79999999993</v>
      </c>
      <c r="R92" s="182">
        <f>R71</f>
        <v>502755.85</v>
      </c>
      <c r="S92" s="182">
        <f>S71</f>
        <v>302790</v>
      </c>
      <c r="T92" s="182"/>
      <c r="U92" s="182">
        <f>U71</f>
        <v>2747585.6</v>
      </c>
    </row>
    <row r="93" spans="2:21" x14ac:dyDescent="0.2">
      <c r="B93" s="1" t="s">
        <v>1545</v>
      </c>
      <c r="C93" s="4">
        <f>C72</f>
        <v>227264.6</v>
      </c>
      <c r="D93" s="4">
        <f>D72</f>
        <v>330687.59999999998</v>
      </c>
      <c r="E93" s="4">
        <f>E72</f>
        <v>379877.6</v>
      </c>
      <c r="F93" s="4">
        <f>F72</f>
        <v>424457.6</v>
      </c>
      <c r="G93" s="4">
        <f>G72</f>
        <v>160207.6</v>
      </c>
      <c r="H93" s="4">
        <f>H72</f>
        <v>160207.6</v>
      </c>
      <c r="I93" s="4">
        <f>I72</f>
        <v>160207.6</v>
      </c>
      <c r="J93" s="4">
        <f>J72</f>
        <v>145500</v>
      </c>
      <c r="K93" s="4">
        <f>K72</f>
        <v>41000</v>
      </c>
      <c r="L93" s="4">
        <f>L72</f>
        <v>41000</v>
      </c>
      <c r="M93" s="4">
        <f>M72</f>
        <v>41000</v>
      </c>
      <c r="N93" s="4">
        <f>N72</f>
        <v>35000</v>
      </c>
      <c r="P93" s="182">
        <f>P72</f>
        <v>937829.79999999993</v>
      </c>
      <c r="Q93" s="182">
        <f>Q72</f>
        <v>744872.79999999993</v>
      </c>
      <c r="R93" s="182">
        <f>R72</f>
        <v>346707.6</v>
      </c>
      <c r="S93" s="182">
        <f>S72</f>
        <v>117000</v>
      </c>
      <c r="T93" s="182"/>
      <c r="U93" s="182">
        <f>U72</f>
        <v>2146410.2000000002</v>
      </c>
    </row>
    <row r="94" spans="2:21" x14ac:dyDescent="0.2">
      <c r="B94" s="1" t="s">
        <v>1546</v>
      </c>
      <c r="C94" s="4">
        <f>C73</f>
        <v>410632.75</v>
      </c>
      <c r="D94" s="4">
        <f>D73</f>
        <v>-126257.59999999998</v>
      </c>
      <c r="E94" s="4">
        <f>E73</f>
        <v>-178482.99999999997</v>
      </c>
      <c r="F94" s="4">
        <f>F73</f>
        <v>-135000</v>
      </c>
      <c r="G94" s="4">
        <f>G73</f>
        <v>189444.99999999997</v>
      </c>
      <c r="H94" s="4">
        <f>H73</f>
        <v>99000</v>
      </c>
      <c r="I94" s="4">
        <f>I73</f>
        <v>47188.25</v>
      </c>
      <c r="J94" s="4">
        <f>J73</f>
        <v>46930</v>
      </c>
      <c r="K94" s="4">
        <f>K73</f>
        <v>61930</v>
      </c>
      <c r="L94" s="4">
        <f>L73</f>
        <v>61930</v>
      </c>
      <c r="M94" s="4">
        <f>M73</f>
        <v>61930</v>
      </c>
      <c r="N94" s="4">
        <f>N73</f>
        <v>61930</v>
      </c>
      <c r="P94" s="182">
        <f>P73</f>
        <v>105892.15000000005</v>
      </c>
      <c r="Q94" s="182">
        <f>Q73</f>
        <v>153444.99999999997</v>
      </c>
      <c r="R94" s="182">
        <f>R73</f>
        <v>156048.25</v>
      </c>
      <c r="S94" s="182">
        <f>S73</f>
        <v>185790</v>
      </c>
      <c r="T94" s="182"/>
      <c r="U94" s="182">
        <f>U73</f>
        <v>601175.4</v>
      </c>
    </row>
    <row r="97" spans="21:21" x14ac:dyDescent="0.2">
      <c r="U97" s="4"/>
    </row>
  </sheetData>
  <pageMargins left="0.25" right="0.25" top="0.75" bottom="0.75" header="0.3" footer="0.3"/>
  <pageSetup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1FCF-1980-4D92-BF8B-1F992133F156}">
  <sheetPr>
    <pageSetUpPr fitToPage="1"/>
  </sheetPr>
  <dimension ref="B2:Z78"/>
  <sheetViews>
    <sheetView zoomScale="160" zoomScaleNormal="160" workbookViewId="0">
      <pane xSplit="2" ySplit="3" topLeftCell="C38" activePane="bottomRight" state="frozen"/>
      <selection activeCell="D1" sqref="D1"/>
      <selection pane="topRight" activeCell="E1" sqref="E1"/>
      <selection pane="bottomLeft" activeCell="D4" sqref="D4"/>
      <selection pane="bottomRight" activeCell="P23" sqref="P23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14" width="10.6640625" style="1" customWidth="1"/>
    <col min="15" max="15" width="2.6640625" style="1" customWidth="1"/>
    <col min="16" max="19" width="10.6640625" style="1" customWidth="1"/>
    <col min="20" max="20" width="2.6640625" style="1" customWidth="1"/>
    <col min="21" max="21" width="10.6640625" style="1" customWidth="1"/>
    <col min="22" max="22" width="2.6640625" style="1" customWidth="1"/>
    <col min="23" max="23" width="6.6640625" style="1" customWidth="1"/>
    <col min="24" max="24" width="9.1640625" style="1"/>
    <col min="25" max="25" width="18.1640625" style="1" customWidth="1"/>
    <col min="26" max="16384" width="9.1640625" style="1"/>
  </cols>
  <sheetData>
    <row r="2" spans="2:26" x14ac:dyDescent="0.2">
      <c r="B2" s="8" t="s">
        <v>47</v>
      </c>
      <c r="C2" s="9">
        <v>46023</v>
      </c>
      <c r="D2" s="9">
        <f>EDATE(C2,1)</f>
        <v>46054</v>
      </c>
      <c r="E2" s="9">
        <f t="shared" ref="E2:N2" si="0">EDATE(D2,1)</f>
        <v>46082</v>
      </c>
      <c r="F2" s="9">
        <f t="shared" si="0"/>
        <v>46113</v>
      </c>
      <c r="G2" s="9">
        <f t="shared" si="0"/>
        <v>46143</v>
      </c>
      <c r="H2" s="9">
        <f t="shared" si="0"/>
        <v>46174</v>
      </c>
      <c r="I2" s="9">
        <f t="shared" si="0"/>
        <v>46204</v>
      </c>
      <c r="J2" s="9">
        <f t="shared" si="0"/>
        <v>46235</v>
      </c>
      <c r="K2" s="9">
        <f t="shared" si="0"/>
        <v>46266</v>
      </c>
      <c r="L2" s="9">
        <f t="shared" si="0"/>
        <v>46296</v>
      </c>
      <c r="M2" s="9">
        <f t="shared" si="0"/>
        <v>46327</v>
      </c>
      <c r="N2" s="9">
        <f t="shared" si="0"/>
        <v>46357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2026</v>
      </c>
      <c r="W2" s="3" t="s">
        <v>13</v>
      </c>
    </row>
    <row r="3" spans="2:26" x14ac:dyDescent="0.2">
      <c r="B3" s="24" t="str">
        <f>+Version!$C$3</f>
        <v>Y2025 12 v001</v>
      </c>
      <c r="W3" s="3"/>
    </row>
    <row r="4" spans="2:26" x14ac:dyDescent="0.2">
      <c r="B4" s="24"/>
      <c r="W4" s="3"/>
    </row>
    <row r="5" spans="2:26" x14ac:dyDescent="0.2">
      <c r="B5" s="7" t="s">
        <v>138</v>
      </c>
      <c r="C5" s="38">
        <f>+'2026 Detail'!C8</f>
        <v>126737</v>
      </c>
      <c r="D5" s="38">
        <f>+'2026 Detail'!D8</f>
        <v>270160</v>
      </c>
      <c r="E5" s="38">
        <f>+'2026 Detail'!E8</f>
        <v>223350</v>
      </c>
      <c r="F5" s="38">
        <f>+'2026 Detail'!F8</f>
        <v>197930</v>
      </c>
      <c r="G5" s="38">
        <f>+'2026 Detail'!G8</f>
        <v>151930</v>
      </c>
      <c r="H5" s="38">
        <f>+'2026 Detail'!H8</f>
        <v>151930</v>
      </c>
      <c r="I5" s="38">
        <f>+'2026 Detail'!I8</f>
        <v>146930</v>
      </c>
      <c r="J5" s="38">
        <f>+'2026 Detail'!J8</f>
        <v>145000</v>
      </c>
      <c r="K5" s="38">
        <f>+'2026 Detail'!K8</f>
        <v>145000</v>
      </c>
      <c r="L5" s="38">
        <f>+'2026 Detail'!L8</f>
        <v>140000</v>
      </c>
      <c r="M5" s="38">
        <f>+'2026 Detail'!M8</f>
        <v>140000</v>
      </c>
      <c r="N5" s="38">
        <f>+'2026 Detail'!N8</f>
        <v>130000</v>
      </c>
      <c r="O5" s="4"/>
      <c r="P5" s="4">
        <f>SUM(C5:E5)</f>
        <v>620247</v>
      </c>
      <c r="Q5" s="4">
        <f>SUM(F5:H5)</f>
        <v>501790</v>
      </c>
      <c r="R5" s="4">
        <f>SUM(I5:K5)</f>
        <v>436930</v>
      </c>
      <c r="S5" s="4">
        <f>SUM(L5:N5)</f>
        <v>410000</v>
      </c>
      <c r="T5" s="4"/>
      <c r="U5" s="4">
        <f>SUM(C5:N5)</f>
        <v>1968967</v>
      </c>
      <c r="W5" s="25">
        <f>ROUND(SUM(P5:S5)-U5,2)</f>
        <v>0</v>
      </c>
    </row>
    <row r="6" spans="2:26" x14ac:dyDescent="0.2">
      <c r="B6" s="7" t="s">
        <v>139</v>
      </c>
      <c r="C6" s="38">
        <f>+'2026 Detail'!C13</f>
        <v>163027.6</v>
      </c>
      <c r="D6" s="38">
        <f>+'2026 Detail'!D13</f>
        <v>123027.6</v>
      </c>
      <c r="E6" s="38">
        <f>+'2026 Detail'!E13</f>
        <v>366527.6</v>
      </c>
      <c r="F6" s="38">
        <f>+'2026 Detail'!F13</f>
        <v>386527.6</v>
      </c>
      <c r="G6" s="38">
        <f>+'2026 Detail'!G13</f>
        <v>268277.59999999998</v>
      </c>
      <c r="H6" s="38">
        <f>+'2026 Detail'!H13</f>
        <v>268277.59999999998</v>
      </c>
      <c r="I6" s="38">
        <f>+'2026 Detail'!I13</f>
        <v>403277.6</v>
      </c>
      <c r="J6" s="38">
        <f>+'2026 Detail'!J13</f>
        <v>390500</v>
      </c>
      <c r="K6" s="38">
        <f>+'2026 Detail'!K13</f>
        <v>286000</v>
      </c>
      <c r="L6" s="38">
        <f>+'2026 Detail'!L13</f>
        <v>431000</v>
      </c>
      <c r="M6" s="38">
        <f>+'2026 Detail'!M13</f>
        <v>506000</v>
      </c>
      <c r="N6" s="38">
        <f>+'2026 Detail'!N13</f>
        <v>550000</v>
      </c>
      <c r="O6" s="4"/>
      <c r="P6" s="4">
        <f>SUM(C6:E6)</f>
        <v>652582.80000000005</v>
      </c>
      <c r="Q6" s="4">
        <f>SUM(F6:H6)</f>
        <v>923082.79999999993</v>
      </c>
      <c r="R6" s="4">
        <f>SUM(I6:K6)</f>
        <v>1079777.6000000001</v>
      </c>
      <c r="S6" s="4">
        <f>SUM(L6:N6)</f>
        <v>1487000</v>
      </c>
      <c r="T6" s="4"/>
      <c r="U6" s="4">
        <f>SUM(C6:N6)</f>
        <v>4142443.2</v>
      </c>
      <c r="W6" s="25">
        <f>ROUND(SUM(P6:S6)-U6,2)</f>
        <v>0</v>
      </c>
    </row>
    <row r="7" spans="2:26" ht="6" customHeight="1" x14ac:dyDescent="0.2">
      <c r="B7" s="24"/>
      <c r="W7" s="3"/>
    </row>
    <row r="8" spans="2:26" x14ac:dyDescent="0.2">
      <c r="B8" s="8" t="s">
        <v>42</v>
      </c>
      <c r="C8" s="34">
        <f>SUM(C5:C6)</f>
        <v>289764.59999999998</v>
      </c>
      <c r="D8" s="34">
        <f t="shared" ref="D8:U8" si="1">SUM(D5:D6)</f>
        <v>393187.6</v>
      </c>
      <c r="E8" s="34">
        <f t="shared" si="1"/>
        <v>589877.6</v>
      </c>
      <c r="F8" s="34">
        <f t="shared" si="1"/>
        <v>584457.6</v>
      </c>
      <c r="G8" s="34">
        <f t="shared" si="1"/>
        <v>420207.6</v>
      </c>
      <c r="H8" s="34">
        <f t="shared" si="1"/>
        <v>420207.6</v>
      </c>
      <c r="I8" s="34">
        <f t="shared" si="1"/>
        <v>550207.6</v>
      </c>
      <c r="J8" s="34">
        <f t="shared" si="1"/>
        <v>535500</v>
      </c>
      <c r="K8" s="34">
        <f t="shared" si="1"/>
        <v>431000</v>
      </c>
      <c r="L8" s="34">
        <f t="shared" si="1"/>
        <v>571000</v>
      </c>
      <c r="M8" s="34">
        <f t="shared" si="1"/>
        <v>646000</v>
      </c>
      <c r="N8" s="34">
        <f t="shared" si="1"/>
        <v>680000</v>
      </c>
      <c r="O8" s="34"/>
      <c r="P8" s="34">
        <f t="shared" si="1"/>
        <v>1272829.8</v>
      </c>
      <c r="Q8" s="34">
        <f t="shared" si="1"/>
        <v>1424872.7999999998</v>
      </c>
      <c r="R8" s="34">
        <f t="shared" si="1"/>
        <v>1516707.6</v>
      </c>
      <c r="S8" s="34">
        <f t="shared" si="1"/>
        <v>1897000</v>
      </c>
      <c r="T8" s="34"/>
      <c r="U8" s="34">
        <f t="shared" si="1"/>
        <v>6111410.2000000002</v>
      </c>
      <c r="W8" s="25">
        <f>ROUND(SUM(P8:S8)-U8,2)</f>
        <v>0</v>
      </c>
      <c r="Z8" s="4"/>
    </row>
    <row r="9" spans="2:26" x14ac:dyDescent="0.2">
      <c r="B9" s="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25"/>
      <c r="Z9" s="4"/>
    </row>
    <row r="10" spans="2:26" x14ac:dyDescent="0.2">
      <c r="B10" s="7" t="s">
        <v>82</v>
      </c>
      <c r="C10" s="38">
        <f>+'2026 Detail'!C17+'2026 Detail'!C18</f>
        <v>184080</v>
      </c>
      <c r="D10" s="38">
        <f>+'2026 Detail'!D17+'2026 Detail'!D18</f>
        <v>358933.04911199998</v>
      </c>
      <c r="E10" s="38">
        <f>+'2026 Detail'!E17+'2026 Detail'!E18</f>
        <v>187171.8</v>
      </c>
      <c r="F10" s="38">
        <f>+'2026 Detail'!F17+'2026 Detail'!F18</f>
        <v>181171.8</v>
      </c>
      <c r="G10" s="38">
        <f>+'2026 Detail'!G17+'2026 Detail'!G18</f>
        <v>181171.8</v>
      </c>
      <c r="H10" s="38">
        <f>+'2026 Detail'!H17+'2026 Detail'!H18</f>
        <v>181171.8</v>
      </c>
      <c r="I10" s="38">
        <f>+'2026 Detail'!I17+'2026 Detail'!I18</f>
        <v>174671.8</v>
      </c>
      <c r="J10" s="38">
        <f>+'2026 Detail'!J17+'2026 Detail'!J18</f>
        <v>174671.8</v>
      </c>
      <c r="K10" s="38">
        <f>+'2026 Detail'!K17+'2026 Detail'!K18</f>
        <v>174671.8</v>
      </c>
      <c r="L10" s="38">
        <f>+'2026 Detail'!L17+'2026 Detail'!L18</f>
        <v>170171.8</v>
      </c>
      <c r="M10" s="38">
        <f>+'2026 Detail'!M17+'2026 Detail'!M18</f>
        <v>170171.8</v>
      </c>
      <c r="N10" s="38">
        <f>+'2026 Detail'!N17+'2026 Detail'!N18</f>
        <v>170171.8</v>
      </c>
      <c r="O10" s="4"/>
      <c r="P10" s="4">
        <f>SUM(C10:E10)</f>
        <v>730184.84911200008</v>
      </c>
      <c r="Q10" s="4">
        <f>SUM(F10:H10)</f>
        <v>543515.39999999991</v>
      </c>
      <c r="R10" s="4">
        <f>SUM(I10:K10)</f>
        <v>524015.39999999997</v>
      </c>
      <c r="S10" s="4">
        <f>SUM(L10:N10)</f>
        <v>510515.39999999997</v>
      </c>
      <c r="T10" s="4"/>
      <c r="U10" s="4">
        <f>SUM(C10:N10)</f>
        <v>2308231.049112</v>
      </c>
      <c r="W10" s="25">
        <f t="shared" ref="W10:W12" si="2">ROUND(SUM(P10:S10)-U10,2)</f>
        <v>0</v>
      </c>
      <c r="Z10" s="4"/>
    </row>
    <row r="11" spans="2:26" x14ac:dyDescent="0.2">
      <c r="B11" s="7" t="s">
        <v>99</v>
      </c>
      <c r="C11" s="38">
        <f>+'2026 Detail'!C19+'2026 Detail'!C20</f>
        <v>40630</v>
      </c>
      <c r="D11" s="38">
        <f>+'2026 Detail'!D19+'2026 Detail'!D20</f>
        <v>103559.487628</v>
      </c>
      <c r="E11" s="38">
        <f>+'2026 Detail'!E19+'2026 Detail'!E20</f>
        <v>41546.5</v>
      </c>
      <c r="F11" s="38">
        <f>+'2026 Detail'!F19+'2026 Detail'!F20</f>
        <v>41546.5</v>
      </c>
      <c r="G11" s="38">
        <f>+'2026 Detail'!G19+'2026 Detail'!G20</f>
        <v>41546.5</v>
      </c>
      <c r="H11" s="38">
        <f>+'2026 Detail'!H19+'2026 Detail'!H20</f>
        <v>41546.5</v>
      </c>
      <c r="I11" s="38">
        <f>+'2026 Detail'!I19+'2026 Detail'!I20</f>
        <v>41546.5</v>
      </c>
      <c r="J11" s="38">
        <f>+'2026 Detail'!J19+'2026 Detail'!J20</f>
        <v>41546.5</v>
      </c>
      <c r="K11" s="38">
        <f>+'2026 Detail'!K19+'2026 Detail'!K20</f>
        <v>41546.5</v>
      </c>
      <c r="L11" s="38">
        <f>+'2026 Detail'!L19+'2026 Detail'!L20</f>
        <v>41546.5</v>
      </c>
      <c r="M11" s="38">
        <f>+'2026 Detail'!M19+'2026 Detail'!M20</f>
        <v>41546.5</v>
      </c>
      <c r="N11" s="38">
        <f>+'2026 Detail'!N19+'2026 Detail'!N20</f>
        <v>41546.5</v>
      </c>
      <c r="O11" s="4"/>
      <c r="P11" s="4">
        <f>SUM(C11:E11)</f>
        <v>185735.987628</v>
      </c>
      <c r="Q11" s="4">
        <f>SUM(F11:H11)</f>
        <v>124639.5</v>
      </c>
      <c r="R11" s="4">
        <f>SUM(I11:K11)</f>
        <v>124639.5</v>
      </c>
      <c r="S11" s="4">
        <f>SUM(L11:N11)</f>
        <v>124639.5</v>
      </c>
      <c r="T11" s="4"/>
      <c r="U11" s="4">
        <f>SUM(C11:N11)</f>
        <v>559654.48762799997</v>
      </c>
      <c r="W11" s="25">
        <f t="shared" si="2"/>
        <v>0</v>
      </c>
    </row>
    <row r="12" spans="2:26" x14ac:dyDescent="0.2">
      <c r="B12" s="8" t="s">
        <v>88</v>
      </c>
      <c r="C12" s="34">
        <f t="shared" ref="C12:N12" si="3">SUM(C10:C11)</f>
        <v>224710</v>
      </c>
      <c r="D12" s="34">
        <f t="shared" si="3"/>
        <v>462492.53674000001</v>
      </c>
      <c r="E12" s="34">
        <f t="shared" si="3"/>
        <v>228718.3</v>
      </c>
      <c r="F12" s="34">
        <f t="shared" si="3"/>
        <v>222718.3</v>
      </c>
      <c r="G12" s="34">
        <f t="shared" si="3"/>
        <v>222718.3</v>
      </c>
      <c r="H12" s="34">
        <f t="shared" si="3"/>
        <v>222718.3</v>
      </c>
      <c r="I12" s="34">
        <f t="shared" si="3"/>
        <v>216218.3</v>
      </c>
      <c r="J12" s="34">
        <f t="shared" si="3"/>
        <v>216218.3</v>
      </c>
      <c r="K12" s="34">
        <f t="shared" si="3"/>
        <v>216218.3</v>
      </c>
      <c r="L12" s="34">
        <f t="shared" si="3"/>
        <v>211718.3</v>
      </c>
      <c r="M12" s="34">
        <f t="shared" si="3"/>
        <v>211718.3</v>
      </c>
      <c r="N12" s="34">
        <f t="shared" si="3"/>
        <v>211718.3</v>
      </c>
      <c r="O12" s="34"/>
      <c r="P12" s="34">
        <f>SUM(P10:P11)</f>
        <v>915920.83674000006</v>
      </c>
      <c r="Q12" s="34">
        <f>SUM(Q10:Q11)</f>
        <v>668154.89999999991</v>
      </c>
      <c r="R12" s="34">
        <f>SUM(R10:R11)</f>
        <v>648654.89999999991</v>
      </c>
      <c r="S12" s="34">
        <f>SUM(S10:S11)</f>
        <v>635154.89999999991</v>
      </c>
      <c r="T12" s="34"/>
      <c r="U12" s="34">
        <f>SUM(U10:U11)</f>
        <v>2867885.5367399999</v>
      </c>
      <c r="W12" s="25">
        <f t="shared" si="2"/>
        <v>0</v>
      </c>
      <c r="Z12" s="40"/>
    </row>
    <row r="13" spans="2:26" x14ac:dyDescent="0.2"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W13" s="25"/>
    </row>
    <row r="14" spans="2:26" x14ac:dyDescent="0.2">
      <c r="B14" s="7" t="s">
        <v>82</v>
      </c>
      <c r="C14" s="38">
        <f>+'2026 Detail'!C23+'2026 Detail'!C24</f>
        <v>10600</v>
      </c>
      <c r="D14" s="38">
        <f>+'2026 Detail'!D23+'2026 Detail'!D24</f>
        <v>10600</v>
      </c>
      <c r="E14" s="38">
        <f>+'2026 Detail'!E23+'2026 Detail'!E24</f>
        <v>10600</v>
      </c>
      <c r="F14" s="38">
        <f>+'2026 Detail'!F23+'2026 Detail'!F24</f>
        <v>10600</v>
      </c>
      <c r="G14" s="38">
        <f>+'2026 Detail'!G23+'2026 Detail'!G24</f>
        <v>10600</v>
      </c>
      <c r="H14" s="38">
        <f>+'2026 Detail'!H23+'2026 Detail'!H24</f>
        <v>10600</v>
      </c>
      <c r="I14" s="38">
        <f>+'2026 Detail'!I23+'2026 Detail'!I24</f>
        <v>10600</v>
      </c>
      <c r="J14" s="38">
        <f>+'2026 Detail'!J23+'2026 Detail'!J24</f>
        <v>10600</v>
      </c>
      <c r="K14" s="38">
        <f>+'2026 Detail'!K23+'2026 Detail'!K24</f>
        <v>10600</v>
      </c>
      <c r="L14" s="38">
        <f>+'2026 Detail'!L23+'2026 Detail'!L24</f>
        <v>10600</v>
      </c>
      <c r="M14" s="38">
        <f>+'2026 Detail'!M23+'2026 Detail'!M24</f>
        <v>10600</v>
      </c>
      <c r="N14" s="38">
        <f>+'2026 Detail'!N23+'2026 Detail'!N24</f>
        <v>10600</v>
      </c>
      <c r="O14" s="4"/>
      <c r="P14" s="4">
        <f t="shared" ref="P14:P16" si="4">SUM(C14:E14)</f>
        <v>31800</v>
      </c>
      <c r="Q14" s="4">
        <f t="shared" ref="Q14:Q16" si="5">SUM(F14:H14)</f>
        <v>31800</v>
      </c>
      <c r="R14" s="4">
        <f t="shared" ref="R14:R16" si="6">SUM(I14:K14)</f>
        <v>31800</v>
      </c>
      <c r="S14" s="4">
        <f t="shared" ref="S14:S16" si="7">SUM(L14:N14)</f>
        <v>31800</v>
      </c>
      <c r="T14" s="4"/>
      <c r="U14" s="4">
        <f t="shared" ref="U14:U16" si="8">SUM(C14:N14)</f>
        <v>127200</v>
      </c>
      <c r="W14" s="25">
        <f t="shared" ref="W14:W17" si="9">ROUND(SUM(P14:S14)-U14,2)</f>
        <v>0</v>
      </c>
      <c r="Z14" s="4"/>
    </row>
    <row r="15" spans="2:26" x14ac:dyDescent="0.2">
      <c r="B15" s="7" t="s">
        <v>99</v>
      </c>
      <c r="C15" s="38">
        <f>+'2026 Detail'!C25+'2026 Detail'!C26</f>
        <v>47260</v>
      </c>
      <c r="D15" s="38">
        <f>+'2026 Detail'!D25+'2026 Detail'!D26</f>
        <v>47260</v>
      </c>
      <c r="E15" s="38">
        <f>+'2026 Detail'!E25+'2026 Detail'!E26</f>
        <v>47734</v>
      </c>
      <c r="F15" s="38">
        <f>+'2026 Detail'!F25+'2026 Detail'!F26</f>
        <v>34734</v>
      </c>
      <c r="G15" s="38">
        <f>+'2026 Detail'!G25+'2026 Detail'!G26</f>
        <v>34734</v>
      </c>
      <c r="H15" s="38">
        <f>+'2026 Detail'!H25+'2026 Detail'!H26</f>
        <v>34734</v>
      </c>
      <c r="I15" s="38">
        <f>+'2026 Detail'!I25+'2026 Detail'!I26</f>
        <v>34734</v>
      </c>
      <c r="J15" s="38">
        <f>+'2026 Detail'!J25+'2026 Detail'!J26</f>
        <v>34734</v>
      </c>
      <c r="K15" s="38">
        <f>+'2026 Detail'!K25+'2026 Detail'!K26</f>
        <v>34734</v>
      </c>
      <c r="L15" s="38">
        <f>+'2026 Detail'!L25+'2026 Detail'!L26</f>
        <v>34734</v>
      </c>
      <c r="M15" s="38">
        <f>+'2026 Detail'!M25+'2026 Detail'!M26</f>
        <v>34734</v>
      </c>
      <c r="N15" s="38">
        <f>+'2026 Detail'!N25+'2026 Detail'!N26</f>
        <v>34734</v>
      </c>
      <c r="O15" s="4"/>
      <c r="P15" s="4">
        <f t="shared" si="4"/>
        <v>142254</v>
      </c>
      <c r="Q15" s="4">
        <f t="shared" si="5"/>
        <v>104202</v>
      </c>
      <c r="R15" s="4">
        <f t="shared" si="6"/>
        <v>104202</v>
      </c>
      <c r="S15" s="4">
        <f t="shared" si="7"/>
        <v>104202</v>
      </c>
      <c r="T15" s="4"/>
      <c r="U15" s="4">
        <f t="shared" si="8"/>
        <v>454860</v>
      </c>
      <c r="W15" s="25">
        <f t="shared" si="9"/>
        <v>0</v>
      </c>
      <c r="Z15" s="4"/>
    </row>
    <row r="16" spans="2:26" x14ac:dyDescent="0.2">
      <c r="B16" s="7" t="s">
        <v>140</v>
      </c>
      <c r="C16" s="38">
        <f>+'2026 Detail'!C27+'2026 Detail'!C28</f>
        <v>74520</v>
      </c>
      <c r="D16" s="38">
        <f>+'2026 Detail'!D27+'2026 Detail'!D28</f>
        <v>99357.75</v>
      </c>
      <c r="E16" s="38">
        <f>+'2026 Detail'!E27+'2026 Detail'!E28</f>
        <v>75498</v>
      </c>
      <c r="F16" s="38">
        <f>+'2026 Detail'!F27+'2026 Detail'!F28</f>
        <v>75498</v>
      </c>
      <c r="G16" s="38">
        <f>+'2026 Detail'!G27+'2026 Detail'!G28</f>
        <v>75498</v>
      </c>
      <c r="H16" s="38">
        <f>+'2026 Detail'!H27+'2026 Detail'!H28</f>
        <v>75498</v>
      </c>
      <c r="I16" s="38">
        <f>+'2026 Detail'!I27+'2026 Detail'!I28</f>
        <v>75498</v>
      </c>
      <c r="J16" s="38">
        <f>+'2026 Detail'!J27+'2026 Detail'!J28</f>
        <v>75498</v>
      </c>
      <c r="K16" s="38">
        <f>+'2026 Detail'!K27+'2026 Detail'!K28</f>
        <v>75498</v>
      </c>
      <c r="L16" s="38">
        <f>+'2026 Detail'!L27+'2026 Detail'!L28</f>
        <v>75498</v>
      </c>
      <c r="M16" s="38">
        <f>+'2026 Detail'!M27+'2026 Detail'!M28</f>
        <v>75498</v>
      </c>
      <c r="N16" s="38">
        <f>+'2026 Detail'!N27+'2026 Detail'!N28</f>
        <v>75498</v>
      </c>
      <c r="O16" s="4"/>
      <c r="P16" s="4">
        <f t="shared" si="4"/>
        <v>249375.75</v>
      </c>
      <c r="Q16" s="4">
        <f t="shared" si="5"/>
        <v>226494</v>
      </c>
      <c r="R16" s="4">
        <f t="shared" si="6"/>
        <v>226494</v>
      </c>
      <c r="S16" s="4">
        <f t="shared" si="7"/>
        <v>226494</v>
      </c>
      <c r="T16" s="4"/>
      <c r="U16" s="4">
        <f t="shared" si="8"/>
        <v>928857.75</v>
      </c>
      <c r="W16" s="25">
        <f t="shared" si="9"/>
        <v>0</v>
      </c>
      <c r="Z16" s="4"/>
    </row>
    <row r="17" spans="2:26" x14ac:dyDescent="0.2">
      <c r="B17" s="8" t="s">
        <v>93</v>
      </c>
      <c r="C17" s="34">
        <f t="shared" ref="C17:N17" si="10">SUM(C14:C16)</f>
        <v>132380</v>
      </c>
      <c r="D17" s="34">
        <f t="shared" si="10"/>
        <v>157217.75</v>
      </c>
      <c r="E17" s="34">
        <f t="shared" si="10"/>
        <v>133832</v>
      </c>
      <c r="F17" s="34">
        <f t="shared" si="10"/>
        <v>120832</v>
      </c>
      <c r="G17" s="34">
        <f t="shared" si="10"/>
        <v>120832</v>
      </c>
      <c r="H17" s="34">
        <f t="shared" si="10"/>
        <v>120832</v>
      </c>
      <c r="I17" s="34">
        <f t="shared" si="10"/>
        <v>120832</v>
      </c>
      <c r="J17" s="34">
        <f t="shared" si="10"/>
        <v>120832</v>
      </c>
      <c r="K17" s="34">
        <f t="shared" si="10"/>
        <v>120832</v>
      </c>
      <c r="L17" s="34">
        <f t="shared" si="10"/>
        <v>120832</v>
      </c>
      <c r="M17" s="34">
        <f t="shared" si="10"/>
        <v>120832</v>
      </c>
      <c r="N17" s="34">
        <f t="shared" si="10"/>
        <v>120832</v>
      </c>
      <c r="O17" s="34"/>
      <c r="P17" s="34">
        <f>SUM(P14:P16)</f>
        <v>423429.75</v>
      </c>
      <c r="Q17" s="34">
        <f>SUM(Q14:Q16)</f>
        <v>362496</v>
      </c>
      <c r="R17" s="34">
        <f>SUM(R14:R16)</f>
        <v>362496</v>
      </c>
      <c r="S17" s="34">
        <f>SUM(S14:S16)</f>
        <v>362496</v>
      </c>
      <c r="T17" s="34"/>
      <c r="U17" s="34">
        <f>SUM(U14:U16)</f>
        <v>1510917.75</v>
      </c>
      <c r="W17" s="25">
        <f t="shared" si="9"/>
        <v>0</v>
      </c>
      <c r="Z17" s="4"/>
    </row>
    <row r="18" spans="2:26" x14ac:dyDescent="0.2"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W18" s="25"/>
      <c r="Z18" s="4"/>
    </row>
    <row r="19" spans="2:26" x14ac:dyDescent="0.2">
      <c r="B19" s="7" t="s">
        <v>103</v>
      </c>
      <c r="C19" s="38">
        <f>+'2026 Detail'!C33</f>
        <v>67260</v>
      </c>
      <c r="D19" s="38">
        <f>+'2026 Detail'!D33</f>
        <v>218460</v>
      </c>
      <c r="E19" s="38">
        <f>+'2026 Detail'!E33</f>
        <v>67260</v>
      </c>
      <c r="F19" s="38">
        <f>+'2026 Detail'!F33</f>
        <v>65760</v>
      </c>
      <c r="G19" s="38">
        <f>+'2026 Detail'!G33</f>
        <v>65760</v>
      </c>
      <c r="H19" s="38">
        <f>+'2026 Detail'!H33</f>
        <v>65760</v>
      </c>
      <c r="I19" s="38">
        <f>+'2026 Detail'!I33</f>
        <v>65260</v>
      </c>
      <c r="J19" s="38">
        <f>+'2026 Detail'!J33</f>
        <v>65260</v>
      </c>
      <c r="K19" s="38">
        <f>+'2026 Detail'!K33</f>
        <v>65260</v>
      </c>
      <c r="L19" s="38">
        <f>+'2026 Detail'!L33</f>
        <v>65260</v>
      </c>
      <c r="M19" s="38">
        <f>+'2026 Detail'!M33</f>
        <v>65260</v>
      </c>
      <c r="N19" s="38">
        <f>+'2026 Detail'!N33</f>
        <v>65260</v>
      </c>
      <c r="O19" s="4"/>
      <c r="P19" s="4">
        <f>SUM(C19:E19)</f>
        <v>352980</v>
      </c>
      <c r="Q19" s="4">
        <f>SUM(F19:H19)</f>
        <v>197280</v>
      </c>
      <c r="R19" s="4">
        <f>SUM(I19:K19)</f>
        <v>195780</v>
      </c>
      <c r="S19" s="4">
        <f>SUM(L19:N19)</f>
        <v>195780</v>
      </c>
      <c r="T19" s="4"/>
      <c r="U19" s="4">
        <f>SUM(C19:N19)</f>
        <v>941820</v>
      </c>
      <c r="W19" s="25">
        <f t="shared" ref="W19:W20" si="11">ROUND(SUM(P19:S19)-U19,2)</f>
        <v>0</v>
      </c>
      <c r="Z19" s="4"/>
    </row>
    <row r="20" spans="2:26" x14ac:dyDescent="0.2">
      <c r="B20" s="8" t="s">
        <v>96</v>
      </c>
      <c r="C20" s="34">
        <f t="shared" ref="C20:N20" si="12">SUM(C19:C19)</f>
        <v>67260</v>
      </c>
      <c r="D20" s="34">
        <f t="shared" si="12"/>
        <v>218460</v>
      </c>
      <c r="E20" s="34">
        <f t="shared" si="12"/>
        <v>67260</v>
      </c>
      <c r="F20" s="34">
        <f t="shared" si="12"/>
        <v>65760</v>
      </c>
      <c r="G20" s="34">
        <f t="shared" si="12"/>
        <v>65760</v>
      </c>
      <c r="H20" s="34">
        <f t="shared" si="12"/>
        <v>65760</v>
      </c>
      <c r="I20" s="34">
        <f t="shared" si="12"/>
        <v>65260</v>
      </c>
      <c r="J20" s="34">
        <f t="shared" si="12"/>
        <v>65260</v>
      </c>
      <c r="K20" s="34">
        <f t="shared" si="12"/>
        <v>65260</v>
      </c>
      <c r="L20" s="34">
        <f t="shared" si="12"/>
        <v>65260</v>
      </c>
      <c r="M20" s="34">
        <f t="shared" si="12"/>
        <v>65260</v>
      </c>
      <c r="N20" s="34">
        <f t="shared" si="12"/>
        <v>65260</v>
      </c>
      <c r="O20" s="34"/>
      <c r="P20" s="34">
        <f>SUM(P19:P19)</f>
        <v>352980</v>
      </c>
      <c r="Q20" s="34">
        <f>SUM(Q19:Q19)</f>
        <v>197280</v>
      </c>
      <c r="R20" s="34">
        <f>SUM(R19:R19)</f>
        <v>195780</v>
      </c>
      <c r="S20" s="34">
        <f>SUM(S19:S19)</f>
        <v>195780</v>
      </c>
      <c r="T20" s="34"/>
      <c r="U20" s="34">
        <f>SUM(U19:U19)</f>
        <v>941820</v>
      </c>
      <c r="W20" s="25">
        <f t="shared" si="11"/>
        <v>0</v>
      </c>
    </row>
    <row r="21" spans="2:26" x14ac:dyDescent="0.2"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W21" s="25"/>
      <c r="Z21" s="4"/>
    </row>
    <row r="22" spans="2:26" x14ac:dyDescent="0.2">
      <c r="B22" s="7" t="s">
        <v>34</v>
      </c>
      <c r="C22" s="38">
        <f>+'2026 Detail'!C35</f>
        <v>3550</v>
      </c>
      <c r="D22" s="38">
        <f>+'2026 Detail'!D35</f>
        <v>3550</v>
      </c>
      <c r="E22" s="38">
        <f>+'2026 Detail'!E35</f>
        <v>3550</v>
      </c>
      <c r="F22" s="38">
        <f>+'2026 Detail'!F35</f>
        <v>3550</v>
      </c>
      <c r="G22" s="38">
        <f>+'2026 Detail'!G35</f>
        <v>3550</v>
      </c>
      <c r="H22" s="38">
        <f>+'2026 Detail'!H35</f>
        <v>3550</v>
      </c>
      <c r="I22" s="38">
        <f>+'2026 Detail'!I35</f>
        <v>3550</v>
      </c>
      <c r="J22" s="38">
        <f>+'2026 Detail'!J35</f>
        <v>3550</v>
      </c>
      <c r="K22" s="38">
        <f>+'2026 Detail'!K35</f>
        <v>3550</v>
      </c>
      <c r="L22" s="38">
        <f>+'2026 Detail'!L35</f>
        <v>3550</v>
      </c>
      <c r="M22" s="38">
        <f>+'2026 Detail'!M35</f>
        <v>3550</v>
      </c>
      <c r="N22" s="38">
        <f>+'2026 Detail'!N35</f>
        <v>3550</v>
      </c>
      <c r="O22" s="4"/>
      <c r="P22" s="4">
        <f t="shared" ref="P22:P30" si="13">SUM(C22:E22)</f>
        <v>10650</v>
      </c>
      <c r="Q22" s="4">
        <f t="shared" ref="Q22:Q30" si="14">SUM(F22:H22)</f>
        <v>10650</v>
      </c>
      <c r="R22" s="4">
        <f t="shared" ref="R22:R30" si="15">SUM(I22:K22)</f>
        <v>10650</v>
      </c>
      <c r="S22" s="4">
        <f t="shared" ref="S22:S30" si="16">SUM(L22:N22)</f>
        <v>10650</v>
      </c>
      <c r="T22" s="4"/>
      <c r="U22" s="4">
        <f t="shared" ref="U22:U30" si="17">SUM(C22:N22)</f>
        <v>42600</v>
      </c>
      <c r="W22" s="25">
        <f t="shared" ref="W22:W31" si="18">ROUND(SUM(P22:S22)-U22,2)</f>
        <v>0</v>
      </c>
      <c r="Z22" s="4"/>
    </row>
    <row r="23" spans="2:26" x14ac:dyDescent="0.2">
      <c r="B23" s="7" t="s">
        <v>17</v>
      </c>
      <c r="C23" s="38">
        <f>+'2026 Detail'!C36</f>
        <v>4060.2450000000003</v>
      </c>
      <c r="D23" s="38">
        <f>+'2026 Detail'!D36</f>
        <v>4804.6949999999997</v>
      </c>
      <c r="E23" s="38">
        <f>+'2026 Detail'!E36</f>
        <v>13162.9575</v>
      </c>
      <c r="F23" s="38">
        <f>+'2026 Detail'!F36</f>
        <v>11670.067500000001</v>
      </c>
      <c r="G23" s="38">
        <f>+'2026 Detail'!G36</f>
        <v>26012.721000000005</v>
      </c>
      <c r="H23" s="38">
        <f>+'2026 Detail'!H36</f>
        <v>24274.236000000001</v>
      </c>
      <c r="I23" s="38">
        <f>+'2026 Detail'!I36</f>
        <v>23138.230500000001</v>
      </c>
      <c r="J23" s="38">
        <f>+'2026 Detail'!J36</f>
        <v>96432.766499999998</v>
      </c>
      <c r="K23" s="38">
        <f>+'2026 Detail'!K36</f>
        <v>10803.943499999998</v>
      </c>
      <c r="L23" s="38">
        <f>+'2026 Detail'!L36</f>
        <v>25464.211500000001</v>
      </c>
      <c r="M23" s="38">
        <f>+'2026 Detail'!M36</f>
        <v>12659.041499999999</v>
      </c>
      <c r="N23" s="38">
        <f>+'2026 Detail'!N36</f>
        <v>12600</v>
      </c>
      <c r="O23" s="4"/>
      <c r="P23" s="4">
        <f t="shared" si="13"/>
        <v>22027.897499999999</v>
      </c>
      <c r="Q23" s="4">
        <f t="shared" si="14"/>
        <v>61957.024500000014</v>
      </c>
      <c r="R23" s="4">
        <f t="shared" si="15"/>
        <v>130374.9405</v>
      </c>
      <c r="S23" s="4">
        <f t="shared" si="16"/>
        <v>50723.252999999997</v>
      </c>
      <c r="T23" s="4"/>
      <c r="U23" s="4">
        <f t="shared" si="17"/>
        <v>265083.11549999996</v>
      </c>
      <c r="W23" s="25">
        <f t="shared" si="18"/>
        <v>0</v>
      </c>
      <c r="Z23" s="4"/>
    </row>
    <row r="24" spans="2:26" x14ac:dyDescent="0.2">
      <c r="B24" s="7" t="s">
        <v>28</v>
      </c>
      <c r="C24" s="38">
        <f>+'2026 Detail'!C37</f>
        <v>750</v>
      </c>
      <c r="D24" s="38">
        <f>+'2026 Detail'!D37</f>
        <v>750</v>
      </c>
      <c r="E24" s="38">
        <f>+'2026 Detail'!E37</f>
        <v>750</v>
      </c>
      <c r="F24" s="38">
        <f>+'2026 Detail'!F37</f>
        <v>750</v>
      </c>
      <c r="G24" s="38">
        <f>+'2026 Detail'!G37</f>
        <v>750</v>
      </c>
      <c r="H24" s="38">
        <f>+'2026 Detail'!H37</f>
        <v>750</v>
      </c>
      <c r="I24" s="38">
        <f>+'2026 Detail'!I37</f>
        <v>750</v>
      </c>
      <c r="J24" s="38">
        <f>+'2026 Detail'!J37</f>
        <v>750</v>
      </c>
      <c r="K24" s="38">
        <f>+'2026 Detail'!K37</f>
        <v>750</v>
      </c>
      <c r="L24" s="38">
        <f>+'2026 Detail'!L37</f>
        <v>750</v>
      </c>
      <c r="M24" s="38">
        <f>+'2026 Detail'!M37</f>
        <v>750</v>
      </c>
      <c r="N24" s="38">
        <f>+'2026 Detail'!N37</f>
        <v>750</v>
      </c>
      <c r="O24" s="4"/>
      <c r="P24" s="4">
        <f t="shared" si="13"/>
        <v>2250</v>
      </c>
      <c r="Q24" s="4">
        <f t="shared" si="14"/>
        <v>2250</v>
      </c>
      <c r="R24" s="4">
        <f t="shared" si="15"/>
        <v>2250</v>
      </c>
      <c r="S24" s="4">
        <f t="shared" si="16"/>
        <v>2250</v>
      </c>
      <c r="T24" s="4"/>
      <c r="U24" s="4">
        <f t="shared" si="17"/>
        <v>9000</v>
      </c>
      <c r="W24" s="25">
        <f t="shared" si="18"/>
        <v>0</v>
      </c>
    </row>
    <row r="25" spans="2:26" x14ac:dyDescent="0.2">
      <c r="B25" s="7" t="s">
        <v>18</v>
      </c>
      <c r="C25" s="38">
        <f>+'2026 Detail'!C38</f>
        <v>511.87910000000005</v>
      </c>
      <c r="D25" s="38">
        <f>+'2026 Detail'!D38</f>
        <v>8528.5853999999999</v>
      </c>
      <c r="E25" s="38">
        <f>+'2026 Detail'!E38</f>
        <v>3182.5867000000003</v>
      </c>
      <c r="F25" s="38">
        <f>+'2026 Detail'!F38</f>
        <v>9254.4367000000002</v>
      </c>
      <c r="G25" s="38">
        <f>+'2026 Detail'!G38</f>
        <v>1593.9765000000002</v>
      </c>
      <c r="H25" s="38">
        <f>+'2026 Detail'!H38</f>
        <v>3130.6747</v>
      </c>
      <c r="I25" s="38">
        <f>+'2026 Detail'!I38</f>
        <v>5747.6472000000012</v>
      </c>
      <c r="J25" s="38">
        <f>+'2026 Detail'!J38</f>
        <v>1836.7372000000003</v>
      </c>
      <c r="K25" s="38">
        <f>+'2026 Detail'!K38</f>
        <v>3130.6747</v>
      </c>
      <c r="L25" s="38">
        <f>+'2026 Detail'!L38</f>
        <v>5992.3340000000007</v>
      </c>
      <c r="M25" s="38">
        <f>+'2026 Detail'!M38</f>
        <v>1836.7372000000003</v>
      </c>
      <c r="N25" s="38">
        <f>+'2026 Detail'!N38</f>
        <v>2575</v>
      </c>
      <c r="O25" s="4"/>
      <c r="P25" s="4">
        <f t="shared" si="13"/>
        <v>12223.0512</v>
      </c>
      <c r="Q25" s="4">
        <f t="shared" si="14"/>
        <v>13979.0879</v>
      </c>
      <c r="R25" s="4">
        <f t="shared" si="15"/>
        <v>10715.059100000002</v>
      </c>
      <c r="S25" s="4">
        <f t="shared" si="16"/>
        <v>10404.071200000002</v>
      </c>
      <c r="T25" s="4"/>
      <c r="U25" s="4">
        <f t="shared" si="17"/>
        <v>47321.269400000012</v>
      </c>
      <c r="W25" s="25">
        <f t="shared" si="18"/>
        <v>0</v>
      </c>
    </row>
    <row r="26" spans="2:26" x14ac:dyDescent="0.2">
      <c r="B26" s="7" t="s">
        <v>29</v>
      </c>
      <c r="C26" s="38">
        <f>+'2026 Detail'!C39</f>
        <v>12500</v>
      </c>
      <c r="D26" s="38">
        <f>+'2026 Detail'!D39</f>
        <v>12500</v>
      </c>
      <c r="E26" s="38">
        <f>+'2026 Detail'!E39</f>
        <v>12500</v>
      </c>
      <c r="F26" s="38">
        <f>+'2026 Detail'!F39</f>
        <v>10000</v>
      </c>
      <c r="G26" s="38">
        <f>+'2026 Detail'!G39</f>
        <v>10000</v>
      </c>
      <c r="H26" s="38">
        <f>+'2026 Detail'!H39</f>
        <v>10000</v>
      </c>
      <c r="I26" s="38">
        <f>+'2026 Detail'!I39</f>
        <v>8000</v>
      </c>
      <c r="J26" s="38">
        <f>+'2026 Detail'!J39</f>
        <v>8000</v>
      </c>
      <c r="K26" s="38">
        <f>+'2026 Detail'!K39</f>
        <v>8000</v>
      </c>
      <c r="L26" s="38">
        <f>+'2026 Detail'!L39</f>
        <v>8000</v>
      </c>
      <c r="M26" s="38">
        <f>+'2026 Detail'!M39</f>
        <v>8000</v>
      </c>
      <c r="N26" s="38">
        <f>+'2026 Detail'!N39</f>
        <v>8000</v>
      </c>
      <c r="O26" s="4"/>
      <c r="P26" s="4">
        <f t="shared" si="13"/>
        <v>37500</v>
      </c>
      <c r="Q26" s="4">
        <f t="shared" si="14"/>
        <v>30000</v>
      </c>
      <c r="R26" s="4">
        <f t="shared" si="15"/>
        <v>24000</v>
      </c>
      <c r="S26" s="4">
        <f t="shared" si="16"/>
        <v>24000</v>
      </c>
      <c r="T26" s="4"/>
      <c r="U26" s="4">
        <f t="shared" si="17"/>
        <v>115500</v>
      </c>
      <c r="W26" s="25">
        <f t="shared" si="18"/>
        <v>0</v>
      </c>
    </row>
    <row r="27" spans="2:26" x14ac:dyDescent="0.2">
      <c r="B27" s="7" t="s">
        <v>32</v>
      </c>
      <c r="C27" s="38">
        <f>+'2026 Detail'!C40</f>
        <v>2500</v>
      </c>
      <c r="D27" s="38">
        <f>+'2026 Detail'!D40</f>
        <v>1500</v>
      </c>
      <c r="E27" s="38">
        <f>+'2026 Detail'!E40</f>
        <v>2000</v>
      </c>
      <c r="F27" s="38">
        <f>+'2026 Detail'!F40</f>
        <v>1500</v>
      </c>
      <c r="G27" s="38">
        <f>+'2026 Detail'!G40</f>
        <v>1500</v>
      </c>
      <c r="H27" s="38">
        <f>+'2026 Detail'!H40</f>
        <v>2000</v>
      </c>
      <c r="I27" s="38">
        <f>+'2026 Detail'!I40</f>
        <v>1500</v>
      </c>
      <c r="J27" s="38">
        <f>+'2026 Detail'!J40</f>
        <v>1500</v>
      </c>
      <c r="K27" s="38">
        <f>+'2026 Detail'!K40</f>
        <v>2000</v>
      </c>
      <c r="L27" s="38">
        <f>+'2026 Detail'!L40</f>
        <v>1500</v>
      </c>
      <c r="M27" s="38">
        <f>+'2026 Detail'!M40</f>
        <v>1500</v>
      </c>
      <c r="N27" s="38">
        <f>+'2026 Detail'!N40</f>
        <v>2000</v>
      </c>
      <c r="O27" s="4"/>
      <c r="P27" s="4">
        <f t="shared" si="13"/>
        <v>6000</v>
      </c>
      <c r="Q27" s="4">
        <f t="shared" si="14"/>
        <v>5000</v>
      </c>
      <c r="R27" s="4">
        <f t="shared" si="15"/>
        <v>5000</v>
      </c>
      <c r="S27" s="4">
        <f t="shared" si="16"/>
        <v>5000</v>
      </c>
      <c r="T27" s="4"/>
      <c r="U27" s="4">
        <f t="shared" si="17"/>
        <v>21000</v>
      </c>
      <c r="W27" s="25">
        <f t="shared" si="18"/>
        <v>0</v>
      </c>
    </row>
    <row r="28" spans="2:26" x14ac:dyDescent="0.2">
      <c r="B28" s="7" t="s">
        <v>31</v>
      </c>
      <c r="C28" s="38">
        <f>+'2026 Detail'!C41</f>
        <v>5000</v>
      </c>
      <c r="D28" s="38">
        <f>+'2026 Detail'!D41</f>
        <v>5000</v>
      </c>
      <c r="E28" s="38">
        <f>+'2026 Detail'!E41</f>
        <v>5000</v>
      </c>
      <c r="F28" s="38">
        <f>+'2026 Detail'!F41</f>
        <v>5000</v>
      </c>
      <c r="G28" s="38">
        <f>+'2026 Detail'!G41</f>
        <v>5000</v>
      </c>
      <c r="H28" s="38">
        <f>+'2026 Detail'!H41</f>
        <v>5000</v>
      </c>
      <c r="I28" s="38">
        <f>+'2026 Detail'!I41</f>
        <v>5000</v>
      </c>
      <c r="J28" s="38">
        <f>+'2026 Detail'!J41</f>
        <v>5000</v>
      </c>
      <c r="K28" s="38">
        <f>+'2026 Detail'!K41</f>
        <v>5000</v>
      </c>
      <c r="L28" s="38">
        <f>+'2026 Detail'!L41</f>
        <v>5000</v>
      </c>
      <c r="M28" s="38">
        <f>+'2026 Detail'!M41</f>
        <v>5000</v>
      </c>
      <c r="N28" s="38">
        <f>+'2026 Detail'!N41</f>
        <v>5000</v>
      </c>
      <c r="O28" s="4"/>
      <c r="P28" s="4">
        <f t="shared" si="13"/>
        <v>15000</v>
      </c>
      <c r="Q28" s="4">
        <f t="shared" si="14"/>
        <v>15000</v>
      </c>
      <c r="R28" s="4">
        <f t="shared" si="15"/>
        <v>15000</v>
      </c>
      <c r="S28" s="4">
        <f t="shared" si="16"/>
        <v>15000</v>
      </c>
      <c r="T28" s="4"/>
      <c r="U28" s="4">
        <f t="shared" si="17"/>
        <v>60000</v>
      </c>
      <c r="W28" s="25">
        <f t="shared" si="18"/>
        <v>0</v>
      </c>
    </row>
    <row r="29" spans="2:26" x14ac:dyDescent="0.2">
      <c r="B29" s="7" t="s">
        <v>62</v>
      </c>
      <c r="C29" s="38">
        <f>+'2026 Detail'!C42</f>
        <v>250</v>
      </c>
      <c r="D29" s="38">
        <f>+'2026 Detail'!D42</f>
        <v>250</v>
      </c>
      <c r="E29" s="38">
        <f>+'2026 Detail'!E42</f>
        <v>250</v>
      </c>
      <c r="F29" s="38">
        <f>+'2026 Detail'!F42</f>
        <v>250</v>
      </c>
      <c r="G29" s="38">
        <f>+'2026 Detail'!G42</f>
        <v>250</v>
      </c>
      <c r="H29" s="38">
        <f>+'2026 Detail'!H42</f>
        <v>250</v>
      </c>
      <c r="I29" s="38">
        <f>+'2026 Detail'!I42</f>
        <v>250</v>
      </c>
      <c r="J29" s="38">
        <f>+'2026 Detail'!J42</f>
        <v>250</v>
      </c>
      <c r="K29" s="38">
        <f>+'2026 Detail'!K42</f>
        <v>250</v>
      </c>
      <c r="L29" s="38">
        <f>+'2026 Detail'!L42</f>
        <v>250</v>
      </c>
      <c r="M29" s="38">
        <f>+'2026 Detail'!M42</f>
        <v>250</v>
      </c>
      <c r="N29" s="38">
        <f>+'2026 Detail'!N42</f>
        <v>250</v>
      </c>
      <c r="O29" s="4"/>
      <c r="P29" s="4">
        <f t="shared" si="13"/>
        <v>750</v>
      </c>
      <c r="Q29" s="4">
        <f t="shared" si="14"/>
        <v>750</v>
      </c>
      <c r="R29" s="4">
        <f t="shared" si="15"/>
        <v>750</v>
      </c>
      <c r="S29" s="4">
        <f t="shared" si="16"/>
        <v>750</v>
      </c>
      <c r="T29" s="4"/>
      <c r="U29" s="4">
        <f t="shared" si="17"/>
        <v>3000</v>
      </c>
      <c r="W29" s="25">
        <f t="shared" si="18"/>
        <v>0</v>
      </c>
    </row>
    <row r="30" spans="2:26" x14ac:dyDescent="0.2">
      <c r="B30" s="7" t="s">
        <v>22</v>
      </c>
      <c r="C30" s="38">
        <f>+'2026 Detail'!C43</f>
        <v>15000</v>
      </c>
      <c r="D30" s="38">
        <f>+'2026 Detail'!D43</f>
        <v>15000</v>
      </c>
      <c r="E30" s="38">
        <f>+'2026 Detail'!E43</f>
        <v>15000</v>
      </c>
      <c r="F30" s="38">
        <f>+'2026 Detail'!F43</f>
        <v>15000</v>
      </c>
      <c r="G30" s="38">
        <f>+'2026 Detail'!G43</f>
        <v>15000</v>
      </c>
      <c r="H30" s="38">
        <f>+'2026 Detail'!H43</f>
        <v>15000</v>
      </c>
      <c r="I30" s="38">
        <f>+'2026 Detail'!I43</f>
        <v>15000</v>
      </c>
      <c r="J30" s="38">
        <f>+'2026 Detail'!J43</f>
        <v>15000</v>
      </c>
      <c r="K30" s="38">
        <f>+'2026 Detail'!K43</f>
        <v>15000</v>
      </c>
      <c r="L30" s="38">
        <f>+'2026 Detail'!L43</f>
        <v>15000</v>
      </c>
      <c r="M30" s="38">
        <f>+'2026 Detail'!M43</f>
        <v>15000</v>
      </c>
      <c r="N30" s="38">
        <f>+'2026 Detail'!N43</f>
        <v>15000</v>
      </c>
      <c r="O30" s="4"/>
      <c r="P30" s="4">
        <f t="shared" si="13"/>
        <v>45000</v>
      </c>
      <c r="Q30" s="4">
        <f t="shared" si="14"/>
        <v>45000</v>
      </c>
      <c r="R30" s="4">
        <f t="shared" si="15"/>
        <v>45000</v>
      </c>
      <c r="S30" s="4">
        <f t="shared" si="16"/>
        <v>45000</v>
      </c>
      <c r="T30" s="4"/>
      <c r="U30" s="4">
        <f t="shared" si="17"/>
        <v>180000</v>
      </c>
      <c r="W30" s="25">
        <f t="shared" si="18"/>
        <v>0</v>
      </c>
    </row>
    <row r="31" spans="2:26" x14ac:dyDescent="0.2">
      <c r="B31" s="8" t="s">
        <v>97</v>
      </c>
      <c r="C31" s="34">
        <f t="shared" ref="C31:N31" si="19">SUM(C22:C30)</f>
        <v>44122.124100000001</v>
      </c>
      <c r="D31" s="34">
        <f t="shared" si="19"/>
        <v>51883.280400000003</v>
      </c>
      <c r="E31" s="34">
        <f t="shared" si="19"/>
        <v>55395.544200000004</v>
      </c>
      <c r="F31" s="34">
        <f t="shared" si="19"/>
        <v>56974.504200000003</v>
      </c>
      <c r="G31" s="34">
        <f t="shared" si="19"/>
        <v>63656.697500000009</v>
      </c>
      <c r="H31" s="34">
        <f t="shared" si="19"/>
        <v>63954.9107</v>
      </c>
      <c r="I31" s="34">
        <f t="shared" si="19"/>
        <v>62935.877700000005</v>
      </c>
      <c r="J31" s="34">
        <f t="shared" si="19"/>
        <v>132319.5037</v>
      </c>
      <c r="K31" s="34">
        <f t="shared" si="19"/>
        <v>48484.618199999997</v>
      </c>
      <c r="L31" s="34">
        <f t="shared" si="19"/>
        <v>65506.5455</v>
      </c>
      <c r="M31" s="34">
        <f t="shared" si="19"/>
        <v>48545.778699999995</v>
      </c>
      <c r="N31" s="34">
        <f t="shared" si="19"/>
        <v>49725</v>
      </c>
      <c r="O31" s="34"/>
      <c r="P31" s="34">
        <f>SUM(P22:P30)</f>
        <v>151400.94870000001</v>
      </c>
      <c r="Q31" s="34">
        <f>SUM(Q22:Q30)</f>
        <v>184586.11240000001</v>
      </c>
      <c r="R31" s="34">
        <f>SUM(R22:R30)</f>
        <v>243739.99960000001</v>
      </c>
      <c r="S31" s="34">
        <f>SUM(S22:S30)</f>
        <v>163777.3242</v>
      </c>
      <c r="T31" s="34"/>
      <c r="U31" s="34">
        <f>SUM(U22:U30)</f>
        <v>743504.38489999995</v>
      </c>
      <c r="W31" s="25">
        <f t="shared" si="18"/>
        <v>0</v>
      </c>
    </row>
    <row r="32" spans="2:26" x14ac:dyDescent="0.2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W32" s="25"/>
    </row>
    <row r="33" spans="2:26" x14ac:dyDescent="0.2">
      <c r="B33" s="8" t="s">
        <v>43</v>
      </c>
      <c r="C33" s="34">
        <f t="shared" ref="C33:N33" si="20">+C12+C17+C20+C31</f>
        <v>468472.12410000002</v>
      </c>
      <c r="D33" s="34">
        <f t="shared" si="20"/>
        <v>890053.56714000006</v>
      </c>
      <c r="E33" s="34">
        <f t="shared" si="20"/>
        <v>485205.84419999999</v>
      </c>
      <c r="F33" s="34">
        <f t="shared" si="20"/>
        <v>466284.80420000001</v>
      </c>
      <c r="G33" s="34">
        <f t="shared" si="20"/>
        <v>472966.9975</v>
      </c>
      <c r="H33" s="34">
        <f t="shared" si="20"/>
        <v>473265.2107</v>
      </c>
      <c r="I33" s="34">
        <f t="shared" si="20"/>
        <v>465246.1777</v>
      </c>
      <c r="J33" s="34">
        <f t="shared" si="20"/>
        <v>534629.80370000005</v>
      </c>
      <c r="K33" s="34">
        <f t="shared" si="20"/>
        <v>450794.91819999996</v>
      </c>
      <c r="L33" s="34">
        <f t="shared" si="20"/>
        <v>463316.8455</v>
      </c>
      <c r="M33" s="34">
        <f t="shared" si="20"/>
        <v>446356.07869999995</v>
      </c>
      <c r="N33" s="34">
        <f t="shared" si="20"/>
        <v>447535.3</v>
      </c>
      <c r="O33" s="34"/>
      <c r="P33" s="34">
        <f>+P12+P17+P20+P31</f>
        <v>1843731.5354400002</v>
      </c>
      <c r="Q33" s="34">
        <f>+Q12+Q17+Q20+Q31</f>
        <v>1412517.0123999999</v>
      </c>
      <c r="R33" s="34">
        <f>+R12+R17+R20+R31</f>
        <v>1450670.8995999999</v>
      </c>
      <c r="S33" s="34">
        <f>+S12+S17+S20+S31</f>
        <v>1357208.2241999998</v>
      </c>
      <c r="T33" s="34"/>
      <c r="U33" s="34">
        <f>+U12+U17+U20+U31</f>
        <v>6064127.6716399994</v>
      </c>
      <c r="W33" s="25">
        <f>ROUND(SUM(P33:S33)-U33,2)</f>
        <v>0</v>
      </c>
      <c r="Z33" s="4"/>
    </row>
    <row r="34" spans="2:26" x14ac:dyDescent="0.2">
      <c r="W34" s="25"/>
      <c r="Z34" s="4"/>
    </row>
    <row r="35" spans="2:26" x14ac:dyDescent="0.2">
      <c r="B35" s="7" t="s">
        <v>33</v>
      </c>
      <c r="C35" s="38">
        <f>+'2026 Detail'!C48</f>
        <v>0</v>
      </c>
      <c r="D35" s="38">
        <f>+'2026 Detail'!D48</f>
        <v>0</v>
      </c>
      <c r="E35" s="38">
        <f>+'2026 Detail'!E48</f>
        <v>0</v>
      </c>
      <c r="F35" s="38">
        <f>+'2026 Detail'!F48</f>
        <v>0</v>
      </c>
      <c r="G35" s="38">
        <f>+'2026 Detail'!G48</f>
        <v>0</v>
      </c>
      <c r="H35" s="38">
        <f>+'2026 Detail'!H48</f>
        <v>0</v>
      </c>
      <c r="I35" s="38">
        <f>+'2026 Detail'!I48</f>
        <v>0</v>
      </c>
      <c r="J35" s="38">
        <f>+'2026 Detail'!J48</f>
        <v>0</v>
      </c>
      <c r="K35" s="38">
        <f>+'2026 Detail'!K48</f>
        <v>0</v>
      </c>
      <c r="L35" s="38">
        <f>+'2026 Detail'!L48</f>
        <v>0</v>
      </c>
      <c r="M35" s="38">
        <f>+'2026 Detail'!M48</f>
        <v>0</v>
      </c>
      <c r="N35" s="38">
        <f>+'2026 Detail'!N48</f>
        <v>0</v>
      </c>
      <c r="O35" s="4"/>
      <c r="P35" s="4">
        <f>SUM(C35:E35)</f>
        <v>0</v>
      </c>
      <c r="Q35" s="4">
        <f>SUM(F35:H35)</f>
        <v>0</v>
      </c>
      <c r="R35" s="4">
        <f>SUM(I35:K35)</f>
        <v>0</v>
      </c>
      <c r="S35" s="4">
        <f>SUM(L35:N35)</f>
        <v>0</v>
      </c>
      <c r="T35" s="4"/>
      <c r="U35" s="4">
        <f>SUM(C35:N35)</f>
        <v>0</v>
      </c>
      <c r="W35" s="25">
        <f t="shared" ref="W35:W41" si="21">ROUND(SUM(P35:S35)-U35,2)</f>
        <v>0</v>
      </c>
      <c r="Z35" s="4"/>
    </row>
    <row r="36" spans="2:26" x14ac:dyDescent="0.2">
      <c r="B36" s="7" t="s">
        <v>35</v>
      </c>
      <c r="C36" s="38">
        <f>+'2026 Detail'!C49</f>
        <v>0</v>
      </c>
      <c r="D36" s="38">
        <f>+'2026 Detail'!D49</f>
        <v>0</v>
      </c>
      <c r="E36" s="38">
        <f>+'2026 Detail'!E49</f>
        <v>0</v>
      </c>
      <c r="F36" s="38">
        <f>+'2026 Detail'!F49</f>
        <v>0</v>
      </c>
      <c r="G36" s="38">
        <f>+'2026 Detail'!G49</f>
        <v>0</v>
      </c>
      <c r="H36" s="38">
        <f>+'2026 Detail'!H49</f>
        <v>0</v>
      </c>
      <c r="I36" s="38">
        <f>+'2026 Detail'!I49</f>
        <v>0</v>
      </c>
      <c r="J36" s="38">
        <f>+'2026 Detail'!J49</f>
        <v>0</v>
      </c>
      <c r="K36" s="38">
        <f>+'2026 Detail'!K49</f>
        <v>0</v>
      </c>
      <c r="L36" s="38">
        <f>+'2026 Detail'!L49</f>
        <v>0</v>
      </c>
      <c r="M36" s="38">
        <f>+'2026 Detail'!M49</f>
        <v>0</v>
      </c>
      <c r="N36" s="38">
        <f>+'2026 Detail'!N49</f>
        <v>0</v>
      </c>
      <c r="O36" s="4"/>
      <c r="P36" s="4">
        <f t="shared" ref="P36:P40" si="22">SUM(C36:E36)</f>
        <v>0</v>
      </c>
      <c r="Q36" s="4">
        <f t="shared" ref="Q36:Q40" si="23">SUM(F36:H36)</f>
        <v>0</v>
      </c>
      <c r="R36" s="4">
        <f t="shared" ref="R36:R40" si="24">SUM(I36:K36)</f>
        <v>0</v>
      </c>
      <c r="S36" s="4">
        <f t="shared" ref="S36:S40" si="25">SUM(L36:N36)</f>
        <v>0</v>
      </c>
      <c r="T36" s="4"/>
      <c r="U36" s="4">
        <f t="shared" ref="U36:U40" si="26">SUM(C36:N36)</f>
        <v>0</v>
      </c>
      <c r="W36" s="25">
        <f t="shared" si="21"/>
        <v>0</v>
      </c>
    </row>
    <row r="37" spans="2:26" x14ac:dyDescent="0.2">
      <c r="B37" s="7" t="s">
        <v>16</v>
      </c>
      <c r="C37" s="38">
        <f>+'2026 Detail'!C50</f>
        <v>0</v>
      </c>
      <c r="D37" s="38">
        <f>+'2026 Detail'!D50</f>
        <v>0</v>
      </c>
      <c r="E37" s="38">
        <f>+'2026 Detail'!E50</f>
        <v>0</v>
      </c>
      <c r="F37" s="38">
        <f>+'2026 Detail'!F50</f>
        <v>0</v>
      </c>
      <c r="G37" s="38">
        <f>+'2026 Detail'!G50</f>
        <v>0</v>
      </c>
      <c r="H37" s="38">
        <f>+'2026 Detail'!H50</f>
        <v>0</v>
      </c>
      <c r="I37" s="38">
        <f>+'2026 Detail'!I50</f>
        <v>0</v>
      </c>
      <c r="J37" s="38">
        <f>+'2026 Detail'!J50</f>
        <v>0</v>
      </c>
      <c r="K37" s="38">
        <f>+'2026 Detail'!K50</f>
        <v>0</v>
      </c>
      <c r="L37" s="38">
        <f>+'2026 Detail'!L50</f>
        <v>0</v>
      </c>
      <c r="M37" s="38">
        <f>+'2026 Detail'!M50</f>
        <v>0</v>
      </c>
      <c r="N37" s="38">
        <f>+'2026 Detail'!N50</f>
        <v>0</v>
      </c>
      <c r="O37" s="4"/>
      <c r="P37" s="4">
        <f t="shared" si="22"/>
        <v>0</v>
      </c>
      <c r="Q37" s="4">
        <f t="shared" si="23"/>
        <v>0</v>
      </c>
      <c r="R37" s="4">
        <f t="shared" si="24"/>
        <v>0</v>
      </c>
      <c r="S37" s="4">
        <f t="shared" si="25"/>
        <v>0</v>
      </c>
      <c r="T37" s="4"/>
      <c r="U37" s="4">
        <f t="shared" si="26"/>
        <v>0</v>
      </c>
      <c r="W37" s="25">
        <f t="shared" si="21"/>
        <v>0</v>
      </c>
      <c r="Z37" s="4"/>
    </row>
    <row r="38" spans="2:26" x14ac:dyDescent="0.2">
      <c r="B38" s="7" t="s">
        <v>0</v>
      </c>
      <c r="C38" s="38">
        <f>+'2026 Detail'!C51</f>
        <v>0</v>
      </c>
      <c r="D38" s="38">
        <f>+'2026 Detail'!D51</f>
        <v>0</v>
      </c>
      <c r="E38" s="38">
        <f>+'2026 Detail'!E51</f>
        <v>0</v>
      </c>
      <c r="F38" s="38">
        <f>+'2026 Detail'!F51</f>
        <v>0</v>
      </c>
      <c r="G38" s="38">
        <f>+'2026 Detail'!G51</f>
        <v>0</v>
      </c>
      <c r="H38" s="38">
        <f>+'2026 Detail'!H51</f>
        <v>0</v>
      </c>
      <c r="I38" s="38">
        <f>+'2026 Detail'!I51</f>
        <v>0</v>
      </c>
      <c r="J38" s="38">
        <f>+'2026 Detail'!J51</f>
        <v>0</v>
      </c>
      <c r="K38" s="38">
        <f>+'2026 Detail'!K51</f>
        <v>0</v>
      </c>
      <c r="L38" s="38">
        <f>+'2026 Detail'!L51</f>
        <v>0</v>
      </c>
      <c r="M38" s="38">
        <f>+'2026 Detail'!M51</f>
        <v>0</v>
      </c>
      <c r="N38" s="38">
        <f>+'2026 Detail'!N51</f>
        <v>0</v>
      </c>
      <c r="O38" s="4"/>
      <c r="P38" s="4">
        <f t="shared" si="22"/>
        <v>0</v>
      </c>
      <c r="Q38" s="4">
        <f t="shared" si="23"/>
        <v>0</v>
      </c>
      <c r="R38" s="4">
        <f t="shared" si="24"/>
        <v>0</v>
      </c>
      <c r="S38" s="4">
        <f t="shared" si="25"/>
        <v>0</v>
      </c>
      <c r="T38" s="4"/>
      <c r="U38" s="4">
        <f t="shared" si="26"/>
        <v>0</v>
      </c>
      <c r="W38" s="25">
        <f t="shared" si="21"/>
        <v>0</v>
      </c>
    </row>
    <row r="39" spans="2:26" x14ac:dyDescent="0.2">
      <c r="B39" s="7" t="s">
        <v>840</v>
      </c>
      <c r="C39" s="38">
        <f>+'2026 Detail'!C52</f>
        <v>0</v>
      </c>
      <c r="D39" s="38">
        <f>+'2026 Detail'!D52</f>
        <v>0</v>
      </c>
      <c r="E39" s="38">
        <f>+'2026 Detail'!E52</f>
        <v>0</v>
      </c>
      <c r="F39" s="38">
        <f>+'2026 Detail'!F52</f>
        <v>0</v>
      </c>
      <c r="G39" s="38">
        <f>+'2026 Detail'!G52</f>
        <v>0</v>
      </c>
      <c r="H39" s="38">
        <f>+'2026 Detail'!H52</f>
        <v>0</v>
      </c>
      <c r="I39" s="38">
        <f>+'2026 Detail'!I52</f>
        <v>0</v>
      </c>
      <c r="J39" s="38">
        <f>+'2026 Detail'!J52</f>
        <v>0</v>
      </c>
      <c r="K39" s="38">
        <f>+'2026 Detail'!K52</f>
        <v>0</v>
      </c>
      <c r="L39" s="38">
        <f>+'2026 Detail'!L52</f>
        <v>0</v>
      </c>
      <c r="M39" s="38">
        <f>+'2026 Detail'!M52</f>
        <v>0</v>
      </c>
      <c r="N39" s="38">
        <f>+'2026 Detail'!N52</f>
        <v>0</v>
      </c>
      <c r="O39" s="4"/>
      <c r="P39" s="4">
        <f t="shared" ref="P39" si="27">SUM(C39:E39)</f>
        <v>0</v>
      </c>
      <c r="Q39" s="4">
        <f t="shared" si="23"/>
        <v>0</v>
      </c>
      <c r="R39" s="4">
        <f t="shared" si="24"/>
        <v>0</v>
      </c>
      <c r="S39" s="4">
        <f t="shared" si="25"/>
        <v>0</v>
      </c>
      <c r="T39" s="4"/>
      <c r="U39" s="4">
        <f t="shared" si="26"/>
        <v>0</v>
      </c>
      <c r="W39" s="25">
        <f t="shared" ref="W39" si="28">ROUND(SUM(P39:S39)-U39,2)</f>
        <v>0</v>
      </c>
    </row>
    <row r="40" spans="2:26" x14ac:dyDescent="0.2">
      <c r="B40" s="7" t="s">
        <v>26</v>
      </c>
      <c r="C40" s="38">
        <f>+'2026 Detail'!C53</f>
        <v>-400</v>
      </c>
      <c r="D40" s="38">
        <f>+'2026 Detail'!D53</f>
        <v>-400</v>
      </c>
      <c r="E40" s="38">
        <f>+'2026 Detail'!E53</f>
        <v>-400</v>
      </c>
      <c r="F40" s="38">
        <f>+'2026 Detail'!F53</f>
        <v>-400</v>
      </c>
      <c r="G40" s="38">
        <f>+'2026 Detail'!G53</f>
        <v>-400</v>
      </c>
      <c r="H40" s="38">
        <f>+'2026 Detail'!H53</f>
        <v>-400</v>
      </c>
      <c r="I40" s="38">
        <f>+'2026 Detail'!I53</f>
        <v>-400</v>
      </c>
      <c r="J40" s="38">
        <f>+'2026 Detail'!J53</f>
        <v>-400</v>
      </c>
      <c r="K40" s="38">
        <f>+'2026 Detail'!K53</f>
        <v>-400</v>
      </c>
      <c r="L40" s="38">
        <f>+'2026 Detail'!L53</f>
        <v>-400</v>
      </c>
      <c r="M40" s="38">
        <f>+'2026 Detail'!M53</f>
        <v>-400</v>
      </c>
      <c r="N40" s="38">
        <f>+'2026 Detail'!N53</f>
        <v>-400</v>
      </c>
      <c r="O40" s="4"/>
      <c r="P40" s="4">
        <f t="shared" si="22"/>
        <v>-1200</v>
      </c>
      <c r="Q40" s="4">
        <f t="shared" si="23"/>
        <v>-1200</v>
      </c>
      <c r="R40" s="4">
        <f t="shared" si="24"/>
        <v>-1200</v>
      </c>
      <c r="S40" s="4">
        <f t="shared" si="25"/>
        <v>-1200</v>
      </c>
      <c r="T40" s="4"/>
      <c r="U40" s="4">
        <f t="shared" si="26"/>
        <v>-4800</v>
      </c>
      <c r="W40" s="25">
        <f t="shared" si="21"/>
        <v>0</v>
      </c>
    </row>
    <row r="41" spans="2:26" x14ac:dyDescent="0.2">
      <c r="B41" s="7" t="s">
        <v>48</v>
      </c>
      <c r="C41" s="38">
        <f>+'2026 Detail'!C54</f>
        <v>500</v>
      </c>
      <c r="D41" s="38">
        <f>+'2026 Detail'!D54</f>
        <v>400</v>
      </c>
      <c r="E41" s="38">
        <f>+'2026 Detail'!E54</f>
        <v>100</v>
      </c>
      <c r="F41" s="38">
        <f>+'2026 Detail'!F54</f>
        <v>200</v>
      </c>
      <c r="G41" s="38">
        <f>+'2026 Detail'!G54</f>
        <v>300</v>
      </c>
      <c r="H41" s="38">
        <f>+'2026 Detail'!H54</f>
        <v>200</v>
      </c>
      <c r="I41" s="38">
        <f>+'2026 Detail'!I54</f>
        <v>200</v>
      </c>
      <c r="J41" s="38">
        <f>+'2026 Detail'!J54</f>
        <v>200</v>
      </c>
      <c r="K41" s="38">
        <f>+'2026 Detail'!K54</f>
        <v>200</v>
      </c>
      <c r="L41" s="38">
        <f>+'2026 Detail'!L54</f>
        <v>200</v>
      </c>
      <c r="M41" s="38">
        <f>+'2026 Detail'!M54</f>
        <v>300</v>
      </c>
      <c r="N41" s="38">
        <f>+'2026 Detail'!N54</f>
        <v>400</v>
      </c>
      <c r="O41" s="4"/>
      <c r="P41" s="4">
        <f>SUM(C41:E41)</f>
        <v>1000</v>
      </c>
      <c r="Q41" s="4">
        <f>SUM(F41:H41)</f>
        <v>700</v>
      </c>
      <c r="R41" s="4">
        <f>SUM(I41:K41)</f>
        <v>600</v>
      </c>
      <c r="S41" s="4">
        <f>SUM(L41:N41)</f>
        <v>900</v>
      </c>
      <c r="T41" s="4"/>
      <c r="U41" s="4">
        <f>SUM(C41:N41)</f>
        <v>3200</v>
      </c>
      <c r="W41" s="25">
        <f t="shared" si="21"/>
        <v>0</v>
      </c>
    </row>
    <row r="42" spans="2:26" x14ac:dyDescent="0.2">
      <c r="W42" s="25"/>
    </row>
    <row r="43" spans="2:26" x14ac:dyDescent="0.2">
      <c r="B43" s="1" t="s">
        <v>44</v>
      </c>
      <c r="C43" s="5">
        <f>+'2026 Detail'!C56</f>
        <v>964110.73</v>
      </c>
      <c r="D43" s="5">
        <f>+C48</f>
        <v>785503.21</v>
      </c>
      <c r="E43" s="5">
        <f t="shared" ref="E43:N43" si="29">+D48</f>
        <v>288637.24</v>
      </c>
      <c r="F43" s="5">
        <f t="shared" si="29"/>
        <v>393009</v>
      </c>
      <c r="G43" s="5">
        <f t="shared" si="29"/>
        <v>510981.8</v>
      </c>
      <c r="H43" s="5">
        <f t="shared" si="29"/>
        <v>458122.4</v>
      </c>
      <c r="I43" s="5">
        <f t="shared" si="29"/>
        <v>404864.79</v>
      </c>
      <c r="J43" s="5">
        <f t="shared" si="29"/>
        <v>489626.21</v>
      </c>
      <c r="K43" s="5">
        <f t="shared" si="29"/>
        <v>490296.41</v>
      </c>
      <c r="L43" s="5">
        <f t="shared" si="29"/>
        <v>470301.49</v>
      </c>
      <c r="M43" s="5">
        <f t="shared" si="29"/>
        <v>577784.64</v>
      </c>
      <c r="N43" s="5">
        <f t="shared" si="29"/>
        <v>777328.56</v>
      </c>
      <c r="O43" s="5"/>
      <c r="P43" s="5">
        <f>+C43</f>
        <v>964110.73</v>
      </c>
      <c r="Q43" s="5">
        <f>+P48</f>
        <v>393009</v>
      </c>
      <c r="R43" s="5">
        <f>+Q48</f>
        <v>404865</v>
      </c>
      <c r="S43" s="5">
        <f>+R48</f>
        <v>470302</v>
      </c>
      <c r="T43" s="5"/>
      <c r="U43" s="5">
        <f>+P43</f>
        <v>964110.73</v>
      </c>
      <c r="W43" s="25"/>
    </row>
    <row r="44" spans="2:26" x14ac:dyDescent="0.2">
      <c r="W44" s="25"/>
    </row>
    <row r="45" spans="2:26" x14ac:dyDescent="0.2">
      <c r="B45" s="7" t="s">
        <v>45</v>
      </c>
      <c r="C45" s="38">
        <f t="shared" ref="C45" si="30">C8-C33+SUM(C35:C41)</f>
        <v>-178607.52410000004</v>
      </c>
      <c r="D45" s="38">
        <f t="shared" ref="D45:N45" si="31">D8-D33+SUM(D35:D41)</f>
        <v>-496865.96714000008</v>
      </c>
      <c r="E45" s="38">
        <f t="shared" si="31"/>
        <v>104371.75579999998</v>
      </c>
      <c r="F45" s="38">
        <f t="shared" si="31"/>
        <v>117972.79579999996</v>
      </c>
      <c r="G45" s="38">
        <f t="shared" si="31"/>
        <v>-52859.397500000021</v>
      </c>
      <c r="H45" s="38">
        <f t="shared" si="31"/>
        <v>-53257.610700000019</v>
      </c>
      <c r="I45" s="38">
        <f t="shared" si="31"/>
        <v>84761.422299999977</v>
      </c>
      <c r="J45" s="38">
        <f t="shared" si="31"/>
        <v>670.19629999995232</v>
      </c>
      <c r="K45" s="38">
        <f t="shared" si="31"/>
        <v>-19994.918199999956</v>
      </c>
      <c r="L45" s="38">
        <f t="shared" si="31"/>
        <v>107483.1545</v>
      </c>
      <c r="M45" s="38">
        <f t="shared" si="31"/>
        <v>199543.92130000005</v>
      </c>
      <c r="N45" s="38">
        <f t="shared" si="31"/>
        <v>232464.7</v>
      </c>
      <c r="O45" s="4"/>
      <c r="P45" s="4">
        <f>SUM(C45:E45)</f>
        <v>-571101.73544000019</v>
      </c>
      <c r="Q45" s="4">
        <f>SUM(F45:H45)</f>
        <v>11855.787599999923</v>
      </c>
      <c r="R45" s="4">
        <f>SUM(I45:K45)</f>
        <v>65436.700399999972</v>
      </c>
      <c r="S45" s="4">
        <f>SUM(L45:N45)</f>
        <v>539491.77580000006</v>
      </c>
      <c r="T45" s="4"/>
      <c r="U45" s="4">
        <f>SUM(C45:N45)</f>
        <v>45682.528359999764</v>
      </c>
      <c r="W45" s="25">
        <f>ROUND(SUM(P45:S45)-U45,2)</f>
        <v>0</v>
      </c>
    </row>
    <row r="46" spans="2:26" x14ac:dyDescent="0.2">
      <c r="B46" s="7" t="s">
        <v>50</v>
      </c>
      <c r="C46" s="38">
        <f>+'2026 Detail'!C59</f>
        <v>0</v>
      </c>
      <c r="D46" s="38">
        <f>+'2026 Detail'!D59</f>
        <v>0</v>
      </c>
      <c r="E46" s="38">
        <f>+'2026 Detail'!E59</f>
        <v>0</v>
      </c>
      <c r="F46" s="38">
        <f>+'2026 Detail'!F59</f>
        <v>0</v>
      </c>
      <c r="G46" s="38">
        <f>+'2026 Detail'!G59</f>
        <v>0</v>
      </c>
      <c r="H46" s="38">
        <f>+'2026 Detail'!H59</f>
        <v>0</v>
      </c>
      <c r="I46" s="38">
        <f>+'2026 Detail'!I59</f>
        <v>0</v>
      </c>
      <c r="J46" s="38">
        <f>+'2026 Detail'!J59</f>
        <v>0</v>
      </c>
      <c r="K46" s="38">
        <f>+'2026 Detail'!K59</f>
        <v>0</v>
      </c>
      <c r="L46" s="38">
        <f>+'2026 Detail'!L59</f>
        <v>0</v>
      </c>
      <c r="M46" s="38">
        <f>+'2026 Detail'!M59</f>
        <v>0</v>
      </c>
      <c r="N46" s="38">
        <f>+'2026 Detail'!N59</f>
        <v>0</v>
      </c>
      <c r="O46" s="4"/>
      <c r="P46" s="4">
        <f>SUM(C46:E46)</f>
        <v>0</v>
      </c>
      <c r="Q46" s="4">
        <f>SUM(F46:H46)</f>
        <v>0</v>
      </c>
      <c r="R46" s="4">
        <f>SUM(I46:K46)</f>
        <v>0</v>
      </c>
      <c r="S46" s="4">
        <f>SUM(L46:N46)</f>
        <v>0</v>
      </c>
      <c r="T46" s="4"/>
      <c r="U46" s="4">
        <f>SUM(C46:N46)</f>
        <v>0</v>
      </c>
      <c r="W46" s="25">
        <f>ROUND(SUM(P46:S46)-U46,2)</f>
        <v>0</v>
      </c>
    </row>
    <row r="47" spans="2:26" x14ac:dyDescent="0.2">
      <c r="B47" s="7"/>
      <c r="W47" s="3"/>
    </row>
    <row r="48" spans="2:26" x14ac:dyDescent="0.2">
      <c r="B48" s="8" t="s">
        <v>46</v>
      </c>
      <c r="C48" s="34">
        <f>ROUND(+C43+C45+C46,2)</f>
        <v>785503.21</v>
      </c>
      <c r="D48" s="34">
        <f t="shared" ref="D48:N48" si="32">ROUND(+D43+D45+D46,2)</f>
        <v>288637.24</v>
      </c>
      <c r="E48" s="34">
        <f t="shared" si="32"/>
        <v>393009</v>
      </c>
      <c r="F48" s="34">
        <f t="shared" si="32"/>
        <v>510981.8</v>
      </c>
      <c r="G48" s="34">
        <f t="shared" si="32"/>
        <v>458122.4</v>
      </c>
      <c r="H48" s="34">
        <f t="shared" si="32"/>
        <v>404864.79</v>
      </c>
      <c r="I48" s="34">
        <f t="shared" si="32"/>
        <v>489626.21</v>
      </c>
      <c r="J48" s="34">
        <f t="shared" si="32"/>
        <v>490296.41</v>
      </c>
      <c r="K48" s="34">
        <f t="shared" si="32"/>
        <v>470301.49</v>
      </c>
      <c r="L48" s="34">
        <f t="shared" si="32"/>
        <v>577784.64</v>
      </c>
      <c r="M48" s="34">
        <f t="shared" si="32"/>
        <v>777328.56</v>
      </c>
      <c r="N48" s="34">
        <f t="shared" si="32"/>
        <v>1009793.26</v>
      </c>
      <c r="O48" s="34"/>
      <c r="P48" s="34">
        <f t="shared" ref="P48:U48" si="33">ROUND(+P43+P45+P46,0)</f>
        <v>393009</v>
      </c>
      <c r="Q48" s="34">
        <f t="shared" si="33"/>
        <v>404865</v>
      </c>
      <c r="R48" s="34">
        <f t="shared" si="33"/>
        <v>470302</v>
      </c>
      <c r="S48" s="34">
        <f t="shared" si="33"/>
        <v>1009794</v>
      </c>
      <c r="T48" s="34"/>
      <c r="U48" s="34">
        <f t="shared" si="33"/>
        <v>1009793</v>
      </c>
      <c r="W48" s="3"/>
      <c r="Y48" s="4"/>
    </row>
    <row r="49" spans="2:26" x14ac:dyDescent="0.2">
      <c r="G49" s="4"/>
      <c r="H49" s="4"/>
      <c r="I49" s="4"/>
      <c r="J49" s="4"/>
      <c r="Y49" s="4"/>
      <c r="Z49" s="4"/>
    </row>
    <row r="50" spans="2:26" x14ac:dyDescent="0.2">
      <c r="B50" s="1" t="s">
        <v>192</v>
      </c>
      <c r="C50" s="4">
        <f t="shared" ref="C50:N50" si="34">+C8</f>
        <v>289764.59999999998</v>
      </c>
      <c r="D50" s="4">
        <f t="shared" si="34"/>
        <v>393187.6</v>
      </c>
      <c r="E50" s="4">
        <f t="shared" si="34"/>
        <v>589877.6</v>
      </c>
      <c r="F50" s="4">
        <f t="shared" si="34"/>
        <v>584457.6</v>
      </c>
      <c r="G50" s="4">
        <f t="shared" si="34"/>
        <v>420207.6</v>
      </c>
      <c r="H50" s="4">
        <f t="shared" si="34"/>
        <v>420207.6</v>
      </c>
      <c r="I50" s="4">
        <f t="shared" si="34"/>
        <v>550207.6</v>
      </c>
      <c r="J50" s="4">
        <f t="shared" si="34"/>
        <v>535500</v>
      </c>
      <c r="K50" s="4">
        <f t="shared" si="34"/>
        <v>431000</v>
      </c>
      <c r="L50" s="4">
        <f t="shared" si="34"/>
        <v>571000</v>
      </c>
      <c r="M50" s="4">
        <f t="shared" si="34"/>
        <v>646000</v>
      </c>
      <c r="N50" s="4">
        <f t="shared" si="34"/>
        <v>680000</v>
      </c>
      <c r="P50" s="4">
        <f>+P8</f>
        <v>1272829.8</v>
      </c>
      <c r="Q50" s="4">
        <f>+Q8</f>
        <v>1424872.7999999998</v>
      </c>
      <c r="R50" s="4">
        <f>+R8</f>
        <v>1516707.6</v>
      </c>
      <c r="S50" s="4">
        <f>+S8</f>
        <v>1897000</v>
      </c>
      <c r="U50" s="4">
        <f>+U8</f>
        <v>6111410.2000000002</v>
      </c>
      <c r="Y50" s="4"/>
      <c r="Z50" s="4"/>
    </row>
    <row r="51" spans="2:26" x14ac:dyDescent="0.2">
      <c r="B51" s="1" t="s">
        <v>193</v>
      </c>
      <c r="C51" s="4">
        <f t="shared" ref="C51:N51" si="35">+C10+C14</f>
        <v>194680</v>
      </c>
      <c r="D51" s="4">
        <f t="shared" si="35"/>
        <v>369533.04911199998</v>
      </c>
      <c r="E51" s="4">
        <f t="shared" si="35"/>
        <v>197771.8</v>
      </c>
      <c r="F51" s="4">
        <f t="shared" si="35"/>
        <v>191771.8</v>
      </c>
      <c r="G51" s="4">
        <f t="shared" si="35"/>
        <v>191771.8</v>
      </c>
      <c r="H51" s="4">
        <f t="shared" si="35"/>
        <v>191771.8</v>
      </c>
      <c r="I51" s="4">
        <f t="shared" si="35"/>
        <v>185271.8</v>
      </c>
      <c r="J51" s="4">
        <f t="shared" si="35"/>
        <v>185271.8</v>
      </c>
      <c r="K51" s="4">
        <f t="shared" si="35"/>
        <v>185271.8</v>
      </c>
      <c r="L51" s="4">
        <f t="shared" si="35"/>
        <v>180771.8</v>
      </c>
      <c r="M51" s="4">
        <f t="shared" si="35"/>
        <v>180771.8</v>
      </c>
      <c r="N51" s="4">
        <f t="shared" si="35"/>
        <v>180771.8</v>
      </c>
      <c r="P51" s="4">
        <f>+P10+P14</f>
        <v>761984.84911200008</v>
      </c>
      <c r="Q51" s="4">
        <f>+Q10+Q14</f>
        <v>575315.39999999991</v>
      </c>
      <c r="R51" s="4">
        <f>+R10+R14</f>
        <v>555815.39999999991</v>
      </c>
      <c r="S51" s="4">
        <f>+S10+S14</f>
        <v>542315.39999999991</v>
      </c>
      <c r="U51" s="4">
        <f>+U10+U14</f>
        <v>2435431.049112</v>
      </c>
    </row>
    <row r="52" spans="2:26" x14ac:dyDescent="0.2">
      <c r="B52" s="1" t="s">
        <v>194</v>
      </c>
      <c r="C52" s="4">
        <f>+C50-C51</f>
        <v>95084.599999999977</v>
      </c>
      <c r="D52" s="4">
        <f t="shared" ref="D52:N52" si="36">+D50-D51</f>
        <v>23654.550887999998</v>
      </c>
      <c r="E52" s="4">
        <f t="shared" si="36"/>
        <v>392105.8</v>
      </c>
      <c r="F52" s="4">
        <f t="shared" si="36"/>
        <v>392685.8</v>
      </c>
      <c r="G52" s="4">
        <f t="shared" si="36"/>
        <v>228435.8</v>
      </c>
      <c r="H52" s="4">
        <f t="shared" si="36"/>
        <v>228435.8</v>
      </c>
      <c r="I52" s="4">
        <f t="shared" si="36"/>
        <v>364935.8</v>
      </c>
      <c r="J52" s="4">
        <f t="shared" si="36"/>
        <v>350228.2</v>
      </c>
      <c r="K52" s="4">
        <f t="shared" si="36"/>
        <v>245728.2</v>
      </c>
      <c r="L52" s="4">
        <f t="shared" si="36"/>
        <v>390228.2</v>
      </c>
      <c r="M52" s="4">
        <f t="shared" si="36"/>
        <v>465228.2</v>
      </c>
      <c r="N52" s="4">
        <f t="shared" si="36"/>
        <v>499228.2</v>
      </c>
      <c r="P52" s="4">
        <f t="shared" ref="P52:S52" si="37">+P50-P51</f>
        <v>510844.95088799996</v>
      </c>
      <c r="Q52" s="4">
        <f t="shared" si="37"/>
        <v>849557.39999999991</v>
      </c>
      <c r="R52" s="4">
        <f t="shared" si="37"/>
        <v>960892.20000000019</v>
      </c>
      <c r="S52" s="4">
        <f t="shared" si="37"/>
        <v>1354684.6</v>
      </c>
      <c r="U52" s="4">
        <f t="shared" ref="U52" si="38">+U50-U51</f>
        <v>3675979.1508880001</v>
      </c>
      <c r="Y52" s="40"/>
    </row>
    <row r="53" spans="2:26" x14ac:dyDescent="0.2">
      <c r="B53" s="1" t="s">
        <v>195</v>
      </c>
      <c r="C53" s="40">
        <f>+C52/C50</f>
        <v>0.32814429367838577</v>
      </c>
      <c r="D53" s="40">
        <f t="shared" ref="D53:N53" si="39">+D52/D50</f>
        <v>6.0160978850808108E-2</v>
      </c>
      <c r="E53" s="40">
        <f t="shared" si="39"/>
        <v>0.66472400375942398</v>
      </c>
      <c r="F53" s="40">
        <f t="shared" si="39"/>
        <v>0.67188073181014329</v>
      </c>
      <c r="G53" s="40">
        <f t="shared" si="39"/>
        <v>0.54362605531170782</v>
      </c>
      <c r="H53" s="40">
        <f t="shared" si="39"/>
        <v>0.54362605531170782</v>
      </c>
      <c r="I53" s="40">
        <f t="shared" si="39"/>
        <v>0.66326928235814986</v>
      </c>
      <c r="J53" s="40">
        <f t="shared" si="39"/>
        <v>0.65402091503267978</v>
      </c>
      <c r="K53" s="40">
        <f t="shared" si="39"/>
        <v>0.57013503480278427</v>
      </c>
      <c r="L53" s="40">
        <f t="shared" si="39"/>
        <v>0.68341190893169879</v>
      </c>
      <c r="M53" s="40">
        <f t="shared" si="39"/>
        <v>0.72016749226006194</v>
      </c>
      <c r="N53" s="40">
        <f t="shared" si="39"/>
        <v>0.73415911764705888</v>
      </c>
      <c r="P53" s="40">
        <f t="shared" ref="P53:S53" si="40">+P52/P50</f>
        <v>0.40134584442318993</v>
      </c>
      <c r="Q53" s="40">
        <f t="shared" si="40"/>
        <v>0.59623385329553624</v>
      </c>
      <c r="R53" s="40">
        <f t="shared" si="40"/>
        <v>0.63353819813390544</v>
      </c>
      <c r="S53" s="40">
        <f t="shared" si="40"/>
        <v>0.71411945176594627</v>
      </c>
      <c r="U53" s="40">
        <f t="shared" ref="U53" si="41">+U52/U50</f>
        <v>0.60149442282372079</v>
      </c>
    </row>
    <row r="54" spans="2:26" x14ac:dyDescent="0.2">
      <c r="G54" s="4"/>
      <c r="H54" s="4"/>
      <c r="I54" s="4"/>
      <c r="J54" s="4"/>
    </row>
    <row r="55" spans="2:26" x14ac:dyDescent="0.2">
      <c r="B55" s="7" t="s">
        <v>13</v>
      </c>
      <c r="C55" s="4">
        <f>+C48-'2026 Detail'!C61</f>
        <v>0</v>
      </c>
      <c r="D55" s="4">
        <f>+D48-'2026 Detail'!D61</f>
        <v>0</v>
      </c>
      <c r="E55" s="4">
        <f>+E48-'2026 Detail'!E61</f>
        <v>0</v>
      </c>
      <c r="F55" s="4">
        <f>+F48-'2026 Detail'!F61</f>
        <v>0</v>
      </c>
      <c r="G55" s="4">
        <f>+G48-'2026 Detail'!G61</f>
        <v>0</v>
      </c>
      <c r="H55" s="4">
        <f>+H48-'2026 Detail'!H61</f>
        <v>0</v>
      </c>
      <c r="I55" s="4">
        <f>+I48-'2026 Detail'!I61</f>
        <v>0</v>
      </c>
      <c r="J55" s="4">
        <f>+J48-'2026 Detail'!J61</f>
        <v>0</v>
      </c>
      <c r="K55" s="4">
        <f>+K48-'2026 Detail'!K61</f>
        <v>0</v>
      </c>
      <c r="L55" s="4">
        <f>+L48-'2026 Detail'!L61</f>
        <v>0</v>
      </c>
      <c r="M55" s="4">
        <f>+M48-'2026 Detail'!M61</f>
        <v>0</v>
      </c>
      <c r="N55" s="4">
        <f>+N48-'2026 Detail'!N61</f>
        <v>0</v>
      </c>
      <c r="P55" s="4"/>
      <c r="Q55" s="4"/>
      <c r="R55" s="4"/>
      <c r="S55" s="4"/>
      <c r="U55" s="4"/>
    </row>
    <row r="56" spans="2:26" x14ac:dyDescent="0.2">
      <c r="G56" s="4"/>
    </row>
    <row r="59" spans="2:26" x14ac:dyDescent="0.2">
      <c r="B59" s="1" t="s">
        <v>1540</v>
      </c>
      <c r="C59" s="4">
        <v>637897.35</v>
      </c>
      <c r="D59" s="4">
        <v>204430</v>
      </c>
      <c r="E59" s="4">
        <v>201394.6</v>
      </c>
      <c r="F59" s="4">
        <v>289457.59999999998</v>
      </c>
      <c r="G59" s="4">
        <v>349652.6</v>
      </c>
      <c r="H59" s="4">
        <v>259207.6</v>
      </c>
      <c r="I59" s="4">
        <v>207395.85</v>
      </c>
      <c r="J59" s="4">
        <v>192430</v>
      </c>
      <c r="K59" s="4">
        <v>102930</v>
      </c>
      <c r="L59" s="4">
        <v>102930</v>
      </c>
      <c r="M59" s="4">
        <v>102930</v>
      </c>
      <c r="N59" s="4">
        <v>96930</v>
      </c>
      <c r="P59" s="4">
        <f>SUM(C59:E59)</f>
        <v>1043721.95</v>
      </c>
      <c r="Q59" s="4">
        <f>SUM(F59:H59)</f>
        <v>898317.79999999993</v>
      </c>
      <c r="R59" s="4">
        <f>SUM(I59:K59)</f>
        <v>502755.85</v>
      </c>
      <c r="S59" s="4">
        <f>SUM(L59:N59)</f>
        <v>302790</v>
      </c>
      <c r="T59" s="4"/>
      <c r="U59" s="4">
        <f>SUM(C59:N59)</f>
        <v>2747585.6</v>
      </c>
    </row>
    <row r="60" spans="2:26" x14ac:dyDescent="0.2">
      <c r="B60" s="1" t="s">
        <v>1539</v>
      </c>
      <c r="C60" s="4">
        <f>+'1 Collections'!R27</f>
        <v>62500</v>
      </c>
      <c r="D60" s="4">
        <f>+'1 Collections'!S27</f>
        <v>62500</v>
      </c>
      <c r="E60" s="4">
        <f>+'1 Collections'!T27</f>
        <v>210000</v>
      </c>
      <c r="F60" s="4">
        <f>+'1 Collections'!U27</f>
        <v>160000</v>
      </c>
      <c r="G60" s="4">
        <f>+'1 Collections'!V27</f>
        <v>260000</v>
      </c>
      <c r="H60" s="4">
        <f>+'1 Collections'!W27</f>
        <v>260000</v>
      </c>
      <c r="I60" s="4">
        <f>+'1 Collections'!X27</f>
        <v>390000</v>
      </c>
      <c r="J60" s="4">
        <f>+'1 Collections'!Y27</f>
        <v>390000</v>
      </c>
      <c r="K60" s="4">
        <f>+'1 Collections'!Z27</f>
        <v>390000</v>
      </c>
      <c r="L60" s="4">
        <f>+'1 Collections'!AA27</f>
        <v>530000</v>
      </c>
      <c r="M60" s="4">
        <f>+'1 Collections'!AB27</f>
        <v>605000</v>
      </c>
      <c r="N60" s="4">
        <f>+'1 Collections'!AC27</f>
        <v>645000</v>
      </c>
      <c r="P60" s="4">
        <f>SUM(C60:E60)</f>
        <v>335000</v>
      </c>
      <c r="Q60" s="4">
        <f>SUM(F60:H60)</f>
        <v>680000</v>
      </c>
      <c r="R60" s="4">
        <f>SUM(I60:K60)</f>
        <v>1170000</v>
      </c>
      <c r="S60" s="4">
        <f>SUM(L60:N60)</f>
        <v>1780000</v>
      </c>
      <c r="T60" s="4"/>
      <c r="U60" s="4">
        <f>SUM(C60:N60)</f>
        <v>3965000</v>
      </c>
    </row>
    <row r="61" spans="2:26" x14ac:dyDescent="0.2">
      <c r="B61" s="1" t="s">
        <v>1538</v>
      </c>
      <c r="C61" s="4">
        <f>SUM(C59:C60)</f>
        <v>700397.35</v>
      </c>
      <c r="D61" s="4">
        <f t="shared" ref="D61:N61" si="42">SUM(D59:D60)</f>
        <v>266930</v>
      </c>
      <c r="E61" s="4">
        <f t="shared" si="42"/>
        <v>411394.6</v>
      </c>
      <c r="F61" s="4">
        <f t="shared" si="42"/>
        <v>449457.6</v>
      </c>
      <c r="G61" s="4">
        <f t="shared" si="42"/>
        <v>609652.6</v>
      </c>
      <c r="H61" s="4">
        <f t="shared" si="42"/>
        <v>519207.6</v>
      </c>
      <c r="I61" s="4">
        <f t="shared" si="42"/>
        <v>597395.85</v>
      </c>
      <c r="J61" s="4">
        <f t="shared" si="42"/>
        <v>582430</v>
      </c>
      <c r="K61" s="4">
        <f t="shared" si="42"/>
        <v>492930</v>
      </c>
      <c r="L61" s="4">
        <f t="shared" si="42"/>
        <v>632930</v>
      </c>
      <c r="M61" s="4">
        <f t="shared" si="42"/>
        <v>707930</v>
      </c>
      <c r="N61" s="4">
        <f t="shared" si="42"/>
        <v>741930</v>
      </c>
      <c r="P61" s="4">
        <f>SUM(C61:E61)</f>
        <v>1378721.95</v>
      </c>
      <c r="Q61" s="4">
        <f>SUM(F61:H61)</f>
        <v>1578317.7999999998</v>
      </c>
      <c r="R61" s="4">
        <f>SUM(I61:K61)</f>
        <v>1672755.85</v>
      </c>
      <c r="S61" s="4">
        <f>SUM(L61:N61)</f>
        <v>2082790</v>
      </c>
      <c r="T61" s="4"/>
      <c r="U61" s="4">
        <f>SUM(C61:N61)</f>
        <v>6712585.5999999996</v>
      </c>
    </row>
    <row r="63" spans="2:26" x14ac:dyDescent="0.2">
      <c r="B63" s="1" t="s">
        <v>44</v>
      </c>
      <c r="C63" s="4">
        <v>812310.92</v>
      </c>
      <c r="D63" s="4">
        <f>+C66</f>
        <v>1044336.1459</v>
      </c>
      <c r="E63" s="4">
        <f t="shared" ref="E63:N63" si="43">+D66</f>
        <v>421212.57875999983</v>
      </c>
      <c r="F63" s="4">
        <f t="shared" si="43"/>
        <v>347101.33455999981</v>
      </c>
      <c r="G63" s="4">
        <f t="shared" si="43"/>
        <v>330074.13035999972</v>
      </c>
      <c r="H63" s="4">
        <f t="shared" si="43"/>
        <v>466659.7328599997</v>
      </c>
      <c r="I63" s="4">
        <f t="shared" si="43"/>
        <v>512402.12215999974</v>
      </c>
      <c r="J63" s="4">
        <f t="shared" si="43"/>
        <v>644351.79445999966</v>
      </c>
      <c r="K63" s="4">
        <f t="shared" si="43"/>
        <v>691951.99075999949</v>
      </c>
      <c r="L63" s="4">
        <f t="shared" si="43"/>
        <v>733887.07255999953</v>
      </c>
      <c r="M63" s="4">
        <f t="shared" si="43"/>
        <v>903300.22705999948</v>
      </c>
      <c r="N63" s="4">
        <f t="shared" si="43"/>
        <v>1164774.1483599995</v>
      </c>
      <c r="P63" s="4">
        <f>+C63</f>
        <v>812310.92</v>
      </c>
      <c r="Q63" s="4">
        <f>+P66</f>
        <v>347101.3345600001</v>
      </c>
      <c r="R63" s="4">
        <f>+Q66</f>
        <v>512402.12216000003</v>
      </c>
      <c r="S63" s="4">
        <f>+R66</f>
        <v>733887.07256000023</v>
      </c>
      <c r="T63" s="4"/>
      <c r="U63" s="4">
        <f>+C63</f>
        <v>812310.92</v>
      </c>
    </row>
    <row r="64" spans="2:26" x14ac:dyDescent="0.2">
      <c r="B64" s="1" t="s">
        <v>1541</v>
      </c>
      <c r="C64" s="4">
        <f>+C61</f>
        <v>700397.35</v>
      </c>
      <c r="D64" s="4">
        <f>+D61</f>
        <v>266930</v>
      </c>
      <c r="E64" s="4">
        <f t="shared" ref="E64:N64" si="44">+E61</f>
        <v>411394.6</v>
      </c>
      <c r="F64" s="4">
        <f t="shared" si="44"/>
        <v>449457.6</v>
      </c>
      <c r="G64" s="4">
        <f t="shared" si="44"/>
        <v>609652.6</v>
      </c>
      <c r="H64" s="4">
        <f t="shared" si="44"/>
        <v>519207.6</v>
      </c>
      <c r="I64" s="4">
        <f t="shared" si="44"/>
        <v>597395.85</v>
      </c>
      <c r="J64" s="4">
        <f t="shared" si="44"/>
        <v>582430</v>
      </c>
      <c r="K64" s="4">
        <f t="shared" si="44"/>
        <v>492930</v>
      </c>
      <c r="L64" s="4">
        <f t="shared" si="44"/>
        <v>632930</v>
      </c>
      <c r="M64" s="4">
        <f t="shared" si="44"/>
        <v>707930</v>
      </c>
      <c r="N64" s="4">
        <f t="shared" si="44"/>
        <v>741930</v>
      </c>
      <c r="P64" s="4">
        <f t="shared" ref="P64:P65" si="45">SUM(C64:E64)</f>
        <v>1378721.95</v>
      </c>
      <c r="Q64" s="4">
        <f t="shared" ref="Q64:Q65" si="46">SUM(F64:H64)</f>
        <v>1578317.7999999998</v>
      </c>
      <c r="R64" s="4">
        <f t="shared" ref="R64:R65" si="47">SUM(I64:K64)</f>
        <v>1672755.85</v>
      </c>
      <c r="S64" s="4">
        <f t="shared" ref="S64:S65" si="48">SUM(L64:N64)</f>
        <v>2082790</v>
      </c>
      <c r="T64" s="4"/>
      <c r="U64" s="4">
        <f t="shared" ref="U64:U65" si="49">SUM(C64:N64)</f>
        <v>6712585.5999999996</v>
      </c>
    </row>
    <row r="65" spans="2:21" x14ac:dyDescent="0.2">
      <c r="B65" s="1" t="s">
        <v>1542</v>
      </c>
      <c r="C65" s="4">
        <f>-+C33+SUM(C35:C41)</f>
        <v>-468372.12410000002</v>
      </c>
      <c r="D65" s="4">
        <f>-+D33+SUM(D35:D41)</f>
        <v>-890053.56714000006</v>
      </c>
      <c r="E65" s="4">
        <f t="shared" ref="E65:N65" si="50">-+E33+SUM(E35:E41)</f>
        <v>-485505.84419999999</v>
      </c>
      <c r="F65" s="4">
        <f t="shared" si="50"/>
        <v>-466484.80420000001</v>
      </c>
      <c r="G65" s="4">
        <f t="shared" si="50"/>
        <v>-473066.9975</v>
      </c>
      <c r="H65" s="4">
        <f t="shared" si="50"/>
        <v>-473465.2107</v>
      </c>
      <c r="I65" s="4">
        <f t="shared" si="50"/>
        <v>-465446.1777</v>
      </c>
      <c r="J65" s="4">
        <f t="shared" si="50"/>
        <v>-534829.80370000005</v>
      </c>
      <c r="K65" s="4">
        <f t="shared" si="50"/>
        <v>-450994.91819999996</v>
      </c>
      <c r="L65" s="4">
        <f t="shared" si="50"/>
        <v>-463516.8455</v>
      </c>
      <c r="M65" s="4">
        <f t="shared" si="50"/>
        <v>-446456.07869999995</v>
      </c>
      <c r="N65" s="4">
        <f t="shared" si="50"/>
        <v>-447535.3</v>
      </c>
      <c r="P65" s="4">
        <f t="shared" si="45"/>
        <v>-1843931.53544</v>
      </c>
      <c r="Q65" s="4">
        <f t="shared" si="46"/>
        <v>-1413017.0123999999</v>
      </c>
      <c r="R65" s="4">
        <f t="shared" si="47"/>
        <v>-1451270.8996000001</v>
      </c>
      <c r="S65" s="4">
        <f t="shared" si="48"/>
        <v>-1357508.2242000001</v>
      </c>
      <c r="T65" s="4"/>
      <c r="U65" s="4">
        <f t="shared" si="49"/>
        <v>-6065727.6716400003</v>
      </c>
    </row>
    <row r="66" spans="2:21" x14ac:dyDescent="0.2">
      <c r="B66" s="1" t="s">
        <v>46</v>
      </c>
      <c r="C66" s="4">
        <f>SUM(C63:C65)</f>
        <v>1044336.1459</v>
      </c>
      <c r="D66" s="4">
        <f>SUM(D63:D65)</f>
        <v>421212.57875999983</v>
      </c>
      <c r="E66" s="4">
        <f t="shared" ref="E66:P66" si="51">SUM(E63:E65)</f>
        <v>347101.33455999981</v>
      </c>
      <c r="F66" s="4">
        <f t="shared" si="51"/>
        <v>330074.13035999972</v>
      </c>
      <c r="G66" s="4">
        <f t="shared" si="51"/>
        <v>466659.7328599997</v>
      </c>
      <c r="H66" s="4">
        <f t="shared" si="51"/>
        <v>512402.12215999974</v>
      </c>
      <c r="I66" s="4">
        <f t="shared" si="51"/>
        <v>644351.79445999966</v>
      </c>
      <c r="J66" s="4">
        <f t="shared" si="51"/>
        <v>691951.99075999949</v>
      </c>
      <c r="K66" s="4">
        <f t="shared" si="51"/>
        <v>733887.07255999953</v>
      </c>
      <c r="L66" s="4">
        <f t="shared" si="51"/>
        <v>903300.22705999948</v>
      </c>
      <c r="M66" s="4">
        <f t="shared" si="51"/>
        <v>1164774.1483599995</v>
      </c>
      <c r="N66" s="4">
        <f t="shared" si="51"/>
        <v>1459168.8483599995</v>
      </c>
      <c r="P66" s="4">
        <f t="shared" si="51"/>
        <v>347101.3345600001</v>
      </c>
      <c r="Q66" s="4">
        <f t="shared" ref="Q66" si="52">SUM(Q63:Q65)</f>
        <v>512402.12216000003</v>
      </c>
      <c r="R66" s="4">
        <f t="shared" ref="R66" si="53">SUM(R63:R65)</f>
        <v>733887.07256000023</v>
      </c>
      <c r="S66" s="4">
        <f t="shared" ref="S66" si="54">SUM(S63:S65)</f>
        <v>1459168.8483600002</v>
      </c>
      <c r="T66" s="4"/>
      <c r="U66" s="4">
        <f t="shared" ref="U66" si="55">SUM(U63:U65)</f>
        <v>1459168.8483599992</v>
      </c>
    </row>
    <row r="68" spans="2:21" x14ac:dyDescent="0.2">
      <c r="B68" s="8" t="s">
        <v>46</v>
      </c>
      <c r="C68" s="34">
        <f>+C48</f>
        <v>785503.21</v>
      </c>
      <c r="D68" s="34">
        <f t="shared" ref="D68:N68" si="56">+D48</f>
        <v>288637.24</v>
      </c>
      <c r="E68" s="34">
        <f t="shared" si="56"/>
        <v>393009</v>
      </c>
      <c r="F68" s="34">
        <f t="shared" si="56"/>
        <v>510981.8</v>
      </c>
      <c r="G68" s="34">
        <f t="shared" si="56"/>
        <v>458122.4</v>
      </c>
      <c r="H68" s="34">
        <f t="shared" si="56"/>
        <v>404864.79</v>
      </c>
      <c r="I68" s="34">
        <f t="shared" si="56"/>
        <v>489626.21</v>
      </c>
      <c r="J68" s="34">
        <f t="shared" si="56"/>
        <v>490296.41</v>
      </c>
      <c r="K68" s="34">
        <f t="shared" si="56"/>
        <v>470301.49</v>
      </c>
      <c r="L68" s="34">
        <f t="shared" si="56"/>
        <v>577784.64</v>
      </c>
      <c r="M68" s="34">
        <f t="shared" si="56"/>
        <v>777328.56</v>
      </c>
      <c r="N68" s="34">
        <f t="shared" si="56"/>
        <v>1009793.26</v>
      </c>
      <c r="O68" s="34"/>
      <c r="P68" s="34">
        <f t="shared" ref="P68:S68" si="57">+P48</f>
        <v>393009</v>
      </c>
      <c r="Q68" s="34">
        <f t="shared" si="57"/>
        <v>404865</v>
      </c>
      <c r="R68" s="34">
        <f t="shared" si="57"/>
        <v>470302</v>
      </c>
      <c r="S68" s="34">
        <f t="shared" si="57"/>
        <v>1009794</v>
      </c>
      <c r="T68" s="34"/>
      <c r="U68" s="34">
        <f t="shared" ref="U68" si="58">+U48</f>
        <v>1009793</v>
      </c>
    </row>
    <row r="69" spans="2:21" x14ac:dyDescent="0.2">
      <c r="B69" s="1" t="s">
        <v>1543</v>
      </c>
      <c r="C69" s="4">
        <f>+C66-C68</f>
        <v>258832.93590000004</v>
      </c>
      <c r="D69" s="4">
        <f t="shared" ref="D69:U69" si="59">+D66-D68</f>
        <v>132575.33875999984</v>
      </c>
      <c r="E69" s="4">
        <f t="shared" si="59"/>
        <v>-45907.665440000186</v>
      </c>
      <c r="F69" s="4">
        <f t="shared" si="59"/>
        <v>-180907.66964000027</v>
      </c>
      <c r="G69" s="4">
        <f t="shared" si="59"/>
        <v>8537.3328599996748</v>
      </c>
      <c r="H69" s="4">
        <f t="shared" si="59"/>
        <v>107537.33215999976</v>
      </c>
      <c r="I69" s="4">
        <f t="shared" si="59"/>
        <v>154725.58445999963</v>
      </c>
      <c r="J69" s="4">
        <f t="shared" si="59"/>
        <v>201655.58075999952</v>
      </c>
      <c r="K69" s="4">
        <f t="shared" si="59"/>
        <v>263585.58255999954</v>
      </c>
      <c r="L69" s="4">
        <f t="shared" si="59"/>
        <v>325515.58705999947</v>
      </c>
      <c r="M69" s="4">
        <f t="shared" si="59"/>
        <v>387445.58835999947</v>
      </c>
      <c r="N69" s="4">
        <f t="shared" si="59"/>
        <v>449375.58835999947</v>
      </c>
      <c r="P69" s="4">
        <f t="shared" si="59"/>
        <v>-45907.665439999895</v>
      </c>
      <c r="Q69" s="4">
        <f t="shared" si="59"/>
        <v>107537.12216000003</v>
      </c>
      <c r="R69" s="4">
        <f t="shared" si="59"/>
        <v>263585.07256000023</v>
      </c>
      <c r="S69" s="4">
        <f t="shared" si="59"/>
        <v>449374.84836000018</v>
      </c>
      <c r="U69" s="4">
        <f t="shared" si="59"/>
        <v>449375.84835999925</v>
      </c>
    </row>
    <row r="73" spans="2:21" x14ac:dyDescent="0.2">
      <c r="B73" s="1" t="s">
        <v>1544</v>
      </c>
      <c r="C73" s="4">
        <f>+C59</f>
        <v>637897.35</v>
      </c>
      <c r="D73" s="4">
        <f t="shared" ref="D73:N73" si="60">+D59</f>
        <v>204430</v>
      </c>
      <c r="E73" s="4">
        <f t="shared" si="60"/>
        <v>201394.6</v>
      </c>
      <c r="F73" s="4">
        <f t="shared" si="60"/>
        <v>289457.59999999998</v>
      </c>
      <c r="G73" s="4">
        <f t="shared" si="60"/>
        <v>349652.6</v>
      </c>
      <c r="H73" s="4">
        <f t="shared" si="60"/>
        <v>259207.6</v>
      </c>
      <c r="I73" s="4">
        <f t="shared" si="60"/>
        <v>207395.85</v>
      </c>
      <c r="J73" s="4">
        <f t="shared" si="60"/>
        <v>192430</v>
      </c>
      <c r="K73" s="4">
        <f t="shared" si="60"/>
        <v>102930</v>
      </c>
      <c r="L73" s="4">
        <f t="shared" si="60"/>
        <v>102930</v>
      </c>
      <c r="M73" s="4">
        <f t="shared" si="60"/>
        <v>102930</v>
      </c>
      <c r="N73" s="4">
        <f t="shared" si="60"/>
        <v>96930</v>
      </c>
      <c r="P73" s="4">
        <f>SUM(C73:E73)</f>
        <v>1043721.95</v>
      </c>
      <c r="Q73" s="4">
        <f>SUM(F73:H73)</f>
        <v>898317.79999999993</v>
      </c>
      <c r="R73" s="4">
        <f>SUM(I73:K73)</f>
        <v>502755.85</v>
      </c>
      <c r="S73" s="4">
        <f>SUM(L73:N73)</f>
        <v>302790</v>
      </c>
      <c r="T73" s="4"/>
      <c r="U73" s="4">
        <f>SUM(C73:N73)</f>
        <v>2747585.6</v>
      </c>
    </row>
    <row r="74" spans="2:21" x14ac:dyDescent="0.2">
      <c r="B74" s="1" t="s">
        <v>1545</v>
      </c>
      <c r="C74" s="4">
        <f>+'1 Collections'!R15</f>
        <v>227264.6</v>
      </c>
      <c r="D74" s="4">
        <f>+'1 Collections'!S15</f>
        <v>330687.59999999998</v>
      </c>
      <c r="E74" s="4">
        <f>+'1 Collections'!T15</f>
        <v>379877.6</v>
      </c>
      <c r="F74" s="4">
        <f>+'1 Collections'!U15</f>
        <v>424457.6</v>
      </c>
      <c r="G74" s="4">
        <f>+'1 Collections'!V15</f>
        <v>160207.6</v>
      </c>
      <c r="H74" s="4">
        <f>+'1 Collections'!W15</f>
        <v>160207.6</v>
      </c>
      <c r="I74" s="4">
        <f>+'1 Collections'!X15</f>
        <v>160207.6</v>
      </c>
      <c r="J74" s="4">
        <f>+'1 Collections'!Y15</f>
        <v>145500</v>
      </c>
      <c r="K74" s="4">
        <f>+'1 Collections'!Z15</f>
        <v>41000</v>
      </c>
      <c r="L74" s="4">
        <f>+'1 Collections'!AA15</f>
        <v>41000</v>
      </c>
      <c r="M74" s="4">
        <f>+'1 Collections'!AB15</f>
        <v>41000</v>
      </c>
      <c r="N74" s="4">
        <f>+'1 Collections'!AC15</f>
        <v>35000</v>
      </c>
      <c r="P74" s="4">
        <f>SUM(C74:E74)</f>
        <v>937829.79999999993</v>
      </c>
      <c r="Q74" s="4">
        <f>SUM(F74:H74)</f>
        <v>744872.79999999993</v>
      </c>
      <c r="R74" s="4">
        <f>SUM(I74:K74)</f>
        <v>346707.6</v>
      </c>
      <c r="S74" s="4">
        <f>SUM(L74:N74)</f>
        <v>117000</v>
      </c>
      <c r="T74" s="4"/>
      <c r="U74" s="4">
        <f>SUM(C74:N74)</f>
        <v>2146410.2000000002</v>
      </c>
    </row>
    <row r="75" spans="2:21" x14ac:dyDescent="0.2">
      <c r="B75" s="1" t="s">
        <v>1546</v>
      </c>
      <c r="C75" s="4">
        <f>+C73-C74</f>
        <v>410632.75</v>
      </c>
      <c r="D75" s="4">
        <f t="shared" ref="D75:N75" si="61">+D73-D74</f>
        <v>-126257.59999999998</v>
      </c>
      <c r="E75" s="4">
        <f t="shared" si="61"/>
        <v>-178482.99999999997</v>
      </c>
      <c r="F75" s="4">
        <f t="shared" si="61"/>
        <v>-135000</v>
      </c>
      <c r="G75" s="4">
        <f t="shared" si="61"/>
        <v>189444.99999999997</v>
      </c>
      <c r="H75" s="4">
        <f t="shared" si="61"/>
        <v>99000</v>
      </c>
      <c r="I75" s="4">
        <f t="shared" si="61"/>
        <v>47188.25</v>
      </c>
      <c r="J75" s="4">
        <f t="shared" si="61"/>
        <v>46930</v>
      </c>
      <c r="K75" s="4">
        <f t="shared" si="61"/>
        <v>61930</v>
      </c>
      <c r="L75" s="4">
        <f t="shared" si="61"/>
        <v>61930</v>
      </c>
      <c r="M75" s="4">
        <f t="shared" si="61"/>
        <v>61930</v>
      </c>
      <c r="N75" s="4">
        <f t="shared" si="61"/>
        <v>61930</v>
      </c>
      <c r="P75" s="4">
        <f>SUM(C75:E75)</f>
        <v>105892.15000000005</v>
      </c>
      <c r="Q75" s="4">
        <f>SUM(F75:H75)</f>
        <v>153444.99999999997</v>
      </c>
      <c r="R75" s="4">
        <f>SUM(I75:K75)</f>
        <v>156048.25</v>
      </c>
      <c r="S75" s="4">
        <f>SUM(L75:N75)</f>
        <v>185790</v>
      </c>
      <c r="T75" s="4"/>
      <c r="U75" s="4">
        <f>SUM(C75:N75)</f>
        <v>601175.4</v>
      </c>
    </row>
    <row r="78" spans="2:21" x14ac:dyDescent="0.2">
      <c r="U78" s="4"/>
    </row>
  </sheetData>
  <pageMargins left="0.25" right="0.25" top="0.75" bottom="0.75" header="0.3" footer="0.3"/>
  <pageSetup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8755-8613-4186-8EE5-B9757D71201B}">
  <dimension ref="A1:B24"/>
  <sheetViews>
    <sheetView workbookViewId="0">
      <selection activeCell="B9" sqref="B9"/>
    </sheetView>
  </sheetViews>
  <sheetFormatPr baseColWidth="10" defaultColWidth="9.1640625" defaultRowHeight="14" x14ac:dyDescent="0.2"/>
  <cols>
    <col min="1" max="1" width="4.33203125" style="1" customWidth="1"/>
    <col min="2" max="2" width="78.5" style="1" customWidth="1"/>
    <col min="3" max="16384" width="9.1640625" style="1"/>
  </cols>
  <sheetData>
    <row r="1" spans="1:2" x14ac:dyDescent="0.2">
      <c r="A1" s="8" t="s">
        <v>1358</v>
      </c>
    </row>
    <row r="2" spans="1:2" x14ac:dyDescent="0.2">
      <c r="A2" s="162" t="str">
        <f>+Version!$C$3</f>
        <v>Y2025 12 v001</v>
      </c>
    </row>
    <row r="4" spans="1:2" x14ac:dyDescent="0.2">
      <c r="A4" s="3">
        <f>ROW()-3</f>
        <v>1</v>
      </c>
      <c r="B4" s="1" t="s">
        <v>1359</v>
      </c>
    </row>
    <row r="5" spans="1:2" x14ac:dyDescent="0.2">
      <c r="A5" s="3">
        <f t="shared" ref="A5:A17" si="0">ROW()-3</f>
        <v>2</v>
      </c>
      <c r="B5" s="1" t="s">
        <v>1360</v>
      </c>
    </row>
    <row r="6" spans="1:2" x14ac:dyDescent="0.2">
      <c r="A6" s="3">
        <f t="shared" si="0"/>
        <v>3</v>
      </c>
      <c r="B6" s="1" t="s">
        <v>1362</v>
      </c>
    </row>
    <row r="7" spans="1:2" x14ac:dyDescent="0.2">
      <c r="A7" s="3">
        <f t="shared" si="0"/>
        <v>4</v>
      </c>
      <c r="B7" s="1" t="s">
        <v>1361</v>
      </c>
    </row>
    <row r="8" spans="1:2" x14ac:dyDescent="0.2">
      <c r="A8" s="3">
        <f t="shared" si="0"/>
        <v>5</v>
      </c>
      <c r="B8" s="1" t="s">
        <v>1363</v>
      </c>
    </row>
    <row r="9" spans="1:2" x14ac:dyDescent="0.2">
      <c r="A9" s="3">
        <f t="shared" si="0"/>
        <v>6</v>
      </c>
      <c r="B9" s="1" t="s">
        <v>1364</v>
      </c>
    </row>
    <row r="10" spans="1:2" x14ac:dyDescent="0.2">
      <c r="A10" s="3">
        <f t="shared" si="0"/>
        <v>7</v>
      </c>
      <c r="B10" s="1" t="s">
        <v>1365</v>
      </c>
    </row>
    <row r="11" spans="1:2" x14ac:dyDescent="0.2">
      <c r="A11" s="3">
        <f t="shared" si="0"/>
        <v>8</v>
      </c>
      <c r="B11" s="1" t="s">
        <v>1367</v>
      </c>
    </row>
    <row r="12" spans="1:2" x14ac:dyDescent="0.2">
      <c r="A12" s="3">
        <f t="shared" si="0"/>
        <v>9</v>
      </c>
      <c r="B12" s="1" t="s">
        <v>1368</v>
      </c>
    </row>
    <row r="13" spans="1:2" x14ac:dyDescent="0.2">
      <c r="A13" s="3">
        <f t="shared" si="0"/>
        <v>10</v>
      </c>
      <c r="B13" s="1" t="s">
        <v>1369</v>
      </c>
    </row>
    <row r="14" spans="1:2" x14ac:dyDescent="0.2">
      <c r="A14" s="3">
        <f t="shared" si="0"/>
        <v>11</v>
      </c>
      <c r="B14" s="1" t="s">
        <v>1370</v>
      </c>
    </row>
    <row r="15" spans="1:2" x14ac:dyDescent="0.2">
      <c r="A15" s="3">
        <f t="shared" si="0"/>
        <v>12</v>
      </c>
      <c r="B15" s="1" t="s">
        <v>1371</v>
      </c>
    </row>
    <row r="16" spans="1:2" x14ac:dyDescent="0.2">
      <c r="A16" s="3">
        <f t="shared" si="0"/>
        <v>13</v>
      </c>
      <c r="B16" s="1" t="s">
        <v>1372</v>
      </c>
    </row>
    <row r="17" spans="1:2" x14ac:dyDescent="0.2">
      <c r="A17" s="3">
        <f t="shared" si="0"/>
        <v>14</v>
      </c>
      <c r="B17" s="1" t="s">
        <v>1373</v>
      </c>
    </row>
    <row r="18" spans="1:2" x14ac:dyDescent="0.2">
      <c r="A18" s="3"/>
    </row>
    <row r="19" spans="1:2" x14ac:dyDescent="0.2">
      <c r="A19" s="3"/>
    </row>
    <row r="20" spans="1:2" x14ac:dyDescent="0.2">
      <c r="A20" s="3"/>
    </row>
    <row r="21" spans="1:2" x14ac:dyDescent="0.2">
      <c r="A21" s="3"/>
    </row>
    <row r="22" spans="1:2" x14ac:dyDescent="0.2">
      <c r="A22" s="3"/>
    </row>
    <row r="23" spans="1:2" x14ac:dyDescent="0.2">
      <c r="A23" s="3"/>
    </row>
    <row r="24" spans="1:2" x14ac:dyDescent="0.2">
      <c r="A2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6B34-20F2-4EB3-9241-0AFD21409AE5}">
  <sheetPr>
    <pageSetUpPr fitToPage="1"/>
  </sheetPr>
  <dimension ref="B2:Q43"/>
  <sheetViews>
    <sheetView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B3" sqref="B3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6" width="11.6640625" style="1" customWidth="1"/>
    <col min="7" max="7" width="2.6640625" style="1" customWidth="1"/>
    <col min="8" max="11" width="11.6640625" style="1" customWidth="1"/>
    <col min="12" max="12" width="2.6640625" style="1" customWidth="1"/>
    <col min="13" max="14" width="11.6640625" style="1" customWidth="1"/>
    <col min="15" max="15" width="2.6640625" style="1" customWidth="1"/>
    <col min="16" max="17" width="11.6640625" style="1" customWidth="1"/>
    <col min="18" max="16384" width="9.1640625" style="1"/>
  </cols>
  <sheetData>
    <row r="2" spans="2:17" x14ac:dyDescent="0.2">
      <c r="B2" s="8" t="s">
        <v>47</v>
      </c>
      <c r="C2" s="10" t="s">
        <v>1200</v>
      </c>
      <c r="D2" s="10" t="s">
        <v>1201</v>
      </c>
      <c r="E2" s="10" t="s">
        <v>1202</v>
      </c>
      <c r="F2" s="10" t="s">
        <v>1203</v>
      </c>
      <c r="G2" s="10"/>
      <c r="H2" s="10" t="s">
        <v>1204</v>
      </c>
      <c r="I2" s="10" t="s">
        <v>1205</v>
      </c>
      <c r="J2" s="10" t="s">
        <v>1206</v>
      </c>
      <c r="K2" s="10" t="s">
        <v>1207</v>
      </c>
      <c r="L2" s="10"/>
      <c r="M2" s="11">
        <v>2025</v>
      </c>
      <c r="N2" s="11">
        <v>2026</v>
      </c>
      <c r="P2" s="11" t="s">
        <v>1343</v>
      </c>
      <c r="Q2" s="11" t="s">
        <v>1344</v>
      </c>
    </row>
    <row r="3" spans="2:17" x14ac:dyDescent="0.2">
      <c r="B3" s="24" t="str">
        <f>+Version!$C$3</f>
        <v>Y2025 12 v001</v>
      </c>
    </row>
    <row r="4" spans="2:17" x14ac:dyDescent="0.2">
      <c r="B4" s="24"/>
    </row>
    <row r="5" spans="2:17" x14ac:dyDescent="0.2">
      <c r="B5" s="7" t="s">
        <v>262</v>
      </c>
      <c r="C5" s="4">
        <f>+'2025 Detail'!P8</f>
        <v>728757.46</v>
      </c>
      <c r="D5" s="4">
        <f>+'2025 Detail'!Q8</f>
        <v>444190.5</v>
      </c>
      <c r="E5" s="4">
        <f>+'2025 Detail'!R8</f>
        <v>447319.5</v>
      </c>
      <c r="F5" s="38">
        <f>+'2025 Detail'!S8</f>
        <v>766915.5</v>
      </c>
      <c r="G5" s="4"/>
      <c r="H5" s="38">
        <f>+'2026 Detail'!P8</f>
        <v>620247</v>
      </c>
      <c r="I5" s="38">
        <f>+'2026 Detail'!Q8</f>
        <v>501790</v>
      </c>
      <c r="J5" s="38">
        <f>+'2026 Detail'!R8</f>
        <v>436930</v>
      </c>
      <c r="K5" s="38">
        <f>+'2026 Detail'!S8</f>
        <v>410000</v>
      </c>
      <c r="L5" s="4"/>
      <c r="M5" s="4">
        <f>SUM(C5:F5)</f>
        <v>2387182.96</v>
      </c>
      <c r="N5" s="4">
        <f>SUM(H5:K5)</f>
        <v>1968967</v>
      </c>
      <c r="P5" s="4">
        <f>+N5-M5</f>
        <v>-418215.95999999996</v>
      </c>
      <c r="Q5" s="158">
        <f>+P5/M5</f>
        <v>-0.17519225254523429</v>
      </c>
    </row>
    <row r="6" spans="2:17" x14ac:dyDescent="0.2">
      <c r="B6" s="7" t="s">
        <v>217</v>
      </c>
      <c r="C6" s="4">
        <f>+'2025 Detail'!P13</f>
        <v>176292.97999999998</v>
      </c>
      <c r="D6" s="4">
        <f>+'2025 Detail'!Q13</f>
        <v>76692</v>
      </c>
      <c r="E6" s="4">
        <f>+'2025 Detail'!R13</f>
        <v>172277.6</v>
      </c>
      <c r="F6" s="38">
        <f>+'2025 Detail'!S13</f>
        <v>779860.39999999991</v>
      </c>
      <c r="G6" s="4"/>
      <c r="H6" s="38">
        <f>+'2026 Detail'!P13</f>
        <v>652582.80000000005</v>
      </c>
      <c r="I6" s="38">
        <f>+'2026 Detail'!Q13</f>
        <v>923082.8</v>
      </c>
      <c r="J6" s="38">
        <f>+'2026 Detail'!R13</f>
        <v>1079777.6000000001</v>
      </c>
      <c r="K6" s="38">
        <f>+'2026 Detail'!S13</f>
        <v>1487000</v>
      </c>
      <c r="L6" s="4"/>
      <c r="M6" s="4">
        <f t="shared" ref="M6" si="0">SUM(C6:F6)</f>
        <v>1205122.98</v>
      </c>
      <c r="N6" s="4">
        <f t="shared" ref="N6" si="1">SUM(H6:K6)</f>
        <v>4142443.2</v>
      </c>
      <c r="P6" s="4">
        <f>+N6-M6</f>
        <v>2937320.22</v>
      </c>
      <c r="Q6" s="158">
        <f>+P6/M6</f>
        <v>2.4373613886277399</v>
      </c>
    </row>
    <row r="7" spans="2:17" x14ac:dyDescent="0.2">
      <c r="B7" s="8" t="s">
        <v>1337</v>
      </c>
      <c r="C7" s="34">
        <f>SUM(C5:C6)</f>
        <v>905050.44</v>
      </c>
      <c r="D7" s="34">
        <f>SUM(D5:D6)</f>
        <v>520882.5</v>
      </c>
      <c r="E7" s="34">
        <f>SUM(E5:E6)</f>
        <v>619597.1</v>
      </c>
      <c r="F7" s="34">
        <f>SUM(F5:F6)</f>
        <v>1546775.9</v>
      </c>
      <c r="G7" s="34"/>
      <c r="H7" s="34">
        <f>SUM(H5:H6)</f>
        <v>1272829.8</v>
      </c>
      <c r="I7" s="34">
        <f>SUM(I5:I6)</f>
        <v>1424872.8</v>
      </c>
      <c r="J7" s="34">
        <f>SUM(J5:J6)</f>
        <v>1516707.6</v>
      </c>
      <c r="K7" s="34">
        <f>SUM(K5:K6)</f>
        <v>1897000</v>
      </c>
      <c r="L7" s="34"/>
      <c r="M7" s="34">
        <f>SUM(M5:M6)</f>
        <v>3592305.94</v>
      </c>
      <c r="N7" s="34">
        <f>SUM(N5:N6)</f>
        <v>6111410.2000000002</v>
      </c>
      <c r="P7" s="34">
        <f>SUM(P5:P6)</f>
        <v>2519104.2600000002</v>
      </c>
      <c r="Q7" s="159">
        <f>+P7/M7</f>
        <v>0.70124992193732816</v>
      </c>
    </row>
    <row r="8" spans="2:17" x14ac:dyDescent="0.2">
      <c r="B8" s="24"/>
      <c r="N8" s="1">
        <v>6.2</v>
      </c>
      <c r="Q8" s="158"/>
    </row>
    <row r="9" spans="2:17" x14ac:dyDescent="0.2">
      <c r="B9" s="7" t="s">
        <v>262</v>
      </c>
      <c r="C9" s="40">
        <f>+C5/C$7</f>
        <v>0.80521198354425416</v>
      </c>
      <c r="D9" s="40">
        <f>+D5/D$7</f>
        <v>0.85276525895955424</v>
      </c>
      <c r="E9" s="40">
        <f>+E5/E$7</f>
        <v>0.72195221701328172</v>
      </c>
      <c r="F9" s="40">
        <f>+F5/F$7</f>
        <v>0.49581552182187483</v>
      </c>
      <c r="G9" s="4"/>
      <c r="H9" s="40">
        <f t="shared" ref="H9:K9" si="2">+H5/H$7</f>
        <v>0.48729767326314954</v>
      </c>
      <c r="I9" s="40">
        <f t="shared" si="2"/>
        <v>0.35216476867268431</v>
      </c>
      <c r="J9" s="40">
        <f t="shared" si="2"/>
        <v>0.28807793934704357</v>
      </c>
      <c r="K9" s="40">
        <f t="shared" si="2"/>
        <v>0.21613073273589878</v>
      </c>
      <c r="L9" s="4"/>
      <c r="M9" s="40">
        <f>+M5/M$7</f>
        <v>0.66452662993397493</v>
      </c>
      <c r="N9" s="40">
        <f>+N5/N$7</f>
        <v>0.32217883198218311</v>
      </c>
      <c r="Q9" s="158"/>
    </row>
    <row r="10" spans="2:17" x14ac:dyDescent="0.2">
      <c r="B10" s="7" t="s">
        <v>217</v>
      </c>
      <c r="C10" s="40">
        <f t="shared" ref="C10:D10" si="3">+C6/C$7</f>
        <v>0.19478801645574581</v>
      </c>
      <c r="D10" s="40">
        <f t="shared" si="3"/>
        <v>0.14723474104044579</v>
      </c>
      <c r="E10" s="40">
        <f t="shared" ref="E10:F10" si="4">+E6/E$7</f>
        <v>0.27804778298671834</v>
      </c>
      <c r="F10" s="40">
        <f t="shared" si="4"/>
        <v>0.50418447817812517</v>
      </c>
      <c r="G10" s="4"/>
      <c r="H10" s="40">
        <f t="shared" ref="H10:K10" si="5">+H6/H$7</f>
        <v>0.51270232673685046</v>
      </c>
      <c r="I10" s="40">
        <f t="shared" si="5"/>
        <v>0.64783523132731569</v>
      </c>
      <c r="J10" s="40">
        <f t="shared" si="5"/>
        <v>0.71192206065295649</v>
      </c>
      <c r="K10" s="40">
        <f t="shared" si="5"/>
        <v>0.78386926726410122</v>
      </c>
      <c r="L10" s="4"/>
      <c r="M10" s="40">
        <f t="shared" ref="M10:N10" si="6">+M6/M$7</f>
        <v>0.33547337006602507</v>
      </c>
      <c r="N10" s="40">
        <f t="shared" si="6"/>
        <v>0.67782116801781689</v>
      </c>
      <c r="Q10" s="158"/>
    </row>
    <row r="11" spans="2:17" x14ac:dyDescent="0.2">
      <c r="B11" s="24"/>
      <c r="Q11" s="158"/>
    </row>
    <row r="12" spans="2:17" x14ac:dyDescent="0.2">
      <c r="B12" s="8" t="s">
        <v>1338</v>
      </c>
      <c r="C12" s="34">
        <f>+'2025 Detail'!P17+'2025 Detail'!P18+'2025 Detail'!P23+'2025 Detail'!P24</f>
        <v>834144.13150000002</v>
      </c>
      <c r="D12" s="34">
        <f>+'2025 Detail'!Q17+'2025 Detail'!Q18+'2025 Detail'!Q23+'2025 Detail'!Q24</f>
        <v>576858.66113970592</v>
      </c>
      <c r="E12" s="34">
        <f>+'2025 Detail'!R17+'2025 Detail'!R18+'2025 Detail'!R23+'2025 Detail'!R24</f>
        <v>562447.14398692804</v>
      </c>
      <c r="F12" s="150">
        <f>+'2025 Detail'!S17+'2025 Detail'!S18+'2025 Detail'!S23+'2025 Detail'!S24</f>
        <v>584581.1283333333</v>
      </c>
      <c r="G12" s="34"/>
      <c r="H12" s="150">
        <f>+'2026 Detail'!P17+'2026 Detail'!P18+'2026 Detail'!P23+'2026 Detail'!P24</f>
        <v>761984.84911199997</v>
      </c>
      <c r="I12" s="150">
        <f>+'2026 Detail'!Q17+'2026 Detail'!Q18+'2026 Detail'!Q23+'2026 Detail'!Q24</f>
        <v>575315.4</v>
      </c>
      <c r="J12" s="150">
        <f>+'2026 Detail'!R17+'2026 Detail'!R18+'2026 Detail'!R23+'2026 Detail'!R24</f>
        <v>555815.4</v>
      </c>
      <c r="K12" s="150">
        <f>+'2026 Detail'!S17+'2026 Detail'!S18+'2026 Detail'!S23+'2026 Detail'!S24</f>
        <v>542315.4</v>
      </c>
      <c r="L12" s="34"/>
      <c r="M12" s="34">
        <f>SUM(C12:F12)</f>
        <v>2558031.064959967</v>
      </c>
      <c r="N12" s="34">
        <f>SUM(H12:K12)</f>
        <v>2435431.049112</v>
      </c>
      <c r="P12" s="12">
        <f>+M12-N12</f>
        <v>122600.01584796701</v>
      </c>
      <c r="Q12" s="159">
        <f>+P12/M12</f>
        <v>4.7927492956339718E-2</v>
      </c>
    </row>
    <row r="13" spans="2:17" x14ac:dyDescent="0.2">
      <c r="B13" s="24"/>
      <c r="Q13" s="158"/>
    </row>
    <row r="14" spans="2:17" x14ac:dyDescent="0.2">
      <c r="B14" s="8" t="s">
        <v>194</v>
      </c>
      <c r="C14" s="34">
        <f>+C7-C12</f>
        <v>70906.308499999926</v>
      </c>
      <c r="D14" s="34">
        <f t="shared" ref="D14:K14" si="7">+D7-D12</f>
        <v>-55976.161139705917</v>
      </c>
      <c r="E14" s="34">
        <f t="shared" si="7"/>
        <v>57149.956013071933</v>
      </c>
      <c r="F14" s="150">
        <f t="shared" si="7"/>
        <v>962194.77166666661</v>
      </c>
      <c r="G14" s="34"/>
      <c r="H14" s="150">
        <f t="shared" si="7"/>
        <v>510844.95088800008</v>
      </c>
      <c r="I14" s="150">
        <f t="shared" si="7"/>
        <v>849557.4</v>
      </c>
      <c r="J14" s="150">
        <f t="shared" si="7"/>
        <v>960892.20000000007</v>
      </c>
      <c r="K14" s="150">
        <f t="shared" si="7"/>
        <v>1354684.6</v>
      </c>
      <c r="L14" s="34"/>
      <c r="M14" s="34">
        <f t="shared" ref="M14:N14" si="8">+M7-M12</f>
        <v>1034274.8750400329</v>
      </c>
      <c r="N14" s="34">
        <f t="shared" si="8"/>
        <v>3675979.1508880001</v>
      </c>
      <c r="P14" s="34">
        <f>+N14-M14</f>
        <v>2641704.2758479672</v>
      </c>
      <c r="Q14" s="159">
        <f>+P14/M14</f>
        <v>2.5541607357963874</v>
      </c>
    </row>
    <row r="15" spans="2:17" x14ac:dyDescent="0.2">
      <c r="B15" s="7" t="s">
        <v>1336</v>
      </c>
      <c r="C15" s="40">
        <f>+C14/C7</f>
        <v>7.8345145603155475E-2</v>
      </c>
      <c r="D15" s="40">
        <f>+D14/D7</f>
        <v>-0.10746408477863226</v>
      </c>
      <c r="E15" s="40">
        <f>+E14/E7</f>
        <v>9.2237287768248008E-2</v>
      </c>
      <c r="F15" s="40">
        <f>+F14/F7</f>
        <v>0.62206475525424643</v>
      </c>
      <c r="G15" s="4"/>
      <c r="H15" s="40">
        <f>+H14/H7</f>
        <v>0.40134584442318999</v>
      </c>
      <c r="I15" s="40">
        <f>+I14/I7</f>
        <v>0.59623385329553624</v>
      </c>
      <c r="J15" s="40">
        <f>+J14/J7</f>
        <v>0.63353819813390533</v>
      </c>
      <c r="K15" s="40">
        <f>+K14/K7</f>
        <v>0.71411945176594627</v>
      </c>
      <c r="L15" s="4"/>
      <c r="M15" s="40">
        <f>+M14/M7</f>
        <v>0.28791391722054521</v>
      </c>
      <c r="N15" s="40">
        <f>+N14/N7</f>
        <v>0.60149442282372079</v>
      </c>
      <c r="Q15" s="158"/>
    </row>
    <row r="16" spans="2:17" x14ac:dyDescent="0.2">
      <c r="B16" s="24"/>
      <c r="Q16" s="158"/>
    </row>
    <row r="17" spans="2:17" x14ac:dyDescent="0.2">
      <c r="B17" s="7" t="s">
        <v>1340</v>
      </c>
      <c r="C17" s="4">
        <f>+'2025 Detail'!P27+'2025 Detail'!P28</f>
        <v>238999.43766666666</v>
      </c>
      <c r="D17" s="4">
        <f>+'2025 Detail'!Q27+'2025 Detail'!Q28</f>
        <v>293164.94772058824</v>
      </c>
      <c r="E17" s="4">
        <f>+'2025 Detail'!R27+'2025 Detail'!R28</f>
        <v>304995.69202614378</v>
      </c>
      <c r="F17" s="38">
        <f>+'2025 Detail'!S27+'2025 Detail'!S28</f>
        <v>260047.2580952381</v>
      </c>
      <c r="G17" s="4"/>
      <c r="H17" s="38">
        <f>+'2026 Detail'!P27+'2026 Detail'!P28</f>
        <v>249375.75</v>
      </c>
      <c r="I17" s="38">
        <f>+'2026 Detail'!Q27+'2026 Detail'!Q28</f>
        <v>226494</v>
      </c>
      <c r="J17" s="38">
        <f>+'2026 Detail'!R27+'2026 Detail'!R28</f>
        <v>226494</v>
      </c>
      <c r="K17" s="38">
        <f>+'2026 Detail'!S27+'2026 Detail'!S28</f>
        <v>226494</v>
      </c>
      <c r="L17" s="4"/>
      <c r="M17" s="4">
        <f t="shared" ref="M17" si="9">SUM(C17:F17)</f>
        <v>1097207.3355086367</v>
      </c>
      <c r="N17" s="4">
        <f>SUM(H17:K17)</f>
        <v>928857.75</v>
      </c>
      <c r="P17" s="4">
        <f t="shared" ref="P17:P20" si="10">+M17-N17</f>
        <v>168349.58550863666</v>
      </c>
      <c r="Q17" s="158">
        <f t="shared" ref="Q17:Q20" si="11">+P17/M17</f>
        <v>0.15343461537339631</v>
      </c>
    </row>
    <row r="18" spans="2:17" x14ac:dyDescent="0.2">
      <c r="B18" s="7" t="s">
        <v>1341</v>
      </c>
      <c r="C18" s="4">
        <f>+'2025 Detail'!P19+'2025 Detail'!P20+'2025 Detail'!P25+'2025 Detail'!P26</f>
        <v>344879.09049999999</v>
      </c>
      <c r="D18" s="4">
        <f>+'2025 Detail'!Q19+'2025 Detail'!Q20+'2025 Detail'!Q25+'2025 Detail'!Q26</f>
        <v>434425.35224264709</v>
      </c>
      <c r="E18" s="4">
        <f>+'2025 Detail'!R19+'2025 Detail'!R20+'2025 Detail'!R25+'2025 Detail'!R26</f>
        <v>354262.13856209151</v>
      </c>
      <c r="F18" s="38">
        <f>+'2025 Detail'!S19+'2025 Detail'!S20+'2025 Detail'!S25+'2025 Detail'!S26</f>
        <v>271117.2761904762</v>
      </c>
      <c r="G18" s="4"/>
      <c r="H18" s="38">
        <f>+'2026 Detail'!P19+'2026 Detail'!P20+'2026 Detail'!P25+'2026 Detail'!P26</f>
        <v>327989.98762799997</v>
      </c>
      <c r="I18" s="38">
        <f>+'2026 Detail'!Q19+'2026 Detail'!Q20+'2026 Detail'!Q25+'2026 Detail'!Q26</f>
        <v>228841.5</v>
      </c>
      <c r="J18" s="38">
        <f>+'2026 Detail'!R19+'2026 Detail'!R20+'2026 Detail'!R25+'2026 Detail'!R26</f>
        <v>228841.5</v>
      </c>
      <c r="K18" s="38">
        <f>+'2026 Detail'!S19+'2026 Detail'!S20+'2026 Detail'!S25+'2026 Detail'!S26</f>
        <v>228841.5</v>
      </c>
      <c r="L18" s="4"/>
      <c r="M18" s="4">
        <f t="shared" ref="M18:M19" si="12">SUM(C18:F18)</f>
        <v>1404683.857495215</v>
      </c>
      <c r="N18" s="4">
        <f>SUM(H18:K18)</f>
        <v>1014514.487628</v>
      </c>
      <c r="P18" s="4">
        <f t="shared" si="10"/>
        <v>390169.36986721505</v>
      </c>
      <c r="Q18" s="158">
        <f t="shared" si="11"/>
        <v>0.27776311928504105</v>
      </c>
    </row>
    <row r="19" spans="2:17" x14ac:dyDescent="0.2">
      <c r="B19" s="7" t="s">
        <v>1342</v>
      </c>
      <c r="C19" s="4">
        <f>+'2025 Detail'!P33</f>
        <v>277163.60033333331</v>
      </c>
      <c r="D19" s="4">
        <f>+'2025 Detail'!Q33</f>
        <v>233495.22889705884</v>
      </c>
      <c r="E19" s="4">
        <f>+'2025 Detail'!R33</f>
        <v>235870.14542483661</v>
      </c>
      <c r="F19" s="38">
        <f>+'2025 Detail'!S33</f>
        <v>209935.81738095239</v>
      </c>
      <c r="G19" s="4"/>
      <c r="H19" s="38">
        <f>+'2026 Detail'!P33</f>
        <v>352980</v>
      </c>
      <c r="I19" s="38">
        <f>+'2026 Detail'!Q33</f>
        <v>197280</v>
      </c>
      <c r="J19" s="38">
        <f>+'2026 Detail'!R33</f>
        <v>195780</v>
      </c>
      <c r="K19" s="38">
        <f>+'2026 Detail'!S33</f>
        <v>195780</v>
      </c>
      <c r="L19" s="4"/>
      <c r="M19" s="4">
        <f t="shared" si="12"/>
        <v>956464.79203618108</v>
      </c>
      <c r="N19" s="4">
        <f t="shared" ref="N19" si="13">SUM(H19:K19)</f>
        <v>941820</v>
      </c>
      <c r="P19" s="4">
        <f t="shared" ref="P19" si="14">+M19-N19</f>
        <v>14644.792036181083</v>
      </c>
      <c r="Q19" s="158">
        <f t="shared" ref="Q19" si="15">+P19/M19</f>
        <v>1.5311375973395058E-2</v>
      </c>
    </row>
    <row r="20" spans="2:17" x14ac:dyDescent="0.2">
      <c r="B20" s="7" t="s">
        <v>297</v>
      </c>
      <c r="C20" s="4">
        <f>'2025 Detail'!P44-SUM('2025 Detail'!P48:P54)</f>
        <v>168230.68999999997</v>
      </c>
      <c r="D20" s="4">
        <f>'2025 Detail'!Q44-SUM('2025 Detail'!Q48:Q54)</f>
        <v>260628.40000000002</v>
      </c>
      <c r="E20" s="4">
        <f>'2025 Detail'!R44-SUM('2025 Detail'!R48:R54)</f>
        <v>231119.46000000002</v>
      </c>
      <c r="F20" s="38">
        <f>'2025 Detail'!S44-SUM('2025 Detail'!S48:S54)</f>
        <v>186169.49</v>
      </c>
      <c r="G20" s="4"/>
      <c r="H20" s="38">
        <f>'2026 Detail'!P44-SUM('2026 Detail'!P48:P54)</f>
        <v>151600.94870000001</v>
      </c>
      <c r="I20" s="38">
        <f>'2026 Detail'!Q44-SUM('2026 Detail'!Q48:Q54)</f>
        <v>185086.11240000001</v>
      </c>
      <c r="J20" s="38">
        <f>'2026 Detail'!R44-SUM('2026 Detail'!R48:R54)</f>
        <v>244339.99960000001</v>
      </c>
      <c r="K20" s="38">
        <f>'2026 Detail'!S44-SUM('2026 Detail'!S48:S54)</f>
        <v>164077.3242</v>
      </c>
      <c r="L20" s="4"/>
      <c r="M20" s="4">
        <f t="shared" ref="M20" si="16">SUM(C20:F20)</f>
        <v>846148.04</v>
      </c>
      <c r="N20" s="4">
        <f t="shared" ref="N20" si="17">SUM(H20:K20)</f>
        <v>745104.38490000006</v>
      </c>
      <c r="P20" s="4">
        <f t="shared" si="10"/>
        <v>101043.65509999997</v>
      </c>
      <c r="Q20" s="158">
        <f t="shared" si="11"/>
        <v>0.11941604816575592</v>
      </c>
    </row>
    <row r="21" spans="2:17" x14ac:dyDescent="0.2">
      <c r="B21" s="8" t="s">
        <v>1339</v>
      </c>
      <c r="C21" s="34">
        <f>SUM(C17:C20)</f>
        <v>1029272.8184999998</v>
      </c>
      <c r="D21" s="34">
        <f t="shared" ref="D21:F21" si="18">SUM(D17:D20)</f>
        <v>1221713.9288602942</v>
      </c>
      <c r="E21" s="34">
        <f t="shared" si="18"/>
        <v>1126247.4360130718</v>
      </c>
      <c r="F21" s="150">
        <f t="shared" si="18"/>
        <v>927269.84166666667</v>
      </c>
      <c r="G21" s="34"/>
      <c r="H21" s="150">
        <f t="shared" ref="H21" si="19">SUM(H17:H20)</f>
        <v>1081946.6863279999</v>
      </c>
      <c r="I21" s="150">
        <f t="shared" ref="I21" si="20">SUM(I17:I20)</f>
        <v>837701.61239999998</v>
      </c>
      <c r="J21" s="150">
        <f t="shared" ref="J21" si="21">SUM(J17:J20)</f>
        <v>895455.49959999998</v>
      </c>
      <c r="K21" s="150">
        <f t="shared" ref="K21" si="22">SUM(K17:K20)</f>
        <v>815192.82420000003</v>
      </c>
      <c r="L21" s="34"/>
      <c r="M21" s="34">
        <f t="shared" ref="M21:N21" si="23">SUM(M17:M20)</f>
        <v>4304504.0250400333</v>
      </c>
      <c r="N21" s="34">
        <f t="shared" si="23"/>
        <v>3630296.6225279998</v>
      </c>
      <c r="P21" s="12">
        <f>+M21-N21</f>
        <v>674207.40251203347</v>
      </c>
      <c r="Q21" s="159">
        <f>+P21/M21</f>
        <v>0.156628359176819</v>
      </c>
    </row>
    <row r="22" spans="2:17" x14ac:dyDescent="0.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58"/>
    </row>
    <row r="23" spans="2:17" x14ac:dyDescent="0.2">
      <c r="B23" s="7" t="s">
        <v>1340</v>
      </c>
      <c r="C23" s="40">
        <f>+C17/C$7</f>
        <v>0.26407305836641182</v>
      </c>
      <c r="D23" s="40">
        <f t="shared" ref="D23:F23" si="24">+D17/D$7</f>
        <v>0.56282356907860842</v>
      </c>
      <c r="E23" s="40">
        <f t="shared" si="24"/>
        <v>0.49224841760257398</v>
      </c>
      <c r="F23" s="40">
        <f t="shared" si="24"/>
        <v>0.16812212945342508</v>
      </c>
      <c r="G23" s="4"/>
      <c r="H23" s="40">
        <f>+H17/H$7</f>
        <v>0.19592230634449317</v>
      </c>
      <c r="I23" s="40">
        <f t="shared" ref="I23:K23" si="25">+I17/I$7</f>
        <v>0.15895734692949434</v>
      </c>
      <c r="J23" s="40">
        <f t="shared" si="25"/>
        <v>0.14933267295555186</v>
      </c>
      <c r="K23" s="40">
        <f t="shared" si="25"/>
        <v>0.11939588824459674</v>
      </c>
      <c r="L23" s="4"/>
      <c r="M23" s="40">
        <f t="shared" ref="M23:N23" si="26">+M17/M$7</f>
        <v>0.30543259784511467</v>
      </c>
      <c r="N23" s="40">
        <f t="shared" si="26"/>
        <v>0.15198746600252752</v>
      </c>
      <c r="O23" s="7"/>
      <c r="P23" s="7"/>
      <c r="Q23" s="158"/>
    </row>
    <row r="24" spans="2:17" x14ac:dyDescent="0.2">
      <c r="B24" s="7" t="s">
        <v>1341</v>
      </c>
      <c r="C24" s="40">
        <f t="shared" ref="C24:F24" si="27">+C18/C$7</f>
        <v>0.38106062961529524</v>
      </c>
      <c r="D24" s="40">
        <f t="shared" si="27"/>
        <v>0.83401794501187332</v>
      </c>
      <c r="E24" s="40">
        <f t="shared" si="27"/>
        <v>0.57176209921268439</v>
      </c>
      <c r="F24" s="40">
        <f t="shared" si="27"/>
        <v>0.17527896328774983</v>
      </c>
      <c r="G24" s="4"/>
      <c r="H24" s="40">
        <f t="shared" ref="H24:K24" si="28">+H18/H$7</f>
        <v>0.2576856604300119</v>
      </c>
      <c r="I24" s="40">
        <f t="shared" si="28"/>
        <v>0.16060486241298169</v>
      </c>
      <c r="J24" s="40">
        <f t="shared" si="28"/>
        <v>0.15088043338083093</v>
      </c>
      <c r="K24" s="40">
        <f t="shared" si="28"/>
        <v>0.12063336847654191</v>
      </c>
      <c r="L24" s="4"/>
      <c r="M24" s="40">
        <f t="shared" ref="M24:N24" si="29">+M18/M$7</f>
        <v>0.39102567569598906</v>
      </c>
      <c r="N24" s="40">
        <f t="shared" si="29"/>
        <v>0.16600333710671228</v>
      </c>
      <c r="O24" s="7"/>
      <c r="P24" s="7"/>
      <c r="Q24" s="158"/>
    </row>
    <row r="25" spans="2:17" x14ac:dyDescent="0.2">
      <c r="B25" s="7" t="s">
        <v>1342</v>
      </c>
      <c r="C25" s="40">
        <f t="shared" ref="C25:F25" si="30">+C20/C$7</f>
        <v>0.18587990521279674</v>
      </c>
      <c r="D25" s="40">
        <f t="shared" si="30"/>
        <v>0.50035929408263868</v>
      </c>
      <c r="E25" s="40">
        <f t="shared" si="30"/>
        <v>0.37301572263653271</v>
      </c>
      <c r="F25" s="40">
        <f t="shared" si="30"/>
        <v>0.1203597043372605</v>
      </c>
      <c r="G25" s="4"/>
      <c r="H25" s="40">
        <f t="shared" ref="H25:K25" si="31">+H20/H$7</f>
        <v>0.11910543632777926</v>
      </c>
      <c r="I25" s="40">
        <f t="shared" si="31"/>
        <v>0.12989658613737312</v>
      </c>
      <c r="J25" s="40">
        <f t="shared" si="31"/>
        <v>0.16109894853826801</v>
      </c>
      <c r="K25" s="40">
        <f t="shared" si="31"/>
        <v>8.6493054401686878E-2</v>
      </c>
      <c r="L25" s="4"/>
      <c r="M25" s="40">
        <f t="shared" ref="M25:N25" si="32">+M20/M$7</f>
        <v>0.23554453716712115</v>
      </c>
      <c r="N25" s="40">
        <f t="shared" si="32"/>
        <v>0.12192020507803585</v>
      </c>
      <c r="O25" s="7"/>
      <c r="P25" s="7"/>
      <c r="Q25" s="158"/>
    </row>
    <row r="26" spans="2:17" x14ac:dyDescent="0.2">
      <c r="Q26" s="158"/>
    </row>
    <row r="27" spans="2:17" x14ac:dyDescent="0.2">
      <c r="B27" s="1" t="s">
        <v>44</v>
      </c>
      <c r="C27" s="5">
        <f>+'2025 Detail'!P56</f>
        <v>3334341.02</v>
      </c>
      <c r="D27" s="5">
        <f>+C32</f>
        <v>3325973</v>
      </c>
      <c r="E27" s="5">
        <f>+D32</f>
        <v>2023283</v>
      </c>
      <c r="F27" s="5">
        <f>+E32</f>
        <v>954186</v>
      </c>
      <c r="G27" s="5"/>
      <c r="H27" s="5">
        <f>+F32</f>
        <v>964111</v>
      </c>
      <c r="I27" s="5">
        <f>+H32</f>
        <v>393009</v>
      </c>
      <c r="J27" s="5">
        <f>+I32</f>
        <v>404865</v>
      </c>
      <c r="K27" s="5">
        <f>+J32</f>
        <v>470302</v>
      </c>
      <c r="L27" s="5"/>
      <c r="M27" s="5">
        <f>+C27</f>
        <v>3334341.02</v>
      </c>
      <c r="N27" s="5">
        <f>+M32</f>
        <v>964111</v>
      </c>
      <c r="P27" s="4"/>
      <c r="Q27" s="158"/>
    </row>
    <row r="28" spans="2:17" x14ac:dyDescent="0.2">
      <c r="Q28" s="158"/>
    </row>
    <row r="29" spans="2:17" x14ac:dyDescent="0.2">
      <c r="B29" s="7" t="s">
        <v>45</v>
      </c>
      <c r="C29" s="5">
        <f>+C7-C12-C21</f>
        <v>-958366.50999999989</v>
      </c>
      <c r="D29" s="5">
        <f t="shared" ref="D29:F29" si="33">+D7-D12-D21</f>
        <v>-1277690.0900000001</v>
      </c>
      <c r="E29" s="5">
        <f t="shared" si="33"/>
        <v>-1069097.48</v>
      </c>
      <c r="F29" s="38">
        <f t="shared" si="33"/>
        <v>34924.929999999935</v>
      </c>
      <c r="G29" s="4"/>
      <c r="H29" s="38">
        <f t="shared" ref="H29:K29" si="34">+H7-H12-H21</f>
        <v>-571101.73543999984</v>
      </c>
      <c r="I29" s="38">
        <f t="shared" si="34"/>
        <v>11855.78760000004</v>
      </c>
      <c r="J29" s="38">
        <f t="shared" si="34"/>
        <v>65436.700400000089</v>
      </c>
      <c r="K29" s="38">
        <f t="shared" si="34"/>
        <v>539491.77580000006</v>
      </c>
      <c r="L29" s="4"/>
      <c r="M29" s="5">
        <f>SUM(C29:F29)</f>
        <v>-3270229.1500000004</v>
      </c>
      <c r="N29" s="5">
        <f>SUM(H29:K29)</f>
        <v>45682.528360000346</v>
      </c>
      <c r="P29" s="4">
        <f>+N29-M29</f>
        <v>3315911.6783600007</v>
      </c>
      <c r="Q29" s="158">
        <f>+P29/ABS(M29)</f>
        <v>1.0139692132461116</v>
      </c>
    </row>
    <row r="30" spans="2:17" x14ac:dyDescent="0.2">
      <c r="B30" s="7" t="s">
        <v>50</v>
      </c>
      <c r="C30" s="4">
        <f>+'2025 Detail'!P59</f>
        <v>949998.85999999987</v>
      </c>
      <c r="D30" s="4">
        <f>+'2025 Detail'!Q59</f>
        <v>-25000</v>
      </c>
      <c r="E30" s="4">
        <f>+'2025 Detail'!R59</f>
        <v>0</v>
      </c>
      <c r="F30" s="38">
        <f>+'2025 Detail'!S59</f>
        <v>-25000</v>
      </c>
      <c r="G30" s="4"/>
      <c r="H30" s="38">
        <f>+'2026 Detail'!P59</f>
        <v>0</v>
      </c>
      <c r="I30" s="38">
        <f>+'2026 Detail'!Q59</f>
        <v>0</v>
      </c>
      <c r="J30" s="38">
        <f>+'2026 Detail'!R59</f>
        <v>0</v>
      </c>
      <c r="K30" s="38">
        <f>+'2026 Detail'!S59</f>
        <v>0</v>
      </c>
      <c r="L30" s="4"/>
      <c r="M30" s="5">
        <f>SUM(C30:F30)</f>
        <v>899998.85999999987</v>
      </c>
      <c r="N30" s="5">
        <f>SUM(H30:K30)</f>
        <v>0</v>
      </c>
      <c r="P30" s="4"/>
      <c r="Q30" s="40"/>
    </row>
    <row r="31" spans="2:17" x14ac:dyDescent="0.2">
      <c r="B31" s="7"/>
    </row>
    <row r="32" spans="2:17" x14ac:dyDescent="0.2">
      <c r="B32" s="8" t="s">
        <v>46</v>
      </c>
      <c r="C32" s="34">
        <f>ROUND(+C27+C29+C30,0)</f>
        <v>3325973</v>
      </c>
      <c r="D32" s="34">
        <f t="shared" ref="D32:F32" si="35">ROUND(+D27+D29+D30,0)</f>
        <v>2023283</v>
      </c>
      <c r="E32" s="34">
        <f t="shared" si="35"/>
        <v>954186</v>
      </c>
      <c r="F32" s="34">
        <f t="shared" si="35"/>
        <v>964111</v>
      </c>
      <c r="G32" s="34"/>
      <c r="H32" s="34">
        <f>ROUND(+H27+H29+H30,0)</f>
        <v>393009</v>
      </c>
      <c r="I32" s="34">
        <f t="shared" ref="I32:K32" si="36">ROUND(+I27+I29+I30,0)</f>
        <v>404865</v>
      </c>
      <c r="J32" s="34">
        <f t="shared" si="36"/>
        <v>470302</v>
      </c>
      <c r="K32" s="34">
        <f t="shared" si="36"/>
        <v>1009794</v>
      </c>
      <c r="L32" s="34"/>
      <c r="M32" s="34">
        <f>ROUND(+M27+M29+M30,0)</f>
        <v>964111</v>
      </c>
      <c r="N32" s="34">
        <f>ROUND(+N27+N29+N30,0)</f>
        <v>1009794</v>
      </c>
      <c r="P32" s="34"/>
      <c r="Q32" s="34"/>
    </row>
    <row r="34" spans="2:14" x14ac:dyDescent="0.2">
      <c r="B34" s="7" t="s">
        <v>13</v>
      </c>
      <c r="C34" s="87">
        <f>+C32-'2025 Detail'!P61</f>
        <v>0</v>
      </c>
      <c r="D34" s="87">
        <f>+D32-'2025 Detail'!Q61</f>
        <v>0</v>
      </c>
      <c r="E34" s="87">
        <f>+E32-'2025 Detail'!R61</f>
        <v>0</v>
      </c>
      <c r="F34" s="87">
        <f>+F32-'2025 Detail'!S61</f>
        <v>0</v>
      </c>
      <c r="H34" s="87">
        <f>+H32-'2026 Detail'!P61</f>
        <v>0</v>
      </c>
      <c r="I34" s="87">
        <f>+I32-'2026 Detail'!Q61</f>
        <v>0</v>
      </c>
      <c r="J34" s="87">
        <f>+J32-'2026 Detail'!R61</f>
        <v>0</v>
      </c>
      <c r="K34" s="87">
        <f>+K32-'2026 Detail'!S61</f>
        <v>0</v>
      </c>
      <c r="M34" s="87">
        <f>+M32-'2025 Detail'!U61</f>
        <v>0</v>
      </c>
      <c r="N34" s="87">
        <f>+N32-'2026 Detail'!U61</f>
        <v>1</v>
      </c>
    </row>
    <row r="35" spans="2:14" x14ac:dyDescent="0.2">
      <c r="N35" s="4"/>
    </row>
    <row r="36" spans="2:14" x14ac:dyDescent="0.2">
      <c r="C36" s="4"/>
    </row>
    <row r="37" spans="2:14" x14ac:dyDescent="0.2">
      <c r="C37" s="4"/>
    </row>
    <row r="38" spans="2:14" x14ac:dyDescent="0.2">
      <c r="C38" s="4"/>
    </row>
    <row r="39" spans="2:14" x14ac:dyDescent="0.2">
      <c r="C39" s="4"/>
    </row>
    <row r="40" spans="2:14" x14ac:dyDescent="0.2">
      <c r="C40" s="4"/>
    </row>
    <row r="41" spans="2:14" x14ac:dyDescent="0.2">
      <c r="C41" s="4"/>
    </row>
    <row r="42" spans="2:14" x14ac:dyDescent="0.2">
      <c r="C42" s="4"/>
    </row>
    <row r="43" spans="2:14" x14ac:dyDescent="0.2">
      <c r="C43" s="4"/>
    </row>
  </sheetData>
  <pageMargins left="0.25" right="0.25" top="0.75" bottom="0.75" header="0.3" footer="0.3"/>
  <pageSetup scale="5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3CA2-981A-4823-A784-23F0860501AE}">
  <sheetPr>
    <pageSetUpPr fitToPage="1"/>
  </sheetPr>
  <dimension ref="B2:T73"/>
  <sheetViews>
    <sheetView zoomScale="209" zoomScaleNormal="209"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M15" sqref="M15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6" width="11.6640625" style="1" customWidth="1"/>
    <col min="7" max="7" width="2.6640625" style="1" customWidth="1"/>
    <col min="8" max="11" width="11.6640625" style="1" customWidth="1"/>
    <col min="12" max="12" width="2.6640625" style="1" customWidth="1"/>
    <col min="13" max="14" width="11.6640625" style="1" customWidth="1"/>
    <col min="15" max="15" width="2.6640625" style="1" customWidth="1"/>
    <col min="16" max="17" width="11.6640625" style="1" customWidth="1"/>
    <col min="18" max="18" width="2.6640625" style="1" customWidth="1"/>
    <col min="19" max="20" width="6.6640625" style="1" customWidth="1"/>
    <col min="21" max="16384" width="9.1640625" style="1"/>
  </cols>
  <sheetData>
    <row r="2" spans="2:20" x14ac:dyDescent="0.2">
      <c r="B2" s="8" t="s">
        <v>47</v>
      </c>
      <c r="C2" s="10" t="s">
        <v>1200</v>
      </c>
      <c r="D2" s="10" t="s">
        <v>1201</v>
      </c>
      <c r="E2" s="10" t="s">
        <v>1202</v>
      </c>
      <c r="F2" s="10" t="s">
        <v>1203</v>
      </c>
      <c r="G2" s="10"/>
      <c r="H2" s="10" t="s">
        <v>1204</v>
      </c>
      <c r="I2" s="10" t="s">
        <v>1205</v>
      </c>
      <c r="J2" s="10" t="s">
        <v>1206</v>
      </c>
      <c r="K2" s="10" t="s">
        <v>1207</v>
      </c>
      <c r="L2" s="10"/>
      <c r="M2" s="11">
        <v>2025</v>
      </c>
      <c r="N2" s="11">
        <v>2026</v>
      </c>
      <c r="P2" s="11" t="s">
        <v>1343</v>
      </c>
      <c r="Q2" s="11" t="s">
        <v>1344</v>
      </c>
      <c r="S2" s="3" t="s">
        <v>13</v>
      </c>
      <c r="T2" s="3" t="s">
        <v>13</v>
      </c>
    </row>
    <row r="3" spans="2:20" x14ac:dyDescent="0.2">
      <c r="B3" s="24" t="str">
        <f>+Version!$C$3</f>
        <v>Y2025 12 v001</v>
      </c>
      <c r="S3" s="3"/>
      <c r="T3" s="3"/>
    </row>
    <row r="4" spans="2:20" x14ac:dyDescent="0.2">
      <c r="B4" s="24"/>
      <c r="S4" s="3"/>
      <c r="T4" s="3"/>
    </row>
    <row r="5" spans="2:20" x14ac:dyDescent="0.2">
      <c r="B5" s="7" t="s">
        <v>63</v>
      </c>
      <c r="C5" s="4">
        <f>+'2025 Detail'!P5</f>
        <v>144854.39999999999</v>
      </c>
      <c r="D5" s="4">
        <f>+'2025 Detail'!Q5</f>
        <v>68681.25</v>
      </c>
      <c r="E5" s="4">
        <f>+'2025 Detail'!R5</f>
        <v>28510</v>
      </c>
      <c r="F5" s="38">
        <f>+'2025 Detail'!S5</f>
        <v>6540</v>
      </c>
      <c r="G5" s="4"/>
      <c r="H5" s="38">
        <f>+'2026 Detail'!P5</f>
        <v>5790</v>
      </c>
      <c r="I5" s="38">
        <f>+'2026 Detail'!Q5</f>
        <v>5790</v>
      </c>
      <c r="J5" s="38">
        <f>+'2026 Detail'!R5</f>
        <v>1930</v>
      </c>
      <c r="K5" s="38">
        <f>+'2026 Detail'!S5</f>
        <v>0</v>
      </c>
      <c r="L5" s="4"/>
      <c r="M5" s="4">
        <f>SUM(C5:F5)</f>
        <v>248585.65</v>
      </c>
      <c r="N5" s="4">
        <f>SUM(H5:K5)</f>
        <v>13510</v>
      </c>
      <c r="P5" s="4">
        <f>+N5-M5</f>
        <v>-235075.65</v>
      </c>
      <c r="Q5" s="158">
        <f>+P5/M5</f>
        <v>-0.94565253464952626</v>
      </c>
      <c r="S5" s="25">
        <f>+M5-'2025 Detail'!U5</f>
        <v>0</v>
      </c>
      <c r="T5" s="25">
        <f>+N5-'2026 Detail'!U5</f>
        <v>0</v>
      </c>
    </row>
    <row r="6" spans="2:20" x14ac:dyDescent="0.2">
      <c r="B6" s="7" t="s">
        <v>87</v>
      </c>
      <c r="C6" s="4">
        <f>+'2025 Detail'!P6</f>
        <v>374941.7</v>
      </c>
      <c r="D6" s="4">
        <f>+'2025 Detail'!Q6</f>
        <v>349616.4</v>
      </c>
      <c r="E6" s="4">
        <f>+'2025 Detail'!R6</f>
        <v>281609.59999999998</v>
      </c>
      <c r="F6" s="38">
        <f>+'2025 Detail'!S6</f>
        <v>534745</v>
      </c>
      <c r="G6" s="4"/>
      <c r="H6" s="38">
        <f>+'2026 Detail'!P6</f>
        <v>494607</v>
      </c>
      <c r="I6" s="38">
        <f>+'2026 Detail'!Q6</f>
        <v>376000</v>
      </c>
      <c r="J6" s="38">
        <f>+'2026 Detail'!R6</f>
        <v>330000</v>
      </c>
      <c r="K6" s="38">
        <f>+'2026 Detail'!S6</f>
        <v>320000</v>
      </c>
      <c r="L6" s="4"/>
      <c r="M6" s="4">
        <f t="shared" ref="M6:M7" si="0">SUM(C6:F6)</f>
        <v>1540912.7000000002</v>
      </c>
      <c r="N6" s="4">
        <f t="shared" ref="N6:N7" si="1">SUM(H6:K6)</f>
        <v>1520607</v>
      </c>
      <c r="P6" s="4">
        <f t="shared" ref="P6:P8" si="2">+N6-M6</f>
        <v>-20305.700000000186</v>
      </c>
      <c r="Q6" s="158">
        <f t="shared" ref="Q6:Q8" si="3">+P6/M6</f>
        <v>-1.3177709548373625E-2</v>
      </c>
      <c r="S6" s="25">
        <f>+M6-'2025 Detail'!U6</f>
        <v>0</v>
      </c>
      <c r="T6" s="25">
        <f>+N6-'2026 Detail'!U6</f>
        <v>0</v>
      </c>
    </row>
    <row r="7" spans="2:20" x14ac:dyDescent="0.2">
      <c r="B7" s="7" t="s">
        <v>549</v>
      </c>
      <c r="C7" s="4">
        <f>+'2025 Detail'!P7</f>
        <v>208961.36</v>
      </c>
      <c r="D7" s="4">
        <f>+'2025 Detail'!Q7</f>
        <v>25892.85</v>
      </c>
      <c r="E7" s="4">
        <f>+'2025 Detail'!R7</f>
        <v>137199.9</v>
      </c>
      <c r="F7" s="38">
        <f>+'2025 Detail'!S7</f>
        <v>225630.5</v>
      </c>
      <c r="G7" s="4"/>
      <c r="H7" s="38">
        <f>+'2026 Detail'!P7</f>
        <v>119850</v>
      </c>
      <c r="I7" s="38">
        <f>+'2026 Detail'!Q7</f>
        <v>120000</v>
      </c>
      <c r="J7" s="38">
        <f>+'2026 Detail'!R7</f>
        <v>105000</v>
      </c>
      <c r="K7" s="38">
        <f>+'2026 Detail'!S7</f>
        <v>90000</v>
      </c>
      <c r="L7" s="4"/>
      <c r="M7" s="4">
        <f t="shared" si="0"/>
        <v>597684.61</v>
      </c>
      <c r="N7" s="4">
        <f t="shared" si="1"/>
        <v>434850</v>
      </c>
      <c r="P7" s="4">
        <f t="shared" si="2"/>
        <v>-162834.60999999999</v>
      </c>
      <c r="Q7" s="158">
        <f t="shared" si="3"/>
        <v>-0.27244236722106663</v>
      </c>
      <c r="S7" s="25">
        <f>+M7-'2025 Detail'!U7</f>
        <v>0</v>
      </c>
      <c r="T7" s="25">
        <f>+N7-'2026 Detail'!U7</f>
        <v>0</v>
      </c>
    </row>
    <row r="8" spans="2:20" x14ac:dyDescent="0.2">
      <c r="B8" s="8" t="s">
        <v>84</v>
      </c>
      <c r="C8" s="34">
        <f>SUM(C5:C7)</f>
        <v>728757.46</v>
      </c>
      <c r="D8" s="34">
        <f>SUM(D5:D7)</f>
        <v>444190.5</v>
      </c>
      <c r="E8" s="34">
        <f>SUM(E5:E7)</f>
        <v>447319.5</v>
      </c>
      <c r="F8" s="34">
        <f>SUM(F5:F7)</f>
        <v>766915.5</v>
      </c>
      <c r="G8" s="34"/>
      <c r="H8" s="34">
        <f>SUM(H5:H7)</f>
        <v>620247</v>
      </c>
      <c r="I8" s="34">
        <f>SUM(I5:I7)</f>
        <v>501790</v>
      </c>
      <c r="J8" s="34">
        <f>SUM(J5:J7)</f>
        <v>436930</v>
      </c>
      <c r="K8" s="34">
        <f>SUM(K5:K7)</f>
        <v>410000</v>
      </c>
      <c r="L8" s="34"/>
      <c r="M8" s="34">
        <f>SUM(M5:M7)</f>
        <v>2387182.96</v>
      </c>
      <c r="N8" s="34">
        <f>SUM(N5:N7)</f>
        <v>1968967</v>
      </c>
      <c r="P8" s="12">
        <f t="shared" si="2"/>
        <v>-418215.95999999996</v>
      </c>
      <c r="Q8" s="159">
        <f t="shared" si="3"/>
        <v>-0.17519225254523429</v>
      </c>
      <c r="S8" s="25">
        <f>+M8-'2025 Detail'!U8</f>
        <v>0</v>
      </c>
      <c r="T8" s="25">
        <f>+N8-'2026 Detail'!U8</f>
        <v>0</v>
      </c>
    </row>
    <row r="9" spans="2:20" ht="6" customHeight="1" x14ac:dyDescent="0.2">
      <c r="B9" s="24"/>
      <c r="S9" s="3"/>
      <c r="T9" s="3"/>
    </row>
    <row r="10" spans="2:20" x14ac:dyDescent="0.2">
      <c r="B10" s="7" t="s">
        <v>63</v>
      </c>
      <c r="C10" s="4">
        <f>+'2025 Detail'!P10</f>
        <v>176292.97999999998</v>
      </c>
      <c r="D10" s="4">
        <f>+'2025 Detail'!Q10</f>
        <v>41705</v>
      </c>
      <c r="E10" s="4">
        <f>+'2025 Detail'!R10</f>
        <v>0</v>
      </c>
      <c r="F10" s="38">
        <f>+'2025 Detail'!S10</f>
        <v>306250</v>
      </c>
      <c r="G10" s="4"/>
      <c r="H10" s="38">
        <f>+'2026 Detail'!P10</f>
        <v>190750</v>
      </c>
      <c r="I10" s="38">
        <f>+'2026 Detail'!Q10</f>
        <v>336250</v>
      </c>
      <c r="J10" s="38">
        <f>+'2026 Detail'!R10</f>
        <v>456000</v>
      </c>
      <c r="K10" s="38">
        <f>+'2026 Detail'!S10</f>
        <v>550000</v>
      </c>
      <c r="L10" s="4"/>
      <c r="M10" s="4">
        <f>SUM(C10:F10)</f>
        <v>524247.98</v>
      </c>
      <c r="N10" s="4">
        <f>SUM(H10:K10)</f>
        <v>1533000</v>
      </c>
      <c r="P10" s="4">
        <f>+N10-M10</f>
        <v>1008752.02</v>
      </c>
      <c r="Q10" s="158">
        <f>+P10/M10</f>
        <v>1.9241886635404872</v>
      </c>
      <c r="S10" s="25">
        <f>+M10-'2025 Detail'!U10</f>
        <v>0</v>
      </c>
      <c r="T10" s="25">
        <f>+N10-'2026 Detail'!U10</f>
        <v>0</v>
      </c>
    </row>
    <row r="11" spans="2:20" x14ac:dyDescent="0.2">
      <c r="B11" s="7" t="s">
        <v>87</v>
      </c>
      <c r="C11" s="4">
        <f>+'2025 Detail'!P11</f>
        <v>0</v>
      </c>
      <c r="D11" s="4">
        <f>+'2025 Detail'!Q11</f>
        <v>9987</v>
      </c>
      <c r="E11" s="4">
        <f>+'2025 Detail'!R11</f>
        <v>39277.599999999999</v>
      </c>
      <c r="F11" s="38">
        <f>+'2025 Detail'!S11</f>
        <v>387610.39999999997</v>
      </c>
      <c r="G11" s="4"/>
      <c r="H11" s="38">
        <f>+'2026 Detail'!P11</f>
        <v>367832.80000000005</v>
      </c>
      <c r="I11" s="38">
        <f>+'2026 Detail'!Q11</f>
        <v>472832.80000000005</v>
      </c>
      <c r="J11" s="38">
        <f>+'2026 Detail'!R11</f>
        <v>503777.6</v>
      </c>
      <c r="K11" s="38">
        <f>+'2026 Detail'!S11</f>
        <v>750000</v>
      </c>
      <c r="L11" s="4"/>
      <c r="M11" s="4">
        <f t="shared" ref="M11:M12" si="4">SUM(C11:F11)</f>
        <v>436874.99999999994</v>
      </c>
      <c r="N11" s="4">
        <f t="shared" ref="N11:N12" si="5">SUM(H11:K11)</f>
        <v>2094443.2000000002</v>
      </c>
      <c r="P11" s="4">
        <f t="shared" ref="P11:P13" si="6">+N11-M11</f>
        <v>1657568.2000000002</v>
      </c>
      <c r="Q11" s="158">
        <f t="shared" ref="Q11:Q15" si="7">+P11/M11</f>
        <v>3.7941475250357661</v>
      </c>
      <c r="S11" s="25">
        <f>+M11-'2025 Detail'!U11</f>
        <v>0</v>
      </c>
      <c r="T11" s="25">
        <f>+N11-'2026 Detail'!U11</f>
        <v>0</v>
      </c>
    </row>
    <row r="12" spans="2:20" x14ac:dyDescent="0.2">
      <c r="B12" s="7" t="s">
        <v>549</v>
      </c>
      <c r="C12" s="4">
        <f>+'2025 Detail'!P12</f>
        <v>0</v>
      </c>
      <c r="D12" s="4">
        <f>+'2025 Detail'!Q12</f>
        <v>25000</v>
      </c>
      <c r="E12" s="4">
        <f>+'2025 Detail'!R12</f>
        <v>133000</v>
      </c>
      <c r="F12" s="38">
        <f>+'2025 Detail'!S12</f>
        <v>86000</v>
      </c>
      <c r="G12" s="4"/>
      <c r="H12" s="38">
        <f>+'2026 Detail'!P12</f>
        <v>94000</v>
      </c>
      <c r="I12" s="38">
        <f>+'2026 Detail'!Q12</f>
        <v>114000</v>
      </c>
      <c r="J12" s="38">
        <f>+'2026 Detail'!R12</f>
        <v>120000</v>
      </c>
      <c r="K12" s="38">
        <f>+'2026 Detail'!S12</f>
        <v>187000</v>
      </c>
      <c r="L12" s="4"/>
      <c r="M12" s="4">
        <f t="shared" si="4"/>
        <v>244000</v>
      </c>
      <c r="N12" s="4">
        <f t="shared" si="5"/>
        <v>515000</v>
      </c>
      <c r="P12" s="4">
        <f t="shared" si="6"/>
        <v>271000</v>
      </c>
      <c r="Q12" s="158">
        <f t="shared" si="7"/>
        <v>1.110655737704918</v>
      </c>
      <c r="S12" s="25">
        <f>+M12-'2025 Detail'!U12</f>
        <v>0</v>
      </c>
      <c r="T12" s="25">
        <f>+N12-'2026 Detail'!U12</f>
        <v>0</v>
      </c>
    </row>
    <row r="13" spans="2:20" x14ac:dyDescent="0.2">
      <c r="B13" s="8" t="s">
        <v>83</v>
      </c>
      <c r="C13" s="34">
        <f>SUM(C10:C12)</f>
        <v>176292.97999999998</v>
      </c>
      <c r="D13" s="34">
        <f>SUM(D10:D12)</f>
        <v>76692</v>
      </c>
      <c r="E13" s="34">
        <f>SUM(E10:E12)</f>
        <v>172277.6</v>
      </c>
      <c r="F13" s="34">
        <f>SUM(F10:F12)</f>
        <v>779860.39999999991</v>
      </c>
      <c r="G13" s="34"/>
      <c r="H13" s="34">
        <f>SUM(H10:H12)</f>
        <v>652582.80000000005</v>
      </c>
      <c r="I13" s="34">
        <f>SUM(I10:I12)</f>
        <v>923082.8</v>
      </c>
      <c r="J13" s="34">
        <f>SUM(J10:J12)</f>
        <v>1079777.6000000001</v>
      </c>
      <c r="K13" s="34">
        <f>SUM(K10:K12)</f>
        <v>1487000</v>
      </c>
      <c r="L13" s="34"/>
      <c r="M13" s="34">
        <f>SUM(M10:M12)</f>
        <v>1205122.98</v>
      </c>
      <c r="N13" s="34">
        <f>SUM(N10:N12)</f>
        <v>4142443.2</v>
      </c>
      <c r="P13" s="12">
        <f t="shared" si="6"/>
        <v>2937320.22</v>
      </c>
      <c r="Q13" s="159">
        <f t="shared" si="7"/>
        <v>2.4373613886277399</v>
      </c>
      <c r="S13" s="25">
        <f>+M13-'2025 Detail'!U13</f>
        <v>0</v>
      </c>
      <c r="T13" s="25">
        <f>+N13-'2026 Detail'!U13</f>
        <v>0</v>
      </c>
    </row>
    <row r="14" spans="2:20" ht="6" customHeight="1" x14ac:dyDescent="0.2">
      <c r="B14" s="24"/>
      <c r="S14" s="3"/>
      <c r="T14" s="3"/>
    </row>
    <row r="15" spans="2:20" x14ac:dyDescent="0.2">
      <c r="B15" s="8" t="s">
        <v>42</v>
      </c>
      <c r="C15" s="34">
        <f>+C8+C13</f>
        <v>905050.44</v>
      </c>
      <c r="D15" s="34">
        <f>+D8+D13</f>
        <v>520882.5</v>
      </c>
      <c r="E15" s="34">
        <f>+E8+E13</f>
        <v>619597.1</v>
      </c>
      <c r="F15" s="34">
        <f>+F8+F13</f>
        <v>1546775.9</v>
      </c>
      <c r="G15" s="34"/>
      <c r="H15" s="34">
        <f>+H8+H13</f>
        <v>1272829.8</v>
      </c>
      <c r="I15" s="34">
        <f>+I8+I13</f>
        <v>1424872.8</v>
      </c>
      <c r="J15" s="34">
        <f>+J8+J13</f>
        <v>1516707.6</v>
      </c>
      <c r="K15" s="34">
        <f>+K8+K13</f>
        <v>1897000</v>
      </c>
      <c r="L15" s="34"/>
      <c r="M15" s="34">
        <f>+M8+M13</f>
        <v>3592305.94</v>
      </c>
      <c r="N15" s="34">
        <f>+N8+N13</f>
        <v>6111410.2000000002</v>
      </c>
      <c r="P15" s="34">
        <f t="shared" ref="P15" si="8">+P8+P13</f>
        <v>2519104.2600000002</v>
      </c>
      <c r="Q15" s="159">
        <f t="shared" si="7"/>
        <v>0.70124992193732816</v>
      </c>
      <c r="S15" s="25">
        <f>+M15-'2025 Detail'!U15</f>
        <v>0</v>
      </c>
      <c r="T15" s="25">
        <f>+N15-'2026 Detail'!U15</f>
        <v>0</v>
      </c>
    </row>
    <row r="16" spans="2:20" x14ac:dyDescent="0.2">
      <c r="B16" s="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P16" s="12"/>
      <c r="S16" s="25"/>
      <c r="T16" s="25"/>
    </row>
    <row r="17" spans="2:20" x14ac:dyDescent="0.2">
      <c r="B17" s="7" t="s">
        <v>89</v>
      </c>
      <c r="C17" s="4">
        <f>+'2025 Detail'!P17</f>
        <v>569426.75150000001</v>
      </c>
      <c r="D17" s="4">
        <f>+'2025 Detail'!Q17</f>
        <v>382702.66113970592</v>
      </c>
      <c r="E17" s="4">
        <f>+'2025 Detail'!R17</f>
        <v>374597.06398692809</v>
      </c>
      <c r="F17" s="38">
        <f>+'2025 Detail'!S17</f>
        <v>372284.8783333333</v>
      </c>
      <c r="G17" s="4"/>
      <c r="H17" s="38">
        <f>+'2026 Detail'!P17</f>
        <v>557684.84911199997</v>
      </c>
      <c r="I17" s="38">
        <f>+'2026 Detail'!Q17</f>
        <v>389015.4</v>
      </c>
      <c r="J17" s="38">
        <f>+'2026 Detail'!R17</f>
        <v>389015.4</v>
      </c>
      <c r="K17" s="38">
        <f>+'2026 Detail'!S17</f>
        <v>389015.4</v>
      </c>
      <c r="L17" s="4"/>
      <c r="M17" s="4">
        <f t="shared" ref="M17:M20" si="9">SUM(C17:F17)</f>
        <v>1699011.3549599675</v>
      </c>
      <c r="N17" s="4">
        <f t="shared" ref="N17:N20" si="10">SUM(H17:K17)</f>
        <v>1724731.049112</v>
      </c>
      <c r="P17" s="4">
        <f t="shared" ref="P17" si="11">+M17-N17</f>
        <v>-25719.694152032491</v>
      </c>
      <c r="Q17" s="158">
        <f t="shared" ref="Q17" si="12">+P17/M17</f>
        <v>-1.513803546806696E-2</v>
      </c>
      <c r="S17" s="25">
        <f>+M17-'2025 Detail'!U17</f>
        <v>0</v>
      </c>
      <c r="T17" s="25">
        <f>+N17-'2026 Detail'!U17</f>
        <v>0</v>
      </c>
    </row>
    <row r="18" spans="2:20" x14ac:dyDescent="0.2">
      <c r="B18" s="7" t="s">
        <v>90</v>
      </c>
      <c r="C18" s="4">
        <f>+'2025 Detail'!P18</f>
        <v>262557.38</v>
      </c>
      <c r="D18" s="4">
        <f>+'2025 Detail'!Q18</f>
        <v>179055</v>
      </c>
      <c r="E18" s="4">
        <f>+'2025 Detail'!R18</f>
        <v>152843.08000000002</v>
      </c>
      <c r="F18" s="38">
        <f>+'2025 Detail'!S18</f>
        <v>190104.25</v>
      </c>
      <c r="G18" s="4"/>
      <c r="H18" s="38">
        <f>+'2026 Detail'!P18</f>
        <v>172500</v>
      </c>
      <c r="I18" s="38">
        <f>+'2026 Detail'!Q18</f>
        <v>154500</v>
      </c>
      <c r="J18" s="38">
        <f>+'2026 Detail'!R18</f>
        <v>135000</v>
      </c>
      <c r="K18" s="38">
        <f>+'2026 Detail'!S18</f>
        <v>121500</v>
      </c>
      <c r="L18" s="4"/>
      <c r="M18" s="4">
        <f t="shared" si="9"/>
        <v>784559.71</v>
      </c>
      <c r="N18" s="4">
        <f t="shared" si="10"/>
        <v>583500</v>
      </c>
      <c r="P18" s="4">
        <f t="shared" ref="P18:P21" si="13">+M18-N18</f>
        <v>201059.70999999996</v>
      </c>
      <c r="Q18" s="158">
        <f t="shared" ref="Q18:Q21" si="14">+P18/M18</f>
        <v>0.2562707559887315</v>
      </c>
      <c r="S18" s="25">
        <f>+M18-'2025 Detail'!U18</f>
        <v>0</v>
      </c>
      <c r="T18" s="25">
        <f>+N18-'2026 Detail'!U18</f>
        <v>0</v>
      </c>
    </row>
    <row r="19" spans="2:20" x14ac:dyDescent="0.2">
      <c r="B19" s="7" t="s">
        <v>91</v>
      </c>
      <c r="C19" s="4">
        <f>+'2025 Detail'!P19</f>
        <v>152481.58049999998</v>
      </c>
      <c r="D19" s="4">
        <f>+'2025 Detail'!Q19</f>
        <v>122020.49334558821</v>
      </c>
      <c r="E19" s="4">
        <f>+'2025 Detail'!R19</f>
        <v>120181.18313725491</v>
      </c>
      <c r="F19" s="38">
        <f>+'2025 Detail'!S19</f>
        <v>119549.89214285713</v>
      </c>
      <c r="G19" s="4"/>
      <c r="H19" s="38">
        <f>+'2026 Detail'!P19</f>
        <v>185735.987628</v>
      </c>
      <c r="I19" s="38">
        <f>+'2026 Detail'!Q19</f>
        <v>124639.5</v>
      </c>
      <c r="J19" s="38">
        <f>+'2026 Detail'!R19</f>
        <v>124639.5</v>
      </c>
      <c r="K19" s="38">
        <f>+'2026 Detail'!S19</f>
        <v>124639.5</v>
      </c>
      <c r="L19" s="4"/>
      <c r="M19" s="4">
        <f t="shared" si="9"/>
        <v>514233.14912570023</v>
      </c>
      <c r="N19" s="4">
        <f t="shared" si="10"/>
        <v>559654.48762799997</v>
      </c>
      <c r="P19" s="4">
        <f t="shared" si="13"/>
        <v>-45421.338502299739</v>
      </c>
      <c r="Q19" s="158">
        <f t="shared" si="14"/>
        <v>-8.8328297348245918E-2</v>
      </c>
      <c r="S19" s="25">
        <f>+M19-'2025 Detail'!U19</f>
        <v>0</v>
      </c>
      <c r="T19" s="25">
        <f>+N19-'2026 Detail'!U19</f>
        <v>0</v>
      </c>
    </row>
    <row r="20" spans="2:20" x14ac:dyDescent="0.2">
      <c r="B20" s="7" t="s">
        <v>92</v>
      </c>
      <c r="C20" s="4">
        <f>+'2025 Detail'!P20</f>
        <v>40262.81</v>
      </c>
      <c r="D20" s="4">
        <f>+'2025 Detail'!Q20</f>
        <v>36199.26</v>
      </c>
      <c r="E20" s="4">
        <f>+'2025 Detail'!R20</f>
        <v>8000</v>
      </c>
      <c r="F20" s="38">
        <f>+'2025 Detail'!S20</f>
        <v>0</v>
      </c>
      <c r="G20" s="4"/>
      <c r="H20" s="38">
        <f>+'2026 Detail'!P20</f>
        <v>0</v>
      </c>
      <c r="I20" s="38">
        <f>+'2026 Detail'!Q20</f>
        <v>0</v>
      </c>
      <c r="J20" s="38">
        <f>+'2026 Detail'!R20</f>
        <v>0</v>
      </c>
      <c r="K20" s="38">
        <f>+'2026 Detail'!S20</f>
        <v>0</v>
      </c>
      <c r="L20" s="4"/>
      <c r="M20" s="4">
        <f t="shared" si="9"/>
        <v>84462.07</v>
      </c>
      <c r="N20" s="4">
        <f t="shared" si="10"/>
        <v>0</v>
      </c>
      <c r="P20" s="4">
        <f t="shared" si="13"/>
        <v>84462.07</v>
      </c>
      <c r="Q20" s="158">
        <f t="shared" si="14"/>
        <v>1</v>
      </c>
      <c r="S20" s="25">
        <f>+M20-'2025 Detail'!U20</f>
        <v>0</v>
      </c>
      <c r="T20" s="25">
        <f>+N20-'2026 Detail'!U20</f>
        <v>0</v>
      </c>
    </row>
    <row r="21" spans="2:20" x14ac:dyDescent="0.2">
      <c r="B21" s="8" t="s">
        <v>88</v>
      </c>
      <c r="C21" s="34">
        <f>SUM(C17:C20)</f>
        <v>1024728.5220000001</v>
      </c>
      <c r="D21" s="34">
        <f>SUM(D17:D20)</f>
        <v>719977.41448529414</v>
      </c>
      <c r="E21" s="34">
        <f>SUM(E17:E20)</f>
        <v>655621.32712418295</v>
      </c>
      <c r="F21" s="34">
        <f>SUM(F17:F20)</f>
        <v>681939.02047619037</v>
      </c>
      <c r="G21" s="34"/>
      <c r="H21" s="34">
        <f>SUM(H17:H20)</f>
        <v>915920.83673999994</v>
      </c>
      <c r="I21" s="34">
        <f>SUM(I17:I20)</f>
        <v>668154.9</v>
      </c>
      <c r="J21" s="34">
        <f>SUM(J17:J20)</f>
        <v>648654.9</v>
      </c>
      <c r="K21" s="34">
        <f>SUM(K17:K20)</f>
        <v>635154.9</v>
      </c>
      <c r="L21" s="34"/>
      <c r="M21" s="34">
        <f>SUM(M17:M20)</f>
        <v>3082266.2840856677</v>
      </c>
      <c r="N21" s="34">
        <f>SUM(N17:N20)</f>
        <v>2867885.5367399999</v>
      </c>
      <c r="P21" s="12">
        <f t="shared" si="13"/>
        <v>214380.7473456678</v>
      </c>
      <c r="Q21" s="159">
        <f t="shared" si="14"/>
        <v>6.9552961226146084E-2</v>
      </c>
      <c r="S21" s="25">
        <f>+M21-'2025 Detail'!U21</f>
        <v>0</v>
      </c>
      <c r="T21" s="25">
        <f>+N21-'2026 Detail'!U21</f>
        <v>0</v>
      </c>
    </row>
    <row r="22" spans="2:20" x14ac:dyDescent="0.2"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P22" s="12"/>
      <c r="S22" s="25"/>
      <c r="T22" s="25"/>
    </row>
    <row r="23" spans="2:20" x14ac:dyDescent="0.2">
      <c r="B23" s="7" t="s">
        <v>89</v>
      </c>
      <c r="C23" s="4">
        <f>+'2025 Detail'!P23</f>
        <v>0</v>
      </c>
      <c r="D23" s="4">
        <f>+'2025 Detail'!Q23</f>
        <v>0</v>
      </c>
      <c r="E23" s="4">
        <f>+'2025 Detail'!R23</f>
        <v>0</v>
      </c>
      <c r="F23" s="38">
        <f>+'2025 Detail'!S23</f>
        <v>0</v>
      </c>
      <c r="G23" s="4"/>
      <c r="H23" s="38">
        <f>+'2026 Detail'!P23</f>
        <v>0</v>
      </c>
      <c r="I23" s="38">
        <f>+'2026 Detail'!Q23</f>
        <v>0</v>
      </c>
      <c r="J23" s="38">
        <f>+'2026 Detail'!R23</f>
        <v>0</v>
      </c>
      <c r="K23" s="38">
        <f>+'2026 Detail'!S23</f>
        <v>0</v>
      </c>
      <c r="L23" s="4"/>
      <c r="M23" s="4">
        <f t="shared" ref="M23:M28" si="15">SUM(C23:F23)</f>
        <v>0</v>
      </c>
      <c r="N23" s="4">
        <f t="shared" ref="N23:N28" si="16">SUM(H23:K23)</f>
        <v>0</v>
      </c>
      <c r="P23" s="4">
        <f t="shared" ref="P23:P29" si="17">+M23-N23</f>
        <v>0</v>
      </c>
      <c r="Q23" s="158">
        <v>0</v>
      </c>
      <c r="S23" s="25">
        <f>+M23-'2025 Detail'!U23</f>
        <v>0</v>
      </c>
      <c r="T23" s="25">
        <f>+N23-'2026 Detail'!U23</f>
        <v>0</v>
      </c>
    </row>
    <row r="24" spans="2:20" x14ac:dyDescent="0.2">
      <c r="B24" s="7" t="s">
        <v>90</v>
      </c>
      <c r="C24" s="4">
        <f>+'2025 Detail'!P24</f>
        <v>2160</v>
      </c>
      <c r="D24" s="4">
        <f>+'2025 Detail'!Q24</f>
        <v>15101</v>
      </c>
      <c r="E24" s="4">
        <f>+'2025 Detail'!R24</f>
        <v>35007</v>
      </c>
      <c r="F24" s="38">
        <f>+'2025 Detail'!S24</f>
        <v>22192</v>
      </c>
      <c r="G24" s="4"/>
      <c r="H24" s="38">
        <f>+'2026 Detail'!P24</f>
        <v>31800</v>
      </c>
      <c r="I24" s="38">
        <f>+'2026 Detail'!Q24</f>
        <v>31800</v>
      </c>
      <c r="J24" s="38">
        <f>+'2026 Detail'!R24</f>
        <v>31800</v>
      </c>
      <c r="K24" s="38">
        <f>+'2026 Detail'!S24</f>
        <v>31800</v>
      </c>
      <c r="L24" s="4"/>
      <c r="M24" s="4">
        <f t="shared" si="15"/>
        <v>74460</v>
      </c>
      <c r="N24" s="4">
        <f t="shared" si="16"/>
        <v>127200</v>
      </c>
      <c r="P24" s="4">
        <f t="shared" si="17"/>
        <v>-52740</v>
      </c>
      <c r="Q24" s="158">
        <f t="shared" ref="Q24:Q29" si="18">+P24/M24</f>
        <v>-0.70829975825946823</v>
      </c>
      <c r="S24" s="25">
        <f>+M24-'2025 Detail'!U24</f>
        <v>0</v>
      </c>
      <c r="T24" s="25">
        <f>+N24-'2026 Detail'!U24</f>
        <v>0</v>
      </c>
    </row>
    <row r="25" spans="2:20" x14ac:dyDescent="0.2">
      <c r="B25" s="7" t="s">
        <v>91</v>
      </c>
      <c r="C25" s="4">
        <f>+'2025 Detail'!P25</f>
        <v>0</v>
      </c>
      <c r="D25" s="4">
        <f>+'2025 Detail'!Q25</f>
        <v>127402.35889705882</v>
      </c>
      <c r="E25" s="4">
        <f>+'2025 Detail'!R25</f>
        <v>83403.975424836593</v>
      </c>
      <c r="F25" s="38">
        <f>+'2025 Detail'!S25</f>
        <v>65469.754047619048</v>
      </c>
      <c r="G25" s="4"/>
      <c r="H25" s="38">
        <f>+'2026 Detail'!P25</f>
        <v>72654</v>
      </c>
      <c r="I25" s="38">
        <f>+'2026 Detail'!Q25</f>
        <v>73602</v>
      </c>
      <c r="J25" s="38">
        <f>+'2026 Detail'!R25</f>
        <v>73602</v>
      </c>
      <c r="K25" s="38">
        <f>+'2026 Detail'!S25</f>
        <v>73602</v>
      </c>
      <c r="L25" s="4"/>
      <c r="M25" s="4">
        <f t="shared" si="15"/>
        <v>276276.08836951444</v>
      </c>
      <c r="N25" s="4">
        <f t="shared" si="16"/>
        <v>293460</v>
      </c>
      <c r="P25" s="4">
        <f t="shared" si="17"/>
        <v>-17183.911630485556</v>
      </c>
      <c r="Q25" s="158">
        <f t="shared" si="18"/>
        <v>-6.2198331140052826E-2</v>
      </c>
      <c r="S25" s="25">
        <f>+M25-'2025 Detail'!U25</f>
        <v>0</v>
      </c>
      <c r="T25" s="25">
        <f>+N25-'2026 Detail'!U25</f>
        <v>0</v>
      </c>
    </row>
    <row r="26" spans="2:20" x14ac:dyDescent="0.2">
      <c r="B26" s="7" t="s">
        <v>92</v>
      </c>
      <c r="C26" s="4">
        <f>+'2025 Detail'!P26</f>
        <v>152134.70000000001</v>
      </c>
      <c r="D26" s="4">
        <f>+'2025 Detail'!Q26</f>
        <v>148803.24000000002</v>
      </c>
      <c r="E26" s="4">
        <f>+'2025 Detail'!R26</f>
        <v>142676.98000000001</v>
      </c>
      <c r="F26" s="38">
        <f>+'2025 Detail'!S26</f>
        <v>86097.63</v>
      </c>
      <c r="G26" s="4"/>
      <c r="H26" s="38">
        <f>+'2026 Detail'!P26</f>
        <v>69600</v>
      </c>
      <c r="I26" s="38">
        <f>+'2026 Detail'!Q26</f>
        <v>30600</v>
      </c>
      <c r="J26" s="38">
        <f>+'2026 Detail'!R26</f>
        <v>30600</v>
      </c>
      <c r="K26" s="38">
        <f>+'2026 Detail'!S26</f>
        <v>30600</v>
      </c>
      <c r="L26" s="4"/>
      <c r="M26" s="4">
        <f t="shared" si="15"/>
        <v>529712.55000000005</v>
      </c>
      <c r="N26" s="4">
        <f t="shared" si="16"/>
        <v>161400</v>
      </c>
      <c r="P26" s="4">
        <f t="shared" si="17"/>
        <v>368312.55000000005</v>
      </c>
      <c r="Q26" s="158">
        <f t="shared" si="18"/>
        <v>0.69530644497661986</v>
      </c>
      <c r="S26" s="25">
        <f>+M26-'2025 Detail'!U26</f>
        <v>0</v>
      </c>
      <c r="T26" s="25">
        <f>+N26-'2026 Detail'!U26</f>
        <v>0</v>
      </c>
    </row>
    <row r="27" spans="2:20" x14ac:dyDescent="0.2">
      <c r="B27" s="7" t="s">
        <v>106</v>
      </c>
      <c r="C27" s="4">
        <f>+'2025 Detail'!P27</f>
        <v>89658.187666666665</v>
      </c>
      <c r="D27" s="4">
        <f>+'2025 Detail'!Q27</f>
        <v>121200.96772058823</v>
      </c>
      <c r="E27" s="4">
        <f>+'2025 Detail'!R27</f>
        <v>155392.55202614379</v>
      </c>
      <c r="F27" s="38">
        <f>+'2025 Detail'!S27</f>
        <v>116272.12809523809</v>
      </c>
      <c r="G27" s="4"/>
      <c r="H27" s="38">
        <f>+'2026 Detail'!P27</f>
        <v>143775.75</v>
      </c>
      <c r="I27" s="38">
        <f>+'2026 Detail'!Q27</f>
        <v>120894</v>
      </c>
      <c r="J27" s="38">
        <f>+'2026 Detail'!R27</f>
        <v>120894</v>
      </c>
      <c r="K27" s="38">
        <f>+'2026 Detail'!S27</f>
        <v>120894</v>
      </c>
      <c r="L27" s="4"/>
      <c r="M27" s="4">
        <f t="shared" si="15"/>
        <v>482523.83550863678</v>
      </c>
      <c r="N27" s="4">
        <f t="shared" si="16"/>
        <v>506457.75</v>
      </c>
      <c r="P27" s="4">
        <f t="shared" si="17"/>
        <v>-23933.914491363219</v>
      </c>
      <c r="Q27" s="158">
        <f t="shared" si="18"/>
        <v>-4.9601517541893167E-2</v>
      </c>
      <c r="S27" s="25">
        <f>+M27-'2025 Detail'!U27</f>
        <v>0</v>
      </c>
      <c r="T27" s="25">
        <f>+N27-'2026 Detail'!U27</f>
        <v>0</v>
      </c>
    </row>
    <row r="28" spans="2:20" x14ac:dyDescent="0.2">
      <c r="B28" s="7" t="s">
        <v>107</v>
      </c>
      <c r="C28" s="4">
        <f>+'2025 Detail'!P28</f>
        <v>149341.25</v>
      </c>
      <c r="D28" s="4">
        <f>+'2025 Detail'!Q28</f>
        <v>171963.98</v>
      </c>
      <c r="E28" s="4">
        <f>+'2025 Detail'!R28</f>
        <v>149603.14000000001</v>
      </c>
      <c r="F28" s="38">
        <f>+'2025 Detail'!S28</f>
        <v>143775.13</v>
      </c>
      <c r="G28" s="4"/>
      <c r="H28" s="38">
        <f>+'2026 Detail'!P28</f>
        <v>105600</v>
      </c>
      <c r="I28" s="38">
        <f>+'2026 Detail'!Q28</f>
        <v>105600</v>
      </c>
      <c r="J28" s="38">
        <f>+'2026 Detail'!R28</f>
        <v>105600</v>
      </c>
      <c r="K28" s="38">
        <f>+'2026 Detail'!S28</f>
        <v>105600</v>
      </c>
      <c r="L28" s="4"/>
      <c r="M28" s="4">
        <f t="shared" si="15"/>
        <v>614683.5</v>
      </c>
      <c r="N28" s="4">
        <f t="shared" si="16"/>
        <v>422400</v>
      </c>
      <c r="P28" s="4">
        <f t="shared" si="17"/>
        <v>192283.5</v>
      </c>
      <c r="Q28" s="158">
        <f t="shared" si="18"/>
        <v>0.31281708391391666</v>
      </c>
      <c r="S28" s="25">
        <f>+M28-'2025 Detail'!U28</f>
        <v>0</v>
      </c>
      <c r="T28" s="25">
        <f>+N28-'2026 Detail'!U28</f>
        <v>0</v>
      </c>
    </row>
    <row r="29" spans="2:20" x14ac:dyDescent="0.2">
      <c r="B29" s="8" t="s">
        <v>93</v>
      </c>
      <c r="C29" s="34">
        <f>SUM(C23:C28)</f>
        <v>393294.13766666665</v>
      </c>
      <c r="D29" s="34">
        <f>SUM(D23:D28)</f>
        <v>584471.54661764705</v>
      </c>
      <c r="E29" s="34">
        <f>SUM(E23:E28)</f>
        <v>566083.64745098038</v>
      </c>
      <c r="F29" s="34">
        <f>SUM(F23:F28)</f>
        <v>433806.64214285719</v>
      </c>
      <c r="G29" s="34"/>
      <c r="H29" s="34">
        <f>SUM(H23:H28)</f>
        <v>423429.75</v>
      </c>
      <c r="I29" s="34">
        <f>SUM(I23:I28)</f>
        <v>362496</v>
      </c>
      <c r="J29" s="34">
        <f>SUM(J23:J28)</f>
        <v>362496</v>
      </c>
      <c r="K29" s="34">
        <f>SUM(K23:K28)</f>
        <v>362496</v>
      </c>
      <c r="L29" s="34"/>
      <c r="M29" s="34">
        <f>SUM(M23:M28)</f>
        <v>1977655.9738781513</v>
      </c>
      <c r="N29" s="34">
        <f>SUM(N23:N28)</f>
        <v>1510917.75</v>
      </c>
      <c r="P29" s="12">
        <f t="shared" si="17"/>
        <v>466738.22387815127</v>
      </c>
      <c r="Q29" s="159">
        <f t="shared" si="18"/>
        <v>0.23600577150073537</v>
      </c>
      <c r="S29" s="25">
        <f>+M29-'2025 Detail'!U29</f>
        <v>0</v>
      </c>
      <c r="T29" s="25">
        <f>+N29-'2026 Detail'!U29</f>
        <v>0</v>
      </c>
    </row>
    <row r="30" spans="2:20" x14ac:dyDescent="0.2">
      <c r="B30" s="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P30" s="12"/>
      <c r="S30" s="25"/>
      <c r="T30" s="25"/>
    </row>
    <row r="31" spans="2:20" x14ac:dyDescent="0.2">
      <c r="B31" s="7" t="s">
        <v>94</v>
      </c>
      <c r="C31" s="4">
        <f>+'2025 Detail'!P31</f>
        <v>208503.70033333331</v>
      </c>
      <c r="D31" s="4">
        <f>+'2025 Detail'!Q31</f>
        <v>154768.56889705884</v>
      </c>
      <c r="E31" s="4">
        <f>+'2025 Detail'!R31</f>
        <v>155135.15542483662</v>
      </c>
      <c r="F31" s="38">
        <f>+'2025 Detail'!S31</f>
        <v>132689.15738095238</v>
      </c>
      <c r="G31" s="4"/>
      <c r="H31" s="38">
        <f>+'2026 Detail'!P31</f>
        <v>274680</v>
      </c>
      <c r="I31" s="38">
        <f>+'2026 Detail'!Q31</f>
        <v>123480</v>
      </c>
      <c r="J31" s="38">
        <f>+'2026 Detail'!R31</f>
        <v>123480</v>
      </c>
      <c r="K31" s="38">
        <f>+'2026 Detail'!S31</f>
        <v>123480</v>
      </c>
      <c r="L31" s="4"/>
      <c r="M31" s="4">
        <f t="shared" ref="M31:M32" si="19">SUM(C31:F31)</f>
        <v>651096.58203618112</v>
      </c>
      <c r="N31" s="4">
        <f t="shared" ref="N31:N32" si="20">SUM(H31:K31)</f>
        <v>645120</v>
      </c>
      <c r="P31" s="4">
        <f t="shared" ref="P31:P33" si="21">+M31-N31</f>
        <v>5976.5820361811202</v>
      </c>
      <c r="Q31" s="158">
        <f t="shared" ref="Q31:Q33" si="22">+P31/M31</f>
        <v>9.1792557372832352E-3</v>
      </c>
      <c r="S31" s="25">
        <f>+M31-'2025 Detail'!U31</f>
        <v>0</v>
      </c>
      <c r="T31" s="25">
        <f>+N31-'2026 Detail'!U31</f>
        <v>0</v>
      </c>
    </row>
    <row r="32" spans="2:20" x14ac:dyDescent="0.2">
      <c r="B32" s="7" t="s">
        <v>95</v>
      </c>
      <c r="C32" s="4">
        <f>+'2025 Detail'!P32</f>
        <v>68659.899999999994</v>
      </c>
      <c r="D32" s="4">
        <f>+'2025 Detail'!Q32</f>
        <v>78726.66</v>
      </c>
      <c r="E32" s="4">
        <f>+'2025 Detail'!R32</f>
        <v>80734.990000000005</v>
      </c>
      <c r="F32" s="38">
        <f>+'2025 Detail'!S32</f>
        <v>77246.66</v>
      </c>
      <c r="G32" s="4"/>
      <c r="H32" s="38">
        <f>+'2026 Detail'!P32</f>
        <v>78300</v>
      </c>
      <c r="I32" s="38">
        <f>+'2026 Detail'!Q32</f>
        <v>73800</v>
      </c>
      <c r="J32" s="38">
        <f>+'2026 Detail'!R32</f>
        <v>72300</v>
      </c>
      <c r="K32" s="38">
        <f>+'2026 Detail'!S32</f>
        <v>72300</v>
      </c>
      <c r="L32" s="4"/>
      <c r="M32" s="4">
        <f t="shared" si="19"/>
        <v>305368.20999999996</v>
      </c>
      <c r="N32" s="4">
        <f t="shared" si="20"/>
        <v>296700</v>
      </c>
      <c r="P32" s="4">
        <f t="shared" si="21"/>
        <v>8668.2099999999627</v>
      </c>
      <c r="Q32" s="158">
        <f t="shared" si="22"/>
        <v>2.8386091662913976E-2</v>
      </c>
      <c r="S32" s="25">
        <f>+M32-'2025 Detail'!U32</f>
        <v>0</v>
      </c>
      <c r="T32" s="25">
        <f>+N32-'2026 Detail'!U32</f>
        <v>0</v>
      </c>
    </row>
    <row r="33" spans="2:20" x14ac:dyDescent="0.2">
      <c r="B33" s="8" t="s">
        <v>96</v>
      </c>
      <c r="C33" s="34">
        <f>SUM(C31:C32)</f>
        <v>277163.60033333331</v>
      </c>
      <c r="D33" s="34">
        <f>SUM(D31:D32)</f>
        <v>233495.22889705884</v>
      </c>
      <c r="E33" s="34">
        <f>SUM(E31:E32)</f>
        <v>235870.14542483661</v>
      </c>
      <c r="F33" s="34">
        <f>SUM(F31:F32)</f>
        <v>209935.81738095239</v>
      </c>
      <c r="G33" s="34"/>
      <c r="H33" s="34">
        <f>SUM(H31:H32)</f>
        <v>352980</v>
      </c>
      <c r="I33" s="34">
        <f>SUM(I31:I32)</f>
        <v>197280</v>
      </c>
      <c r="J33" s="34">
        <f>SUM(J31:J32)</f>
        <v>195780</v>
      </c>
      <c r="K33" s="34">
        <f>SUM(K31:K32)</f>
        <v>195780</v>
      </c>
      <c r="L33" s="34"/>
      <c r="M33" s="34">
        <f>SUM(M31:M32)</f>
        <v>956464.79203618108</v>
      </c>
      <c r="N33" s="34">
        <f>SUM(N31:N32)</f>
        <v>941820</v>
      </c>
      <c r="P33" s="12">
        <f t="shared" si="21"/>
        <v>14644.792036181083</v>
      </c>
      <c r="Q33" s="159">
        <f t="shared" si="22"/>
        <v>1.5311375973395058E-2</v>
      </c>
      <c r="S33" s="25">
        <f>+M33-'2025 Detail'!U33</f>
        <v>0</v>
      </c>
      <c r="T33" s="25">
        <f>+N33-'2026 Detail'!U33</f>
        <v>0</v>
      </c>
    </row>
    <row r="34" spans="2:20" x14ac:dyDescent="0.2">
      <c r="B34" s="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P34" s="12"/>
      <c r="S34" s="25"/>
      <c r="T34" s="25"/>
    </row>
    <row r="35" spans="2:20" x14ac:dyDescent="0.2">
      <c r="B35" s="7" t="s">
        <v>34</v>
      </c>
      <c r="C35" s="4">
        <f>+'2025 Detail'!P35</f>
        <v>0</v>
      </c>
      <c r="D35" s="4">
        <f>+'2025 Detail'!Q35</f>
        <v>7091.26</v>
      </c>
      <c r="E35" s="4">
        <f>+'2025 Detail'!R35</f>
        <v>14182.52</v>
      </c>
      <c r="F35" s="38">
        <f>+'2025 Detail'!S35</f>
        <v>10641.26</v>
      </c>
      <c r="G35" s="4"/>
      <c r="H35" s="38">
        <f>+'2026 Detail'!P35</f>
        <v>10650</v>
      </c>
      <c r="I35" s="38">
        <f>+'2026 Detail'!Q35</f>
        <v>10650</v>
      </c>
      <c r="J35" s="38">
        <f>+'2026 Detail'!R35</f>
        <v>10650</v>
      </c>
      <c r="K35" s="38">
        <f>+'2026 Detail'!S35</f>
        <v>10650</v>
      </c>
      <c r="L35" s="4"/>
      <c r="M35" s="4">
        <f t="shared" ref="M35:M43" si="23">SUM(C35:F35)</f>
        <v>31915.040000000001</v>
      </c>
      <c r="N35" s="4">
        <f t="shared" ref="N35:N43" si="24">SUM(H35:K35)</f>
        <v>42600</v>
      </c>
      <c r="P35" s="4">
        <f t="shared" ref="P35:P44" si="25">+M35-N35</f>
        <v>-10684.96</v>
      </c>
      <c r="Q35" s="158">
        <f t="shared" ref="Q35:Q44" si="26">+P35/M35</f>
        <v>-0.33479387774541403</v>
      </c>
      <c r="S35" s="25">
        <f>+M35-'2025 Detail'!U35</f>
        <v>0</v>
      </c>
      <c r="T35" s="25">
        <f>+N35-'2026 Detail'!U35</f>
        <v>0</v>
      </c>
    </row>
    <row r="36" spans="2:20" x14ac:dyDescent="0.2">
      <c r="B36" s="7" t="s">
        <v>17</v>
      </c>
      <c r="C36" s="4">
        <f>+'2025 Detail'!P36</f>
        <v>20978.949999999997</v>
      </c>
      <c r="D36" s="4">
        <f>+'2025 Detail'!Q36</f>
        <v>59006.69</v>
      </c>
      <c r="E36" s="4">
        <f>+'2025 Detail'!R36</f>
        <v>124166.61</v>
      </c>
      <c r="F36" s="38">
        <f>+'2025 Detail'!S36</f>
        <v>48307.86</v>
      </c>
      <c r="G36" s="4"/>
      <c r="H36" s="38">
        <f>+'2026 Detail'!P36</f>
        <v>22027.897499999999</v>
      </c>
      <c r="I36" s="38">
        <f>+'2026 Detail'!Q36</f>
        <v>61957.024500000014</v>
      </c>
      <c r="J36" s="38">
        <f>+'2026 Detail'!R36</f>
        <v>130374.9405</v>
      </c>
      <c r="K36" s="38">
        <f>+'2026 Detail'!S36</f>
        <v>50723.252999999997</v>
      </c>
      <c r="L36" s="4"/>
      <c r="M36" s="4">
        <f t="shared" si="23"/>
        <v>252460.11</v>
      </c>
      <c r="N36" s="4">
        <f t="shared" si="24"/>
        <v>265083.11550000001</v>
      </c>
      <c r="P36" s="4">
        <f t="shared" si="25"/>
        <v>-12623.005500000028</v>
      </c>
      <c r="Q36" s="158">
        <f t="shared" si="26"/>
        <v>-5.0000000000000114E-2</v>
      </c>
      <c r="S36" s="25">
        <f>+M36-'2025 Detail'!U36</f>
        <v>0</v>
      </c>
      <c r="T36" s="25">
        <f>+N36-'2026 Detail'!U36</f>
        <v>0</v>
      </c>
    </row>
    <row r="37" spans="2:20" x14ac:dyDescent="0.2">
      <c r="B37" s="7" t="s">
        <v>28</v>
      </c>
      <c r="C37" s="4">
        <f>+'2025 Detail'!P37</f>
        <v>1627.55</v>
      </c>
      <c r="D37" s="4">
        <f>+'2025 Detail'!Q37</f>
        <v>2041.3600000000001</v>
      </c>
      <c r="E37" s="4">
        <f>+'2025 Detail'!R37</f>
        <v>3176.35</v>
      </c>
      <c r="F37" s="38">
        <f>+'2025 Detail'!S37</f>
        <v>5020.8599999999988</v>
      </c>
      <c r="G37" s="4"/>
      <c r="H37" s="38">
        <f>+'2026 Detail'!P37</f>
        <v>2250</v>
      </c>
      <c r="I37" s="38">
        <f>+'2026 Detail'!Q37</f>
        <v>2250</v>
      </c>
      <c r="J37" s="38">
        <f>+'2026 Detail'!R37</f>
        <v>2250</v>
      </c>
      <c r="K37" s="38">
        <f>+'2026 Detail'!S37</f>
        <v>2250</v>
      </c>
      <c r="L37" s="4"/>
      <c r="M37" s="4">
        <f t="shared" si="23"/>
        <v>11866.119999999999</v>
      </c>
      <c r="N37" s="4">
        <f t="shared" si="24"/>
        <v>9000</v>
      </c>
      <c r="P37" s="4">
        <f t="shared" si="25"/>
        <v>2866.119999999999</v>
      </c>
      <c r="Q37" s="158">
        <f t="shared" si="26"/>
        <v>0.2415380933278948</v>
      </c>
      <c r="S37" s="25">
        <f>+M37-'2025 Detail'!U37</f>
        <v>0</v>
      </c>
      <c r="T37" s="25">
        <f>+N37-'2026 Detail'!U37</f>
        <v>0</v>
      </c>
    </row>
    <row r="38" spans="2:20" x14ac:dyDescent="0.2">
      <c r="B38" s="7" t="s">
        <v>18</v>
      </c>
      <c r="C38" s="4">
        <f>+'2025 Detail'!P38</f>
        <v>11867.04</v>
      </c>
      <c r="D38" s="4">
        <f>+'2025 Detail'!Q38</f>
        <v>13571.929999999998</v>
      </c>
      <c r="E38" s="4">
        <f>+'2025 Detail'!R38</f>
        <v>10402.970000000001</v>
      </c>
      <c r="F38" s="38">
        <f>+'2025 Detail'!S38</f>
        <v>10101.040000000001</v>
      </c>
      <c r="G38" s="4"/>
      <c r="H38" s="38">
        <f>+'2026 Detail'!P38</f>
        <v>12223.0512</v>
      </c>
      <c r="I38" s="38">
        <f>+'2026 Detail'!Q38</f>
        <v>13979.0879</v>
      </c>
      <c r="J38" s="38">
        <f>+'2026 Detail'!R38</f>
        <v>10715.059100000002</v>
      </c>
      <c r="K38" s="38">
        <f>+'2026 Detail'!S38</f>
        <v>10404.071200000002</v>
      </c>
      <c r="L38" s="4"/>
      <c r="M38" s="4">
        <f t="shared" si="23"/>
        <v>45942.98</v>
      </c>
      <c r="N38" s="4">
        <f t="shared" si="24"/>
        <v>47321.269400000005</v>
      </c>
      <c r="P38" s="4">
        <f t="shared" si="25"/>
        <v>-1378.2894000000015</v>
      </c>
      <c r="Q38" s="158">
        <f t="shared" si="26"/>
        <v>-3.000000000000003E-2</v>
      </c>
      <c r="S38" s="25">
        <f>+M38-'2025 Detail'!U38</f>
        <v>0</v>
      </c>
      <c r="T38" s="25">
        <f>+N38-'2026 Detail'!U38</f>
        <v>0</v>
      </c>
    </row>
    <row r="39" spans="2:20" x14ac:dyDescent="0.2">
      <c r="B39" s="7" t="s">
        <v>29</v>
      </c>
      <c r="C39" s="4">
        <f>+'2025 Detail'!P39</f>
        <v>44883.5</v>
      </c>
      <c r="D39" s="4">
        <f>+'2025 Detail'!Q39</f>
        <v>61545.850000000006</v>
      </c>
      <c r="E39" s="4">
        <f>+'2025 Detail'!R39</f>
        <v>18957</v>
      </c>
      <c r="F39" s="38">
        <f>+'2025 Detail'!S39</f>
        <v>21626.7</v>
      </c>
      <c r="G39" s="4"/>
      <c r="H39" s="38">
        <f>+'2026 Detail'!P39</f>
        <v>37500</v>
      </c>
      <c r="I39" s="38">
        <f>+'2026 Detail'!Q39</f>
        <v>30000</v>
      </c>
      <c r="J39" s="38">
        <f>+'2026 Detail'!R39</f>
        <v>24000</v>
      </c>
      <c r="K39" s="38">
        <f>+'2026 Detail'!S39</f>
        <v>24000</v>
      </c>
      <c r="L39" s="4"/>
      <c r="M39" s="4">
        <f t="shared" si="23"/>
        <v>147013.05000000002</v>
      </c>
      <c r="N39" s="4">
        <f t="shared" si="24"/>
        <v>115500</v>
      </c>
      <c r="P39" s="4">
        <f t="shared" si="25"/>
        <v>31513.050000000017</v>
      </c>
      <c r="Q39" s="158">
        <f t="shared" si="26"/>
        <v>0.21435546028056701</v>
      </c>
      <c r="S39" s="25">
        <f>+M39-'2025 Detail'!U39</f>
        <v>0</v>
      </c>
      <c r="T39" s="25">
        <f>+N39-'2026 Detail'!U39</f>
        <v>0</v>
      </c>
    </row>
    <row r="40" spans="2:20" x14ac:dyDescent="0.2">
      <c r="B40" s="7" t="s">
        <v>32</v>
      </c>
      <c r="C40" s="4">
        <f>+'2025 Detail'!P40</f>
        <v>0</v>
      </c>
      <c r="D40" s="4">
        <f>+'2025 Detail'!Q40</f>
        <v>22770</v>
      </c>
      <c r="E40" s="4">
        <f>+'2025 Detail'!R40</f>
        <v>1100</v>
      </c>
      <c r="F40" s="38">
        <f>+'2025 Detail'!S40</f>
        <v>12500</v>
      </c>
      <c r="G40" s="4"/>
      <c r="H40" s="38">
        <f>+'2026 Detail'!P40</f>
        <v>6000</v>
      </c>
      <c r="I40" s="38">
        <f>+'2026 Detail'!Q40</f>
        <v>5000</v>
      </c>
      <c r="J40" s="38">
        <f>+'2026 Detail'!R40</f>
        <v>5000</v>
      </c>
      <c r="K40" s="38">
        <f>+'2026 Detail'!S40</f>
        <v>5000</v>
      </c>
      <c r="L40" s="4"/>
      <c r="M40" s="4">
        <f t="shared" si="23"/>
        <v>36370</v>
      </c>
      <c r="N40" s="4">
        <f t="shared" si="24"/>
        <v>21000</v>
      </c>
      <c r="P40" s="4">
        <f t="shared" si="25"/>
        <v>15370</v>
      </c>
      <c r="Q40" s="158">
        <f t="shared" si="26"/>
        <v>0.42260104481715699</v>
      </c>
      <c r="S40" s="25">
        <f>+M40-'2025 Detail'!U40</f>
        <v>0</v>
      </c>
      <c r="T40" s="25">
        <f>+N40-'2026 Detail'!U40</f>
        <v>0</v>
      </c>
    </row>
    <row r="41" spans="2:20" x14ac:dyDescent="0.2">
      <c r="B41" s="7" t="s">
        <v>31</v>
      </c>
      <c r="C41" s="4">
        <f>+'2025 Detail'!P41</f>
        <v>63750</v>
      </c>
      <c r="D41" s="4">
        <f>+'2025 Detail'!Q41</f>
        <v>25000</v>
      </c>
      <c r="E41" s="4">
        <f>+'2025 Detail'!R41</f>
        <v>0</v>
      </c>
      <c r="F41" s="38">
        <f>+'2025 Detail'!S41</f>
        <v>35000</v>
      </c>
      <c r="G41" s="4"/>
      <c r="H41" s="38">
        <f>+'2026 Detail'!P41</f>
        <v>15000</v>
      </c>
      <c r="I41" s="38">
        <f>+'2026 Detail'!Q41</f>
        <v>15000</v>
      </c>
      <c r="J41" s="38">
        <f>+'2026 Detail'!R41</f>
        <v>15000</v>
      </c>
      <c r="K41" s="38">
        <f>+'2026 Detail'!S41</f>
        <v>15000</v>
      </c>
      <c r="L41" s="4"/>
      <c r="M41" s="4">
        <f t="shared" si="23"/>
        <v>123750</v>
      </c>
      <c r="N41" s="4">
        <f t="shared" si="24"/>
        <v>60000</v>
      </c>
      <c r="P41" s="4">
        <f t="shared" si="25"/>
        <v>63750</v>
      </c>
      <c r="Q41" s="158">
        <f t="shared" si="26"/>
        <v>0.51515151515151514</v>
      </c>
      <c r="S41" s="25">
        <f>+M41-'2025 Detail'!U41</f>
        <v>0</v>
      </c>
      <c r="T41" s="25">
        <f>+N41-'2026 Detail'!U41</f>
        <v>0</v>
      </c>
    </row>
    <row r="42" spans="2:20" x14ac:dyDescent="0.2">
      <c r="B42" s="7" t="s">
        <v>62</v>
      </c>
      <c r="C42" s="4">
        <f>+'2025 Detail'!P42</f>
        <v>4036</v>
      </c>
      <c r="D42" s="4">
        <f>+'2025 Detail'!Q42</f>
        <v>-110.17000000000002</v>
      </c>
      <c r="E42" s="4">
        <f>+'2025 Detail'!R42</f>
        <v>80.92</v>
      </c>
      <c r="F42" s="38">
        <f>+'2025 Detail'!S42</f>
        <v>438.43</v>
      </c>
      <c r="G42" s="4"/>
      <c r="H42" s="38">
        <f>+'2026 Detail'!P42</f>
        <v>750</v>
      </c>
      <c r="I42" s="38">
        <f>+'2026 Detail'!Q42</f>
        <v>750</v>
      </c>
      <c r="J42" s="38">
        <f>+'2026 Detail'!R42</f>
        <v>750</v>
      </c>
      <c r="K42" s="38">
        <f>+'2026 Detail'!S42</f>
        <v>750</v>
      </c>
      <c r="L42" s="4"/>
      <c r="M42" s="4">
        <f t="shared" si="23"/>
        <v>4445.18</v>
      </c>
      <c r="N42" s="4">
        <f t="shared" si="24"/>
        <v>3000</v>
      </c>
      <c r="P42" s="4">
        <f t="shared" si="25"/>
        <v>1445.1800000000003</v>
      </c>
      <c r="Q42" s="158">
        <f t="shared" si="26"/>
        <v>0.32511169401464063</v>
      </c>
      <c r="S42" s="25">
        <f>+M42-'2025 Detail'!U42</f>
        <v>0</v>
      </c>
      <c r="T42" s="25">
        <f>+N42-'2026 Detail'!U42</f>
        <v>0</v>
      </c>
    </row>
    <row r="43" spans="2:20" x14ac:dyDescent="0.2">
      <c r="B43" s="7" t="s">
        <v>22</v>
      </c>
      <c r="C43" s="4">
        <f>+'2025 Detail'!P43</f>
        <v>27924.02</v>
      </c>
      <c r="D43" s="4">
        <f>+'2025 Detail'!Q43</f>
        <v>72052.590000000026</v>
      </c>
      <c r="E43" s="4">
        <f>+'2025 Detail'!R43</f>
        <v>62980.770000000004</v>
      </c>
      <c r="F43" s="38">
        <f>+'2025 Detail'!S43</f>
        <v>42706.5</v>
      </c>
      <c r="G43" s="4"/>
      <c r="H43" s="38">
        <f>+'2026 Detail'!P43</f>
        <v>45000</v>
      </c>
      <c r="I43" s="38">
        <f>+'2026 Detail'!Q43</f>
        <v>45000</v>
      </c>
      <c r="J43" s="38">
        <f>+'2026 Detail'!R43</f>
        <v>45000</v>
      </c>
      <c r="K43" s="38">
        <f>+'2026 Detail'!S43</f>
        <v>45000</v>
      </c>
      <c r="L43" s="4"/>
      <c r="M43" s="4">
        <f t="shared" si="23"/>
        <v>205663.88000000003</v>
      </c>
      <c r="N43" s="4">
        <f t="shared" si="24"/>
        <v>180000</v>
      </c>
      <c r="P43" s="4">
        <f t="shared" si="25"/>
        <v>25663.880000000034</v>
      </c>
      <c r="Q43" s="158">
        <f t="shared" si="26"/>
        <v>0.1247855481477838</v>
      </c>
      <c r="S43" s="25">
        <f>+M43-'2025 Detail'!U43</f>
        <v>0</v>
      </c>
      <c r="T43" s="25">
        <f>+N43-'2026 Detail'!U43</f>
        <v>0</v>
      </c>
    </row>
    <row r="44" spans="2:20" x14ac:dyDescent="0.2">
      <c r="B44" s="8" t="s">
        <v>97</v>
      </c>
      <c r="C44" s="34">
        <f>SUM(C35:C43)</f>
        <v>175067.05999999997</v>
      </c>
      <c r="D44" s="34">
        <f>SUM(D35:D43)</f>
        <v>262969.51</v>
      </c>
      <c r="E44" s="34">
        <f>SUM(E35:E43)</f>
        <v>235047.14</v>
      </c>
      <c r="F44" s="34">
        <f>SUM(F35:F43)</f>
        <v>186342.65</v>
      </c>
      <c r="G44" s="34"/>
      <c r="H44" s="34">
        <f>SUM(H35:H43)</f>
        <v>151400.94870000001</v>
      </c>
      <c r="I44" s="34">
        <f>SUM(I35:I43)</f>
        <v>184586.11240000001</v>
      </c>
      <c r="J44" s="34">
        <f>SUM(J35:J43)</f>
        <v>243739.99960000001</v>
      </c>
      <c r="K44" s="34">
        <f>SUM(K35:K43)</f>
        <v>163777.3242</v>
      </c>
      <c r="L44" s="34"/>
      <c r="M44" s="34">
        <f>SUM(M35:M43)</f>
        <v>859426.36</v>
      </c>
      <c r="N44" s="34">
        <f>SUM(N35:N43)</f>
        <v>743504.38489999995</v>
      </c>
      <c r="P44" s="12">
        <f t="shared" si="25"/>
        <v>115921.97510000004</v>
      </c>
      <c r="Q44" s="159">
        <f t="shared" si="26"/>
        <v>0.13488296437637781</v>
      </c>
      <c r="S44" s="25">
        <f>+M44-'2025 Detail'!U44</f>
        <v>0</v>
      </c>
      <c r="T44" s="25">
        <f>+N44-'2026 Detail'!U44</f>
        <v>0</v>
      </c>
    </row>
    <row r="45" spans="2:20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P45" s="4"/>
      <c r="S45" s="25"/>
      <c r="T45" s="25"/>
    </row>
    <row r="46" spans="2:20" x14ac:dyDescent="0.2">
      <c r="B46" s="8" t="s">
        <v>43</v>
      </c>
      <c r="C46" s="34">
        <f>+C21+C29+C33+C44</f>
        <v>1870253.32</v>
      </c>
      <c r="D46" s="34">
        <f>+D21+D29+D33+D44</f>
        <v>1800913.7</v>
      </c>
      <c r="E46" s="34">
        <f>+E21+E29+E33+E44</f>
        <v>1692622.2599999998</v>
      </c>
      <c r="F46" s="34">
        <f>+F21+F29+F33+F44</f>
        <v>1512024.13</v>
      </c>
      <c r="G46" s="34"/>
      <c r="H46" s="34">
        <f>+H21+H29+H33+H44</f>
        <v>1843731.53544</v>
      </c>
      <c r="I46" s="34">
        <f>+I21+I29+I33+I44</f>
        <v>1412517.0123999999</v>
      </c>
      <c r="J46" s="34">
        <f>+J21+J29+J33+J44</f>
        <v>1450670.8995999999</v>
      </c>
      <c r="K46" s="34">
        <f>+K21+K29+K33+K44</f>
        <v>1357208.2241999998</v>
      </c>
      <c r="L46" s="34"/>
      <c r="M46" s="34">
        <f>+M21+M29+M33+M44</f>
        <v>6875813.4100000011</v>
      </c>
      <c r="N46" s="34">
        <f>+N21+N29+N33+N44</f>
        <v>6064127.6716399994</v>
      </c>
      <c r="P46" s="12">
        <f t="shared" ref="P46" si="27">+M46-N46</f>
        <v>811685.73836000171</v>
      </c>
      <c r="Q46" s="159">
        <f t="shared" ref="Q46" si="28">+P46/M46</f>
        <v>0.11804941320535363</v>
      </c>
      <c r="S46" s="25">
        <f>+M46-'2025 Detail'!U46</f>
        <v>0</v>
      </c>
      <c r="T46" s="25">
        <f>+N46-'2026 Detail'!U46</f>
        <v>0</v>
      </c>
    </row>
    <row r="47" spans="2:20" x14ac:dyDescent="0.2">
      <c r="S47" s="25"/>
      <c r="T47" s="25"/>
    </row>
    <row r="48" spans="2:20" x14ac:dyDescent="0.2">
      <c r="B48" s="7" t="s">
        <v>33</v>
      </c>
      <c r="C48" s="4">
        <f>+'2025 Detail'!P48</f>
        <v>0</v>
      </c>
      <c r="D48" s="4">
        <f>+'2025 Detail'!Q48</f>
        <v>0</v>
      </c>
      <c r="E48" s="4">
        <f>+'2025 Detail'!R48</f>
        <v>0</v>
      </c>
      <c r="F48" s="38">
        <f>+'2025 Detail'!S48</f>
        <v>0</v>
      </c>
      <c r="G48" s="4"/>
      <c r="H48" s="38">
        <f>+'2026 Detail'!P48</f>
        <v>0</v>
      </c>
      <c r="I48" s="38">
        <f>+'2026 Detail'!Q48</f>
        <v>0</v>
      </c>
      <c r="J48" s="38">
        <f>+'2026 Detail'!R48</f>
        <v>0</v>
      </c>
      <c r="K48" s="38">
        <f>+'2026 Detail'!S48</f>
        <v>0</v>
      </c>
      <c r="L48" s="4"/>
      <c r="M48" s="4">
        <f t="shared" ref="M48:M54" si="29">SUM(C48:F48)</f>
        <v>0</v>
      </c>
      <c r="N48" s="4">
        <f t="shared" ref="N48:N54" si="30">SUM(H48:K48)</f>
        <v>0</v>
      </c>
      <c r="P48" s="4">
        <f t="shared" ref="P48:P54" si="31">+N48-M48</f>
        <v>0</v>
      </c>
      <c r="Q48" s="158">
        <f>IFERROR(+P48/ABS(M48),0)</f>
        <v>0</v>
      </c>
      <c r="S48" s="25">
        <f>+M48-'2025 Detail'!U48</f>
        <v>0</v>
      </c>
      <c r="T48" s="25">
        <f>+N48-'2026 Detail'!U48</f>
        <v>0</v>
      </c>
    </row>
    <row r="49" spans="2:20" x14ac:dyDescent="0.2">
      <c r="B49" s="7" t="s">
        <v>35</v>
      </c>
      <c r="C49" s="4">
        <f>+'2025 Detail'!P49</f>
        <v>0</v>
      </c>
      <c r="D49" s="4">
        <f>+'2025 Detail'!Q49</f>
        <v>0</v>
      </c>
      <c r="E49" s="4">
        <f>+'2025 Detail'!R49</f>
        <v>0</v>
      </c>
      <c r="F49" s="38">
        <f>+'2025 Detail'!S49</f>
        <v>0</v>
      </c>
      <c r="G49" s="4"/>
      <c r="H49" s="38">
        <f>+'2026 Detail'!P49</f>
        <v>0</v>
      </c>
      <c r="I49" s="38">
        <f>+'2026 Detail'!Q49</f>
        <v>0</v>
      </c>
      <c r="J49" s="38">
        <f>+'2026 Detail'!R49</f>
        <v>0</v>
      </c>
      <c r="K49" s="38">
        <f>+'2026 Detail'!S49</f>
        <v>0</v>
      </c>
      <c r="L49" s="4"/>
      <c r="M49" s="4">
        <f t="shared" si="29"/>
        <v>0</v>
      </c>
      <c r="N49" s="4">
        <f t="shared" si="30"/>
        <v>0</v>
      </c>
      <c r="P49" s="4">
        <f t="shared" si="31"/>
        <v>0</v>
      </c>
      <c r="Q49" s="158">
        <f t="shared" ref="Q49:Q54" si="32">IFERROR(+P49/ABS(M49),0)</f>
        <v>0</v>
      </c>
      <c r="S49" s="25">
        <f>+M49-'2025 Detail'!U49</f>
        <v>0</v>
      </c>
      <c r="T49" s="25">
        <f>+N49-'2026 Detail'!U49</f>
        <v>0</v>
      </c>
    </row>
    <row r="50" spans="2:20" x14ac:dyDescent="0.2">
      <c r="B50" s="7" t="s">
        <v>16</v>
      </c>
      <c r="C50" s="4">
        <f>+'2025 Detail'!P50</f>
        <v>-15247.079999999998</v>
      </c>
      <c r="D50" s="4">
        <f>+'2025 Detail'!Q50</f>
        <v>-7164.4599999999991</v>
      </c>
      <c r="E50" s="4">
        <f>+'2025 Detail'!R50</f>
        <v>-183.94</v>
      </c>
      <c r="F50" s="38">
        <f>+'2025 Detail'!S50</f>
        <v>0</v>
      </c>
      <c r="G50" s="4"/>
      <c r="H50" s="38">
        <f>+'2026 Detail'!P50</f>
        <v>0</v>
      </c>
      <c r="I50" s="38">
        <f>+'2026 Detail'!Q50</f>
        <v>0</v>
      </c>
      <c r="J50" s="38">
        <f>+'2026 Detail'!R50</f>
        <v>0</v>
      </c>
      <c r="K50" s="38">
        <f>+'2026 Detail'!S50</f>
        <v>0</v>
      </c>
      <c r="L50" s="4"/>
      <c r="M50" s="4">
        <f t="shared" si="29"/>
        <v>-22595.479999999996</v>
      </c>
      <c r="N50" s="4">
        <f t="shared" si="30"/>
        <v>0</v>
      </c>
      <c r="P50" s="4">
        <f t="shared" si="31"/>
        <v>22595.479999999996</v>
      </c>
      <c r="Q50" s="158">
        <f t="shared" si="32"/>
        <v>1</v>
      </c>
      <c r="S50" s="25">
        <f>+M50-'2025 Detail'!U50</f>
        <v>0</v>
      </c>
      <c r="T50" s="25">
        <f>+N50-'2026 Detail'!U50</f>
        <v>0</v>
      </c>
    </row>
    <row r="51" spans="2:20" x14ac:dyDescent="0.2">
      <c r="B51" s="7" t="s">
        <v>0</v>
      </c>
      <c r="C51" s="4">
        <f>+'2025 Detail'!P51</f>
        <v>-1010.7</v>
      </c>
      <c r="D51" s="4">
        <f>+'2025 Detail'!Q51</f>
        <v>-5131.26</v>
      </c>
      <c r="E51" s="4">
        <f>+'2025 Detail'!R51</f>
        <v>-1231.8500000000001</v>
      </c>
      <c r="F51" s="38">
        <f>+'2025 Detail'!S51</f>
        <v>0</v>
      </c>
      <c r="G51" s="4"/>
      <c r="H51" s="38">
        <f>+'2026 Detail'!P51</f>
        <v>0</v>
      </c>
      <c r="I51" s="38">
        <f>+'2026 Detail'!Q51</f>
        <v>0</v>
      </c>
      <c r="J51" s="38">
        <f>+'2026 Detail'!R51</f>
        <v>0</v>
      </c>
      <c r="K51" s="38">
        <f>+'2026 Detail'!S51</f>
        <v>0</v>
      </c>
      <c r="L51" s="4"/>
      <c r="M51" s="4">
        <f t="shared" si="29"/>
        <v>-7373.81</v>
      </c>
      <c r="N51" s="4">
        <f t="shared" si="30"/>
        <v>0</v>
      </c>
      <c r="P51" s="4">
        <f t="shared" si="31"/>
        <v>7373.81</v>
      </c>
      <c r="Q51" s="158">
        <f t="shared" si="32"/>
        <v>1</v>
      </c>
      <c r="S51" s="25">
        <f>+M51-'2025 Detail'!U51</f>
        <v>0</v>
      </c>
      <c r="T51" s="25">
        <f>+N51-'2026 Detail'!U51</f>
        <v>0</v>
      </c>
    </row>
    <row r="52" spans="2:20" x14ac:dyDescent="0.2">
      <c r="B52" s="7" t="s">
        <v>840</v>
      </c>
      <c r="C52" s="4">
        <f>+'2025 Detail'!P52</f>
        <v>0</v>
      </c>
      <c r="D52" s="4">
        <f>+'2025 Detail'!Q52</f>
        <v>0</v>
      </c>
      <c r="E52" s="4">
        <f>+'2025 Detail'!R52</f>
        <v>0</v>
      </c>
      <c r="F52" s="38">
        <f>+'2025 Detail'!S52</f>
        <v>0</v>
      </c>
      <c r="G52" s="4"/>
      <c r="H52" s="38">
        <f>+'2026 Detail'!P52</f>
        <v>0</v>
      </c>
      <c r="I52" s="38">
        <f>+'2026 Detail'!Q52</f>
        <v>0</v>
      </c>
      <c r="J52" s="38">
        <f>+'2026 Detail'!R52</f>
        <v>0</v>
      </c>
      <c r="K52" s="38">
        <f>+'2026 Detail'!S52</f>
        <v>0</v>
      </c>
      <c r="L52" s="4"/>
      <c r="M52" s="4">
        <f t="shared" si="29"/>
        <v>0</v>
      </c>
      <c r="N52" s="4">
        <f t="shared" si="30"/>
        <v>0</v>
      </c>
      <c r="P52" s="4">
        <f t="shared" si="31"/>
        <v>0</v>
      </c>
      <c r="Q52" s="158">
        <f t="shared" si="32"/>
        <v>0</v>
      </c>
      <c r="S52" s="25">
        <f>+M52-'2025 Detail'!U52</f>
        <v>0</v>
      </c>
      <c r="T52" s="25">
        <f>+N52-'2026 Detail'!U52</f>
        <v>0</v>
      </c>
    </row>
    <row r="53" spans="2:20" x14ac:dyDescent="0.2">
      <c r="B53" s="7" t="s">
        <v>26</v>
      </c>
      <c r="C53" s="4">
        <f>+'2025 Detail'!P53</f>
        <v>-1151.07</v>
      </c>
      <c r="D53" s="4">
        <f>+'2025 Detail'!Q53</f>
        <v>-1367.77</v>
      </c>
      <c r="E53" s="4">
        <f>+'2025 Detail'!R53</f>
        <v>-1045.49</v>
      </c>
      <c r="F53" s="38">
        <f>+'2025 Detail'!S53</f>
        <v>-1052.45</v>
      </c>
      <c r="G53" s="4"/>
      <c r="H53" s="38">
        <f>+'2026 Detail'!P53</f>
        <v>-1200</v>
      </c>
      <c r="I53" s="38">
        <f>+'2026 Detail'!Q53</f>
        <v>-1200</v>
      </c>
      <c r="J53" s="38">
        <f>+'2026 Detail'!R53</f>
        <v>-1200</v>
      </c>
      <c r="K53" s="38">
        <f>+'2026 Detail'!S53</f>
        <v>-1200</v>
      </c>
      <c r="L53" s="4"/>
      <c r="M53" s="4">
        <f t="shared" si="29"/>
        <v>-4616.78</v>
      </c>
      <c r="N53" s="4">
        <f t="shared" si="30"/>
        <v>-4800</v>
      </c>
      <c r="P53" s="4">
        <f t="shared" si="31"/>
        <v>-183.22000000000025</v>
      </c>
      <c r="Q53" s="158">
        <f t="shared" si="32"/>
        <v>-3.9685668366263992E-2</v>
      </c>
      <c r="S53" s="25">
        <f>+M53-'2025 Detail'!U53</f>
        <v>0</v>
      </c>
      <c r="T53" s="25">
        <f>+N53-'2026 Detail'!U53</f>
        <v>0</v>
      </c>
    </row>
    <row r="54" spans="2:20" x14ac:dyDescent="0.2">
      <c r="B54" s="7" t="s">
        <v>48</v>
      </c>
      <c r="C54" s="4">
        <f>+'2025 Detail'!P54</f>
        <v>24245.22</v>
      </c>
      <c r="D54" s="4">
        <f>+'2025 Detail'!Q54</f>
        <v>16004.6</v>
      </c>
      <c r="E54" s="4">
        <f>+'2025 Detail'!R54</f>
        <v>6388.96</v>
      </c>
      <c r="F54" s="38">
        <f>+'2025 Detail'!S54</f>
        <v>1225.6100000000001</v>
      </c>
      <c r="G54" s="4"/>
      <c r="H54" s="38">
        <f>+'2026 Detail'!P54</f>
        <v>1000</v>
      </c>
      <c r="I54" s="38">
        <f>+'2026 Detail'!Q54</f>
        <v>700</v>
      </c>
      <c r="J54" s="38">
        <f>+'2026 Detail'!R54</f>
        <v>600</v>
      </c>
      <c r="K54" s="38">
        <f>+'2026 Detail'!S54</f>
        <v>900</v>
      </c>
      <c r="L54" s="4"/>
      <c r="M54" s="4">
        <f t="shared" si="29"/>
        <v>47864.39</v>
      </c>
      <c r="N54" s="4">
        <f t="shared" si="30"/>
        <v>3200</v>
      </c>
      <c r="P54" s="4">
        <f t="shared" si="31"/>
        <v>-44664.39</v>
      </c>
      <c r="Q54" s="158">
        <f t="shared" si="32"/>
        <v>-0.93314445248335975</v>
      </c>
      <c r="S54" s="25">
        <f>+M54-'2025 Detail'!U54</f>
        <v>0</v>
      </c>
      <c r="T54" s="25">
        <f>+N54-'2026 Detail'!U54</f>
        <v>0</v>
      </c>
    </row>
    <row r="55" spans="2:20" x14ac:dyDescent="0.2">
      <c r="S55" s="25"/>
      <c r="T55" s="25"/>
    </row>
    <row r="56" spans="2:20" x14ac:dyDescent="0.2">
      <c r="B56" s="1" t="s">
        <v>44</v>
      </c>
      <c r="C56" s="5">
        <f>+'2025 Detail'!C56</f>
        <v>3334341.02</v>
      </c>
      <c r="D56" s="5">
        <f>+C61</f>
        <v>3325973</v>
      </c>
      <c r="E56" s="5">
        <f>+D61</f>
        <v>2023283</v>
      </c>
      <c r="F56" s="5">
        <f>+E61</f>
        <v>954186</v>
      </c>
      <c r="G56" s="5"/>
      <c r="H56" s="5">
        <f>+F61</f>
        <v>964111</v>
      </c>
      <c r="I56" s="5">
        <f>+H61</f>
        <v>393009</v>
      </c>
      <c r="J56" s="5">
        <f>+I61</f>
        <v>404865</v>
      </c>
      <c r="K56" s="5">
        <f>+J61</f>
        <v>470302</v>
      </c>
      <c r="L56" s="5"/>
      <c r="M56" s="5">
        <f>+C56</f>
        <v>3334341.02</v>
      </c>
      <c r="N56" s="5">
        <f>+M61</f>
        <v>964111</v>
      </c>
      <c r="P56" s="4"/>
      <c r="S56" s="25"/>
      <c r="T56" s="25"/>
    </row>
    <row r="57" spans="2:20" x14ac:dyDescent="0.2">
      <c r="S57" s="25"/>
      <c r="T57" s="25"/>
    </row>
    <row r="58" spans="2:20" x14ac:dyDescent="0.2">
      <c r="B58" s="7" t="s">
        <v>45</v>
      </c>
      <c r="C58" s="5">
        <f>C15-C46+SUM(C48:C54)</f>
        <v>-958366.51000000013</v>
      </c>
      <c r="D58" s="5">
        <f t="shared" ref="D58:N58" si="33">D15-D46+SUM(D48:D54)</f>
        <v>-1277690.0899999999</v>
      </c>
      <c r="E58" s="5">
        <f t="shared" si="33"/>
        <v>-1069097.4799999997</v>
      </c>
      <c r="F58" s="38">
        <f t="shared" si="33"/>
        <v>34924.930000000022</v>
      </c>
      <c r="G58" s="4"/>
      <c r="H58" s="38">
        <f t="shared" si="33"/>
        <v>-571101.73543999996</v>
      </c>
      <c r="I58" s="38">
        <f t="shared" si="33"/>
        <v>11855.787600000156</v>
      </c>
      <c r="J58" s="38">
        <f t="shared" si="33"/>
        <v>65436.700400000205</v>
      </c>
      <c r="K58" s="38">
        <f t="shared" si="33"/>
        <v>539491.77580000018</v>
      </c>
      <c r="L58" s="4"/>
      <c r="M58" s="5">
        <f t="shared" si="33"/>
        <v>-3270229.1500000013</v>
      </c>
      <c r="N58" s="5">
        <f t="shared" si="33"/>
        <v>45682.528360000812</v>
      </c>
      <c r="P58" s="4">
        <f t="shared" ref="P58:P59" si="34">+N58-M58</f>
        <v>3315911.6783600021</v>
      </c>
      <c r="Q58" s="158">
        <f t="shared" ref="Q58:Q59" si="35">IFERROR(+P58/ABS(M58),0)</f>
        <v>1.0139692132461118</v>
      </c>
      <c r="S58" s="25">
        <f>+M58-'2025 Detail'!U58</f>
        <v>0</v>
      </c>
      <c r="T58" s="25">
        <f>+N58-'2026 Detail'!U58</f>
        <v>1.0477378964424133E-9</v>
      </c>
    </row>
    <row r="59" spans="2:20" x14ac:dyDescent="0.2">
      <c r="B59" s="7" t="s">
        <v>50</v>
      </c>
      <c r="C59" s="4">
        <f>+'2025 Detail'!P59</f>
        <v>949998.85999999987</v>
      </c>
      <c r="D59" s="4">
        <f>+'2025 Detail'!Q59</f>
        <v>-25000</v>
      </c>
      <c r="E59" s="4">
        <f>+'2025 Detail'!R59</f>
        <v>0</v>
      </c>
      <c r="F59" s="38">
        <f>+'2025 Detail'!S59</f>
        <v>-25000</v>
      </c>
      <c r="G59" s="4"/>
      <c r="H59" s="38">
        <f>+'2026 Detail'!P59</f>
        <v>0</v>
      </c>
      <c r="I59" s="38">
        <f>+'2026 Detail'!Q59</f>
        <v>0</v>
      </c>
      <c r="J59" s="38">
        <f>+'2026 Detail'!R59</f>
        <v>0</v>
      </c>
      <c r="K59" s="38">
        <f>+'2026 Detail'!S59</f>
        <v>0</v>
      </c>
      <c r="L59" s="4"/>
      <c r="M59" s="4">
        <f t="shared" ref="M59" si="36">SUM(C59:F59)</f>
        <v>899998.85999999987</v>
      </c>
      <c r="N59" s="4">
        <f t="shared" ref="N59" si="37">SUM(H59:K59)</f>
        <v>0</v>
      </c>
      <c r="P59" s="4">
        <f t="shared" si="34"/>
        <v>-899998.85999999987</v>
      </c>
      <c r="Q59" s="158">
        <f t="shared" si="35"/>
        <v>-1</v>
      </c>
      <c r="S59" s="25">
        <f>+M59-'2025 Detail'!U59</f>
        <v>0</v>
      </c>
      <c r="T59" s="25">
        <f>+N59-'2026 Detail'!U59</f>
        <v>0</v>
      </c>
    </row>
    <row r="60" spans="2:20" x14ac:dyDescent="0.2">
      <c r="B60" s="7"/>
      <c r="S60" s="3"/>
      <c r="T60" s="3"/>
    </row>
    <row r="61" spans="2:20" x14ac:dyDescent="0.2">
      <c r="B61" s="8" t="s">
        <v>46</v>
      </c>
      <c r="C61" s="34">
        <f>ROUND(+C56+C58+C59,0)</f>
        <v>3325973</v>
      </c>
      <c r="D61" s="34">
        <f t="shared" ref="D61:F61" si="38">ROUND(+D56+D58+D59,0)</f>
        <v>2023283</v>
      </c>
      <c r="E61" s="34">
        <f t="shared" si="38"/>
        <v>954186</v>
      </c>
      <c r="F61" s="34">
        <f t="shared" si="38"/>
        <v>964111</v>
      </c>
      <c r="G61" s="34"/>
      <c r="H61" s="34">
        <f>ROUND(+H56+H58+H59,0)</f>
        <v>393009</v>
      </c>
      <c r="I61" s="34">
        <f t="shared" ref="I61:K61" si="39">ROUND(+I56+I58+I59,0)</f>
        <v>404865</v>
      </c>
      <c r="J61" s="34">
        <f t="shared" si="39"/>
        <v>470302</v>
      </c>
      <c r="K61" s="34">
        <f t="shared" si="39"/>
        <v>1009794</v>
      </c>
      <c r="L61" s="34"/>
      <c r="M61" s="34">
        <f>ROUND(+M56+M58+M59,0)</f>
        <v>964111</v>
      </c>
      <c r="N61" s="34">
        <f>ROUND(+N56+N58+N59,0)</f>
        <v>1009794</v>
      </c>
      <c r="P61" s="34"/>
      <c r="Q61" s="5"/>
      <c r="S61" s="3"/>
      <c r="T61" s="3"/>
    </row>
    <row r="63" spans="2:20" x14ac:dyDescent="0.2">
      <c r="B63" s="1" t="s">
        <v>192</v>
      </c>
      <c r="C63" s="4">
        <f>+C15</f>
        <v>905050.44</v>
      </c>
      <c r="D63" s="4">
        <f>+D15</f>
        <v>520882.5</v>
      </c>
      <c r="E63" s="4">
        <f>+E15</f>
        <v>619597.1</v>
      </c>
      <c r="F63" s="4">
        <f>+F15</f>
        <v>1546775.9</v>
      </c>
      <c r="G63" s="4"/>
      <c r="H63" s="4">
        <f>+H15</f>
        <v>1272829.8</v>
      </c>
      <c r="I63" s="4">
        <f>+I15</f>
        <v>1424872.8</v>
      </c>
      <c r="J63" s="4">
        <f>+J15</f>
        <v>1516707.6</v>
      </c>
      <c r="K63" s="4">
        <f>+K15</f>
        <v>1897000</v>
      </c>
      <c r="M63" s="4">
        <f>+M15</f>
        <v>3592305.94</v>
      </c>
      <c r="N63" s="4">
        <f>+N15</f>
        <v>6111410.2000000002</v>
      </c>
      <c r="P63" s="4"/>
    </row>
    <row r="64" spans="2:20" x14ac:dyDescent="0.2">
      <c r="B64" s="1" t="s">
        <v>193</v>
      </c>
      <c r="C64" s="4">
        <f>SUM(C17:C18,C23:C24)</f>
        <v>834144.13150000002</v>
      </c>
      <c r="D64" s="4">
        <f>SUM(D17:D18,D23:D24)</f>
        <v>576858.66113970592</v>
      </c>
      <c r="E64" s="4">
        <f>SUM(E17:E18,E23:E24)</f>
        <v>562447.14398692804</v>
      </c>
      <c r="F64" s="4">
        <f>SUM(F17:F18,F23:F24)</f>
        <v>584581.1283333333</v>
      </c>
      <c r="G64" s="4"/>
      <c r="H64" s="4">
        <f>SUM(H17:H18,H23:H24)</f>
        <v>761984.84911199997</v>
      </c>
      <c r="I64" s="4">
        <f>SUM(I17:I18,I23:I24)</f>
        <v>575315.4</v>
      </c>
      <c r="J64" s="4">
        <f>SUM(J17:J18,J23:J24)</f>
        <v>555815.4</v>
      </c>
      <c r="K64" s="4">
        <f>SUM(K17:K18,K23:K24)</f>
        <v>542315.4</v>
      </c>
      <c r="M64" s="4">
        <f>SUM(M17:M18,M23:M24)</f>
        <v>2558031.0649599675</v>
      </c>
      <c r="N64" s="4">
        <f>SUM(N17:N18,N23:N24)</f>
        <v>2435431.049112</v>
      </c>
      <c r="P64" s="4"/>
    </row>
    <row r="65" spans="2:16" x14ac:dyDescent="0.2">
      <c r="B65" s="1" t="s">
        <v>194</v>
      </c>
      <c r="C65" s="4">
        <f t="shared" ref="C65:M65" si="40">+C63-C64</f>
        <v>70906.308499999926</v>
      </c>
      <c r="D65" s="4">
        <f t="shared" si="40"/>
        <v>-55976.161139705917</v>
      </c>
      <c r="E65" s="4">
        <f t="shared" si="40"/>
        <v>57149.956013071933</v>
      </c>
      <c r="F65" s="4">
        <f t="shared" si="40"/>
        <v>962194.77166666661</v>
      </c>
      <c r="G65" s="4"/>
      <c r="H65" s="4">
        <f t="shared" ref="H65:K65" si="41">+H63-H64</f>
        <v>510844.95088800008</v>
      </c>
      <c r="I65" s="4">
        <f t="shared" si="41"/>
        <v>849557.4</v>
      </c>
      <c r="J65" s="4">
        <f t="shared" si="41"/>
        <v>960892.20000000007</v>
      </c>
      <c r="K65" s="4">
        <f t="shared" si="41"/>
        <v>1354684.6</v>
      </c>
      <c r="M65" s="4">
        <f t="shared" si="40"/>
        <v>1034274.8750400324</v>
      </c>
      <c r="N65" s="4">
        <f t="shared" ref="N65" si="42">+N63-N64</f>
        <v>3675979.1508880001</v>
      </c>
      <c r="P65" s="4"/>
    </row>
    <row r="66" spans="2:16" x14ac:dyDescent="0.2">
      <c r="B66" s="1" t="s">
        <v>195</v>
      </c>
      <c r="C66" s="40">
        <f t="shared" ref="C66:M66" si="43">+C65/C63</f>
        <v>7.8345145603155475E-2</v>
      </c>
      <c r="D66" s="40">
        <f t="shared" si="43"/>
        <v>-0.10746408477863226</v>
      </c>
      <c r="E66" s="40">
        <f t="shared" si="43"/>
        <v>9.2237287768248008E-2</v>
      </c>
      <c r="F66" s="40">
        <f t="shared" si="43"/>
        <v>0.62206475525424643</v>
      </c>
      <c r="G66" s="40"/>
      <c r="H66" s="40">
        <f t="shared" ref="H66:K66" si="44">+H65/H63</f>
        <v>0.40134584442318999</v>
      </c>
      <c r="I66" s="40">
        <f t="shared" si="44"/>
        <v>0.59623385329553624</v>
      </c>
      <c r="J66" s="40">
        <f t="shared" si="44"/>
        <v>0.63353819813390533</v>
      </c>
      <c r="K66" s="40">
        <f t="shared" si="44"/>
        <v>0.71411945176594627</v>
      </c>
      <c r="M66" s="40">
        <f t="shared" si="43"/>
        <v>0.2879139172205451</v>
      </c>
      <c r="N66" s="40">
        <f t="shared" ref="N66" si="45">+N65/N63</f>
        <v>0.60149442282372079</v>
      </c>
      <c r="P66" s="40"/>
    </row>
    <row r="69" spans="2:16" x14ac:dyDescent="0.2">
      <c r="B69" s="7" t="s">
        <v>300</v>
      </c>
    </row>
    <row r="70" spans="2:16" x14ac:dyDescent="0.2">
      <c r="B70" s="7" t="s">
        <v>440</v>
      </c>
    </row>
    <row r="71" spans="2:16" x14ac:dyDescent="0.2">
      <c r="B71" s="7" t="s">
        <v>1048</v>
      </c>
    </row>
    <row r="73" spans="2:16" x14ac:dyDescent="0.2">
      <c r="B73" s="1" t="s">
        <v>13</v>
      </c>
    </row>
  </sheetData>
  <pageMargins left="0.25" right="0.25" top="0.75" bottom="0.75" header="0.3" footer="0.3"/>
  <pageSetup scale="5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D27F-290A-4AFA-AC04-56B63CE7CE7D}">
  <sheetPr>
    <pageSetUpPr fitToPage="1"/>
  </sheetPr>
  <dimension ref="B2:Z74"/>
  <sheetViews>
    <sheetView workbookViewId="0">
      <pane xSplit="2" ySplit="3" topLeftCell="C31" activePane="bottomRight" state="frozen"/>
      <selection activeCell="D1" sqref="D1"/>
      <selection pane="topRight" activeCell="E1" sqref="E1"/>
      <selection pane="bottomLeft" activeCell="D4" sqref="D4"/>
      <selection pane="bottomRight" activeCell="S74" sqref="S74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14" width="10.6640625" style="1" customWidth="1"/>
    <col min="15" max="15" width="2.6640625" style="1" customWidth="1"/>
    <col min="16" max="19" width="10.6640625" style="1" customWidth="1"/>
    <col min="20" max="20" width="2.6640625" style="1" customWidth="1"/>
    <col min="21" max="21" width="10.6640625" style="1" customWidth="1"/>
    <col min="22" max="22" width="2.6640625" style="1" customWidth="1"/>
    <col min="23" max="23" width="6.6640625" style="1" customWidth="1"/>
    <col min="24" max="24" width="9.1640625" style="1"/>
    <col min="25" max="25" width="18.1640625" style="1" customWidth="1"/>
    <col min="26" max="16384" width="9.1640625" style="1"/>
  </cols>
  <sheetData>
    <row r="2" spans="2:26" x14ac:dyDescent="0.2">
      <c r="B2" s="8" t="s">
        <v>47</v>
      </c>
      <c r="C2" s="9">
        <v>45658</v>
      </c>
      <c r="D2" s="9">
        <f>EDATE(C2,1)</f>
        <v>45689</v>
      </c>
      <c r="E2" s="9">
        <f t="shared" ref="E2:N2" si="0">EDATE(D2,1)</f>
        <v>45717</v>
      </c>
      <c r="F2" s="9">
        <f t="shared" si="0"/>
        <v>45748</v>
      </c>
      <c r="G2" s="9">
        <f t="shared" si="0"/>
        <v>45778</v>
      </c>
      <c r="H2" s="9">
        <f t="shared" si="0"/>
        <v>45809</v>
      </c>
      <c r="I2" s="9">
        <f t="shared" si="0"/>
        <v>45839</v>
      </c>
      <c r="J2" s="9">
        <f t="shared" si="0"/>
        <v>45870</v>
      </c>
      <c r="K2" s="9">
        <f t="shared" si="0"/>
        <v>45901</v>
      </c>
      <c r="L2" s="9">
        <f t="shared" si="0"/>
        <v>45931</v>
      </c>
      <c r="M2" s="9">
        <f t="shared" si="0"/>
        <v>45962</v>
      </c>
      <c r="N2" s="9">
        <f t="shared" si="0"/>
        <v>45992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2025</v>
      </c>
      <c r="W2" s="3" t="s">
        <v>13</v>
      </c>
    </row>
    <row r="3" spans="2:26" x14ac:dyDescent="0.2">
      <c r="B3" s="24" t="str">
        <f>+Version!$C$3</f>
        <v>Y2025 12 v001</v>
      </c>
      <c r="W3" s="3"/>
    </row>
    <row r="4" spans="2:26" x14ac:dyDescent="0.2">
      <c r="B4" s="24"/>
      <c r="W4" s="3"/>
    </row>
    <row r="5" spans="2:26" x14ac:dyDescent="0.2">
      <c r="B5" s="7" t="s">
        <v>138</v>
      </c>
      <c r="C5" s="4">
        <f>+'2025 Detail'!C8</f>
        <v>276138.86</v>
      </c>
      <c r="D5" s="4">
        <f>+'2025 Detail'!D8</f>
        <v>303659.09999999998</v>
      </c>
      <c r="E5" s="4">
        <f>+'2025 Detail'!E8</f>
        <v>148959.5</v>
      </c>
      <c r="F5" s="4">
        <f>+'2025 Detail'!F8</f>
        <v>175655.2</v>
      </c>
      <c r="G5" s="4">
        <f>+'2025 Detail'!G8</f>
        <v>192782.4</v>
      </c>
      <c r="H5" s="4">
        <f>+'2025 Detail'!H8</f>
        <v>75752.899999999994</v>
      </c>
      <c r="I5" s="4">
        <f>+'2025 Detail'!I8</f>
        <v>256181</v>
      </c>
      <c r="J5" s="4">
        <f>+'2025 Detail'!J8</f>
        <v>104161</v>
      </c>
      <c r="K5" s="4">
        <f>+'2025 Detail'!K8</f>
        <v>86977.5</v>
      </c>
      <c r="L5" s="4">
        <f>+'2025 Detail'!L8</f>
        <v>188278</v>
      </c>
      <c r="M5" s="4">
        <f>+'2025 Detail'!M8</f>
        <v>243482.5</v>
      </c>
      <c r="N5" s="38">
        <f>+'2025 Detail'!N8</f>
        <v>335155</v>
      </c>
      <c r="O5" s="4"/>
      <c r="P5" s="4">
        <f>SUM(C5:E5)</f>
        <v>728757.46</v>
      </c>
      <c r="Q5" s="4">
        <f>SUM(F5:H5)</f>
        <v>444190.5</v>
      </c>
      <c r="R5" s="4">
        <f>SUM(I5:K5)</f>
        <v>447319.5</v>
      </c>
      <c r="S5" s="4">
        <f>SUM(L5:N5)</f>
        <v>766915.5</v>
      </c>
      <c r="T5" s="4"/>
      <c r="U5" s="4">
        <f>SUM(C5:N5)</f>
        <v>2387182.96</v>
      </c>
      <c r="W5" s="25">
        <f>ROUND(SUM(P5:S5)-U5,2)</f>
        <v>0</v>
      </c>
    </row>
    <row r="6" spans="2:26" x14ac:dyDescent="0.2">
      <c r="B6" s="7" t="s">
        <v>139</v>
      </c>
      <c r="C6" s="4">
        <f>+'2025 Detail'!C13</f>
        <v>0</v>
      </c>
      <c r="D6" s="4">
        <f>+'2025 Detail'!D13</f>
        <v>50000</v>
      </c>
      <c r="E6" s="4">
        <f>+'2025 Detail'!E13</f>
        <v>126292.98</v>
      </c>
      <c r="F6" s="4">
        <f>+'2025 Detail'!F13</f>
        <v>36377.5</v>
      </c>
      <c r="G6" s="4">
        <f>+'2025 Detail'!G13</f>
        <v>0</v>
      </c>
      <c r="H6" s="4">
        <f>+'2025 Detail'!H13</f>
        <v>40314.5</v>
      </c>
      <c r="I6" s="4">
        <f>+'2025 Detail'!I13</f>
        <v>69000</v>
      </c>
      <c r="J6" s="4">
        <f>+'2025 Detail'!J13</f>
        <v>81277.600000000006</v>
      </c>
      <c r="K6" s="4">
        <f>+'2025 Detail'!K13</f>
        <v>22000</v>
      </c>
      <c r="L6" s="4">
        <f>+'2025 Detail'!L13</f>
        <v>86055.2</v>
      </c>
      <c r="M6" s="4">
        <f>+'2025 Detail'!M13</f>
        <v>181027.6</v>
      </c>
      <c r="N6" s="38">
        <f>+'2025 Detail'!N13</f>
        <v>512777.6</v>
      </c>
      <c r="O6" s="4"/>
      <c r="P6" s="4">
        <f>SUM(C6:E6)</f>
        <v>176292.97999999998</v>
      </c>
      <c r="Q6" s="4">
        <f>SUM(F6:H6)</f>
        <v>76692</v>
      </c>
      <c r="R6" s="4">
        <f>SUM(I6:K6)</f>
        <v>172277.6</v>
      </c>
      <c r="S6" s="4">
        <f>SUM(L6:N6)</f>
        <v>779860.39999999991</v>
      </c>
      <c r="T6" s="4"/>
      <c r="U6" s="4">
        <f>SUM(C6:N6)</f>
        <v>1205122.98</v>
      </c>
      <c r="W6" s="25">
        <f>ROUND(SUM(P6:S6)-U6,2)</f>
        <v>0</v>
      </c>
    </row>
    <row r="7" spans="2:26" ht="6" customHeight="1" x14ac:dyDescent="0.2">
      <c r="B7" s="24"/>
      <c r="W7" s="3"/>
    </row>
    <row r="8" spans="2:26" x14ac:dyDescent="0.2">
      <c r="B8" s="8" t="s">
        <v>42</v>
      </c>
      <c r="C8" s="34">
        <f>SUM(C5:C6)</f>
        <v>276138.86</v>
      </c>
      <c r="D8" s="34">
        <f t="shared" ref="D8:U8" si="1">SUM(D5:D6)</f>
        <v>353659.1</v>
      </c>
      <c r="E8" s="34">
        <f t="shared" si="1"/>
        <v>275252.47999999998</v>
      </c>
      <c r="F8" s="34">
        <f t="shared" si="1"/>
        <v>212032.7</v>
      </c>
      <c r="G8" s="34">
        <f t="shared" si="1"/>
        <v>192782.4</v>
      </c>
      <c r="H8" s="34">
        <f t="shared" si="1"/>
        <v>116067.4</v>
      </c>
      <c r="I8" s="34">
        <f t="shared" si="1"/>
        <v>325181</v>
      </c>
      <c r="J8" s="34">
        <f t="shared" si="1"/>
        <v>185438.6</v>
      </c>
      <c r="K8" s="34">
        <f t="shared" si="1"/>
        <v>108977.5</v>
      </c>
      <c r="L8" s="34">
        <f t="shared" si="1"/>
        <v>274333.2</v>
      </c>
      <c r="M8" s="34">
        <f t="shared" si="1"/>
        <v>424510.1</v>
      </c>
      <c r="N8" s="34">
        <f t="shared" si="1"/>
        <v>847932.6</v>
      </c>
      <c r="O8" s="34"/>
      <c r="P8" s="34">
        <f t="shared" si="1"/>
        <v>905050.44</v>
      </c>
      <c r="Q8" s="34">
        <f t="shared" si="1"/>
        <v>520882.5</v>
      </c>
      <c r="R8" s="34">
        <f t="shared" si="1"/>
        <v>619597.1</v>
      </c>
      <c r="S8" s="34">
        <f t="shared" si="1"/>
        <v>1546775.9</v>
      </c>
      <c r="T8" s="34"/>
      <c r="U8" s="34">
        <f t="shared" si="1"/>
        <v>3592305.94</v>
      </c>
      <c r="W8" s="25">
        <f>ROUND(SUM(P8:S8)-U8,2)</f>
        <v>0</v>
      </c>
      <c r="Z8" s="4"/>
    </row>
    <row r="9" spans="2:26" x14ac:dyDescent="0.2">
      <c r="B9" s="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25"/>
      <c r="Z9" s="4"/>
    </row>
    <row r="10" spans="2:26" x14ac:dyDescent="0.2">
      <c r="B10" s="7" t="s">
        <v>82</v>
      </c>
      <c r="C10" s="4">
        <f>+'2025 Detail'!C17+'2025 Detail'!C18</f>
        <v>237094.68600000002</v>
      </c>
      <c r="D10" s="4">
        <f>+'2025 Detail'!D17+'2025 Detail'!D18</f>
        <v>373512.68800000002</v>
      </c>
      <c r="E10" s="4">
        <f>+'2025 Detail'!E17+'2025 Detail'!E18</f>
        <v>221376.75750000001</v>
      </c>
      <c r="F10" s="4">
        <f>+'2025 Detail'!F17+'2025 Detail'!F18</f>
        <v>184839.7805882353</v>
      </c>
      <c r="G10" s="4">
        <f>+'2025 Detail'!G17+'2025 Detail'!G18</f>
        <v>188333.049375</v>
      </c>
      <c r="H10" s="4">
        <f>+'2025 Detail'!H17+'2025 Detail'!H18</f>
        <v>188584.83117647062</v>
      </c>
      <c r="I10" s="4">
        <f>+'2025 Detail'!I17+'2025 Detail'!I18</f>
        <v>175141.92176470588</v>
      </c>
      <c r="J10" s="4">
        <f>+'2025 Detail'!J17+'2025 Detail'!J18</f>
        <v>174584.84222222224</v>
      </c>
      <c r="K10" s="4">
        <f>+'2025 Detail'!K17+'2025 Detail'!K18</f>
        <v>177713.38</v>
      </c>
      <c r="L10" s="4">
        <f>+'2025 Detail'!L17+'2025 Detail'!L18</f>
        <v>186209.93333333332</v>
      </c>
      <c r="M10" s="4">
        <f>+'2025 Detail'!M17+'2025 Detail'!M18</f>
        <v>192169.19500000001</v>
      </c>
      <c r="N10" s="38">
        <f>+'2025 Detail'!N17+'2025 Detail'!N18</f>
        <v>184010</v>
      </c>
      <c r="O10" s="4"/>
      <c r="P10" s="4">
        <f>SUM(C10:E10)</f>
        <v>831984.13150000013</v>
      </c>
      <c r="Q10" s="4">
        <f>SUM(F10:H10)</f>
        <v>561757.66113970592</v>
      </c>
      <c r="R10" s="4">
        <f>SUM(I10:K10)</f>
        <v>527440.14398692816</v>
      </c>
      <c r="S10" s="4">
        <f>SUM(L10:N10)</f>
        <v>562389.1283333333</v>
      </c>
      <c r="T10" s="4"/>
      <c r="U10" s="4">
        <f>SUM(C10:N10)</f>
        <v>2483571.0649599666</v>
      </c>
      <c r="W10" s="25">
        <f t="shared" ref="W10:W12" si="2">ROUND(SUM(P10:S10)-U10,2)</f>
        <v>0</v>
      </c>
      <c r="Z10" s="4"/>
    </row>
    <row r="11" spans="2:26" x14ac:dyDescent="0.2">
      <c r="B11" s="7" t="s">
        <v>99</v>
      </c>
      <c r="C11" s="4">
        <f>+'2025 Detail'!C19+'2025 Detail'!C20</f>
        <v>52563.351999999999</v>
      </c>
      <c r="D11" s="4">
        <f>+'2025 Detail'!D19+'2025 Detail'!D20</f>
        <v>85453.686000000002</v>
      </c>
      <c r="E11" s="4">
        <f>+'2025 Detail'!E19+'2025 Detail'!E20</f>
        <v>54727.352500000008</v>
      </c>
      <c r="F11" s="4">
        <f>+'2025 Detail'!F19+'2025 Detail'!F20</f>
        <v>52144.61882352941</v>
      </c>
      <c r="G11" s="4">
        <f>+'2025 Detail'!G19+'2025 Detail'!G20</f>
        <v>52637.906875000001</v>
      </c>
      <c r="H11" s="4">
        <f>+'2025 Detail'!H19+'2025 Detail'!H20</f>
        <v>53437.227647058819</v>
      </c>
      <c r="I11" s="4">
        <f>+'2025 Detail'!I19+'2025 Detail'!I20</f>
        <v>48525.576470588232</v>
      </c>
      <c r="J11" s="4">
        <f>+'2025 Detail'!J19+'2025 Detail'!J20</f>
        <v>40196.536666666667</v>
      </c>
      <c r="K11" s="4">
        <f>+'2025 Detail'!K19+'2025 Detail'!K20</f>
        <v>39459.07</v>
      </c>
      <c r="L11" s="4">
        <f>+'2025 Detail'!L19+'2025 Detail'!L20</f>
        <v>39174.67</v>
      </c>
      <c r="M11" s="4">
        <f>+'2025 Detail'!M19+'2025 Detail'!M20</f>
        <v>39775.222142857143</v>
      </c>
      <c r="N11" s="38">
        <f>+'2025 Detail'!N19+'2025 Detail'!N20</f>
        <v>40600</v>
      </c>
      <c r="O11" s="4"/>
      <c r="P11" s="4">
        <f>SUM(C11:E11)</f>
        <v>192744.39050000001</v>
      </c>
      <c r="Q11" s="4">
        <f>SUM(F11:H11)</f>
        <v>158219.75334558822</v>
      </c>
      <c r="R11" s="4">
        <f>SUM(I11:K11)</f>
        <v>128181.18313725491</v>
      </c>
      <c r="S11" s="4">
        <f>SUM(L11:N11)</f>
        <v>119549.89214285713</v>
      </c>
      <c r="T11" s="4"/>
      <c r="U11" s="4">
        <f>SUM(C11:N11)</f>
        <v>598695.2191257003</v>
      </c>
      <c r="W11" s="25">
        <f t="shared" si="2"/>
        <v>0</v>
      </c>
    </row>
    <row r="12" spans="2:26" x14ac:dyDescent="0.2">
      <c r="B12" s="8" t="s">
        <v>88</v>
      </c>
      <c r="C12" s="34">
        <f t="shared" ref="C12:N12" si="3">SUM(C10:C11)</f>
        <v>289658.038</v>
      </c>
      <c r="D12" s="34">
        <f t="shared" si="3"/>
        <v>458966.37400000001</v>
      </c>
      <c r="E12" s="34">
        <f t="shared" si="3"/>
        <v>276104.11</v>
      </c>
      <c r="F12" s="34">
        <f t="shared" si="3"/>
        <v>236984.39941176469</v>
      </c>
      <c r="G12" s="34">
        <f t="shared" si="3"/>
        <v>240970.95624999999</v>
      </c>
      <c r="H12" s="34">
        <f t="shared" si="3"/>
        <v>242022.05882352943</v>
      </c>
      <c r="I12" s="34">
        <f t="shared" si="3"/>
        <v>223667.49823529413</v>
      </c>
      <c r="J12" s="34">
        <f t="shared" si="3"/>
        <v>214781.37888888892</v>
      </c>
      <c r="K12" s="34">
        <f t="shared" si="3"/>
        <v>217172.45</v>
      </c>
      <c r="L12" s="34">
        <f t="shared" si="3"/>
        <v>225384.60333333333</v>
      </c>
      <c r="M12" s="34">
        <f t="shared" si="3"/>
        <v>231944.41714285716</v>
      </c>
      <c r="N12" s="34">
        <f t="shared" si="3"/>
        <v>224610</v>
      </c>
      <c r="O12" s="34"/>
      <c r="P12" s="34">
        <f>SUM(P10:P11)</f>
        <v>1024728.5220000001</v>
      </c>
      <c r="Q12" s="34">
        <f>SUM(Q10:Q11)</f>
        <v>719977.41448529414</v>
      </c>
      <c r="R12" s="34">
        <f>SUM(R10:R11)</f>
        <v>655621.32712418307</v>
      </c>
      <c r="S12" s="34">
        <f>SUM(S10:S11)</f>
        <v>681939.02047619037</v>
      </c>
      <c r="T12" s="34"/>
      <c r="U12" s="34">
        <f>SUM(U10:U11)</f>
        <v>3082266.2840856668</v>
      </c>
      <c r="W12" s="25">
        <f t="shared" si="2"/>
        <v>0</v>
      </c>
      <c r="Z12" s="40"/>
    </row>
    <row r="13" spans="2:26" x14ac:dyDescent="0.2"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W13" s="25"/>
    </row>
    <row r="14" spans="2:26" x14ac:dyDescent="0.2">
      <c r="B14" s="7" t="s">
        <v>82</v>
      </c>
      <c r="C14" s="4">
        <f>+'2025 Detail'!C23+'2025 Detail'!C24</f>
        <v>0</v>
      </c>
      <c r="D14" s="4">
        <f>+'2025 Detail'!D23+'2025 Detail'!D24</f>
        <v>0</v>
      </c>
      <c r="E14" s="4">
        <f>+'2025 Detail'!E23+'2025 Detail'!E24</f>
        <v>2160</v>
      </c>
      <c r="F14" s="4">
        <f>+'2025 Detail'!F23+'2025 Detail'!F24</f>
        <v>3024</v>
      </c>
      <c r="G14" s="4">
        <f>+'2025 Detail'!G23+'2025 Detail'!G24</f>
        <v>3430</v>
      </c>
      <c r="H14" s="4">
        <f>+'2025 Detail'!H23+'2025 Detail'!H24</f>
        <v>8647</v>
      </c>
      <c r="I14" s="4">
        <f>+'2025 Detail'!I23+'2025 Detail'!I24</f>
        <v>12647</v>
      </c>
      <c r="J14" s="4">
        <f>+'2025 Detail'!J23+'2025 Detail'!J24</f>
        <v>11548</v>
      </c>
      <c r="K14" s="4">
        <f>+'2025 Detail'!K23+'2025 Detail'!K24</f>
        <v>10812</v>
      </c>
      <c r="L14" s="4">
        <f>+'2025 Detail'!L23+'2025 Detail'!L24</f>
        <v>8649</v>
      </c>
      <c r="M14" s="4">
        <f>+'2025 Detail'!M23+'2025 Detail'!M24</f>
        <v>2943</v>
      </c>
      <c r="N14" s="38">
        <f>+'2025 Detail'!N23+'2025 Detail'!N24</f>
        <v>10600</v>
      </c>
      <c r="O14" s="4"/>
      <c r="P14" s="4">
        <f t="shared" ref="P14:P16" si="4">SUM(C14:E14)</f>
        <v>2160</v>
      </c>
      <c r="Q14" s="4">
        <f t="shared" ref="Q14:Q16" si="5">SUM(F14:H14)</f>
        <v>15101</v>
      </c>
      <c r="R14" s="4">
        <f t="shared" ref="R14:R16" si="6">SUM(I14:K14)</f>
        <v>35007</v>
      </c>
      <c r="S14" s="4">
        <f t="shared" ref="S14:S16" si="7">SUM(L14:N14)</f>
        <v>22192</v>
      </c>
      <c r="T14" s="4"/>
      <c r="U14" s="4">
        <f t="shared" ref="U14:U16" si="8">SUM(C14:N14)</f>
        <v>74460</v>
      </c>
      <c r="W14" s="25">
        <f t="shared" ref="W14:W17" si="9">ROUND(SUM(P14:S14)-U14,2)</f>
        <v>0</v>
      </c>
      <c r="Z14" s="4"/>
    </row>
    <row r="15" spans="2:26" x14ac:dyDescent="0.2">
      <c r="B15" s="7" t="s">
        <v>99</v>
      </c>
      <c r="C15" s="4">
        <f>+'2025 Detail'!C25+'2025 Detail'!C26</f>
        <v>25440.489999999998</v>
      </c>
      <c r="D15" s="4">
        <f>+'2025 Detail'!D25+'2025 Detail'!D26</f>
        <v>54928.6</v>
      </c>
      <c r="E15" s="4">
        <f>+'2025 Detail'!E25+'2025 Detail'!E26</f>
        <v>71765.61</v>
      </c>
      <c r="F15" s="4">
        <f>+'2025 Detail'!F25+'2025 Detail'!F26</f>
        <v>109403.47588235294</v>
      </c>
      <c r="G15" s="4">
        <f>+'2025 Detail'!G25+'2025 Detail'!G26</f>
        <v>91516.151249999995</v>
      </c>
      <c r="H15" s="4">
        <f>+'2025 Detail'!H25+'2025 Detail'!H26</f>
        <v>75285.971764705886</v>
      </c>
      <c r="I15" s="4">
        <f>+'2025 Detail'!I25+'2025 Detail'!I26</f>
        <v>143725.30764705883</v>
      </c>
      <c r="J15" s="4">
        <f>+'2025 Detail'!J25+'2025 Detail'!J26</f>
        <v>47373.467777777783</v>
      </c>
      <c r="K15" s="4">
        <f>+'2025 Detail'!K25+'2025 Detail'!K26</f>
        <v>34982.18</v>
      </c>
      <c r="L15" s="4">
        <f>+'2025 Detail'!L25+'2025 Detail'!L26</f>
        <v>32264.153333333335</v>
      </c>
      <c r="M15" s="4">
        <f>+'2025 Detail'!M25+'2025 Detail'!M26</f>
        <v>38753.230714285717</v>
      </c>
      <c r="N15" s="38">
        <f>+'2025 Detail'!N25+'2025 Detail'!N26</f>
        <v>80550</v>
      </c>
      <c r="O15" s="4"/>
      <c r="P15" s="4">
        <f t="shared" si="4"/>
        <v>152134.70000000001</v>
      </c>
      <c r="Q15" s="4">
        <f t="shared" si="5"/>
        <v>276205.59889705881</v>
      </c>
      <c r="R15" s="4">
        <f t="shared" si="6"/>
        <v>226080.9554248366</v>
      </c>
      <c r="S15" s="4">
        <f t="shared" si="7"/>
        <v>151567.38404761907</v>
      </c>
      <c r="T15" s="4"/>
      <c r="U15" s="4">
        <f t="shared" si="8"/>
        <v>805988.63836951461</v>
      </c>
      <c r="W15" s="25">
        <f t="shared" ref="W15" si="10">ROUND(SUM(P15:S15)-U15,2)</f>
        <v>0</v>
      </c>
      <c r="Z15" s="4"/>
    </row>
    <row r="16" spans="2:26" x14ac:dyDescent="0.2">
      <c r="B16" s="7" t="s">
        <v>140</v>
      </c>
      <c r="C16" s="4">
        <f>+'2025 Detail'!C27+'2025 Detail'!C28</f>
        <v>67048.030666666658</v>
      </c>
      <c r="D16" s="4">
        <f>+'2025 Detail'!D27+'2025 Detail'!D28</f>
        <v>80129.361999999994</v>
      </c>
      <c r="E16" s="4">
        <f>+'2025 Detail'!E27+'2025 Detail'!E28</f>
        <v>91822.045000000013</v>
      </c>
      <c r="F16" s="4">
        <f>+'2025 Detail'!F27+'2025 Detail'!F28</f>
        <v>92862.958823529421</v>
      </c>
      <c r="G16" s="4">
        <f>+'2025 Detail'!G27+'2025 Detail'!G28</f>
        <v>94487.78125</v>
      </c>
      <c r="H16" s="4">
        <f>+'2025 Detail'!H27+'2025 Detail'!H28</f>
        <v>105814.20764705882</v>
      </c>
      <c r="I16" s="4">
        <f>+'2025 Detail'!I27+'2025 Detail'!I28</f>
        <v>108222.55647058824</v>
      </c>
      <c r="J16" s="4">
        <f>+'2025 Detail'!J27+'2025 Detail'!J28</f>
        <v>111190.81555555556</v>
      </c>
      <c r="K16" s="4">
        <f>+'2025 Detail'!K27+'2025 Detail'!K28</f>
        <v>85582.319999999992</v>
      </c>
      <c r="L16" s="4">
        <f>+'2025 Detail'!L27+'2025 Detail'!L28</f>
        <v>84238.516666666663</v>
      </c>
      <c r="M16" s="4">
        <f>+'2025 Detail'!M27+'2025 Detail'!M28</f>
        <v>115046.79142857142</v>
      </c>
      <c r="N16" s="38">
        <f>+'2025 Detail'!N27+'2025 Detail'!N28</f>
        <v>60761.95</v>
      </c>
      <c r="O16" s="4"/>
      <c r="P16" s="4">
        <f t="shared" si="4"/>
        <v>238999.43766666666</v>
      </c>
      <c r="Q16" s="4">
        <f t="shared" si="5"/>
        <v>293164.94772058824</v>
      </c>
      <c r="R16" s="4">
        <f t="shared" si="6"/>
        <v>304995.69202614378</v>
      </c>
      <c r="S16" s="4">
        <f t="shared" si="7"/>
        <v>260047.25809523807</v>
      </c>
      <c r="T16" s="4"/>
      <c r="U16" s="4">
        <f t="shared" si="8"/>
        <v>1097207.3355086367</v>
      </c>
      <c r="W16" s="25">
        <f t="shared" si="9"/>
        <v>0</v>
      </c>
      <c r="Z16" s="4"/>
    </row>
    <row r="17" spans="2:26" x14ac:dyDescent="0.2">
      <c r="B17" s="8" t="s">
        <v>93</v>
      </c>
      <c r="C17" s="34">
        <f t="shared" ref="C17:N17" si="11">SUM(C14:C16)</f>
        <v>92488.520666666649</v>
      </c>
      <c r="D17" s="34">
        <f t="shared" si="11"/>
        <v>135057.962</v>
      </c>
      <c r="E17" s="34">
        <f t="shared" si="11"/>
        <v>165747.65500000003</v>
      </c>
      <c r="F17" s="34">
        <f t="shared" si="11"/>
        <v>205290.43470588236</v>
      </c>
      <c r="G17" s="34">
        <f t="shared" si="11"/>
        <v>189433.9325</v>
      </c>
      <c r="H17" s="34">
        <f t="shared" si="11"/>
        <v>189747.17941176472</v>
      </c>
      <c r="I17" s="34">
        <f t="shared" si="11"/>
        <v>264594.86411764706</v>
      </c>
      <c r="J17" s="34">
        <f t="shared" si="11"/>
        <v>170112.28333333333</v>
      </c>
      <c r="K17" s="34">
        <f t="shared" si="11"/>
        <v>131376.5</v>
      </c>
      <c r="L17" s="34">
        <f t="shared" si="11"/>
        <v>125151.67</v>
      </c>
      <c r="M17" s="34">
        <f t="shared" si="11"/>
        <v>156743.02214285714</v>
      </c>
      <c r="N17" s="34">
        <f t="shared" si="11"/>
        <v>151911.95000000001</v>
      </c>
      <c r="O17" s="34"/>
      <c r="P17" s="34">
        <f>SUM(P14:P16)</f>
        <v>393294.13766666665</v>
      </c>
      <c r="Q17" s="34">
        <f>SUM(Q14:Q16)</f>
        <v>584471.54661764705</v>
      </c>
      <c r="R17" s="34">
        <f>SUM(R14:R16)</f>
        <v>566083.64745098038</v>
      </c>
      <c r="S17" s="34">
        <f>SUM(S14:S16)</f>
        <v>433806.64214285713</v>
      </c>
      <c r="T17" s="34"/>
      <c r="U17" s="34">
        <f>SUM(U14:U16)</f>
        <v>1977655.9738781513</v>
      </c>
      <c r="W17" s="25">
        <f t="shared" si="9"/>
        <v>0</v>
      </c>
      <c r="Z17" s="4"/>
    </row>
    <row r="18" spans="2:26" x14ac:dyDescent="0.2"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W18" s="25"/>
      <c r="Z18" s="4"/>
    </row>
    <row r="19" spans="2:26" x14ac:dyDescent="0.2">
      <c r="B19" s="7" t="s">
        <v>103</v>
      </c>
      <c r="C19" s="4">
        <f>+'2025 Detail'!C33</f>
        <v>73639.48133333333</v>
      </c>
      <c r="D19" s="4">
        <f>+'2025 Detail'!D33</f>
        <v>121103.33399999999</v>
      </c>
      <c r="E19" s="4">
        <f>+'2025 Detail'!E33</f>
        <v>82420.785000000003</v>
      </c>
      <c r="F19" s="4">
        <f>+'2025 Detail'!F33</f>
        <v>78711.86588235294</v>
      </c>
      <c r="G19" s="4">
        <f>+'2025 Detail'!G33</f>
        <v>77283.821250000008</v>
      </c>
      <c r="H19" s="4">
        <f>+'2025 Detail'!H33</f>
        <v>77499.541764705878</v>
      </c>
      <c r="I19" s="4">
        <f>+'2025 Detail'!I33</f>
        <v>80961.527647058829</v>
      </c>
      <c r="J19" s="4">
        <f>+'2025 Detail'!J33</f>
        <v>77064.907777777786</v>
      </c>
      <c r="K19" s="4">
        <f>+'2025 Detail'!K33</f>
        <v>77843.710000000006</v>
      </c>
      <c r="L19" s="4">
        <f>+'2025 Detail'!L33</f>
        <v>77099.736666666664</v>
      </c>
      <c r="M19" s="4">
        <f>+'2025 Detail'!M33</f>
        <v>66286.080714285723</v>
      </c>
      <c r="N19" s="38">
        <f>+'2025 Detail'!N33</f>
        <v>66550</v>
      </c>
      <c r="O19" s="4"/>
      <c r="P19" s="4">
        <f>SUM(C19:E19)</f>
        <v>277163.60033333336</v>
      </c>
      <c r="Q19" s="4">
        <f>SUM(F19:H19)</f>
        <v>233495.22889705884</v>
      </c>
      <c r="R19" s="4">
        <f>SUM(I19:K19)</f>
        <v>235870.14542483661</v>
      </c>
      <c r="S19" s="4">
        <f>SUM(L19:N19)</f>
        <v>209935.81738095239</v>
      </c>
      <c r="T19" s="4"/>
      <c r="U19" s="4">
        <f>SUM(C19:N19)</f>
        <v>956464.7920361812</v>
      </c>
      <c r="W19" s="25">
        <f t="shared" ref="W19:W20" si="12">ROUND(SUM(P19:S19)-U19,2)</f>
        <v>0</v>
      </c>
      <c r="Z19" s="4"/>
    </row>
    <row r="20" spans="2:26" x14ac:dyDescent="0.2">
      <c r="B20" s="8" t="s">
        <v>96</v>
      </c>
      <c r="C20" s="34">
        <f t="shared" ref="C20:N20" si="13">SUM(C19:C19)</f>
        <v>73639.48133333333</v>
      </c>
      <c r="D20" s="34">
        <f t="shared" si="13"/>
        <v>121103.33399999999</v>
      </c>
      <c r="E20" s="34">
        <f t="shared" si="13"/>
        <v>82420.785000000003</v>
      </c>
      <c r="F20" s="34">
        <f t="shared" si="13"/>
        <v>78711.86588235294</v>
      </c>
      <c r="G20" s="34">
        <f t="shared" si="13"/>
        <v>77283.821250000008</v>
      </c>
      <c r="H20" s="34">
        <f t="shared" si="13"/>
        <v>77499.541764705878</v>
      </c>
      <c r="I20" s="34">
        <f t="shared" si="13"/>
        <v>80961.527647058829</v>
      </c>
      <c r="J20" s="34">
        <f t="shared" si="13"/>
        <v>77064.907777777786</v>
      </c>
      <c r="K20" s="34">
        <f t="shared" si="13"/>
        <v>77843.710000000006</v>
      </c>
      <c r="L20" s="34">
        <f t="shared" si="13"/>
        <v>77099.736666666664</v>
      </c>
      <c r="M20" s="34">
        <f t="shared" si="13"/>
        <v>66286.080714285723</v>
      </c>
      <c r="N20" s="34">
        <f t="shared" si="13"/>
        <v>66550</v>
      </c>
      <c r="O20" s="34"/>
      <c r="P20" s="34">
        <f>SUM(P19:P19)</f>
        <v>277163.60033333336</v>
      </c>
      <c r="Q20" s="34">
        <f>SUM(Q19:Q19)</f>
        <v>233495.22889705884</v>
      </c>
      <c r="R20" s="34">
        <f>SUM(R19:R19)</f>
        <v>235870.14542483661</v>
      </c>
      <c r="S20" s="34">
        <f>SUM(S19:S19)</f>
        <v>209935.81738095239</v>
      </c>
      <c r="T20" s="34"/>
      <c r="U20" s="34">
        <f>SUM(U19:U19)</f>
        <v>956464.7920361812</v>
      </c>
      <c r="W20" s="25">
        <f t="shared" si="12"/>
        <v>0</v>
      </c>
    </row>
    <row r="21" spans="2:26" x14ac:dyDescent="0.2"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W21" s="25"/>
      <c r="Z21" s="4"/>
    </row>
    <row r="22" spans="2:26" x14ac:dyDescent="0.2">
      <c r="B22" s="7" t="s">
        <v>34</v>
      </c>
      <c r="C22" s="4">
        <f>+'2025 Detail'!C35</f>
        <v>0</v>
      </c>
      <c r="D22" s="4">
        <f>+'2025 Detail'!D35</f>
        <v>0</v>
      </c>
      <c r="E22" s="4">
        <f>+'2025 Detail'!E35</f>
        <v>0</v>
      </c>
      <c r="F22" s="4">
        <f>+'2025 Detail'!F35</f>
        <v>0</v>
      </c>
      <c r="G22" s="4">
        <f>+'2025 Detail'!G35</f>
        <v>3545.63</v>
      </c>
      <c r="H22" s="4">
        <f>+'2025 Detail'!H35</f>
        <v>3545.63</v>
      </c>
      <c r="I22" s="4">
        <f>+'2025 Detail'!I35</f>
        <v>7091.26</v>
      </c>
      <c r="J22" s="4">
        <f>+'2025 Detail'!J35</f>
        <v>3545.63</v>
      </c>
      <c r="K22" s="4">
        <f>+'2025 Detail'!K35</f>
        <v>3545.63</v>
      </c>
      <c r="L22" s="4">
        <f>+'2025 Detail'!L35</f>
        <v>3545.63</v>
      </c>
      <c r="M22" s="4">
        <f>+'2025 Detail'!M35</f>
        <v>3545.63</v>
      </c>
      <c r="N22" s="38">
        <f>+'2025 Detail'!N35</f>
        <v>3550</v>
      </c>
      <c r="O22" s="4"/>
      <c r="P22" s="4">
        <f t="shared" ref="P22:P30" si="14">SUM(C22:E22)</f>
        <v>0</v>
      </c>
      <c r="Q22" s="4">
        <f t="shared" ref="Q22:Q30" si="15">SUM(F22:H22)</f>
        <v>7091.26</v>
      </c>
      <c r="R22" s="4">
        <f t="shared" ref="R22:R30" si="16">SUM(I22:K22)</f>
        <v>14182.52</v>
      </c>
      <c r="S22" s="4">
        <f t="shared" ref="S22:S30" si="17">SUM(L22:N22)</f>
        <v>10641.26</v>
      </c>
      <c r="T22" s="4"/>
      <c r="U22" s="4">
        <f t="shared" ref="U22:U30" si="18">SUM(C22:N22)</f>
        <v>31915.040000000005</v>
      </c>
      <c r="W22" s="25">
        <f t="shared" ref="W22:W31" si="19">ROUND(SUM(P22:S22)-U22,2)</f>
        <v>0</v>
      </c>
      <c r="Z22" s="4"/>
    </row>
    <row r="23" spans="2:26" x14ac:dyDescent="0.2">
      <c r="B23" s="7" t="s">
        <v>17</v>
      </c>
      <c r="C23" s="4">
        <f>+'2025 Detail'!C36</f>
        <v>3866.9</v>
      </c>
      <c r="D23" s="4">
        <f>+'2025 Detail'!D36</f>
        <v>4575.8999999999996</v>
      </c>
      <c r="E23" s="4">
        <f>+'2025 Detail'!E36</f>
        <v>12536.15</v>
      </c>
      <c r="F23" s="4">
        <f>+'2025 Detail'!F36</f>
        <v>11114.35</v>
      </c>
      <c r="G23" s="4">
        <f>+'2025 Detail'!G36</f>
        <v>24774.020000000004</v>
      </c>
      <c r="H23" s="4">
        <f>+'2025 Detail'!H36</f>
        <v>23118.32</v>
      </c>
      <c r="I23" s="4">
        <f>+'2025 Detail'!I36</f>
        <v>22036.41</v>
      </c>
      <c r="J23" s="4">
        <f>+'2025 Detail'!J36</f>
        <v>91840.73</v>
      </c>
      <c r="K23" s="4">
        <f>+'2025 Detail'!K36</f>
        <v>10289.469999999998</v>
      </c>
      <c r="L23" s="4">
        <f>+'2025 Detail'!L36</f>
        <v>24251.63</v>
      </c>
      <c r="M23" s="4">
        <f>+'2025 Detail'!M36</f>
        <v>12056.23</v>
      </c>
      <c r="N23" s="38">
        <f>+'2025 Detail'!N36</f>
        <v>12000</v>
      </c>
      <c r="O23" s="4"/>
      <c r="P23" s="4">
        <f t="shared" si="14"/>
        <v>20978.949999999997</v>
      </c>
      <c r="Q23" s="4">
        <f t="shared" si="15"/>
        <v>59006.69</v>
      </c>
      <c r="R23" s="4">
        <f t="shared" si="16"/>
        <v>124166.61</v>
      </c>
      <c r="S23" s="4">
        <f t="shared" si="17"/>
        <v>48307.86</v>
      </c>
      <c r="T23" s="4"/>
      <c r="U23" s="4">
        <f t="shared" si="18"/>
        <v>252460.11000000002</v>
      </c>
      <c r="W23" s="25">
        <f t="shared" si="19"/>
        <v>0</v>
      </c>
      <c r="Z23" s="4"/>
    </row>
    <row r="24" spans="2:26" x14ac:dyDescent="0.2">
      <c r="B24" s="7" t="s">
        <v>28</v>
      </c>
      <c r="C24" s="4">
        <f>+'2025 Detail'!C37</f>
        <v>263.76</v>
      </c>
      <c r="D24" s="4">
        <f>+'2025 Detail'!D37</f>
        <v>807.23</v>
      </c>
      <c r="E24" s="4">
        <f>+'2025 Detail'!E37</f>
        <v>556.55999999999995</v>
      </c>
      <c r="F24" s="4">
        <f>+'2025 Detail'!F37</f>
        <v>556</v>
      </c>
      <c r="G24" s="4">
        <f>+'2025 Detail'!G37</f>
        <v>354.79</v>
      </c>
      <c r="H24" s="4">
        <f>+'2025 Detail'!H37</f>
        <v>1130.5700000000002</v>
      </c>
      <c r="I24" s="4">
        <f>+'2025 Detail'!I37</f>
        <v>355.28000000000003</v>
      </c>
      <c r="J24" s="4">
        <f>+'2025 Detail'!J37</f>
        <v>1606.02</v>
      </c>
      <c r="K24" s="4">
        <f>+'2025 Detail'!K37</f>
        <v>1215.05</v>
      </c>
      <c r="L24" s="4">
        <f>+'2025 Detail'!L37</f>
        <v>127.22999999999999</v>
      </c>
      <c r="M24" s="4">
        <f>+'2025 Detail'!M37</f>
        <v>4393.6299999999992</v>
      </c>
      <c r="N24" s="38">
        <f>+'2025 Detail'!N37</f>
        <v>500</v>
      </c>
      <c r="O24" s="4"/>
      <c r="P24" s="4">
        <f t="shared" si="14"/>
        <v>1627.55</v>
      </c>
      <c r="Q24" s="4">
        <f t="shared" si="15"/>
        <v>2041.3600000000001</v>
      </c>
      <c r="R24" s="4">
        <f t="shared" si="16"/>
        <v>3176.35</v>
      </c>
      <c r="S24" s="4">
        <f t="shared" si="17"/>
        <v>5020.8599999999988</v>
      </c>
      <c r="T24" s="4"/>
      <c r="U24" s="4">
        <f t="shared" si="18"/>
        <v>11866.119999999999</v>
      </c>
      <c r="W24" s="25">
        <f t="shared" si="19"/>
        <v>0</v>
      </c>
    </row>
    <row r="25" spans="2:26" x14ac:dyDescent="0.2">
      <c r="B25" s="7" t="s">
        <v>18</v>
      </c>
      <c r="C25" s="4">
        <f>+'2025 Detail'!C38</f>
        <v>496.97</v>
      </c>
      <c r="D25" s="4">
        <f>+'2025 Detail'!D38</f>
        <v>8280.18</v>
      </c>
      <c r="E25" s="4">
        <f>+'2025 Detail'!E38</f>
        <v>3089.8900000000003</v>
      </c>
      <c r="F25" s="4">
        <f>+'2025 Detail'!F38</f>
        <v>8984.89</v>
      </c>
      <c r="G25" s="4">
        <f>+'2025 Detail'!G38</f>
        <v>1547.5500000000002</v>
      </c>
      <c r="H25" s="4">
        <f>+'2025 Detail'!H38</f>
        <v>3039.49</v>
      </c>
      <c r="I25" s="4">
        <f>+'2025 Detail'!I38</f>
        <v>5580.2400000000007</v>
      </c>
      <c r="J25" s="4">
        <f>+'2025 Detail'!J38</f>
        <v>1783.2400000000002</v>
      </c>
      <c r="K25" s="4">
        <f>+'2025 Detail'!K38</f>
        <v>3039.49</v>
      </c>
      <c r="L25" s="4">
        <f>+'2025 Detail'!L38</f>
        <v>5817.8</v>
      </c>
      <c r="M25" s="4">
        <f>+'2025 Detail'!M38</f>
        <v>1783.2400000000002</v>
      </c>
      <c r="N25" s="38">
        <f>+'2025 Detail'!N38</f>
        <v>2500</v>
      </c>
      <c r="O25" s="4"/>
      <c r="P25" s="4">
        <f t="shared" si="14"/>
        <v>11867.04</v>
      </c>
      <c r="Q25" s="4">
        <f t="shared" si="15"/>
        <v>13571.929999999998</v>
      </c>
      <c r="R25" s="4">
        <f t="shared" si="16"/>
        <v>10402.970000000001</v>
      </c>
      <c r="S25" s="4">
        <f t="shared" si="17"/>
        <v>10101.040000000001</v>
      </c>
      <c r="T25" s="4"/>
      <c r="U25" s="4">
        <f t="shared" si="18"/>
        <v>45942.98</v>
      </c>
      <c r="W25" s="25">
        <f t="shared" si="19"/>
        <v>0</v>
      </c>
    </row>
    <row r="26" spans="2:26" x14ac:dyDescent="0.2">
      <c r="B26" s="7" t="s">
        <v>29</v>
      </c>
      <c r="C26" s="4">
        <f>+'2025 Detail'!C39</f>
        <v>10550</v>
      </c>
      <c r="D26" s="4">
        <f>+'2025 Detail'!D39</f>
        <v>15467.5</v>
      </c>
      <c r="E26" s="4">
        <f>+'2025 Detail'!E39</f>
        <v>18866</v>
      </c>
      <c r="F26" s="4">
        <f>+'2025 Detail'!F39</f>
        <v>28130</v>
      </c>
      <c r="G26" s="4">
        <f>+'2025 Detail'!G39</f>
        <v>23029.4</v>
      </c>
      <c r="H26" s="4">
        <f>+'2025 Detail'!H39</f>
        <v>10386.450000000001</v>
      </c>
      <c r="I26" s="4">
        <f>+'2025 Detail'!I39</f>
        <v>9005.5</v>
      </c>
      <c r="J26" s="4">
        <f>+'2025 Detail'!J39</f>
        <v>1950.5</v>
      </c>
      <c r="K26" s="4">
        <f>+'2025 Detail'!K39</f>
        <v>8001</v>
      </c>
      <c r="L26" s="4">
        <f>+'2025 Detail'!L39</f>
        <v>9200.7000000000007</v>
      </c>
      <c r="M26" s="4">
        <f>+'2025 Detail'!M39</f>
        <v>1426</v>
      </c>
      <c r="N26" s="38">
        <f>+'2025 Detail'!N39</f>
        <v>11000</v>
      </c>
      <c r="O26" s="4"/>
      <c r="P26" s="4">
        <f t="shared" si="14"/>
        <v>44883.5</v>
      </c>
      <c r="Q26" s="4">
        <f t="shared" si="15"/>
        <v>61545.850000000006</v>
      </c>
      <c r="R26" s="4">
        <f t="shared" si="16"/>
        <v>18957</v>
      </c>
      <c r="S26" s="4">
        <f t="shared" si="17"/>
        <v>21626.7</v>
      </c>
      <c r="T26" s="4"/>
      <c r="U26" s="4">
        <f t="shared" si="18"/>
        <v>147013.04999999999</v>
      </c>
      <c r="W26" s="25">
        <f t="shared" si="19"/>
        <v>0</v>
      </c>
    </row>
    <row r="27" spans="2:26" x14ac:dyDescent="0.2">
      <c r="B27" s="7" t="s">
        <v>32</v>
      </c>
      <c r="C27" s="4">
        <f>+'2025 Detail'!C40</f>
        <v>0</v>
      </c>
      <c r="D27" s="4">
        <f>+'2025 Detail'!D40</f>
        <v>0</v>
      </c>
      <c r="E27" s="4">
        <f>+'2025 Detail'!E40</f>
        <v>0</v>
      </c>
      <c r="F27" s="4">
        <f>+'2025 Detail'!F40</f>
        <v>0</v>
      </c>
      <c r="G27" s="4">
        <f>+'2025 Detail'!G40</f>
        <v>22482.5</v>
      </c>
      <c r="H27" s="4">
        <f>+'2025 Detail'!H40</f>
        <v>287.5</v>
      </c>
      <c r="I27" s="4">
        <f>+'2025 Detail'!I40</f>
        <v>535</v>
      </c>
      <c r="J27" s="4">
        <f>+'2025 Detail'!J40</f>
        <v>0</v>
      </c>
      <c r="K27" s="4">
        <f>+'2025 Detail'!K40</f>
        <v>565</v>
      </c>
      <c r="L27" s="4">
        <f>+'2025 Detail'!L40</f>
        <v>0</v>
      </c>
      <c r="M27" s="4">
        <f>+'2025 Detail'!M40</f>
        <v>0</v>
      </c>
      <c r="N27" s="38">
        <f>+'2025 Detail'!N40</f>
        <v>12500</v>
      </c>
      <c r="O27" s="4"/>
      <c r="P27" s="4">
        <f t="shared" si="14"/>
        <v>0</v>
      </c>
      <c r="Q27" s="4">
        <f t="shared" si="15"/>
        <v>22770</v>
      </c>
      <c r="R27" s="4">
        <f t="shared" si="16"/>
        <v>1100</v>
      </c>
      <c r="S27" s="4">
        <f t="shared" si="17"/>
        <v>12500</v>
      </c>
      <c r="T27" s="4"/>
      <c r="U27" s="4">
        <f t="shared" si="18"/>
        <v>36370</v>
      </c>
      <c r="W27" s="25">
        <f t="shared" si="19"/>
        <v>0</v>
      </c>
    </row>
    <row r="28" spans="2:26" x14ac:dyDescent="0.2">
      <c r="B28" s="7" t="s">
        <v>31</v>
      </c>
      <c r="C28" s="4">
        <f>+'2025 Detail'!C41</f>
        <v>0</v>
      </c>
      <c r="D28" s="4">
        <f>+'2025 Detail'!D41</f>
        <v>0</v>
      </c>
      <c r="E28" s="4">
        <f>+'2025 Detail'!E41</f>
        <v>63750</v>
      </c>
      <c r="F28" s="4">
        <f>+'2025 Detail'!F41</f>
        <v>0</v>
      </c>
      <c r="G28" s="4">
        <f>+'2025 Detail'!G41</f>
        <v>25000</v>
      </c>
      <c r="H28" s="4">
        <f>+'2025 Detail'!H41</f>
        <v>0</v>
      </c>
      <c r="I28" s="4">
        <f>+'2025 Detail'!I41</f>
        <v>0</v>
      </c>
      <c r="J28" s="4">
        <f>+'2025 Detail'!J41</f>
        <v>0</v>
      </c>
      <c r="K28" s="4">
        <f>+'2025 Detail'!K41</f>
        <v>0</v>
      </c>
      <c r="L28" s="4">
        <f>+'2025 Detail'!L41</f>
        <v>0</v>
      </c>
      <c r="M28" s="4">
        <f>+'2025 Detail'!M41</f>
        <v>0</v>
      </c>
      <c r="N28" s="38">
        <f>+'2025 Detail'!N41</f>
        <v>35000</v>
      </c>
      <c r="O28" s="4"/>
      <c r="P28" s="4">
        <f t="shared" si="14"/>
        <v>63750</v>
      </c>
      <c r="Q28" s="4">
        <f t="shared" si="15"/>
        <v>25000</v>
      </c>
      <c r="R28" s="4">
        <f t="shared" si="16"/>
        <v>0</v>
      </c>
      <c r="S28" s="4">
        <f t="shared" si="17"/>
        <v>35000</v>
      </c>
      <c r="T28" s="4"/>
      <c r="U28" s="4">
        <f t="shared" si="18"/>
        <v>123750</v>
      </c>
      <c r="W28" s="25">
        <f t="shared" si="19"/>
        <v>0</v>
      </c>
    </row>
    <row r="29" spans="2:26" x14ac:dyDescent="0.2">
      <c r="B29" s="7" t="s">
        <v>62</v>
      </c>
      <c r="C29" s="4">
        <f>+'2025 Detail'!C42</f>
        <v>0</v>
      </c>
      <c r="D29" s="4">
        <f>+'2025 Detail'!D42</f>
        <v>0</v>
      </c>
      <c r="E29" s="4">
        <f>+'2025 Detail'!E42</f>
        <v>4036</v>
      </c>
      <c r="F29" s="4">
        <f>+'2025 Detail'!F42</f>
        <v>20</v>
      </c>
      <c r="G29" s="4">
        <f>+'2025 Detail'!G42</f>
        <v>-326.17</v>
      </c>
      <c r="H29" s="4">
        <f>+'2025 Detail'!H42</f>
        <v>196</v>
      </c>
      <c r="I29" s="4">
        <f>+'2025 Detail'!I42</f>
        <v>112.92</v>
      </c>
      <c r="J29" s="4">
        <f>+'2025 Detail'!J42</f>
        <v>0</v>
      </c>
      <c r="K29" s="4">
        <f>+'2025 Detail'!K42</f>
        <v>-32</v>
      </c>
      <c r="L29" s="4">
        <f>+'2025 Detail'!L42</f>
        <v>188.43</v>
      </c>
      <c r="M29" s="4">
        <f>+'2025 Detail'!M42</f>
        <v>0</v>
      </c>
      <c r="N29" s="38">
        <f>+'2025 Detail'!N42</f>
        <v>250</v>
      </c>
      <c r="O29" s="4"/>
      <c r="P29" s="4">
        <f t="shared" si="14"/>
        <v>4036</v>
      </c>
      <c r="Q29" s="4">
        <f t="shared" si="15"/>
        <v>-110.17000000000002</v>
      </c>
      <c r="R29" s="4">
        <f t="shared" si="16"/>
        <v>80.92</v>
      </c>
      <c r="S29" s="4">
        <f t="shared" si="17"/>
        <v>438.43</v>
      </c>
      <c r="T29" s="4"/>
      <c r="U29" s="4">
        <f t="shared" si="18"/>
        <v>4445.18</v>
      </c>
      <c r="W29" s="25">
        <f t="shared" si="19"/>
        <v>0</v>
      </c>
    </row>
    <row r="30" spans="2:26" x14ac:dyDescent="0.2">
      <c r="B30" s="7" t="s">
        <v>22</v>
      </c>
      <c r="C30" s="4">
        <f>+'2025 Detail'!C43</f>
        <v>24863.58</v>
      </c>
      <c r="D30" s="4">
        <f>+'2025 Detail'!D43</f>
        <v>829.94</v>
      </c>
      <c r="E30" s="4">
        <f>+'2025 Detail'!E43</f>
        <v>2230.5</v>
      </c>
      <c r="F30" s="4">
        <f>+'2025 Detail'!F43</f>
        <v>13849.7</v>
      </c>
      <c r="G30" s="4">
        <f>+'2025 Detail'!G43</f>
        <v>20024.030000000002</v>
      </c>
      <c r="H30" s="4">
        <f>+'2025 Detail'!H43</f>
        <v>38178.86000000003</v>
      </c>
      <c r="I30" s="4">
        <f>+'2025 Detail'!I43</f>
        <v>9873.2099999999991</v>
      </c>
      <c r="J30" s="4">
        <f>+'2025 Detail'!J43</f>
        <v>21014.370000000003</v>
      </c>
      <c r="K30" s="4">
        <f>+'2025 Detail'!K43</f>
        <v>32093.19</v>
      </c>
      <c r="L30" s="4">
        <f>+'2025 Detail'!L43</f>
        <v>21464.5</v>
      </c>
      <c r="M30" s="4">
        <f>+'2025 Detail'!M43</f>
        <v>12742</v>
      </c>
      <c r="N30" s="38">
        <f>+'2025 Detail'!N43</f>
        <v>8500</v>
      </c>
      <c r="O30" s="4"/>
      <c r="P30" s="4">
        <f t="shared" si="14"/>
        <v>27924.02</v>
      </c>
      <c r="Q30" s="4">
        <f t="shared" si="15"/>
        <v>72052.590000000026</v>
      </c>
      <c r="R30" s="4">
        <f t="shared" si="16"/>
        <v>62980.770000000004</v>
      </c>
      <c r="S30" s="4">
        <f t="shared" si="17"/>
        <v>42706.5</v>
      </c>
      <c r="T30" s="4"/>
      <c r="U30" s="4">
        <f t="shared" si="18"/>
        <v>205663.88000000003</v>
      </c>
      <c r="W30" s="25">
        <f t="shared" si="19"/>
        <v>0</v>
      </c>
    </row>
    <row r="31" spans="2:26" x14ac:dyDescent="0.2">
      <c r="B31" s="8" t="s">
        <v>97</v>
      </c>
      <c r="C31" s="34">
        <f t="shared" ref="C31:N31" si="20">SUM(C22:C30)</f>
        <v>40041.210000000006</v>
      </c>
      <c r="D31" s="34">
        <f t="shared" si="20"/>
        <v>29960.749999999996</v>
      </c>
      <c r="E31" s="34">
        <f t="shared" si="20"/>
        <v>105065.1</v>
      </c>
      <c r="F31" s="34">
        <f t="shared" si="20"/>
        <v>62654.94</v>
      </c>
      <c r="G31" s="34">
        <f t="shared" si="20"/>
        <v>120431.75000000001</v>
      </c>
      <c r="H31" s="34">
        <f t="shared" si="20"/>
        <v>79882.820000000036</v>
      </c>
      <c r="I31" s="34">
        <f t="shared" si="20"/>
        <v>54589.819999999992</v>
      </c>
      <c r="J31" s="34">
        <f t="shared" si="20"/>
        <v>121740.49000000002</v>
      </c>
      <c r="K31" s="34">
        <f t="shared" si="20"/>
        <v>58716.83</v>
      </c>
      <c r="L31" s="34">
        <f t="shared" si="20"/>
        <v>64595.920000000006</v>
      </c>
      <c r="M31" s="34">
        <f t="shared" si="20"/>
        <v>35946.729999999996</v>
      </c>
      <c r="N31" s="34">
        <f t="shared" si="20"/>
        <v>85800</v>
      </c>
      <c r="O31" s="34"/>
      <c r="P31" s="34">
        <f>SUM(P22:P30)</f>
        <v>175067.05999999997</v>
      </c>
      <c r="Q31" s="34">
        <f>SUM(Q22:Q30)</f>
        <v>262969.51</v>
      </c>
      <c r="R31" s="34">
        <f>SUM(R22:R30)</f>
        <v>235047.14</v>
      </c>
      <c r="S31" s="34">
        <f>SUM(S22:S30)</f>
        <v>186342.65</v>
      </c>
      <c r="T31" s="34"/>
      <c r="U31" s="34">
        <f>SUM(U22:U30)</f>
        <v>859426.3600000001</v>
      </c>
      <c r="W31" s="25">
        <f t="shared" si="19"/>
        <v>0</v>
      </c>
    </row>
    <row r="32" spans="2:26" x14ac:dyDescent="0.2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W32" s="25"/>
    </row>
    <row r="33" spans="2:26" x14ac:dyDescent="0.2">
      <c r="B33" s="8" t="s">
        <v>43</v>
      </c>
      <c r="C33" s="34">
        <f t="shared" ref="C33:N33" si="21">+C12+C17+C20+C31</f>
        <v>495827.24999999994</v>
      </c>
      <c r="D33" s="34">
        <f t="shared" si="21"/>
        <v>745088.42</v>
      </c>
      <c r="E33" s="34">
        <f t="shared" si="21"/>
        <v>629337.65</v>
      </c>
      <c r="F33" s="34">
        <f t="shared" si="21"/>
        <v>583641.6399999999</v>
      </c>
      <c r="G33" s="34">
        <f t="shared" si="21"/>
        <v>628120.46</v>
      </c>
      <c r="H33" s="34">
        <f t="shared" si="21"/>
        <v>589151.60000000009</v>
      </c>
      <c r="I33" s="34">
        <f t="shared" si="21"/>
        <v>623813.71</v>
      </c>
      <c r="J33" s="34">
        <f t="shared" si="21"/>
        <v>583699.06000000006</v>
      </c>
      <c r="K33" s="34">
        <f t="shared" si="21"/>
        <v>485109.49000000005</v>
      </c>
      <c r="L33" s="34">
        <f t="shared" si="21"/>
        <v>492231.93</v>
      </c>
      <c r="M33" s="34">
        <f t="shared" si="21"/>
        <v>490920.25</v>
      </c>
      <c r="N33" s="34">
        <f t="shared" si="21"/>
        <v>528871.94999999995</v>
      </c>
      <c r="O33" s="34"/>
      <c r="P33" s="34">
        <f>+P12+P17+P20+P31</f>
        <v>1870253.3200000003</v>
      </c>
      <c r="Q33" s="34">
        <f>+Q12+Q17+Q20+Q31</f>
        <v>1800913.7</v>
      </c>
      <c r="R33" s="34">
        <f>+R12+R17+R20+R31</f>
        <v>1692622.2599999998</v>
      </c>
      <c r="S33" s="34">
        <f>+S12+S17+S20+S31</f>
        <v>1512024.13</v>
      </c>
      <c r="T33" s="34"/>
      <c r="U33" s="34">
        <f>+U12+U17+U20+U31</f>
        <v>6875813.4099999992</v>
      </c>
      <c r="W33" s="25">
        <f>ROUND(SUM(P33:S33)-U33,2)</f>
        <v>0</v>
      </c>
      <c r="Z33" s="4"/>
    </row>
    <row r="34" spans="2:26" x14ac:dyDescent="0.2">
      <c r="W34" s="25"/>
      <c r="Z34" s="4"/>
    </row>
    <row r="35" spans="2:26" x14ac:dyDescent="0.2">
      <c r="B35" s="7" t="s">
        <v>33</v>
      </c>
      <c r="C35" s="4">
        <f>+'2025 Detail'!C48</f>
        <v>0</v>
      </c>
      <c r="D35" s="4">
        <f>+'2025 Detail'!D48</f>
        <v>0</v>
      </c>
      <c r="E35" s="4">
        <f>+'2025 Detail'!E48</f>
        <v>0</v>
      </c>
      <c r="F35" s="4">
        <f>+'2025 Detail'!F48</f>
        <v>0</v>
      </c>
      <c r="G35" s="4">
        <f>+'2025 Detail'!G48</f>
        <v>0</v>
      </c>
      <c r="H35" s="4">
        <f>+'2025 Detail'!H48</f>
        <v>0</v>
      </c>
      <c r="I35" s="4">
        <f>+'2025 Detail'!I48</f>
        <v>0</v>
      </c>
      <c r="J35" s="4">
        <f>+'2025 Detail'!J48</f>
        <v>0</v>
      </c>
      <c r="K35" s="4">
        <f>+'2025 Detail'!K48</f>
        <v>0</v>
      </c>
      <c r="L35" s="4">
        <f>+'2025 Detail'!L48</f>
        <v>0</v>
      </c>
      <c r="M35" s="4">
        <f>+'2025 Detail'!M48</f>
        <v>0</v>
      </c>
      <c r="N35" s="38">
        <f>+'2025 Detail'!N48</f>
        <v>0</v>
      </c>
      <c r="O35" s="4"/>
      <c r="P35" s="4">
        <f>SUM(C35:E35)</f>
        <v>0</v>
      </c>
      <c r="Q35" s="4">
        <f>SUM(F35:H35)</f>
        <v>0</v>
      </c>
      <c r="R35" s="4">
        <f>SUM(I35:K35)</f>
        <v>0</v>
      </c>
      <c r="S35" s="4">
        <f>SUM(L35:N35)</f>
        <v>0</v>
      </c>
      <c r="T35" s="4"/>
      <c r="U35" s="4">
        <f>SUM(C35:N35)</f>
        <v>0</v>
      </c>
      <c r="W35" s="25">
        <f t="shared" ref="W35:W41" si="22">ROUND(SUM(P35:S35)-U35,2)</f>
        <v>0</v>
      </c>
      <c r="Z35" s="4"/>
    </row>
    <row r="36" spans="2:26" x14ac:dyDescent="0.2">
      <c r="B36" s="7" t="s">
        <v>35</v>
      </c>
      <c r="C36" s="4">
        <f>+'2025 Detail'!C49</f>
        <v>0</v>
      </c>
      <c r="D36" s="4">
        <f>+'2025 Detail'!D49</f>
        <v>0</v>
      </c>
      <c r="E36" s="4">
        <f>+'2025 Detail'!E49</f>
        <v>0</v>
      </c>
      <c r="F36" s="4">
        <f>+'2025 Detail'!F49</f>
        <v>0</v>
      </c>
      <c r="G36" s="4">
        <f>+'2025 Detail'!G49</f>
        <v>0</v>
      </c>
      <c r="H36" s="4">
        <f>+'2025 Detail'!H49</f>
        <v>0</v>
      </c>
      <c r="I36" s="4">
        <f>+'2025 Detail'!I49</f>
        <v>0</v>
      </c>
      <c r="J36" s="4">
        <f>+'2025 Detail'!J49</f>
        <v>0</v>
      </c>
      <c r="K36" s="4">
        <f>+'2025 Detail'!K49</f>
        <v>0</v>
      </c>
      <c r="L36" s="4">
        <f>+'2025 Detail'!L49</f>
        <v>0</v>
      </c>
      <c r="M36" s="4">
        <f>+'2025 Detail'!M49</f>
        <v>0</v>
      </c>
      <c r="N36" s="38">
        <f>+'2025 Detail'!N49</f>
        <v>0</v>
      </c>
      <c r="O36" s="4"/>
      <c r="P36" s="4">
        <f t="shared" ref="P36:P40" si="23">SUM(C36:E36)</f>
        <v>0</v>
      </c>
      <c r="Q36" s="4">
        <f t="shared" ref="Q36:Q40" si="24">SUM(F36:H36)</f>
        <v>0</v>
      </c>
      <c r="R36" s="4">
        <f t="shared" ref="R36:R40" si="25">SUM(I36:K36)</f>
        <v>0</v>
      </c>
      <c r="S36" s="4">
        <f t="shared" ref="S36:S40" si="26">SUM(L36:N36)</f>
        <v>0</v>
      </c>
      <c r="T36" s="4"/>
      <c r="U36" s="4">
        <f t="shared" ref="U36:U40" si="27">SUM(C36:N36)</f>
        <v>0</v>
      </c>
      <c r="W36" s="25">
        <f t="shared" si="22"/>
        <v>0</v>
      </c>
    </row>
    <row r="37" spans="2:26" x14ac:dyDescent="0.2">
      <c r="B37" s="7" t="s">
        <v>16</v>
      </c>
      <c r="C37" s="4">
        <f>+'2025 Detail'!C50</f>
        <v>-5043.37</v>
      </c>
      <c r="D37" s="4">
        <f>+'2025 Detail'!D50</f>
        <v>-5518.34</v>
      </c>
      <c r="E37" s="4">
        <f>+'2025 Detail'!E50</f>
        <v>-4685.37</v>
      </c>
      <c r="F37" s="4">
        <f>+'2025 Detail'!F50</f>
        <v>-3686.29</v>
      </c>
      <c r="G37" s="4">
        <f>+'2025 Detail'!G50</f>
        <v>-2521.11</v>
      </c>
      <c r="H37" s="4">
        <f>+'2025 Detail'!H50</f>
        <v>-957.06</v>
      </c>
      <c r="I37" s="4">
        <f>+'2025 Detail'!I50</f>
        <v>-183.94</v>
      </c>
      <c r="J37" s="4">
        <f>+'2025 Detail'!J50</f>
        <v>0</v>
      </c>
      <c r="K37" s="4">
        <f>+'2025 Detail'!K50</f>
        <v>0</v>
      </c>
      <c r="L37" s="4">
        <f>+'2025 Detail'!L50</f>
        <v>0</v>
      </c>
      <c r="M37" s="4">
        <f>+'2025 Detail'!M50</f>
        <v>0</v>
      </c>
      <c r="N37" s="38">
        <f>+'2025 Detail'!N50</f>
        <v>0</v>
      </c>
      <c r="O37" s="4"/>
      <c r="P37" s="4">
        <f t="shared" si="23"/>
        <v>-15247.079999999998</v>
      </c>
      <c r="Q37" s="4">
        <f t="shared" si="24"/>
        <v>-7164.4599999999991</v>
      </c>
      <c r="R37" s="4">
        <f t="shared" si="25"/>
        <v>-183.94</v>
      </c>
      <c r="S37" s="4">
        <f t="shared" si="26"/>
        <v>0</v>
      </c>
      <c r="T37" s="4"/>
      <c r="U37" s="4">
        <f t="shared" si="27"/>
        <v>-22595.48</v>
      </c>
      <c r="W37" s="25">
        <f t="shared" si="22"/>
        <v>0</v>
      </c>
      <c r="Z37" s="4"/>
    </row>
    <row r="38" spans="2:26" x14ac:dyDescent="0.2">
      <c r="B38" s="7" t="s">
        <v>0</v>
      </c>
      <c r="C38" s="4">
        <f>+'2025 Detail'!C51</f>
        <v>0</v>
      </c>
      <c r="D38" s="4">
        <f>+'2025 Detail'!D51</f>
        <v>-1010.7</v>
      </c>
      <c r="E38" s="4">
        <f>+'2025 Detail'!E51</f>
        <v>0</v>
      </c>
      <c r="F38" s="4">
        <f>+'2025 Detail'!F51</f>
        <v>-1222.92</v>
      </c>
      <c r="G38" s="4">
        <f>+'2025 Detail'!G51</f>
        <v>-2784.15</v>
      </c>
      <c r="H38" s="4">
        <f>+'2025 Detail'!H51</f>
        <v>-1124.19</v>
      </c>
      <c r="I38" s="4">
        <f>+'2025 Detail'!I51</f>
        <v>-1126.1100000000001</v>
      </c>
      <c r="J38" s="4">
        <f>+'2025 Detail'!J51</f>
        <v>-105.74</v>
      </c>
      <c r="K38" s="4">
        <f>+'2025 Detail'!K51</f>
        <v>0</v>
      </c>
      <c r="L38" s="4">
        <f>+'2025 Detail'!L51</f>
        <v>0</v>
      </c>
      <c r="M38" s="4">
        <f>+'2025 Detail'!M51</f>
        <v>0</v>
      </c>
      <c r="N38" s="38">
        <f>+'2025 Detail'!N51</f>
        <v>0</v>
      </c>
      <c r="O38" s="4"/>
      <c r="P38" s="4">
        <f t="shared" si="23"/>
        <v>-1010.7</v>
      </c>
      <c r="Q38" s="4">
        <f t="shared" si="24"/>
        <v>-5131.26</v>
      </c>
      <c r="R38" s="4">
        <f t="shared" si="25"/>
        <v>-1231.8500000000001</v>
      </c>
      <c r="S38" s="4">
        <f t="shared" si="26"/>
        <v>0</v>
      </c>
      <c r="T38" s="4"/>
      <c r="U38" s="4">
        <f t="shared" si="27"/>
        <v>-7373.8100000000013</v>
      </c>
      <c r="W38" s="25">
        <f t="shared" si="22"/>
        <v>0</v>
      </c>
    </row>
    <row r="39" spans="2:26" x14ac:dyDescent="0.2">
      <c r="B39" s="7" t="s">
        <v>840</v>
      </c>
      <c r="C39" s="4">
        <f>+'2025 Detail'!C52</f>
        <v>0</v>
      </c>
      <c r="D39" s="4">
        <f>+'2025 Detail'!D52</f>
        <v>0</v>
      </c>
      <c r="E39" s="4">
        <f>+'2025 Detail'!E52</f>
        <v>0</v>
      </c>
      <c r="F39" s="4">
        <f>+'2025 Detail'!F52</f>
        <v>0</v>
      </c>
      <c r="G39" s="4">
        <f>+'2025 Detail'!G52</f>
        <v>0</v>
      </c>
      <c r="H39" s="4">
        <f>+'2025 Detail'!H52</f>
        <v>0</v>
      </c>
      <c r="I39" s="4">
        <f>+'2025 Detail'!I52</f>
        <v>0</v>
      </c>
      <c r="J39" s="4">
        <f>+'2025 Detail'!J52</f>
        <v>0</v>
      </c>
      <c r="K39" s="4">
        <f>+'2025 Detail'!K52</f>
        <v>0</v>
      </c>
      <c r="L39" s="4">
        <f>+'2025 Detail'!L52</f>
        <v>0</v>
      </c>
      <c r="M39" s="4">
        <f>+'2025 Detail'!M52</f>
        <v>0</v>
      </c>
      <c r="N39" s="38">
        <f>+'2025 Detail'!N52</f>
        <v>0</v>
      </c>
      <c r="O39" s="4"/>
      <c r="P39" s="4">
        <f t="shared" ref="P39" si="28">SUM(C39:E39)</f>
        <v>0</v>
      </c>
      <c r="Q39" s="4">
        <f t="shared" ref="Q39" si="29">SUM(F39:H39)</f>
        <v>0</v>
      </c>
      <c r="R39" s="4">
        <f t="shared" ref="R39" si="30">SUM(I39:K39)</f>
        <v>0</v>
      </c>
      <c r="S39" s="4">
        <f t="shared" ref="S39" si="31">SUM(L39:N39)</f>
        <v>0</v>
      </c>
      <c r="T39" s="4"/>
      <c r="U39" s="4">
        <f t="shared" ref="U39" si="32">SUM(C39:N39)</f>
        <v>0</v>
      </c>
      <c r="W39" s="25">
        <f t="shared" ref="W39" si="33">ROUND(SUM(P39:S39)-U39,2)</f>
        <v>0</v>
      </c>
    </row>
    <row r="40" spans="2:26" x14ac:dyDescent="0.2">
      <c r="B40" s="7" t="s">
        <v>26</v>
      </c>
      <c r="C40" s="4">
        <f>+'2025 Detail'!C53</f>
        <v>-246.35</v>
      </c>
      <c r="D40" s="4">
        <f>+'2025 Detail'!D53</f>
        <v>-433.54</v>
      </c>
      <c r="E40" s="4">
        <f>+'2025 Detail'!E53</f>
        <v>-471.18</v>
      </c>
      <c r="F40" s="4">
        <f>+'2025 Detail'!F53</f>
        <v>-346.98</v>
      </c>
      <c r="G40" s="4">
        <f>+'2025 Detail'!G53</f>
        <v>-328.78999999999996</v>
      </c>
      <c r="H40" s="4">
        <f>+'2025 Detail'!H53</f>
        <v>-692</v>
      </c>
      <c r="I40" s="4">
        <f>+'2025 Detail'!I53</f>
        <v>-386.11</v>
      </c>
      <c r="J40" s="4">
        <f>+'2025 Detail'!J53</f>
        <v>-335.21</v>
      </c>
      <c r="K40" s="4">
        <f>+'2025 Detail'!K53</f>
        <v>-324.17</v>
      </c>
      <c r="L40" s="4">
        <f>+'2025 Detail'!L53</f>
        <v>-341.29</v>
      </c>
      <c r="M40" s="4">
        <f>+'2025 Detail'!M53</f>
        <v>-311.16000000000003</v>
      </c>
      <c r="N40" s="38">
        <f>+'2025 Detail'!N53</f>
        <v>-400</v>
      </c>
      <c r="O40" s="4"/>
      <c r="P40" s="4">
        <f t="shared" si="23"/>
        <v>-1151.07</v>
      </c>
      <c r="Q40" s="4">
        <f t="shared" si="24"/>
        <v>-1367.77</v>
      </c>
      <c r="R40" s="4">
        <f t="shared" si="25"/>
        <v>-1045.49</v>
      </c>
      <c r="S40" s="4">
        <f t="shared" si="26"/>
        <v>-1052.45</v>
      </c>
      <c r="T40" s="4"/>
      <c r="U40" s="4">
        <f t="shared" si="27"/>
        <v>-4616.7800000000007</v>
      </c>
      <c r="W40" s="25">
        <f t="shared" si="22"/>
        <v>0</v>
      </c>
    </row>
    <row r="41" spans="2:26" x14ac:dyDescent="0.2">
      <c r="B41" s="7" t="s">
        <v>48</v>
      </c>
      <c r="C41" s="4">
        <f>+'2025 Detail'!C54</f>
        <v>7748.71</v>
      </c>
      <c r="D41" s="4">
        <f>+'2025 Detail'!D54</f>
        <v>8351.2900000000009</v>
      </c>
      <c r="E41" s="4">
        <f>+'2025 Detail'!E54</f>
        <v>8145.22</v>
      </c>
      <c r="F41" s="4">
        <f>+'2025 Detail'!F54</f>
        <v>6912.1</v>
      </c>
      <c r="G41" s="4">
        <f>+'2025 Detail'!G54</f>
        <v>5204.78</v>
      </c>
      <c r="H41" s="4">
        <f>+'2025 Detail'!H54</f>
        <v>3887.72</v>
      </c>
      <c r="I41" s="4">
        <f>+'2025 Detail'!I54</f>
        <v>3150.25</v>
      </c>
      <c r="J41" s="4">
        <f>+'2025 Detail'!J54</f>
        <v>2155.66</v>
      </c>
      <c r="K41" s="4">
        <f>+'2025 Detail'!K54</f>
        <v>1083.05</v>
      </c>
      <c r="L41" s="4">
        <f>+'2025 Detail'!L54</f>
        <v>613.20000000000005</v>
      </c>
      <c r="M41" s="4">
        <f>+'2025 Detail'!M54</f>
        <v>312.41000000000003</v>
      </c>
      <c r="N41" s="38">
        <f>+'2025 Detail'!N54</f>
        <v>300</v>
      </c>
      <c r="O41" s="4"/>
      <c r="P41" s="4">
        <f>SUM(C41:E41)</f>
        <v>24245.22</v>
      </c>
      <c r="Q41" s="4">
        <f>SUM(F41:H41)</f>
        <v>16004.6</v>
      </c>
      <c r="R41" s="4">
        <f>SUM(I41:K41)</f>
        <v>6388.96</v>
      </c>
      <c r="S41" s="4">
        <f>SUM(L41:N41)</f>
        <v>1225.6100000000001</v>
      </c>
      <c r="T41" s="4"/>
      <c r="U41" s="4">
        <f>SUM(C41:N41)</f>
        <v>47864.39</v>
      </c>
      <c r="W41" s="25">
        <f t="shared" si="22"/>
        <v>0</v>
      </c>
    </row>
    <row r="42" spans="2:26" x14ac:dyDescent="0.2">
      <c r="W42" s="25"/>
    </row>
    <row r="43" spans="2:26" x14ac:dyDescent="0.2">
      <c r="B43" s="1" t="s">
        <v>44</v>
      </c>
      <c r="C43" s="5">
        <f>+'2025 Detail'!C56</f>
        <v>3334341.02</v>
      </c>
      <c r="D43" s="5">
        <f>+C48</f>
        <v>3317111.04</v>
      </c>
      <c r="E43" s="5">
        <f t="shared" ref="E43:N43" si="34">+D48</f>
        <v>3677069.87</v>
      </c>
      <c r="F43" s="5">
        <f t="shared" si="34"/>
        <v>3325973.37</v>
      </c>
      <c r="G43" s="5">
        <f t="shared" si="34"/>
        <v>2956020.34</v>
      </c>
      <c r="H43" s="5">
        <f t="shared" si="34"/>
        <v>2520253.0099999998</v>
      </c>
      <c r="I43" s="5">
        <f t="shared" si="34"/>
        <v>2023283.28</v>
      </c>
      <c r="J43" s="5">
        <f t="shared" si="34"/>
        <v>1726104.66</v>
      </c>
      <c r="K43" s="5">
        <f t="shared" si="34"/>
        <v>1329558.9099999999</v>
      </c>
      <c r="L43" s="5">
        <f t="shared" si="34"/>
        <v>954185.8</v>
      </c>
      <c r="M43" s="5">
        <f t="shared" si="34"/>
        <v>736558.98</v>
      </c>
      <c r="N43" s="5">
        <f t="shared" si="34"/>
        <v>670150.07999999996</v>
      </c>
      <c r="O43" s="5"/>
      <c r="P43" s="5">
        <f>+C43</f>
        <v>3334341.02</v>
      </c>
      <c r="Q43" s="5">
        <f>+P48</f>
        <v>3325973</v>
      </c>
      <c r="R43" s="5">
        <f>+Q48</f>
        <v>2023283</v>
      </c>
      <c r="S43" s="5">
        <f>+R48</f>
        <v>954186</v>
      </c>
      <c r="T43" s="5"/>
      <c r="U43" s="5">
        <f>+P43</f>
        <v>3334341.02</v>
      </c>
      <c r="W43" s="25"/>
    </row>
    <row r="44" spans="2:26" x14ac:dyDescent="0.2">
      <c r="W44" s="25"/>
    </row>
    <row r="45" spans="2:26" x14ac:dyDescent="0.2">
      <c r="B45" s="7" t="s">
        <v>45</v>
      </c>
      <c r="C45" s="4">
        <f>C8-C33+SUM(C35:C41)</f>
        <v>-217229.39999999997</v>
      </c>
      <c r="D45" s="4">
        <f>D8-D33+SUM(D35:D41)</f>
        <v>-390040.61000000004</v>
      </c>
      <c r="E45" s="4">
        <f>E8-E33+SUM(E35:E41)</f>
        <v>-351096.50000000006</v>
      </c>
      <c r="F45" s="4">
        <f>F8-F33+SUM(F35:F41)</f>
        <v>-369953.02999999991</v>
      </c>
      <c r="G45" s="4">
        <f>G8-G33+SUM(G35:G41)</f>
        <v>-435767.32999999996</v>
      </c>
      <c r="H45" s="4">
        <f t="shared" ref="H45" si="35">H8-H33+SUM(H35:H41)</f>
        <v>-471969.7300000001</v>
      </c>
      <c r="I45" s="4">
        <f t="shared" ref="I45:N45" si="36">I8-I33+SUM(I35:I41)</f>
        <v>-297178.61999999994</v>
      </c>
      <c r="J45" s="4">
        <f t="shared" si="36"/>
        <v>-396545.75000000006</v>
      </c>
      <c r="K45" s="4">
        <f t="shared" ref="K45" si="37">K8-K33+SUM(K35:K41)</f>
        <v>-375373.11000000004</v>
      </c>
      <c r="L45" s="4">
        <f t="shared" si="36"/>
        <v>-217626.81999999998</v>
      </c>
      <c r="M45" s="4">
        <f t="shared" si="36"/>
        <v>-66408.900000000023</v>
      </c>
      <c r="N45" s="38">
        <f t="shared" si="36"/>
        <v>318960.65000000002</v>
      </c>
      <c r="O45" s="4"/>
      <c r="P45" s="4">
        <f>SUM(C45:E45)</f>
        <v>-958366.51</v>
      </c>
      <c r="Q45" s="4">
        <f>SUM(F45:H45)</f>
        <v>-1277690.0899999999</v>
      </c>
      <c r="R45" s="4">
        <f>SUM(I45:K45)</f>
        <v>-1069097.48</v>
      </c>
      <c r="S45" s="4">
        <f>SUM(L45:N45)</f>
        <v>34924.930000000051</v>
      </c>
      <c r="T45" s="4"/>
      <c r="U45" s="4">
        <f>SUM(C45:N45)</f>
        <v>-3270229.15</v>
      </c>
      <c r="W45" s="25">
        <f>ROUND(SUM(P45:S45)-U45,2)</f>
        <v>0</v>
      </c>
    </row>
    <row r="46" spans="2:26" x14ac:dyDescent="0.2">
      <c r="B46" s="7" t="s">
        <v>50</v>
      </c>
      <c r="C46" s="4">
        <f>+'2025 Detail'!C59</f>
        <v>199999.41999999998</v>
      </c>
      <c r="D46" s="4">
        <f>+'2025 Detail'!D59</f>
        <v>749999.44</v>
      </c>
      <c r="E46" s="4">
        <f>+'2025 Detail'!E59</f>
        <v>0</v>
      </c>
      <c r="F46" s="4">
        <f>+'2025 Detail'!F59</f>
        <v>0</v>
      </c>
      <c r="G46" s="4">
        <f>+'2025 Detail'!G59</f>
        <v>0</v>
      </c>
      <c r="H46" s="4">
        <f>+'2025 Detail'!H59</f>
        <v>-25000</v>
      </c>
      <c r="I46" s="4">
        <f>+'2025 Detail'!I59</f>
        <v>0</v>
      </c>
      <c r="J46" s="4">
        <f>+'2025 Detail'!J59</f>
        <v>0</v>
      </c>
      <c r="K46" s="4">
        <f>+'2025 Detail'!K59</f>
        <v>0</v>
      </c>
      <c r="L46" s="4">
        <f>+'2025 Detail'!L59</f>
        <v>0</v>
      </c>
      <c r="M46" s="4">
        <f>+'2025 Detail'!M59</f>
        <v>0</v>
      </c>
      <c r="N46" s="38">
        <f>+'2025 Detail'!N59</f>
        <v>-25000</v>
      </c>
      <c r="O46" s="4"/>
      <c r="P46" s="4">
        <f>SUM(C46:E46)</f>
        <v>949998.85999999987</v>
      </c>
      <c r="Q46" s="4">
        <f>SUM(F46:H46)</f>
        <v>-25000</v>
      </c>
      <c r="R46" s="4">
        <f>SUM(I46:K46)</f>
        <v>0</v>
      </c>
      <c r="S46" s="4">
        <f>SUM(L46:N46)</f>
        <v>-25000</v>
      </c>
      <c r="T46" s="4"/>
      <c r="U46" s="4">
        <f>SUM(C46:N46)</f>
        <v>899998.85999999987</v>
      </c>
      <c r="W46" s="25">
        <f>ROUND(SUM(P46:S46)-U46,2)</f>
        <v>0</v>
      </c>
    </row>
    <row r="47" spans="2:26" x14ac:dyDescent="0.2">
      <c r="B47" s="7"/>
      <c r="W47" s="3"/>
    </row>
    <row r="48" spans="2:26" x14ac:dyDescent="0.2">
      <c r="B48" s="8" t="s">
        <v>46</v>
      </c>
      <c r="C48" s="34">
        <f>ROUND(+C43+C45+C46,2)</f>
        <v>3317111.04</v>
      </c>
      <c r="D48" s="34">
        <f t="shared" ref="D48:N48" si="38">ROUND(+D43+D45+D46,2)</f>
        <v>3677069.87</v>
      </c>
      <c r="E48" s="34">
        <f t="shared" si="38"/>
        <v>3325973.37</v>
      </c>
      <c r="F48" s="34">
        <f t="shared" si="38"/>
        <v>2956020.34</v>
      </c>
      <c r="G48" s="34">
        <f t="shared" si="38"/>
        <v>2520253.0099999998</v>
      </c>
      <c r="H48" s="34">
        <f t="shared" si="38"/>
        <v>2023283.28</v>
      </c>
      <c r="I48" s="34">
        <f t="shared" si="38"/>
        <v>1726104.66</v>
      </c>
      <c r="J48" s="34">
        <f t="shared" si="38"/>
        <v>1329558.9099999999</v>
      </c>
      <c r="K48" s="34">
        <f t="shared" si="38"/>
        <v>954185.8</v>
      </c>
      <c r="L48" s="34">
        <f t="shared" si="38"/>
        <v>736558.98</v>
      </c>
      <c r="M48" s="34">
        <f t="shared" si="38"/>
        <v>670150.07999999996</v>
      </c>
      <c r="N48" s="34">
        <f t="shared" si="38"/>
        <v>964110.73</v>
      </c>
      <c r="O48" s="34"/>
      <c r="P48" s="34">
        <f t="shared" ref="P48:U48" si="39">ROUND(+P43+P45+P46,0)</f>
        <v>3325973</v>
      </c>
      <c r="Q48" s="34">
        <f t="shared" si="39"/>
        <v>2023283</v>
      </c>
      <c r="R48" s="34">
        <f t="shared" si="39"/>
        <v>954186</v>
      </c>
      <c r="S48" s="34">
        <f t="shared" si="39"/>
        <v>964111</v>
      </c>
      <c r="T48" s="34"/>
      <c r="U48" s="34">
        <f t="shared" si="39"/>
        <v>964111</v>
      </c>
      <c r="W48" s="3"/>
      <c r="Y48" s="4"/>
    </row>
    <row r="49" spans="2:26" x14ac:dyDescent="0.2">
      <c r="G49" s="4"/>
      <c r="H49" s="4"/>
      <c r="I49" s="4"/>
      <c r="J49" s="4"/>
      <c r="Y49" s="4"/>
      <c r="Z49" s="4"/>
    </row>
    <row r="50" spans="2:26" x14ac:dyDescent="0.2">
      <c r="B50" s="1" t="s">
        <v>192</v>
      </c>
      <c r="C50" s="4">
        <f t="shared" ref="C50:N50" si="40">+C8</f>
        <v>276138.86</v>
      </c>
      <c r="D50" s="4">
        <f t="shared" si="40"/>
        <v>353659.1</v>
      </c>
      <c r="E50" s="4">
        <f t="shared" si="40"/>
        <v>275252.47999999998</v>
      </c>
      <c r="F50" s="4">
        <f t="shared" si="40"/>
        <v>212032.7</v>
      </c>
      <c r="G50" s="4">
        <f t="shared" si="40"/>
        <v>192782.4</v>
      </c>
      <c r="H50" s="4">
        <f t="shared" si="40"/>
        <v>116067.4</v>
      </c>
      <c r="I50" s="4">
        <f t="shared" si="40"/>
        <v>325181</v>
      </c>
      <c r="J50" s="4">
        <f t="shared" si="40"/>
        <v>185438.6</v>
      </c>
      <c r="K50" s="4">
        <f t="shared" si="40"/>
        <v>108977.5</v>
      </c>
      <c r="L50" s="4">
        <f t="shared" si="40"/>
        <v>274333.2</v>
      </c>
      <c r="M50" s="4">
        <f t="shared" si="40"/>
        <v>424510.1</v>
      </c>
      <c r="N50" s="4">
        <f t="shared" si="40"/>
        <v>847932.6</v>
      </c>
      <c r="P50" s="4">
        <f>+P8</f>
        <v>905050.44</v>
      </c>
      <c r="Q50" s="4">
        <f>+Q8</f>
        <v>520882.5</v>
      </c>
      <c r="R50" s="4">
        <f>+R8</f>
        <v>619597.1</v>
      </c>
      <c r="S50" s="4">
        <f>+S8</f>
        <v>1546775.9</v>
      </c>
      <c r="U50" s="4">
        <f>+U8</f>
        <v>3592305.94</v>
      </c>
      <c r="Y50" s="4"/>
      <c r="Z50" s="4"/>
    </row>
    <row r="51" spans="2:26" x14ac:dyDescent="0.2">
      <c r="B51" s="1" t="s">
        <v>193</v>
      </c>
      <c r="C51" s="4">
        <f t="shared" ref="C51:N51" si="41">+C10+C14</f>
        <v>237094.68600000002</v>
      </c>
      <c r="D51" s="4">
        <f t="shared" si="41"/>
        <v>373512.68800000002</v>
      </c>
      <c r="E51" s="4">
        <f t="shared" si="41"/>
        <v>223536.75750000001</v>
      </c>
      <c r="F51" s="4">
        <f t="shared" si="41"/>
        <v>187863.7805882353</v>
      </c>
      <c r="G51" s="4">
        <f t="shared" si="41"/>
        <v>191763.049375</v>
      </c>
      <c r="H51" s="4">
        <f t="shared" si="41"/>
        <v>197231.83117647062</v>
      </c>
      <c r="I51" s="4">
        <f t="shared" si="41"/>
        <v>187788.92176470588</v>
      </c>
      <c r="J51" s="4">
        <f t="shared" si="41"/>
        <v>186132.84222222224</v>
      </c>
      <c r="K51" s="4">
        <f t="shared" si="41"/>
        <v>188525.38</v>
      </c>
      <c r="L51" s="4">
        <f t="shared" si="41"/>
        <v>194858.93333333332</v>
      </c>
      <c r="M51" s="4">
        <f t="shared" si="41"/>
        <v>195112.19500000001</v>
      </c>
      <c r="N51" s="4">
        <f t="shared" si="41"/>
        <v>194610</v>
      </c>
      <c r="P51" s="4">
        <f>+P10+P14</f>
        <v>834144.13150000013</v>
      </c>
      <c r="Q51" s="4">
        <f>+Q10+Q14</f>
        <v>576858.66113970592</v>
      </c>
      <c r="R51" s="4">
        <f>+R10+R14</f>
        <v>562447.14398692816</v>
      </c>
      <c r="S51" s="4">
        <f>+S10+S14</f>
        <v>584581.1283333333</v>
      </c>
      <c r="U51" s="4">
        <f>+U10+U14</f>
        <v>2558031.0649599666</v>
      </c>
    </row>
    <row r="52" spans="2:26" x14ac:dyDescent="0.2">
      <c r="B52" s="1" t="s">
        <v>194</v>
      </c>
      <c r="C52" s="4">
        <f>+C50-C51</f>
        <v>39044.17399999997</v>
      </c>
      <c r="D52" s="4">
        <f t="shared" ref="D52:N52" si="42">+D50-D51</f>
        <v>-19853.588000000047</v>
      </c>
      <c r="E52" s="4">
        <f t="shared" si="42"/>
        <v>51715.722499999974</v>
      </c>
      <c r="F52" s="4">
        <f t="shared" si="42"/>
        <v>24168.919411764713</v>
      </c>
      <c r="G52" s="4">
        <f t="shared" si="42"/>
        <v>1019.3506249999919</v>
      </c>
      <c r="H52" s="4">
        <f t="shared" si="42"/>
        <v>-81164.431176470622</v>
      </c>
      <c r="I52" s="4">
        <f t="shared" si="42"/>
        <v>137392.07823529412</v>
      </c>
      <c r="J52" s="4">
        <f t="shared" si="42"/>
        <v>-694.24222222223761</v>
      </c>
      <c r="K52" s="4">
        <f t="shared" si="42"/>
        <v>-79547.88</v>
      </c>
      <c r="L52" s="4">
        <f t="shared" si="42"/>
        <v>79474.266666666692</v>
      </c>
      <c r="M52" s="4">
        <f t="shared" si="42"/>
        <v>229397.90499999997</v>
      </c>
      <c r="N52" s="4">
        <f t="shared" si="42"/>
        <v>653322.6</v>
      </c>
      <c r="P52" s="4">
        <f t="shared" ref="P52" si="43">+P50-P51</f>
        <v>70906.30849999981</v>
      </c>
      <c r="Q52" s="4">
        <f t="shared" ref="Q52" si="44">+Q50-Q51</f>
        <v>-55976.161139705917</v>
      </c>
      <c r="R52" s="4">
        <f t="shared" ref="R52" si="45">+R50-R51</f>
        <v>57149.956013071816</v>
      </c>
      <c r="S52" s="4">
        <f t="shared" ref="S52" si="46">+S50-S51</f>
        <v>962194.77166666661</v>
      </c>
      <c r="U52" s="4">
        <f t="shared" ref="U52" si="47">+U50-U51</f>
        <v>1034274.8750400334</v>
      </c>
      <c r="Y52" s="40"/>
    </row>
    <row r="53" spans="2:26" x14ac:dyDescent="0.2">
      <c r="B53" s="1" t="s">
        <v>195</v>
      </c>
      <c r="C53" s="40">
        <f>+C52/C50</f>
        <v>0.14139326134684546</v>
      </c>
      <c r="D53" s="40">
        <f t="shared" ref="D53:N53" si="48">+D52/D50</f>
        <v>-5.6137642153135742E-2</v>
      </c>
      <c r="E53" s="40">
        <f t="shared" si="48"/>
        <v>0.187884674099939</v>
      </c>
      <c r="F53" s="40">
        <f t="shared" si="48"/>
        <v>0.11398675492867238</v>
      </c>
      <c r="G53" s="40">
        <f t="shared" si="48"/>
        <v>5.2875709867705343E-3</v>
      </c>
      <c r="H53" s="40">
        <f t="shared" si="48"/>
        <v>-0.69928706231440207</v>
      </c>
      <c r="I53" s="40">
        <f t="shared" si="48"/>
        <v>0.42250955078954217</v>
      </c>
      <c r="J53" s="40">
        <f t="shared" si="48"/>
        <v>-3.743784855053034E-3</v>
      </c>
      <c r="K53" s="40">
        <f t="shared" si="48"/>
        <v>-0.72994774150627428</v>
      </c>
      <c r="L53" s="40">
        <f t="shared" si="48"/>
        <v>0.28969977628178684</v>
      </c>
      <c r="M53" s="40">
        <f t="shared" si="48"/>
        <v>0.54038267876312007</v>
      </c>
      <c r="N53" s="40">
        <f t="shared" si="48"/>
        <v>0.77048883366437382</v>
      </c>
      <c r="P53" s="40">
        <f t="shared" ref="P53" si="49">+P52/P50</f>
        <v>7.834514560315535E-2</v>
      </c>
      <c r="Q53" s="40">
        <f t="shared" ref="Q53" si="50">+Q52/Q50</f>
        <v>-0.10746408477863226</v>
      </c>
      <c r="R53" s="40">
        <f t="shared" ref="R53" si="51">+R52/R50</f>
        <v>9.2237287768247814E-2</v>
      </c>
      <c r="S53" s="40">
        <f t="shared" ref="S53" si="52">+S52/S50</f>
        <v>0.62206475525424643</v>
      </c>
      <c r="U53" s="40">
        <f t="shared" ref="U53" si="53">+U52/U50</f>
        <v>0.28791391722054538</v>
      </c>
    </row>
    <row r="54" spans="2:26" x14ac:dyDescent="0.2">
      <c r="G54" s="4"/>
      <c r="H54" s="4"/>
      <c r="I54" s="4"/>
      <c r="J54" s="4"/>
    </row>
    <row r="55" spans="2:26" x14ac:dyDescent="0.2">
      <c r="B55" s="7" t="s">
        <v>13</v>
      </c>
      <c r="C55" s="4">
        <f>+C48-'2025 Detail'!C61</f>
        <v>0</v>
      </c>
      <c r="D55" s="4">
        <f>+D48-'2025 Detail'!D61</f>
        <v>0</v>
      </c>
      <c r="E55" s="4">
        <f>+E48-'2025 Detail'!E61</f>
        <v>0</v>
      </c>
      <c r="F55" s="4">
        <f>+F48-'2025 Detail'!F61</f>
        <v>0</v>
      </c>
      <c r="G55" s="4">
        <f>+G48-'2025 Detail'!G61</f>
        <v>0</v>
      </c>
      <c r="H55" s="4">
        <f>+H48-'2025 Detail'!H61</f>
        <v>0</v>
      </c>
      <c r="I55" s="4">
        <f>+I48-'2025 Detail'!I61</f>
        <v>0</v>
      </c>
      <c r="J55" s="4">
        <f>+J48-'2025 Detail'!J61</f>
        <v>0</v>
      </c>
      <c r="K55" s="4">
        <f>+K48-'2025 Detail'!K61</f>
        <v>0</v>
      </c>
      <c r="L55" s="4">
        <f>+L48-'2025 Detail'!L61</f>
        <v>0</v>
      </c>
      <c r="M55" s="4">
        <f>+M48-'2025 Detail'!M61</f>
        <v>0</v>
      </c>
      <c r="N55" s="4">
        <f>+N48-'2025 Detail'!N61</f>
        <v>0</v>
      </c>
      <c r="P55" s="4"/>
      <c r="Q55" s="4"/>
      <c r="R55" s="4"/>
      <c r="S55" s="4"/>
      <c r="U55" s="4"/>
    </row>
    <row r="56" spans="2:26" x14ac:dyDescent="0.2">
      <c r="G56" s="4"/>
    </row>
    <row r="57" spans="2:26" x14ac:dyDescent="0.2">
      <c r="G57" s="4"/>
    </row>
    <row r="58" spans="2:26" x14ac:dyDescent="0.2">
      <c r="B58" s="104"/>
      <c r="C58" s="105"/>
      <c r="D58" s="106"/>
      <c r="E58" s="107"/>
      <c r="F58" s="105"/>
      <c r="G58" s="106"/>
      <c r="H58" s="107"/>
      <c r="I58" s="105"/>
      <c r="J58" s="106"/>
      <c r="K58" s="107"/>
      <c r="L58" s="105"/>
      <c r="M58" s="106"/>
      <c r="N58" s="107"/>
      <c r="O58" s="108"/>
      <c r="P58" s="106"/>
      <c r="Q58" s="106"/>
      <c r="R58" s="106"/>
      <c r="S58" s="106"/>
      <c r="T58" s="108"/>
      <c r="U58" s="106"/>
    </row>
    <row r="59" spans="2:26" x14ac:dyDescent="0.2">
      <c r="B59" s="109"/>
      <c r="C59" s="110"/>
      <c r="D59" s="111"/>
      <c r="E59" s="112"/>
      <c r="F59" s="110"/>
      <c r="G59" s="111"/>
      <c r="H59" s="112"/>
      <c r="I59" s="110"/>
      <c r="J59" s="111"/>
      <c r="K59" s="112"/>
      <c r="L59" s="110"/>
      <c r="M59" s="111"/>
      <c r="N59" s="112"/>
      <c r="O59" s="113"/>
      <c r="P59" s="111"/>
      <c r="Q59" s="111"/>
      <c r="R59" s="111"/>
      <c r="S59" s="111"/>
      <c r="T59" s="113"/>
      <c r="U59" s="111"/>
    </row>
    <row r="60" spans="2:26" x14ac:dyDescent="0.2">
      <c r="B60" s="114" t="s">
        <v>552</v>
      </c>
      <c r="C60" s="120">
        <v>493368.44999999995</v>
      </c>
      <c r="D60" s="115">
        <v>622040</v>
      </c>
      <c r="E60" s="121">
        <v>947756.66666666663</v>
      </c>
      <c r="F60" s="120">
        <v>607656.66666666663</v>
      </c>
      <c r="G60" s="115">
        <v>581529.96666666667</v>
      </c>
      <c r="H60" s="121">
        <v>632904.96666666667</v>
      </c>
      <c r="I60" s="120">
        <v>616471.6333333333</v>
      </c>
      <c r="J60" s="115">
        <v>694721.6333333333</v>
      </c>
      <c r="K60" s="121">
        <v>643788.30000000005</v>
      </c>
      <c r="L60" s="120">
        <v>560604.96666666667</v>
      </c>
      <c r="M60" s="115">
        <v>580376.66666666663</v>
      </c>
      <c r="N60" s="121">
        <v>623260</v>
      </c>
      <c r="O60" s="115"/>
      <c r="P60" s="115">
        <f>SUM(C60:E60)</f>
        <v>2063165.1166666667</v>
      </c>
      <c r="Q60" s="115">
        <f>SUM(F60:H60)</f>
        <v>1822091.6</v>
      </c>
      <c r="R60" s="115">
        <f>SUM(I60:K60)</f>
        <v>1954981.5666666667</v>
      </c>
      <c r="S60" s="115">
        <f>SUM(L60:N60)</f>
        <v>1764241.6333333333</v>
      </c>
      <c r="T60" s="115"/>
      <c r="U60" s="115">
        <f>SUM(P60:S60)</f>
        <v>7604479.916666666</v>
      </c>
    </row>
    <row r="61" spans="2:26" x14ac:dyDescent="0.2">
      <c r="B61" s="116" t="s">
        <v>553</v>
      </c>
      <c r="C61" s="128">
        <f>+C33-SUM(C35:C41)</f>
        <v>493368.25999999995</v>
      </c>
      <c r="D61" s="117">
        <f t="shared" ref="D61:N61" si="54">+D33-SUM(D35:D41)</f>
        <v>743699.71000000008</v>
      </c>
      <c r="E61" s="129">
        <f t="shared" si="54"/>
        <v>626348.98</v>
      </c>
      <c r="F61" s="128">
        <f t="shared" si="54"/>
        <v>581985.72999999986</v>
      </c>
      <c r="G61" s="117">
        <f t="shared" si="54"/>
        <v>628549.73</v>
      </c>
      <c r="H61" s="129">
        <f t="shared" si="54"/>
        <v>588037.13000000012</v>
      </c>
      <c r="I61" s="128">
        <f t="shared" si="54"/>
        <v>622359.62</v>
      </c>
      <c r="J61" s="117">
        <f t="shared" si="54"/>
        <v>581984.35000000009</v>
      </c>
      <c r="K61" s="129">
        <f t="shared" si="54"/>
        <v>484350.61000000004</v>
      </c>
      <c r="L61" s="128">
        <f t="shared" si="54"/>
        <v>491960.02</v>
      </c>
      <c r="M61" s="117">
        <f t="shared" si="54"/>
        <v>490919</v>
      </c>
      <c r="N61" s="129">
        <f t="shared" si="54"/>
        <v>528971.94999999995</v>
      </c>
      <c r="O61" s="117"/>
      <c r="P61" s="117">
        <f t="shared" ref="P61:P62" si="55">SUM(C61:E61)</f>
        <v>1863416.95</v>
      </c>
      <c r="Q61" s="117">
        <f t="shared" ref="Q61:Q62" si="56">SUM(F61:H61)</f>
        <v>1798572.59</v>
      </c>
      <c r="R61" s="117">
        <f t="shared" ref="R61:R62" si="57">SUM(I61:K61)</f>
        <v>1688694.5800000003</v>
      </c>
      <c r="S61" s="117">
        <f t="shared" ref="S61:S62" si="58">SUM(L61:N61)</f>
        <v>1511850.97</v>
      </c>
      <c r="T61" s="117"/>
      <c r="U61" s="117">
        <f t="shared" ref="U61:U62" si="59">SUM(P61:S61)</f>
        <v>6862535.0899999999</v>
      </c>
    </row>
    <row r="62" spans="2:26" x14ac:dyDescent="0.2">
      <c r="B62" s="116" t="s">
        <v>554</v>
      </c>
      <c r="C62" s="128">
        <f>C60-C61</f>
        <v>0.19000000000232831</v>
      </c>
      <c r="D62" s="117">
        <f t="shared" ref="D62:N62" si="60">D60-D61</f>
        <v>-121659.71000000008</v>
      </c>
      <c r="E62" s="129">
        <f t="shared" si="60"/>
        <v>321407.68666666665</v>
      </c>
      <c r="F62" s="128">
        <f t="shared" si="60"/>
        <v>25670.936666666763</v>
      </c>
      <c r="G62" s="117">
        <f t="shared" si="60"/>
        <v>-47019.763333333307</v>
      </c>
      <c r="H62" s="129">
        <f t="shared" si="60"/>
        <v>44867.836666666553</v>
      </c>
      <c r="I62" s="128">
        <f t="shared" si="60"/>
        <v>-5887.9866666666931</v>
      </c>
      <c r="J62" s="117">
        <f t="shared" si="60"/>
        <v>112737.28333333321</v>
      </c>
      <c r="K62" s="129">
        <f t="shared" si="60"/>
        <v>159437.69</v>
      </c>
      <c r="L62" s="128">
        <f t="shared" si="60"/>
        <v>68644.946666666656</v>
      </c>
      <c r="M62" s="117">
        <f t="shared" si="60"/>
        <v>89457.666666666628</v>
      </c>
      <c r="N62" s="129">
        <f t="shared" si="60"/>
        <v>94288.050000000047</v>
      </c>
      <c r="O62" s="117"/>
      <c r="P62" s="117">
        <f t="shared" si="55"/>
        <v>199748.16666666657</v>
      </c>
      <c r="Q62" s="117">
        <f t="shared" si="56"/>
        <v>23519.010000000009</v>
      </c>
      <c r="R62" s="117">
        <f t="shared" si="57"/>
        <v>266286.98666666652</v>
      </c>
      <c r="S62" s="117">
        <f t="shared" si="58"/>
        <v>252390.66333333333</v>
      </c>
      <c r="T62" s="117"/>
      <c r="U62" s="117">
        <f t="shared" si="59"/>
        <v>741944.82666666643</v>
      </c>
    </row>
    <row r="63" spans="2:26" x14ac:dyDescent="0.2">
      <c r="B63" s="118"/>
      <c r="C63" s="130"/>
      <c r="D63" s="131"/>
      <c r="E63" s="132">
        <f>SUM(C62:E62)</f>
        <v>199748.16666666657</v>
      </c>
      <c r="F63" s="130"/>
      <c r="G63" s="131"/>
      <c r="H63" s="132">
        <f>SUM(F62:H62)</f>
        <v>23519.010000000009</v>
      </c>
      <c r="I63" s="130"/>
      <c r="J63" s="131"/>
      <c r="K63" s="132">
        <f>SUM(I62:K62)</f>
        <v>266286.98666666652</v>
      </c>
      <c r="L63" s="130"/>
      <c r="M63" s="131"/>
      <c r="N63" s="132">
        <f>SUM(L62:N62)</f>
        <v>252390.66333333333</v>
      </c>
      <c r="O63" s="131"/>
      <c r="P63" s="131"/>
      <c r="Q63" s="131"/>
      <c r="R63" s="131"/>
      <c r="S63" s="131"/>
      <c r="T63" s="131"/>
      <c r="U63" s="131"/>
    </row>
    <row r="64" spans="2:26" x14ac:dyDescent="0.2">
      <c r="B64" s="119"/>
      <c r="C64" s="133"/>
      <c r="D64" s="134"/>
      <c r="E64" s="135"/>
      <c r="F64" s="133"/>
      <c r="G64" s="134"/>
      <c r="H64" s="135"/>
      <c r="I64" s="133"/>
      <c r="J64" s="134"/>
      <c r="K64" s="135"/>
      <c r="L64" s="133"/>
      <c r="M64" s="134"/>
      <c r="N64" s="135"/>
      <c r="O64" s="134"/>
      <c r="P64" s="134"/>
      <c r="Q64" s="134"/>
      <c r="R64" s="134"/>
      <c r="S64" s="134"/>
      <c r="T64" s="134"/>
      <c r="U64" s="134"/>
    </row>
    <row r="65" spans="2:21" x14ac:dyDescent="0.2">
      <c r="B65" s="114" t="s">
        <v>555</v>
      </c>
      <c r="C65" s="120">
        <v>276138.45999999996</v>
      </c>
      <c r="D65" s="115">
        <v>459359</v>
      </c>
      <c r="E65" s="121">
        <v>206789.93333333335</v>
      </c>
      <c r="F65" s="120">
        <v>294789.93333333335</v>
      </c>
      <c r="G65" s="115">
        <v>304289.93333333329</v>
      </c>
      <c r="H65" s="121">
        <v>264089.93333333335</v>
      </c>
      <c r="I65" s="120">
        <v>404089.93333333335</v>
      </c>
      <c r="J65" s="115">
        <v>562006.6</v>
      </c>
      <c r="K65" s="121">
        <v>518673.26666666666</v>
      </c>
      <c r="L65" s="120">
        <v>661173.2666666666</v>
      </c>
      <c r="M65" s="115">
        <v>924839.93333333335</v>
      </c>
      <c r="N65" s="121">
        <v>412339.93333333335</v>
      </c>
      <c r="O65" s="115"/>
      <c r="P65" s="115">
        <f t="shared" ref="P65:P67" si="61">SUM(C65:E65)</f>
        <v>942287.39333333331</v>
      </c>
      <c r="Q65" s="115">
        <f t="shared" ref="Q65:Q67" si="62">SUM(F65:H65)</f>
        <v>863169.8</v>
      </c>
      <c r="R65" s="115">
        <f t="shared" ref="R65:R67" si="63">SUM(I65:K65)</f>
        <v>1484769.8</v>
      </c>
      <c r="S65" s="115">
        <f t="shared" ref="S65:S67" si="64">SUM(L65:N65)</f>
        <v>1998353.1333333333</v>
      </c>
      <c r="T65" s="115"/>
      <c r="U65" s="115">
        <f t="shared" ref="U65:U67" si="65">SUM(P65:S65)</f>
        <v>5288580.1266666669</v>
      </c>
    </row>
    <row r="66" spans="2:21" x14ac:dyDescent="0.2">
      <c r="B66" s="116" t="s">
        <v>556</v>
      </c>
      <c r="C66" s="128">
        <f>+C8</f>
        <v>276138.86</v>
      </c>
      <c r="D66" s="117">
        <f t="shared" ref="D66:N66" si="66">+D8</f>
        <v>353659.1</v>
      </c>
      <c r="E66" s="129">
        <f t="shared" si="66"/>
        <v>275252.47999999998</v>
      </c>
      <c r="F66" s="128">
        <f t="shared" si="66"/>
        <v>212032.7</v>
      </c>
      <c r="G66" s="117">
        <f t="shared" si="66"/>
        <v>192782.4</v>
      </c>
      <c r="H66" s="129">
        <f t="shared" si="66"/>
        <v>116067.4</v>
      </c>
      <c r="I66" s="128">
        <f t="shared" si="66"/>
        <v>325181</v>
      </c>
      <c r="J66" s="117">
        <f t="shared" si="66"/>
        <v>185438.6</v>
      </c>
      <c r="K66" s="129">
        <f t="shared" si="66"/>
        <v>108977.5</v>
      </c>
      <c r="L66" s="128">
        <f t="shared" si="66"/>
        <v>274333.2</v>
      </c>
      <c r="M66" s="117">
        <f t="shared" si="66"/>
        <v>424510.1</v>
      </c>
      <c r="N66" s="129">
        <f t="shared" si="66"/>
        <v>847932.6</v>
      </c>
      <c r="O66" s="117"/>
      <c r="P66" s="117">
        <f t="shared" si="61"/>
        <v>905050.44</v>
      </c>
      <c r="Q66" s="117">
        <f t="shared" si="62"/>
        <v>520882.5</v>
      </c>
      <c r="R66" s="117">
        <f t="shared" si="63"/>
        <v>619597.1</v>
      </c>
      <c r="S66" s="117">
        <f t="shared" si="64"/>
        <v>1546775.9</v>
      </c>
      <c r="T66" s="117"/>
      <c r="U66" s="117">
        <f t="shared" si="65"/>
        <v>3592305.94</v>
      </c>
    </row>
    <row r="67" spans="2:21" x14ac:dyDescent="0.2">
      <c r="B67" s="116" t="s">
        <v>554</v>
      </c>
      <c r="C67" s="128">
        <f>C66-C65</f>
        <v>0.40000000002328306</v>
      </c>
      <c r="D67" s="117">
        <f t="shared" ref="D67:N67" si="67">D66-D65</f>
        <v>-105699.90000000002</v>
      </c>
      <c r="E67" s="129">
        <f t="shared" si="67"/>
        <v>68462.546666666633</v>
      </c>
      <c r="F67" s="128">
        <f t="shared" si="67"/>
        <v>-82757.233333333337</v>
      </c>
      <c r="G67" s="117">
        <f t="shared" si="67"/>
        <v>-111507.5333333333</v>
      </c>
      <c r="H67" s="129">
        <f t="shared" si="67"/>
        <v>-148022.53333333335</v>
      </c>
      <c r="I67" s="128">
        <f t="shared" si="67"/>
        <v>-78908.933333333349</v>
      </c>
      <c r="J67" s="117">
        <f t="shared" si="67"/>
        <v>-376568</v>
      </c>
      <c r="K67" s="129">
        <f t="shared" si="67"/>
        <v>-409695.76666666666</v>
      </c>
      <c r="L67" s="128">
        <f t="shared" si="67"/>
        <v>-386840.06666666659</v>
      </c>
      <c r="M67" s="117">
        <f t="shared" si="67"/>
        <v>-500329.83333333337</v>
      </c>
      <c r="N67" s="129">
        <f t="shared" si="67"/>
        <v>435592.66666666663</v>
      </c>
      <c r="O67" s="117"/>
      <c r="P67" s="117">
        <f t="shared" si="61"/>
        <v>-37236.953333333367</v>
      </c>
      <c r="Q67" s="117">
        <f t="shared" si="62"/>
        <v>-342287.3</v>
      </c>
      <c r="R67" s="117">
        <f t="shared" si="63"/>
        <v>-865172.7</v>
      </c>
      <c r="S67" s="117">
        <f t="shared" si="64"/>
        <v>-451577.23333333328</v>
      </c>
      <c r="T67" s="117"/>
      <c r="U67" s="117">
        <f t="shared" si="65"/>
        <v>-1696274.1866666665</v>
      </c>
    </row>
    <row r="68" spans="2:21" x14ac:dyDescent="0.2">
      <c r="B68" s="118"/>
      <c r="C68" s="130"/>
      <c r="D68" s="131"/>
      <c r="E68" s="132">
        <f>SUM(C67:E67)</f>
        <v>-37236.953333333367</v>
      </c>
      <c r="F68" s="130"/>
      <c r="G68" s="131"/>
      <c r="H68" s="132">
        <f>SUM(F67:H67)</f>
        <v>-342287.3</v>
      </c>
      <c r="I68" s="130"/>
      <c r="J68" s="131"/>
      <c r="K68" s="132">
        <f>SUM(I67:K67)</f>
        <v>-865172.7</v>
      </c>
      <c r="L68" s="130"/>
      <c r="M68" s="131"/>
      <c r="N68" s="132">
        <f>SUM(L67:N67)</f>
        <v>-451577.23333333328</v>
      </c>
      <c r="O68" s="131"/>
      <c r="P68" s="131"/>
      <c r="Q68" s="131"/>
      <c r="R68" s="131"/>
      <c r="S68" s="131"/>
      <c r="T68" s="131"/>
      <c r="U68" s="131"/>
    </row>
    <row r="69" spans="2:21" x14ac:dyDescent="0.2">
      <c r="C69" s="136"/>
      <c r="D69" s="4"/>
      <c r="E69" s="127"/>
      <c r="F69" s="136"/>
      <c r="G69" s="4"/>
      <c r="H69" s="127"/>
      <c r="I69" s="136"/>
      <c r="J69" s="4"/>
      <c r="K69" s="127"/>
      <c r="L69" s="136"/>
      <c r="M69" s="4"/>
      <c r="N69" s="127"/>
      <c r="O69" s="4"/>
      <c r="P69" s="4"/>
      <c r="Q69" s="4"/>
      <c r="R69" s="4"/>
      <c r="S69" s="4"/>
      <c r="T69" s="4"/>
      <c r="U69" s="4"/>
    </row>
    <row r="70" spans="2:21" x14ac:dyDescent="0.2">
      <c r="B70" s="114" t="s">
        <v>557</v>
      </c>
      <c r="C70" s="120">
        <f t="shared" ref="C70:N70" si="68">+C65-C60</f>
        <v>-217229.99</v>
      </c>
      <c r="D70" s="115">
        <f t="shared" si="68"/>
        <v>-162681</v>
      </c>
      <c r="E70" s="121">
        <f t="shared" si="68"/>
        <v>-740966.73333333328</v>
      </c>
      <c r="F70" s="120">
        <f t="shared" si="68"/>
        <v>-312866.73333333328</v>
      </c>
      <c r="G70" s="115">
        <f t="shared" si="68"/>
        <v>-277240.03333333338</v>
      </c>
      <c r="H70" s="121">
        <f t="shared" si="68"/>
        <v>-368815.03333333333</v>
      </c>
      <c r="I70" s="120">
        <f t="shared" si="68"/>
        <v>-212381.69999999995</v>
      </c>
      <c r="J70" s="115">
        <f t="shared" si="68"/>
        <v>-132715.03333333333</v>
      </c>
      <c r="K70" s="121">
        <f t="shared" si="68"/>
        <v>-125115.03333333338</v>
      </c>
      <c r="L70" s="120">
        <f t="shared" si="68"/>
        <v>100568.29999999993</v>
      </c>
      <c r="M70" s="115">
        <f t="shared" si="68"/>
        <v>344463.26666666672</v>
      </c>
      <c r="N70" s="121">
        <f t="shared" si="68"/>
        <v>-210920.06666666665</v>
      </c>
      <c r="O70" s="115"/>
      <c r="P70" s="115">
        <f t="shared" ref="P70:P72" si="69">SUM(C70:E70)</f>
        <v>-1120877.7233333332</v>
      </c>
      <c r="Q70" s="115">
        <f t="shared" ref="Q70:Q72" si="70">SUM(F70:H70)</f>
        <v>-958921.79999999993</v>
      </c>
      <c r="R70" s="115">
        <f t="shared" ref="R70:R72" si="71">SUM(I70:K70)</f>
        <v>-470211.76666666666</v>
      </c>
      <c r="S70" s="115">
        <f t="shared" ref="S70:S72" si="72">SUM(L70:N70)</f>
        <v>234111.5</v>
      </c>
      <c r="T70" s="115"/>
      <c r="U70" s="115">
        <f t="shared" ref="U70:U72" si="73">SUM(P70:S70)</f>
        <v>-2315899.7899999996</v>
      </c>
    </row>
    <row r="71" spans="2:21" x14ac:dyDescent="0.2">
      <c r="B71" s="122" t="s">
        <v>558</v>
      </c>
      <c r="C71" s="123">
        <f t="shared" ref="C71:N71" si="74">+C66-C61</f>
        <v>-217229.39999999997</v>
      </c>
      <c r="D71" s="124">
        <f t="shared" si="74"/>
        <v>-390040.6100000001</v>
      </c>
      <c r="E71" s="125">
        <f t="shared" si="74"/>
        <v>-351096.5</v>
      </c>
      <c r="F71" s="123">
        <f t="shared" si="74"/>
        <v>-369953.02999999985</v>
      </c>
      <c r="G71" s="124">
        <f t="shared" si="74"/>
        <v>-435767.32999999996</v>
      </c>
      <c r="H71" s="125">
        <f t="shared" si="74"/>
        <v>-471969.7300000001</v>
      </c>
      <c r="I71" s="123">
        <f t="shared" si="74"/>
        <v>-297178.62</v>
      </c>
      <c r="J71" s="124">
        <f t="shared" si="74"/>
        <v>-396545.75000000012</v>
      </c>
      <c r="K71" s="125">
        <f t="shared" si="74"/>
        <v>-375373.11000000004</v>
      </c>
      <c r="L71" s="123">
        <f t="shared" si="74"/>
        <v>-217626.82</v>
      </c>
      <c r="M71" s="124">
        <f t="shared" si="74"/>
        <v>-66408.900000000023</v>
      </c>
      <c r="N71" s="125">
        <f t="shared" si="74"/>
        <v>318960.65000000002</v>
      </c>
      <c r="O71" s="117"/>
      <c r="P71" s="117">
        <f t="shared" si="69"/>
        <v>-958366.51</v>
      </c>
      <c r="Q71" s="117">
        <f t="shared" si="70"/>
        <v>-1277690.0899999999</v>
      </c>
      <c r="R71" s="117">
        <f t="shared" si="71"/>
        <v>-1069097.4800000002</v>
      </c>
      <c r="S71" s="117">
        <f t="shared" si="72"/>
        <v>34924.929999999993</v>
      </c>
      <c r="T71" s="117"/>
      <c r="U71" s="117">
        <f t="shared" si="73"/>
        <v>-3270229.15</v>
      </c>
    </row>
    <row r="72" spans="2:21" x14ac:dyDescent="0.2">
      <c r="B72" s="122" t="s">
        <v>559</v>
      </c>
      <c r="C72" s="123">
        <f>C62+C67</f>
        <v>0.59000000002561137</v>
      </c>
      <c r="D72" s="124">
        <f>D71-D70</f>
        <v>-227359.6100000001</v>
      </c>
      <c r="E72" s="124">
        <f>E71-E70</f>
        <v>389870.23333333328</v>
      </c>
      <c r="F72" s="123">
        <f t="shared" ref="F72:N72" si="75">F62+F67</f>
        <v>-57086.296666666574</v>
      </c>
      <c r="G72" s="124">
        <f t="shared" si="75"/>
        <v>-158527.2966666666</v>
      </c>
      <c r="H72" s="125">
        <f t="shared" si="75"/>
        <v>-103154.6966666668</v>
      </c>
      <c r="I72" s="123">
        <f t="shared" si="75"/>
        <v>-84796.920000000042</v>
      </c>
      <c r="J72" s="124">
        <f t="shared" si="75"/>
        <v>-263830.71666666679</v>
      </c>
      <c r="K72" s="125">
        <f t="shared" si="75"/>
        <v>-250258.07666666666</v>
      </c>
      <c r="L72" s="123">
        <f t="shared" si="75"/>
        <v>-318195.11999999994</v>
      </c>
      <c r="M72" s="124">
        <f t="shared" si="75"/>
        <v>-410872.16666666674</v>
      </c>
      <c r="N72" s="125">
        <f t="shared" si="75"/>
        <v>529880.71666666667</v>
      </c>
      <c r="O72" s="117"/>
      <c r="P72" s="117">
        <f t="shared" si="69"/>
        <v>162511.2133333332</v>
      </c>
      <c r="Q72" s="117">
        <f t="shared" si="70"/>
        <v>-318768.28999999998</v>
      </c>
      <c r="R72" s="117">
        <f t="shared" si="71"/>
        <v>-598885.71333333349</v>
      </c>
      <c r="S72" s="117">
        <f t="shared" si="72"/>
        <v>-199186.56999999995</v>
      </c>
      <c r="T72" s="117"/>
      <c r="U72" s="117">
        <f t="shared" si="73"/>
        <v>-954329.36000000022</v>
      </c>
    </row>
    <row r="73" spans="2:21" x14ac:dyDescent="0.2">
      <c r="B73" s="126"/>
      <c r="C73" s="137"/>
      <c r="D73" s="138"/>
      <c r="E73" s="139">
        <f>SUM(C72:E72)</f>
        <v>162511.2133333332</v>
      </c>
      <c r="F73" s="137"/>
      <c r="G73" s="138"/>
      <c r="H73" s="139">
        <f>SUM(F72:H72)</f>
        <v>-318768.28999999998</v>
      </c>
      <c r="I73" s="137"/>
      <c r="J73" s="138"/>
      <c r="K73" s="139">
        <f>SUM(I72:K72)</f>
        <v>-598885.71333333349</v>
      </c>
      <c r="L73" s="137"/>
      <c r="M73" s="138"/>
      <c r="N73" s="139">
        <f>SUM(L72:N72)</f>
        <v>-199186.56999999995</v>
      </c>
      <c r="O73" s="131"/>
      <c r="P73" s="131"/>
      <c r="Q73" s="131"/>
      <c r="R73" s="131"/>
      <c r="S73" s="131"/>
      <c r="T73" s="131"/>
      <c r="U73" s="131"/>
    </row>
    <row r="74" spans="2:21" x14ac:dyDescent="0.2">
      <c r="C74" s="136"/>
      <c r="D74" s="4"/>
      <c r="E74" s="127"/>
      <c r="F74" s="136"/>
      <c r="G74" s="4"/>
      <c r="H74" s="127"/>
      <c r="I74" s="136"/>
      <c r="J74" s="4"/>
      <c r="K74" s="127"/>
      <c r="L74" s="136"/>
      <c r="M74" s="4"/>
      <c r="N74" s="127">
        <f>U71</f>
        <v>-3270229.15</v>
      </c>
      <c r="O74" s="4"/>
      <c r="P74" s="4"/>
      <c r="Q74" s="4"/>
      <c r="R74" s="4"/>
      <c r="S74" s="4"/>
      <c r="T74" s="4"/>
      <c r="U74" s="4"/>
    </row>
  </sheetData>
  <pageMargins left="0.25" right="0.25" top="0.75" bottom="0.75" header="0.3" footer="0.3"/>
  <pageSetup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CF88-6B71-4CE0-A54C-631737BEDF3E}">
  <sheetPr>
    <pageSetUpPr fitToPage="1"/>
  </sheetPr>
  <dimension ref="A2:Y71"/>
  <sheetViews>
    <sheetView workbookViewId="0">
      <pane xSplit="4" ySplit="3" topLeftCell="E4" activePane="bottomRight" state="frozen"/>
      <selection activeCell="B20" sqref="B20:U20"/>
      <selection pane="topRight" activeCell="B20" sqref="B20:U20"/>
      <selection pane="bottomLeft" activeCell="B20" sqref="B20:U20"/>
      <selection pane="bottomRight" activeCell="B20" sqref="B20:U20"/>
    </sheetView>
  </sheetViews>
  <sheetFormatPr baseColWidth="10" defaultColWidth="9.1640625" defaultRowHeight="14" x14ac:dyDescent="0.2"/>
  <cols>
    <col min="1" max="1" width="2.6640625" style="1" hidden="1" customWidth="1"/>
    <col min="2" max="2" width="27.5" style="1" hidden="1" customWidth="1"/>
    <col min="3" max="3" width="2.6640625" style="1" customWidth="1"/>
    <col min="4" max="4" width="30.6640625" style="1" customWidth="1"/>
    <col min="5" max="16" width="10.6640625" style="1" customWidth="1"/>
    <col min="17" max="17" width="2.6640625" style="1" customWidth="1"/>
    <col min="18" max="21" width="10.6640625" style="1" customWidth="1"/>
    <col min="22" max="22" width="2.6640625" style="1" customWidth="1"/>
    <col min="23" max="23" width="10.6640625" style="1" customWidth="1"/>
    <col min="24" max="24" width="2.6640625" style="1" customWidth="1"/>
    <col min="25" max="25" width="6.6640625" style="1" customWidth="1"/>
    <col min="26" max="16384" width="9.1640625" style="1"/>
  </cols>
  <sheetData>
    <row r="2" spans="2:25" x14ac:dyDescent="0.2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2025</v>
      </c>
      <c r="Y2" s="3" t="s">
        <v>13</v>
      </c>
    </row>
    <row r="3" spans="2:25" x14ac:dyDescent="0.2">
      <c r="D3" s="24" t="str">
        <f>+Version!$C$3</f>
        <v>Y2025 12 v001</v>
      </c>
      <c r="Y3" s="3"/>
    </row>
    <row r="4" spans="2:25" x14ac:dyDescent="0.2">
      <c r="D4" s="24"/>
      <c r="Y4" s="3"/>
    </row>
    <row r="5" spans="2:25" x14ac:dyDescent="0.2">
      <c r="B5" s="3"/>
      <c r="D5" s="7" t="s">
        <v>63</v>
      </c>
      <c r="E5" s="38" t="e">
        <f>+#REF!</f>
        <v>#REF!</v>
      </c>
      <c r="F5" s="38" t="e">
        <f>+#REF!</f>
        <v>#REF!</v>
      </c>
      <c r="G5" s="38" t="e">
        <f>+#REF!</f>
        <v>#REF!</v>
      </c>
      <c r="H5" s="38" t="e">
        <f>+#REF!</f>
        <v>#REF!</v>
      </c>
      <c r="I5" s="38" t="e">
        <f>+#REF!</f>
        <v>#REF!</v>
      </c>
      <c r="J5" s="38" t="e">
        <f>+#REF!</f>
        <v>#REF!</v>
      </c>
      <c r="K5" s="38" t="e">
        <f>+#REF!</f>
        <v>#REF!</v>
      </c>
      <c r="L5" s="38" t="e">
        <f>+#REF!</f>
        <v>#REF!</v>
      </c>
      <c r="M5" s="38" t="e">
        <f>+#REF!</f>
        <v>#REF!</v>
      </c>
      <c r="N5" s="38" t="e">
        <f>+#REF!</f>
        <v>#REF!</v>
      </c>
      <c r="O5" s="38" t="e">
        <f>+#REF!</f>
        <v>#REF!</v>
      </c>
      <c r="P5" s="38" t="e">
        <f>+#REF!</f>
        <v>#REF!</v>
      </c>
      <c r="Q5" s="4"/>
      <c r="R5" s="4" t="e">
        <f>SUM(E5:G5)</f>
        <v>#REF!</v>
      </c>
      <c r="S5" s="4" t="e">
        <f>SUM(H5:J5)</f>
        <v>#REF!</v>
      </c>
      <c r="T5" s="4" t="e">
        <f>SUM(K5:M5)</f>
        <v>#REF!</v>
      </c>
      <c r="U5" s="4" t="e">
        <f>SUM(N5:P5)</f>
        <v>#REF!</v>
      </c>
      <c r="V5" s="4"/>
      <c r="W5" s="4" t="e">
        <f>SUM(E5:P5)</f>
        <v>#REF!</v>
      </c>
      <c r="Y5" s="25" t="e">
        <f>ROUND(SUM(R5:U5)-W5,2)</f>
        <v>#REF!</v>
      </c>
    </row>
    <row r="6" spans="2:25" x14ac:dyDescent="0.2">
      <c r="D6" s="7" t="s">
        <v>87</v>
      </c>
      <c r="E6" s="38" t="e">
        <f>+#REF!</f>
        <v>#REF!</v>
      </c>
      <c r="F6" s="38" t="e">
        <f>+#REF!</f>
        <v>#REF!</v>
      </c>
      <c r="G6" s="38" t="e">
        <f>+#REF!</f>
        <v>#REF!</v>
      </c>
      <c r="H6" s="38" t="e">
        <f>+#REF!</f>
        <v>#REF!</v>
      </c>
      <c r="I6" s="38" t="e">
        <f>+#REF!</f>
        <v>#REF!</v>
      </c>
      <c r="J6" s="38" t="e">
        <f>+#REF!</f>
        <v>#REF!</v>
      </c>
      <c r="K6" s="38" t="e">
        <f>+#REF!</f>
        <v>#REF!</v>
      </c>
      <c r="L6" s="38" t="e">
        <f>+#REF!</f>
        <v>#REF!</v>
      </c>
      <c r="M6" s="38" t="e">
        <f>+#REF!</f>
        <v>#REF!</v>
      </c>
      <c r="N6" s="38" t="e">
        <f>+#REF!</f>
        <v>#REF!</v>
      </c>
      <c r="O6" s="38" t="e">
        <f>+#REF!</f>
        <v>#REF!</v>
      </c>
      <c r="P6" s="38" t="e">
        <f>+#REF!</f>
        <v>#REF!</v>
      </c>
      <c r="Q6" s="4"/>
      <c r="R6" s="4" t="e">
        <f>SUM(E6:G6)</f>
        <v>#REF!</v>
      </c>
      <c r="S6" s="4" t="e">
        <f>SUM(H6:J6)</f>
        <v>#REF!</v>
      </c>
      <c r="T6" s="4" t="e">
        <f>SUM(K6:M6)</f>
        <v>#REF!</v>
      </c>
      <c r="U6" s="4" t="e">
        <f>SUM(N6:P6)</f>
        <v>#REF!</v>
      </c>
      <c r="V6" s="4"/>
      <c r="W6" s="4" t="e">
        <f>SUM(E6:P6)</f>
        <v>#REF!</v>
      </c>
      <c r="Y6" s="25" t="e">
        <f>ROUND(SUM(R6:U6)-W6,2)</f>
        <v>#REF!</v>
      </c>
    </row>
    <row r="7" spans="2:25" x14ac:dyDescent="0.2">
      <c r="D7" s="7" t="s">
        <v>64</v>
      </c>
      <c r="E7" s="38" t="e">
        <f>+#REF!</f>
        <v>#REF!</v>
      </c>
      <c r="F7" s="38" t="e">
        <f>+#REF!</f>
        <v>#REF!</v>
      </c>
      <c r="G7" s="38" t="e">
        <f>+#REF!</f>
        <v>#REF!</v>
      </c>
      <c r="H7" s="38" t="e">
        <f>+#REF!</f>
        <v>#REF!</v>
      </c>
      <c r="I7" s="38" t="e">
        <f>+#REF!</f>
        <v>#REF!</v>
      </c>
      <c r="J7" s="38" t="e">
        <f>+#REF!</f>
        <v>#REF!</v>
      </c>
      <c r="K7" s="38" t="e">
        <f>+#REF!</f>
        <v>#REF!</v>
      </c>
      <c r="L7" s="38" t="e">
        <f>+#REF!</f>
        <v>#REF!</v>
      </c>
      <c r="M7" s="38" t="e">
        <f>+#REF!</f>
        <v>#REF!</v>
      </c>
      <c r="N7" s="38" t="e">
        <f>+#REF!</f>
        <v>#REF!</v>
      </c>
      <c r="O7" s="38" t="e">
        <f>+#REF!</f>
        <v>#REF!</v>
      </c>
      <c r="P7" s="38" t="e">
        <f>+#REF!</f>
        <v>#REF!</v>
      </c>
      <c r="Q7" s="4"/>
      <c r="R7" s="4" t="e">
        <f>SUM(E7:G7)</f>
        <v>#REF!</v>
      </c>
      <c r="S7" s="4" t="e">
        <f>SUM(H7:J7)</f>
        <v>#REF!</v>
      </c>
      <c r="T7" s="4" t="e">
        <f>SUM(K7:M7)</f>
        <v>#REF!</v>
      </c>
      <c r="U7" s="4" t="e">
        <f>SUM(N7:P7)</f>
        <v>#REF!</v>
      </c>
      <c r="V7" s="4"/>
      <c r="W7" s="4" t="e">
        <f>SUM(E7:P7)</f>
        <v>#REF!</v>
      </c>
      <c r="Y7" s="25" t="e">
        <f>ROUND(SUM(R7:U7)-W7,2)</f>
        <v>#REF!</v>
      </c>
    </row>
    <row r="8" spans="2:25" x14ac:dyDescent="0.2">
      <c r="D8" s="7" t="s">
        <v>189</v>
      </c>
      <c r="E8" s="38" t="e">
        <f>+#REF!</f>
        <v>#REF!</v>
      </c>
      <c r="F8" s="38" t="e">
        <f>+#REF!</f>
        <v>#REF!</v>
      </c>
      <c r="G8" s="38" t="e">
        <f>+#REF!</f>
        <v>#REF!</v>
      </c>
      <c r="H8" s="38" t="e">
        <f>+#REF!</f>
        <v>#REF!</v>
      </c>
      <c r="I8" s="38" t="e">
        <f>+#REF!</f>
        <v>#REF!</v>
      </c>
      <c r="J8" s="38" t="e">
        <f>+#REF!</f>
        <v>#REF!</v>
      </c>
      <c r="K8" s="38" t="e">
        <f>+#REF!</f>
        <v>#REF!</v>
      </c>
      <c r="L8" s="38" t="e">
        <f>+#REF!</f>
        <v>#REF!</v>
      </c>
      <c r="M8" s="38" t="e">
        <f>+#REF!</f>
        <v>#REF!</v>
      </c>
      <c r="N8" s="38" t="e">
        <f>+#REF!</f>
        <v>#REF!</v>
      </c>
      <c r="O8" s="38" t="e">
        <f>+#REF!</f>
        <v>#REF!</v>
      </c>
      <c r="P8" s="38" t="e">
        <f>+#REF!</f>
        <v>#REF!</v>
      </c>
      <c r="Q8" s="4"/>
      <c r="R8" s="4" t="e">
        <f>SUM(E8:G8)</f>
        <v>#REF!</v>
      </c>
      <c r="S8" s="4" t="e">
        <f>SUM(H8:J8)</f>
        <v>#REF!</v>
      </c>
      <c r="T8" s="4" t="e">
        <f>SUM(K8:M8)</f>
        <v>#REF!</v>
      </c>
      <c r="U8" s="4" t="e">
        <f>SUM(N8:P8)</f>
        <v>#REF!</v>
      </c>
      <c r="V8" s="4"/>
      <c r="W8" s="4" t="e">
        <f>SUM(E8:P8)</f>
        <v>#REF!</v>
      </c>
      <c r="Y8" s="25" t="e">
        <f>ROUND(SUM(R8:U8)-W8,2)</f>
        <v>#REF!</v>
      </c>
    </row>
    <row r="9" spans="2:25" x14ac:dyDescent="0.2">
      <c r="D9" s="8" t="s">
        <v>84</v>
      </c>
      <c r="E9" s="34" t="e">
        <f>SUM(E5:E8)</f>
        <v>#REF!</v>
      </c>
      <c r="F9" s="34" t="e">
        <f t="shared" ref="F9:P9" si="1">SUM(F5:F8)</f>
        <v>#REF!</v>
      </c>
      <c r="G9" s="34" t="e">
        <f t="shared" si="1"/>
        <v>#REF!</v>
      </c>
      <c r="H9" s="34" t="e">
        <f t="shared" si="1"/>
        <v>#REF!</v>
      </c>
      <c r="I9" s="34" t="e">
        <f t="shared" si="1"/>
        <v>#REF!</v>
      </c>
      <c r="J9" s="34" t="e">
        <f t="shared" si="1"/>
        <v>#REF!</v>
      </c>
      <c r="K9" s="34" t="e">
        <f t="shared" si="1"/>
        <v>#REF!</v>
      </c>
      <c r="L9" s="34" t="e">
        <f t="shared" si="1"/>
        <v>#REF!</v>
      </c>
      <c r="M9" s="34" t="e">
        <f t="shared" si="1"/>
        <v>#REF!</v>
      </c>
      <c r="N9" s="34" t="e">
        <f t="shared" si="1"/>
        <v>#REF!</v>
      </c>
      <c r="O9" s="34" t="e">
        <f t="shared" si="1"/>
        <v>#REF!</v>
      </c>
      <c r="P9" s="34" t="e">
        <f t="shared" si="1"/>
        <v>#REF!</v>
      </c>
      <c r="Q9" s="34"/>
      <c r="R9" s="34" t="e">
        <f t="shared" ref="R9:W9" si="2">SUM(R5:R8)</f>
        <v>#REF!</v>
      </c>
      <c r="S9" s="34" t="e">
        <f t="shared" si="2"/>
        <v>#REF!</v>
      </c>
      <c r="T9" s="34" t="e">
        <f t="shared" si="2"/>
        <v>#REF!</v>
      </c>
      <c r="U9" s="34" t="e">
        <f t="shared" si="2"/>
        <v>#REF!</v>
      </c>
      <c r="V9" s="34"/>
      <c r="W9" s="34" t="e">
        <f t="shared" si="2"/>
        <v>#REF!</v>
      </c>
      <c r="Y9" s="25" t="e">
        <f>ROUND(SUM(R9:U9)-W9,2)</f>
        <v>#REF!</v>
      </c>
    </row>
    <row r="10" spans="2:25" ht="6" customHeight="1" x14ac:dyDescent="0.2">
      <c r="D10" s="24"/>
      <c r="Y10" s="3"/>
    </row>
    <row r="11" spans="2:25" x14ac:dyDescent="0.2">
      <c r="D11" s="7" t="s">
        <v>63</v>
      </c>
      <c r="E11" s="38" t="e">
        <f>+#REF!</f>
        <v>#REF!</v>
      </c>
      <c r="F11" s="38" t="e">
        <f>+#REF!</f>
        <v>#REF!</v>
      </c>
      <c r="G11" s="38" t="e">
        <f>+#REF!</f>
        <v>#REF!</v>
      </c>
      <c r="H11" s="38" t="e">
        <f>+#REF!</f>
        <v>#REF!</v>
      </c>
      <c r="I11" s="38" t="e">
        <f>+#REF!</f>
        <v>#REF!</v>
      </c>
      <c r="J11" s="38" t="e">
        <f>+#REF!</f>
        <v>#REF!</v>
      </c>
      <c r="K11" s="38" t="e">
        <f>+#REF!</f>
        <v>#REF!</v>
      </c>
      <c r="L11" s="38" t="e">
        <f>+#REF!</f>
        <v>#REF!</v>
      </c>
      <c r="M11" s="38" t="e">
        <f>+#REF!</f>
        <v>#REF!</v>
      </c>
      <c r="N11" s="38" t="e">
        <f>+#REF!</f>
        <v>#REF!</v>
      </c>
      <c r="O11" s="38" t="e">
        <f>+#REF!</f>
        <v>#REF!</v>
      </c>
      <c r="P11" s="38" t="e">
        <f>+#REF!</f>
        <v>#REF!</v>
      </c>
      <c r="Q11" s="4"/>
      <c r="R11" s="4" t="e">
        <f>SUM(E11:G11)</f>
        <v>#REF!</v>
      </c>
      <c r="S11" s="4" t="e">
        <f>SUM(H11:J11)</f>
        <v>#REF!</v>
      </c>
      <c r="T11" s="4" t="e">
        <f>SUM(K11:M11)</f>
        <v>#REF!</v>
      </c>
      <c r="U11" s="4" t="e">
        <f>SUM(N11:P11)</f>
        <v>#REF!</v>
      </c>
      <c r="V11" s="4"/>
      <c r="W11" s="4" t="e">
        <f>SUM(E11:P11)</f>
        <v>#REF!</v>
      </c>
      <c r="Y11" s="25" t="e">
        <f>ROUND(SUM(R11:U11)-W11,2)</f>
        <v>#REF!</v>
      </c>
    </row>
    <row r="12" spans="2:25" x14ac:dyDescent="0.2">
      <c r="D12" s="7" t="s">
        <v>87</v>
      </c>
      <c r="E12" s="38" t="e">
        <f>+#REF!</f>
        <v>#REF!</v>
      </c>
      <c r="F12" s="38" t="e">
        <f>+#REF!</f>
        <v>#REF!</v>
      </c>
      <c r="G12" s="38" t="e">
        <f>+#REF!</f>
        <v>#REF!</v>
      </c>
      <c r="H12" s="38" t="e">
        <f>+#REF!</f>
        <v>#REF!</v>
      </c>
      <c r="I12" s="38" t="e">
        <f>+#REF!</f>
        <v>#REF!</v>
      </c>
      <c r="J12" s="38" t="e">
        <f>+#REF!</f>
        <v>#REF!</v>
      </c>
      <c r="K12" s="38" t="e">
        <f>+#REF!</f>
        <v>#REF!</v>
      </c>
      <c r="L12" s="38" t="e">
        <f>+#REF!</f>
        <v>#REF!</v>
      </c>
      <c r="M12" s="38" t="e">
        <f>+#REF!</f>
        <v>#REF!</v>
      </c>
      <c r="N12" s="38" t="e">
        <f>+#REF!</f>
        <v>#REF!</v>
      </c>
      <c r="O12" s="38" t="e">
        <f>+#REF!</f>
        <v>#REF!</v>
      </c>
      <c r="P12" s="38" t="e">
        <f>+#REF!</f>
        <v>#REF!</v>
      </c>
      <c r="Q12" s="4"/>
      <c r="R12" s="4" t="e">
        <f>SUM(E12:G12)</f>
        <v>#REF!</v>
      </c>
      <c r="S12" s="4" t="e">
        <f>SUM(H12:J12)</f>
        <v>#REF!</v>
      </c>
      <c r="T12" s="4" t="e">
        <f>SUM(K12:M12)</f>
        <v>#REF!</v>
      </c>
      <c r="U12" s="4" t="e">
        <f>SUM(N12:P12)</f>
        <v>#REF!</v>
      </c>
      <c r="V12" s="4"/>
      <c r="W12" s="4" t="e">
        <f>SUM(E12:P12)</f>
        <v>#REF!</v>
      </c>
      <c r="Y12" s="25" t="e">
        <f>ROUND(SUM(R12:U12)-W12,2)</f>
        <v>#REF!</v>
      </c>
    </row>
    <row r="13" spans="2:25" x14ac:dyDescent="0.2">
      <c r="D13" s="7" t="s">
        <v>64</v>
      </c>
      <c r="E13" s="38" t="e">
        <f>+#REF!</f>
        <v>#REF!</v>
      </c>
      <c r="F13" s="38" t="e">
        <f>+#REF!</f>
        <v>#REF!</v>
      </c>
      <c r="G13" s="38" t="e">
        <f>+#REF!</f>
        <v>#REF!</v>
      </c>
      <c r="H13" s="38" t="e">
        <f>+#REF!</f>
        <v>#REF!</v>
      </c>
      <c r="I13" s="38" t="e">
        <f>+#REF!</f>
        <v>#REF!</v>
      </c>
      <c r="J13" s="38" t="e">
        <f>+#REF!</f>
        <v>#REF!</v>
      </c>
      <c r="K13" s="38" t="e">
        <f>+#REF!</f>
        <v>#REF!</v>
      </c>
      <c r="L13" s="38" t="e">
        <f>+#REF!</f>
        <v>#REF!</v>
      </c>
      <c r="M13" s="38" t="e">
        <f>+#REF!</f>
        <v>#REF!</v>
      </c>
      <c r="N13" s="38" t="e">
        <f>+#REF!</f>
        <v>#REF!</v>
      </c>
      <c r="O13" s="38" t="e">
        <f>+#REF!</f>
        <v>#REF!</v>
      </c>
      <c r="P13" s="38" t="e">
        <f>+#REF!</f>
        <v>#REF!</v>
      </c>
      <c r="Q13" s="4"/>
      <c r="R13" s="4" t="e">
        <f>SUM(E13:G13)</f>
        <v>#REF!</v>
      </c>
      <c r="S13" s="4" t="e">
        <f>SUM(H13:J13)</f>
        <v>#REF!</v>
      </c>
      <c r="T13" s="4" t="e">
        <f>SUM(K13:M13)</f>
        <v>#REF!</v>
      </c>
      <c r="U13" s="4" t="e">
        <f>SUM(N13:P13)</f>
        <v>#REF!</v>
      </c>
      <c r="V13" s="4"/>
      <c r="W13" s="4" t="e">
        <f>SUM(E13:P13)</f>
        <v>#REF!</v>
      </c>
      <c r="Y13" s="25" t="e">
        <f>ROUND(SUM(R13:U13)-W13,2)</f>
        <v>#REF!</v>
      </c>
    </row>
    <row r="14" spans="2:25" x14ac:dyDescent="0.2">
      <c r="D14" s="7" t="s">
        <v>189</v>
      </c>
      <c r="E14" s="38" t="e">
        <f>+#REF!</f>
        <v>#REF!</v>
      </c>
      <c r="F14" s="38" t="e">
        <f>+#REF!</f>
        <v>#REF!</v>
      </c>
      <c r="G14" s="38" t="e">
        <f>+#REF!</f>
        <v>#REF!</v>
      </c>
      <c r="H14" s="38" t="e">
        <f>+#REF!</f>
        <v>#REF!</v>
      </c>
      <c r="I14" s="38" t="e">
        <f>+#REF!</f>
        <v>#REF!</v>
      </c>
      <c r="J14" s="38" t="e">
        <f>+#REF!</f>
        <v>#REF!</v>
      </c>
      <c r="K14" s="38" t="e">
        <f>+#REF!</f>
        <v>#REF!</v>
      </c>
      <c r="L14" s="38" t="e">
        <f>+#REF!</f>
        <v>#REF!</v>
      </c>
      <c r="M14" s="38" t="e">
        <f>+#REF!</f>
        <v>#REF!</v>
      </c>
      <c r="N14" s="38" t="e">
        <f>+#REF!</f>
        <v>#REF!</v>
      </c>
      <c r="O14" s="38" t="e">
        <f>+#REF!</f>
        <v>#REF!</v>
      </c>
      <c r="P14" s="38" t="e">
        <f>+#REF!</f>
        <v>#REF!</v>
      </c>
      <c r="Q14" s="4"/>
      <c r="R14" s="4" t="e">
        <f>SUM(E14:G14)</f>
        <v>#REF!</v>
      </c>
      <c r="S14" s="4" t="e">
        <f>SUM(H14:J14)</f>
        <v>#REF!</v>
      </c>
      <c r="T14" s="4" t="e">
        <f>SUM(K14:M14)</f>
        <v>#REF!</v>
      </c>
      <c r="U14" s="4" t="e">
        <f>SUM(N14:P14)</f>
        <v>#REF!</v>
      </c>
      <c r="V14" s="4"/>
      <c r="W14" s="4" t="e">
        <f>SUM(E14:P14)</f>
        <v>#REF!</v>
      </c>
      <c r="Y14" s="25" t="e">
        <f>ROUND(SUM(R14:U14)-W14,2)</f>
        <v>#REF!</v>
      </c>
    </row>
    <row r="15" spans="2:25" x14ac:dyDescent="0.2">
      <c r="D15" s="8" t="s">
        <v>83</v>
      </c>
      <c r="E15" s="34" t="e">
        <f>SUM(E11:E14)</f>
        <v>#REF!</v>
      </c>
      <c r="F15" s="34" t="e">
        <f t="shared" ref="F15:P15" si="3">SUM(F11:F14)</f>
        <v>#REF!</v>
      </c>
      <c r="G15" s="34" t="e">
        <f t="shared" si="3"/>
        <v>#REF!</v>
      </c>
      <c r="H15" s="34" t="e">
        <f t="shared" si="3"/>
        <v>#REF!</v>
      </c>
      <c r="I15" s="34" t="e">
        <f t="shared" si="3"/>
        <v>#REF!</v>
      </c>
      <c r="J15" s="34" t="e">
        <f t="shared" si="3"/>
        <v>#REF!</v>
      </c>
      <c r="K15" s="34" t="e">
        <f t="shared" si="3"/>
        <v>#REF!</v>
      </c>
      <c r="L15" s="34" t="e">
        <f t="shared" si="3"/>
        <v>#REF!</v>
      </c>
      <c r="M15" s="34" t="e">
        <f t="shared" si="3"/>
        <v>#REF!</v>
      </c>
      <c r="N15" s="34" t="e">
        <f t="shared" si="3"/>
        <v>#REF!</v>
      </c>
      <c r="O15" s="34" t="e">
        <f t="shared" si="3"/>
        <v>#REF!</v>
      </c>
      <c r="P15" s="34" t="e">
        <f t="shared" si="3"/>
        <v>#REF!</v>
      </c>
      <c r="Q15" s="34"/>
      <c r="R15" s="34" t="e">
        <f t="shared" ref="R15:U15" si="4">SUM(R11:R14)</f>
        <v>#REF!</v>
      </c>
      <c r="S15" s="34" t="e">
        <f t="shared" si="4"/>
        <v>#REF!</v>
      </c>
      <c r="T15" s="34" t="e">
        <f t="shared" si="4"/>
        <v>#REF!</v>
      </c>
      <c r="U15" s="34" t="e">
        <f t="shared" si="4"/>
        <v>#REF!</v>
      </c>
      <c r="V15" s="34"/>
      <c r="W15" s="34" t="e">
        <f t="shared" ref="W15" si="5">SUM(W11:W14)</f>
        <v>#REF!</v>
      </c>
      <c r="Y15" s="25" t="e">
        <f>ROUND(SUM(R15:U15)-W15,2)</f>
        <v>#REF!</v>
      </c>
    </row>
    <row r="16" spans="2:25" ht="6" customHeight="1" x14ac:dyDescent="0.2">
      <c r="D16" s="24"/>
      <c r="Y16" s="3"/>
    </row>
    <row r="17" spans="2:25" x14ac:dyDescent="0.2">
      <c r="B17" s="3"/>
      <c r="D17" s="8" t="s">
        <v>42</v>
      </c>
      <c r="E17" s="34" t="e">
        <f t="shared" ref="E17:P17" si="6">+E9+E15</f>
        <v>#REF!</v>
      </c>
      <c r="F17" s="34" t="e">
        <f t="shared" si="6"/>
        <v>#REF!</v>
      </c>
      <c r="G17" s="34" t="e">
        <f t="shared" si="6"/>
        <v>#REF!</v>
      </c>
      <c r="H17" s="34" t="e">
        <f t="shared" si="6"/>
        <v>#REF!</v>
      </c>
      <c r="I17" s="34" t="e">
        <f t="shared" si="6"/>
        <v>#REF!</v>
      </c>
      <c r="J17" s="34" t="e">
        <f t="shared" si="6"/>
        <v>#REF!</v>
      </c>
      <c r="K17" s="34" t="e">
        <f t="shared" si="6"/>
        <v>#REF!</v>
      </c>
      <c r="L17" s="34" t="e">
        <f t="shared" si="6"/>
        <v>#REF!</v>
      </c>
      <c r="M17" s="34" t="e">
        <f t="shared" si="6"/>
        <v>#REF!</v>
      </c>
      <c r="N17" s="34" t="e">
        <f t="shared" si="6"/>
        <v>#REF!</v>
      </c>
      <c r="O17" s="34" t="e">
        <f t="shared" si="6"/>
        <v>#REF!</v>
      </c>
      <c r="P17" s="34" t="e">
        <f t="shared" si="6"/>
        <v>#REF!</v>
      </c>
      <c r="Q17" s="34"/>
      <c r="R17" s="34" t="e">
        <f>+R9+R15</f>
        <v>#REF!</v>
      </c>
      <c r="S17" s="34" t="e">
        <f>+S9+S15</f>
        <v>#REF!</v>
      </c>
      <c r="T17" s="34" t="e">
        <f>+T9+T15</f>
        <v>#REF!</v>
      </c>
      <c r="U17" s="34" t="e">
        <f>+U9+U15</f>
        <v>#REF!</v>
      </c>
      <c r="V17" s="34"/>
      <c r="W17" s="34" t="e">
        <f>+W9+W15</f>
        <v>#REF!</v>
      </c>
      <c r="Y17" s="25" t="e">
        <f>ROUND(SUM(R17:U17)-W17,2)</f>
        <v>#REF!</v>
      </c>
    </row>
    <row r="18" spans="2:25" x14ac:dyDescent="0.2">
      <c r="B18" s="3"/>
      <c r="D18" s="8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Y18" s="25"/>
    </row>
    <row r="19" spans="2:25" x14ac:dyDescent="0.2">
      <c r="B19" s="3"/>
      <c r="D19" s="7" t="s">
        <v>89</v>
      </c>
      <c r="E19" s="38">
        <f>+'2 Employees'!C80+'3 Benefits'!C104-'5 Allocations'!C156+'5 Allocations'!C160+'5 Allocations'!C164</f>
        <v>141695.77800000002</v>
      </c>
      <c r="F19" s="38">
        <f>+'2 Employees'!D80+'3 Benefits'!D104-'5 Allocations'!D156+'5 Allocations'!D160+'5 Allocations'!D164</f>
        <v>248351.73400000003</v>
      </c>
      <c r="G19" s="38">
        <f>+'2 Employees'!E80+'3 Benefits'!E104-'5 Allocations'!E156+'5 Allocations'!E160+'5 Allocations'!E164</f>
        <v>130281.74350000001</v>
      </c>
      <c r="H19" s="38">
        <f>+'2 Employees'!F80+'3 Benefits'!F104-'5 Allocations'!F156+'5 Allocations'!F160+'5 Allocations'!F164</f>
        <v>118121.42658823529</v>
      </c>
      <c r="I19" s="38">
        <f>+'2 Employees'!G80+'3 Benefits'!G104-'5 Allocations'!G156+'5 Allocations'!G160+'5 Allocations'!G164</f>
        <v>118807.445375</v>
      </c>
      <c r="J19" s="38">
        <f>+'2 Employees'!H80+'3 Benefits'!H104-'5 Allocations'!H156+'5 Allocations'!H160+'5 Allocations'!H164</f>
        <v>121137.47317647061</v>
      </c>
      <c r="K19" s="38">
        <f>+'2 Employees'!I80+'3 Benefits'!I104-'5 Allocations'!I156+'5 Allocations'!I160+'5 Allocations'!I164</f>
        <v>117969.80976470589</v>
      </c>
      <c r="L19" s="38">
        <f>+'2 Employees'!J80+'3 Benefits'!J104-'5 Allocations'!J156+'5 Allocations'!J160+'5 Allocations'!J164</f>
        <v>116706.81022222222</v>
      </c>
      <c r="M19" s="38">
        <f>+'2 Employees'!K80+'3 Benefits'!K104-'5 Allocations'!K156+'5 Allocations'!K160+'5 Allocations'!K164</f>
        <v>116117.484</v>
      </c>
      <c r="N19" s="38">
        <f>+'2 Employees'!L80+'3 Benefits'!L104-'5 Allocations'!L156+'5 Allocations'!L160+'5 Allocations'!L164</f>
        <v>115284.78733333333</v>
      </c>
      <c r="O19" s="38">
        <f>+'2 Employees'!M80+'3 Benefits'!M104-'5 Allocations'!M156+'5 Allocations'!M160+'5 Allocations'!M164</f>
        <v>115092.65900000001</v>
      </c>
      <c r="P19" s="38">
        <f>+'2 Employees'!N80+'3 Benefits'!N104-'5 Allocations'!N156+'5 Allocations'!N160+'5 Allocations'!N164</f>
        <v>118630</v>
      </c>
      <c r="Q19" s="4"/>
      <c r="R19" s="4">
        <f>SUM(E19:G19)</f>
        <v>520329.25550000009</v>
      </c>
      <c r="S19" s="4">
        <f>SUM(H19:J19)</f>
        <v>358066.34513970593</v>
      </c>
      <c r="T19" s="4">
        <f>SUM(K19:M19)</f>
        <v>350794.10398692812</v>
      </c>
      <c r="U19" s="4">
        <f>SUM(N19:P19)</f>
        <v>349007.44633333333</v>
      </c>
      <c r="V19" s="4"/>
      <c r="W19" s="4">
        <f>SUM(E19:P19)</f>
        <v>1578197.1509599674</v>
      </c>
      <c r="Y19" s="25">
        <f t="shared" ref="Y19:Y23" si="7">ROUND(SUM(R19:U19)-W19,2)</f>
        <v>0</v>
      </c>
    </row>
    <row r="20" spans="2:25" x14ac:dyDescent="0.2">
      <c r="B20" s="3"/>
      <c r="D20" s="7" t="s">
        <v>90</v>
      </c>
      <c r="E20" s="38">
        <f>+'4 Contractors'!C29-'5 Allocations'!C157+'5 Allocations'!C161+'5 Allocations'!C165</f>
        <v>82068.38</v>
      </c>
      <c r="F20" s="38">
        <f>+'4 Contractors'!D29-'5 Allocations'!D157+'5 Allocations'!D161+'5 Allocations'!D165</f>
        <v>99135.25</v>
      </c>
      <c r="G20" s="38">
        <f>+'4 Contractors'!E29-'5 Allocations'!E157+'5 Allocations'!E161+'5 Allocations'!E165</f>
        <v>81353.75</v>
      </c>
      <c r="H20" s="38">
        <f>+'4 Contractors'!F29-'5 Allocations'!F157+'5 Allocations'!F161+'5 Allocations'!F165</f>
        <v>58506.25</v>
      </c>
      <c r="I20" s="38">
        <f>+'4 Contractors'!G29-'5 Allocations'!G157+'5 Allocations'!G161+'5 Allocations'!G165</f>
        <v>61313.5</v>
      </c>
      <c r="J20" s="38">
        <f>+'4 Contractors'!H29-'5 Allocations'!H157+'5 Allocations'!H161+'5 Allocations'!H165</f>
        <v>59235.25</v>
      </c>
      <c r="K20" s="38">
        <f>+'4 Contractors'!I29-'5 Allocations'!I157+'5 Allocations'!I161+'5 Allocations'!I165</f>
        <v>48960</v>
      </c>
      <c r="L20" s="38">
        <f>+'4 Contractors'!J29-'5 Allocations'!J157+'5 Allocations'!J161+'5 Allocations'!J165</f>
        <v>49996.08</v>
      </c>
      <c r="M20" s="38">
        <f>+'4 Contractors'!K29-'5 Allocations'!K157+'5 Allocations'!K161+'5 Allocations'!K165</f>
        <v>53887</v>
      </c>
      <c r="N20" s="38">
        <f>+'4 Contractors'!L29-'5 Allocations'!L157+'5 Allocations'!L161+'5 Allocations'!L165</f>
        <v>63216.25</v>
      </c>
      <c r="O20" s="38">
        <f>+'4 Contractors'!M29-'5 Allocations'!M157+'5 Allocations'!M161+'5 Allocations'!M165</f>
        <v>69388</v>
      </c>
      <c r="P20" s="38">
        <f>+'4 Contractors'!N29-'5 Allocations'!N157+'5 Allocations'!N161+'5 Allocations'!N165</f>
        <v>57500</v>
      </c>
      <c r="Q20" s="4"/>
      <c r="R20" s="4">
        <f>SUM(E20:G20)</f>
        <v>262557.38</v>
      </c>
      <c r="S20" s="4">
        <f>SUM(H20:J20)</f>
        <v>179055</v>
      </c>
      <c r="T20" s="4">
        <f>SUM(K20:M20)</f>
        <v>152843.08000000002</v>
      </c>
      <c r="U20" s="4">
        <f>SUM(N20:P20)</f>
        <v>190104.25</v>
      </c>
      <c r="V20" s="4"/>
      <c r="W20" s="4">
        <f>SUM(E20:P20)</f>
        <v>784559.71</v>
      </c>
      <c r="Y20" s="25">
        <f t="shared" si="7"/>
        <v>0</v>
      </c>
    </row>
    <row r="21" spans="2:25" x14ac:dyDescent="0.2">
      <c r="B21" s="3"/>
      <c r="D21" s="7" t="s">
        <v>91</v>
      </c>
      <c r="E21" s="38">
        <f>+'2 Employees'!C123+'3 Benefits'!C105-'5 Allocations'!C158+'5 Allocations'!C162</f>
        <v>34723.031999999999</v>
      </c>
      <c r="F21" s="38">
        <f>+'2 Employees'!D123+'3 Benefits'!D105-'5 Allocations'!D158+'5 Allocations'!D162</f>
        <v>69494.005999999994</v>
      </c>
      <c r="G21" s="38">
        <f>+'2 Employees'!E123+'3 Benefits'!E105-'5 Allocations'!E158+'5 Allocations'!E162</f>
        <v>34606.852500000008</v>
      </c>
      <c r="H21" s="38">
        <f>+'2 Employees'!F123+'3 Benefits'!F105-'5 Allocations'!F158+'5 Allocations'!F162</f>
        <v>36165.668823529413</v>
      </c>
      <c r="I21" s="38">
        <f>+'2 Employees'!G123+'3 Benefits'!G105-'5 Allocations'!G158+'5 Allocations'!G162</f>
        <v>36459.696875000001</v>
      </c>
      <c r="J21" s="38">
        <f>+'2 Employees'!H123+'3 Benefits'!H105-'5 Allocations'!H158+'5 Allocations'!H162</f>
        <v>37458.277647058821</v>
      </c>
      <c r="K21" s="38">
        <f>+'2 Employees'!I123+'3 Benefits'!I105-'5 Allocations'!I158+'5 Allocations'!I162</f>
        <v>36546.626470588235</v>
      </c>
      <c r="L21" s="38">
        <f>+'2 Employees'!J123+'3 Benefits'!J105-'5 Allocations'!J158+'5 Allocations'!J162</f>
        <v>36217.58666666667</v>
      </c>
      <c r="M21" s="38">
        <f>+'2 Employees'!K123+'3 Benefits'!K105-'5 Allocations'!K158+'5 Allocations'!K162</f>
        <v>35480.120000000003</v>
      </c>
      <c r="N21" s="38">
        <f>+'2 Employees'!L123+'3 Benefits'!L105-'5 Allocations'!L158+'5 Allocations'!L162</f>
        <v>35195.72</v>
      </c>
      <c r="O21" s="38">
        <f>+'2 Employees'!M123+'3 Benefits'!M105-'5 Allocations'!M158+'5 Allocations'!M162</f>
        <v>35796.277142857143</v>
      </c>
      <c r="P21" s="38">
        <f>+'2 Employees'!N123+'3 Benefits'!N105-'5 Allocations'!N158+'5 Allocations'!N162</f>
        <v>36600</v>
      </c>
      <c r="Q21" s="4"/>
      <c r="R21" s="4">
        <f>SUM(E21:G21)</f>
        <v>138823.89050000001</v>
      </c>
      <c r="S21" s="4">
        <f>SUM(H21:J21)</f>
        <v>110083.64334558824</v>
      </c>
      <c r="T21" s="4">
        <f>SUM(K21:M21)</f>
        <v>108244.3331372549</v>
      </c>
      <c r="U21" s="4">
        <f>SUM(N21:P21)</f>
        <v>107591.99714285714</v>
      </c>
      <c r="V21" s="4"/>
      <c r="W21" s="4">
        <f>SUM(E21:P21)</f>
        <v>464743.86412570026</v>
      </c>
      <c r="Y21" s="25">
        <f t="shared" si="7"/>
        <v>0</v>
      </c>
    </row>
    <row r="22" spans="2:25" x14ac:dyDescent="0.2">
      <c r="B22" s="3"/>
      <c r="D22" s="7" t="s">
        <v>92</v>
      </c>
      <c r="E22" s="38">
        <f>+'4 Contractors'!C46-'5 Allocations'!C159+'5 Allocations'!C163</f>
        <v>12121.26</v>
      </c>
      <c r="F22" s="38">
        <f>+'4 Contractors'!D46-'5 Allocations'!D159+'5 Allocations'!D163</f>
        <v>12000</v>
      </c>
      <c r="G22" s="38">
        <f>+'4 Contractors'!E46-'5 Allocations'!E159+'5 Allocations'!E163</f>
        <v>16141.55</v>
      </c>
      <c r="H22" s="38">
        <f>+'4 Contractors'!F46-'5 Allocations'!F159+'5 Allocations'!F163</f>
        <v>12000</v>
      </c>
      <c r="I22" s="38">
        <f>+'4 Contractors'!G46-'5 Allocations'!G159+'5 Allocations'!G163</f>
        <v>12199.26</v>
      </c>
      <c r="J22" s="38">
        <f>+'4 Contractors'!H46-'5 Allocations'!H159+'5 Allocations'!H163</f>
        <v>12000</v>
      </c>
      <c r="K22" s="38">
        <f>+'4 Contractors'!I46-'5 Allocations'!I159+'5 Allocations'!I163</f>
        <v>8000</v>
      </c>
      <c r="L22" s="38">
        <f>+'4 Contractors'!J46-'5 Allocations'!J159+'5 Allocations'!J163</f>
        <v>0</v>
      </c>
      <c r="M22" s="38">
        <f>+'4 Contractors'!K46-'5 Allocations'!K159+'5 Allocations'!K163</f>
        <v>0</v>
      </c>
      <c r="N22" s="38">
        <f>+'4 Contractors'!L46-'5 Allocations'!L159+'5 Allocations'!L163</f>
        <v>0</v>
      </c>
      <c r="O22" s="38">
        <f>+'4 Contractors'!M46-'5 Allocations'!M159+'5 Allocations'!M163</f>
        <v>0</v>
      </c>
      <c r="P22" s="38">
        <f>+'4 Contractors'!N46-'5 Allocations'!N159+'5 Allocations'!N163</f>
        <v>0</v>
      </c>
      <c r="Q22" s="4"/>
      <c r="R22" s="4">
        <f>SUM(E22:G22)</f>
        <v>40262.81</v>
      </c>
      <c r="S22" s="4">
        <f>SUM(H22:J22)</f>
        <v>36199.26</v>
      </c>
      <c r="T22" s="4">
        <f>SUM(K22:M22)</f>
        <v>8000</v>
      </c>
      <c r="U22" s="4">
        <f>SUM(N22:P22)</f>
        <v>0</v>
      </c>
      <c r="V22" s="4"/>
      <c r="W22" s="4">
        <f>SUM(E22:P22)</f>
        <v>84462.07</v>
      </c>
      <c r="Y22" s="25">
        <f t="shared" si="7"/>
        <v>0</v>
      </c>
    </row>
    <row r="23" spans="2:25" x14ac:dyDescent="0.2">
      <c r="B23" s="3"/>
      <c r="D23" s="8" t="s">
        <v>88</v>
      </c>
      <c r="E23" s="34">
        <f t="shared" ref="E23:P23" si="8">SUM(E19:E22)</f>
        <v>270608.45</v>
      </c>
      <c r="F23" s="34">
        <f t="shared" si="8"/>
        <v>428980.99000000005</v>
      </c>
      <c r="G23" s="34">
        <f t="shared" si="8"/>
        <v>262383.89600000001</v>
      </c>
      <c r="H23" s="34">
        <f t="shared" si="8"/>
        <v>224793.34541176472</v>
      </c>
      <c r="I23" s="34">
        <f t="shared" si="8"/>
        <v>228779.90225000001</v>
      </c>
      <c r="J23" s="34">
        <f t="shared" si="8"/>
        <v>229831.00082352944</v>
      </c>
      <c r="K23" s="34">
        <f t="shared" si="8"/>
        <v>211476.43623529412</v>
      </c>
      <c r="L23" s="34">
        <f t="shared" si="8"/>
        <v>202920.47688888889</v>
      </c>
      <c r="M23" s="34">
        <f t="shared" si="8"/>
        <v>205484.60399999999</v>
      </c>
      <c r="N23" s="34">
        <f t="shared" si="8"/>
        <v>213696.75733333334</v>
      </c>
      <c r="O23" s="34">
        <f t="shared" si="8"/>
        <v>220276.93614285716</v>
      </c>
      <c r="P23" s="34">
        <f t="shared" si="8"/>
        <v>212730</v>
      </c>
      <c r="Q23" s="34"/>
      <c r="R23" s="34">
        <f>SUM(R19:R22)</f>
        <v>961973.33600000013</v>
      </c>
      <c r="S23" s="34">
        <f>SUM(S19:S22)</f>
        <v>683404.24848529417</v>
      </c>
      <c r="T23" s="34">
        <f>SUM(T19:T22)</f>
        <v>619881.51712418301</v>
      </c>
      <c r="U23" s="34">
        <f>SUM(U19:U22)</f>
        <v>646703.69347619056</v>
      </c>
      <c r="V23" s="34"/>
      <c r="W23" s="34">
        <f>SUM(W19:W22)</f>
        <v>2911962.7950856676</v>
      </c>
      <c r="Y23" s="25">
        <f t="shared" si="7"/>
        <v>0</v>
      </c>
    </row>
    <row r="24" spans="2:25" x14ac:dyDescent="0.2">
      <c r="B24" s="3"/>
      <c r="D24" s="8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Y24" s="25"/>
    </row>
    <row r="25" spans="2:25" x14ac:dyDescent="0.2">
      <c r="B25" s="3"/>
      <c r="D25" s="7" t="s">
        <v>89</v>
      </c>
      <c r="E25" s="38">
        <f>+'2 Employees'!C156+'3 Benefits'!C108+'5 Allocations'!C156-'5 Allocations'!C160</f>
        <v>13330.527999999998</v>
      </c>
      <c r="F25" s="38">
        <f>+'2 Employees'!D156+'3 Benefits'!D108+'5 Allocations'!D156-'5 Allocations'!D160</f>
        <v>26025.704000000002</v>
      </c>
      <c r="G25" s="38">
        <f>+'2 Employees'!E156+'3 Benefits'!E108+'5 Allocations'!E156-'5 Allocations'!E160</f>
        <v>9741.264000000001</v>
      </c>
      <c r="H25" s="38">
        <f>+'2 Employees'!F156+'3 Benefits'!F108+'5 Allocations'!F156-'5 Allocations'!F160</f>
        <v>8212.1040000000012</v>
      </c>
      <c r="I25" s="38">
        <f>+'2 Employees'!G156+'3 Benefits'!G108+'5 Allocations'!G156-'5 Allocations'!G160</f>
        <v>8212.1040000000012</v>
      </c>
      <c r="J25" s="38">
        <f>+'2 Employees'!H156+'3 Benefits'!H108+'5 Allocations'!H156-'5 Allocations'!H160</f>
        <v>8212.1080000000002</v>
      </c>
      <c r="K25" s="38">
        <f>+'2 Employees'!I156+'3 Benefits'!I108+'5 Allocations'!I156-'5 Allocations'!I160</f>
        <v>8212.1119999999992</v>
      </c>
      <c r="L25" s="38">
        <f>+'2 Employees'!J156+'3 Benefits'!J108+'5 Allocations'!J156-'5 Allocations'!J160</f>
        <v>7881.9520000000011</v>
      </c>
      <c r="M25" s="38">
        <f>+'2 Employees'!K156+'3 Benefits'!K108+'5 Allocations'!K156-'5 Allocations'!K160</f>
        <v>7708.8960000000006</v>
      </c>
      <c r="N25" s="38">
        <f>+'2 Employees'!L156+'3 Benefits'!L108+'5 Allocations'!L156-'5 Allocations'!L160</f>
        <v>7708.8959999999997</v>
      </c>
      <c r="O25" s="38">
        <f>+'2 Employees'!M156+'3 Benefits'!M108+'5 Allocations'!M156-'5 Allocations'!M160</f>
        <v>7688.5359999999991</v>
      </c>
      <c r="P25" s="38">
        <f>+'2 Employees'!N156+'3 Benefits'!N108+'5 Allocations'!N156-'5 Allocations'!N160</f>
        <v>7880</v>
      </c>
      <c r="Q25" s="4"/>
      <c r="R25" s="4">
        <f t="shared" ref="R25:R30" si="9">SUM(E25:G25)</f>
        <v>49097.496000000006</v>
      </c>
      <c r="S25" s="4">
        <f t="shared" ref="S25:S30" si="10">SUM(H25:J25)</f>
        <v>24636.316000000003</v>
      </c>
      <c r="T25" s="4">
        <f t="shared" ref="T25:T30" si="11">SUM(K25:M25)</f>
        <v>23802.959999999999</v>
      </c>
      <c r="U25" s="4">
        <f t="shared" ref="U25:U30" si="12">SUM(N25:P25)</f>
        <v>23277.432000000001</v>
      </c>
      <c r="V25" s="4"/>
      <c r="W25" s="4">
        <f t="shared" ref="W25:W30" si="13">SUM(E25:P25)</f>
        <v>120814.20399999998</v>
      </c>
      <c r="Y25" s="25">
        <f t="shared" ref="Y25:Y31" si="14">ROUND(SUM(R25:U25)-W25,2)</f>
        <v>0</v>
      </c>
    </row>
    <row r="26" spans="2:25" x14ac:dyDescent="0.2">
      <c r="B26" s="3"/>
      <c r="D26" s="7" t="s">
        <v>90</v>
      </c>
      <c r="E26" s="38">
        <f>+'4 Contractors'!C63+'5 Allocations'!C157-'5 Allocations'!C161</f>
        <v>0</v>
      </c>
      <c r="F26" s="38">
        <f>+'4 Contractors'!D63+'5 Allocations'!D157-'5 Allocations'!D161</f>
        <v>0</v>
      </c>
      <c r="G26" s="38">
        <f>+'4 Contractors'!E63+'5 Allocations'!E157-'5 Allocations'!E161</f>
        <v>2160</v>
      </c>
      <c r="H26" s="38">
        <f>+'4 Contractors'!F63+'5 Allocations'!F157-'5 Allocations'!F161</f>
        <v>3024</v>
      </c>
      <c r="I26" s="38">
        <f>+'4 Contractors'!G63+'5 Allocations'!G157-'5 Allocations'!G161</f>
        <v>3430</v>
      </c>
      <c r="J26" s="38">
        <f>+'4 Contractors'!H63+'5 Allocations'!H157-'5 Allocations'!H161</f>
        <v>8647</v>
      </c>
      <c r="K26" s="38">
        <f>+'4 Contractors'!I63+'5 Allocations'!I157-'5 Allocations'!I161</f>
        <v>12647</v>
      </c>
      <c r="L26" s="38">
        <f>+'4 Contractors'!J63+'5 Allocations'!J157-'5 Allocations'!J161</f>
        <v>11548</v>
      </c>
      <c r="M26" s="38">
        <f>+'4 Contractors'!K63+'5 Allocations'!K157-'5 Allocations'!K161</f>
        <v>10812</v>
      </c>
      <c r="N26" s="38">
        <f>+'4 Contractors'!L63+'5 Allocations'!L157-'5 Allocations'!L161</f>
        <v>8649</v>
      </c>
      <c r="O26" s="38">
        <f>+'4 Contractors'!M63+'5 Allocations'!M157-'5 Allocations'!M161</f>
        <v>2943</v>
      </c>
      <c r="P26" s="38">
        <f>+'4 Contractors'!N63+'5 Allocations'!N157-'5 Allocations'!N161</f>
        <v>10600</v>
      </c>
      <c r="Q26" s="4"/>
      <c r="R26" s="4">
        <f t="shared" si="9"/>
        <v>2160</v>
      </c>
      <c r="S26" s="4">
        <f t="shared" si="10"/>
        <v>15101</v>
      </c>
      <c r="T26" s="4">
        <f t="shared" si="11"/>
        <v>35007</v>
      </c>
      <c r="U26" s="4">
        <f t="shared" si="12"/>
        <v>22192</v>
      </c>
      <c r="V26" s="4"/>
      <c r="W26" s="4">
        <f t="shared" si="13"/>
        <v>74460</v>
      </c>
      <c r="Y26" s="25">
        <f t="shared" si="14"/>
        <v>0</v>
      </c>
    </row>
    <row r="27" spans="2:25" x14ac:dyDescent="0.2">
      <c r="B27" s="3"/>
      <c r="D27" s="7" t="s">
        <v>91</v>
      </c>
      <c r="E27" s="38">
        <f>+'5 Allocations'!C158-'5 Allocations'!C162</f>
        <v>5719.0599999999995</v>
      </c>
      <c r="F27" s="38">
        <f>+'5 Allocations'!D158-'5 Allocations'!D162</f>
        <v>3959.6800000000003</v>
      </c>
      <c r="G27" s="38">
        <f>+'5 Allocations'!E158-'5 Allocations'!E162</f>
        <v>3978.9500000000003</v>
      </c>
      <c r="H27" s="38">
        <f>+'5 Allocations'!F158-'5 Allocations'!F162</f>
        <v>3978.9500000000003</v>
      </c>
      <c r="I27" s="38">
        <f>+'5 Allocations'!G158-'5 Allocations'!G162</f>
        <v>3978.9500000000003</v>
      </c>
      <c r="J27" s="38">
        <f>+'5 Allocations'!H158-'5 Allocations'!H162</f>
        <v>3978.95</v>
      </c>
      <c r="K27" s="38">
        <f>+'5 Allocations'!I158-'5 Allocations'!I162</f>
        <v>3978.95</v>
      </c>
      <c r="L27" s="38">
        <f>+'5 Allocations'!J158-'5 Allocations'!J162</f>
        <v>3978.9500000000003</v>
      </c>
      <c r="M27" s="38">
        <f>+'5 Allocations'!K158-'5 Allocations'!K162</f>
        <v>3978.9500000000003</v>
      </c>
      <c r="N27" s="38">
        <f>+'5 Allocations'!L158-'5 Allocations'!L162</f>
        <v>3978.9500000000003</v>
      </c>
      <c r="O27" s="38">
        <f>+'5 Allocations'!M158-'5 Allocations'!M162</f>
        <v>3978.9450000000002</v>
      </c>
      <c r="P27" s="38">
        <f>+'5 Allocations'!N158-'5 Allocations'!N162</f>
        <v>4000</v>
      </c>
      <c r="Q27" s="4"/>
      <c r="R27" s="4">
        <f t="shared" si="9"/>
        <v>13657.69</v>
      </c>
      <c r="S27" s="4">
        <f t="shared" si="10"/>
        <v>11936.85</v>
      </c>
      <c r="T27" s="4">
        <f t="shared" si="11"/>
        <v>11936.85</v>
      </c>
      <c r="U27" s="4">
        <f t="shared" si="12"/>
        <v>11957.895</v>
      </c>
      <c r="V27" s="4"/>
      <c r="W27" s="4">
        <f t="shared" si="13"/>
        <v>49489.284999999996</v>
      </c>
      <c r="Y27" s="25">
        <f t="shared" si="14"/>
        <v>0</v>
      </c>
    </row>
    <row r="28" spans="2:25" x14ac:dyDescent="0.2">
      <c r="B28" s="3"/>
      <c r="D28" s="7" t="s">
        <v>92</v>
      </c>
      <c r="E28" s="38">
        <f>+'4 Contractors'!C89+'5 Allocations'!C159-'5 Allocations'!C163</f>
        <v>25440.489999999998</v>
      </c>
      <c r="F28" s="38">
        <f>+'4 Contractors'!D89+'5 Allocations'!D159-'5 Allocations'!D163</f>
        <v>54928.6</v>
      </c>
      <c r="G28" s="38">
        <f>+'4 Contractors'!E89+'5 Allocations'!E159-'5 Allocations'!E163</f>
        <v>71765.61</v>
      </c>
      <c r="H28" s="38">
        <f>+'4 Contractors'!F89+'5 Allocations'!F159-'5 Allocations'!F163</f>
        <v>75263.600000000006</v>
      </c>
      <c r="I28" s="38">
        <f>+'4 Contractors'!G89+'5 Allocations'!G159-'5 Allocations'!G163</f>
        <v>45097.520000000004</v>
      </c>
      <c r="J28" s="38">
        <f>+'4 Contractors'!H89+'5 Allocations'!H159-'5 Allocations'!H163</f>
        <v>28442.12</v>
      </c>
      <c r="K28" s="38">
        <f>+'4 Contractors'!I89+'5 Allocations'!I159-'5 Allocations'!I163</f>
        <v>107654.23000000001</v>
      </c>
      <c r="L28" s="38">
        <f>+'4 Contractors'!J89+'5 Allocations'!J159-'5 Allocations'!J163</f>
        <v>19633.75</v>
      </c>
      <c r="M28" s="38">
        <f>+'4 Contractors'!K89+'5 Allocations'!K159-'5 Allocations'!K163</f>
        <v>15389</v>
      </c>
      <c r="N28" s="38">
        <f>+'4 Contractors'!L89+'5 Allocations'!L159-'5 Allocations'!L163</f>
        <v>15694.630000000001</v>
      </c>
      <c r="O28" s="38">
        <f>+'4 Contractors'!M89+'5 Allocations'!M159-'5 Allocations'!M163</f>
        <v>23703</v>
      </c>
      <c r="P28" s="38">
        <f>+'4 Contractors'!N89+'5 Allocations'!N159-'5 Allocations'!N163</f>
        <v>46700</v>
      </c>
      <c r="Q28" s="4"/>
      <c r="R28" s="4">
        <f t="shared" si="9"/>
        <v>152134.70000000001</v>
      </c>
      <c r="S28" s="4">
        <f t="shared" si="10"/>
        <v>148803.24000000002</v>
      </c>
      <c r="T28" s="4">
        <f t="shared" si="11"/>
        <v>142676.98000000001</v>
      </c>
      <c r="U28" s="4">
        <f t="shared" si="12"/>
        <v>86097.63</v>
      </c>
      <c r="V28" s="4"/>
      <c r="W28" s="4">
        <f t="shared" si="13"/>
        <v>529712.55000000005</v>
      </c>
      <c r="Y28" s="25">
        <f t="shared" si="14"/>
        <v>0</v>
      </c>
    </row>
    <row r="29" spans="2:25" x14ac:dyDescent="0.2">
      <c r="B29" s="3"/>
      <c r="D29" s="7" t="s">
        <v>106</v>
      </c>
      <c r="E29" s="38">
        <f>+'2 Employees'!C227+'3 Benefits'!C110-'5 Allocations'!C164</f>
        <v>23645.880666666664</v>
      </c>
      <c r="F29" s="38">
        <f>+'2 Employees'!D227+'3 Benefits'!D110-'5 Allocations'!D164</f>
        <v>23206.142</v>
      </c>
      <c r="G29" s="38">
        <f>+'2 Employees'!E227+'3 Benefits'!E110-'5 Allocations'!E164</f>
        <v>42806.165000000001</v>
      </c>
      <c r="H29" s="38">
        <f>+'2 Employees'!F227+'3 Benefits'!F110-'5 Allocations'!F164</f>
        <v>40594.268823529412</v>
      </c>
      <c r="I29" s="38">
        <f>+'2 Employees'!G227+'3 Benefits'!G110-'5 Allocations'!G164</f>
        <v>35576.491249999999</v>
      </c>
      <c r="J29" s="38">
        <f>+'2 Employees'!H227+'3 Benefits'!H110-'5 Allocations'!H164</f>
        <v>45030.207647058822</v>
      </c>
      <c r="K29" s="38">
        <f>+'2 Employees'!I227+'3 Benefits'!I110-'5 Allocations'!I164</f>
        <v>54965.226470588241</v>
      </c>
      <c r="L29" s="38">
        <f>+'2 Employees'!J227+'3 Benefits'!J110-'5 Allocations'!J164</f>
        <v>61914.095555555556</v>
      </c>
      <c r="M29" s="38">
        <f>+'2 Employees'!K227+'3 Benefits'!K110-'5 Allocations'!K164</f>
        <v>38513.229999999996</v>
      </c>
      <c r="N29" s="38">
        <f>+'2 Employees'!L227+'3 Benefits'!L110-'5 Allocations'!L164</f>
        <v>38003.906666666662</v>
      </c>
      <c r="O29" s="38">
        <f>+'2 Employees'!M227+'3 Benefits'!M110-'5 Allocations'!M164</f>
        <v>38968.221428571429</v>
      </c>
      <c r="P29" s="38">
        <f>+'2 Employees'!N227+'3 Benefits'!N110-'5 Allocations'!N164</f>
        <v>39300</v>
      </c>
      <c r="Q29" s="4"/>
      <c r="R29" s="4">
        <f t="shared" si="9"/>
        <v>89658.187666666665</v>
      </c>
      <c r="S29" s="4">
        <f t="shared" si="10"/>
        <v>121200.96772058823</v>
      </c>
      <c r="T29" s="4">
        <f t="shared" si="11"/>
        <v>155392.55202614379</v>
      </c>
      <c r="U29" s="4">
        <f t="shared" si="12"/>
        <v>116272.12809523809</v>
      </c>
      <c r="V29" s="4"/>
      <c r="W29" s="4">
        <f t="shared" si="13"/>
        <v>482523.83550863678</v>
      </c>
      <c r="Y29" s="25">
        <f t="shared" si="14"/>
        <v>0</v>
      </c>
    </row>
    <row r="30" spans="2:25" x14ac:dyDescent="0.2">
      <c r="B30" s="3"/>
      <c r="D30" s="7" t="s">
        <v>107</v>
      </c>
      <c r="E30" s="38">
        <f>+'4 Contractors'!C111-'5 Allocations'!C165</f>
        <v>43402.15</v>
      </c>
      <c r="F30" s="38">
        <f>+'4 Contractors'!D111-'5 Allocations'!D165</f>
        <v>56923.22</v>
      </c>
      <c r="G30" s="38">
        <f>+'4 Contractors'!E111-'5 Allocations'!E165</f>
        <v>49015.880000000005</v>
      </c>
      <c r="H30" s="38">
        <f>+'4 Contractors'!F111-'5 Allocations'!F165</f>
        <v>52268.69</v>
      </c>
      <c r="I30" s="38">
        <f>+'4 Contractors'!G111-'5 Allocations'!G165</f>
        <v>58911.29</v>
      </c>
      <c r="J30" s="38">
        <f>+'4 Contractors'!H111-'5 Allocations'!H165</f>
        <v>60784</v>
      </c>
      <c r="K30" s="38">
        <f>+'4 Contractors'!I111-'5 Allocations'!I165</f>
        <v>53257.33</v>
      </c>
      <c r="L30" s="38">
        <f>+'4 Contractors'!J111-'5 Allocations'!J165</f>
        <v>49276.72</v>
      </c>
      <c r="M30" s="38">
        <f>+'4 Contractors'!K111-'5 Allocations'!K165</f>
        <v>47069.09</v>
      </c>
      <c r="N30" s="38">
        <f>+'4 Contractors'!L111-'5 Allocations'!L165</f>
        <v>46234.61</v>
      </c>
      <c r="O30" s="38">
        <f>+'4 Contractors'!M111-'5 Allocations'!M165</f>
        <v>76078.569999999992</v>
      </c>
      <c r="P30" s="38">
        <f>+'4 Contractors'!N111-'5 Allocations'!N165</f>
        <v>21461.95</v>
      </c>
      <c r="Q30" s="4"/>
      <c r="R30" s="4">
        <f t="shared" si="9"/>
        <v>149341.25</v>
      </c>
      <c r="S30" s="4">
        <f t="shared" si="10"/>
        <v>171963.98</v>
      </c>
      <c r="T30" s="4">
        <f t="shared" si="11"/>
        <v>149603.14000000001</v>
      </c>
      <c r="U30" s="4">
        <f t="shared" si="12"/>
        <v>143775.13</v>
      </c>
      <c r="V30" s="4"/>
      <c r="W30" s="4">
        <f t="shared" si="13"/>
        <v>614683.49999999988</v>
      </c>
      <c r="Y30" s="25">
        <f t="shared" si="14"/>
        <v>0</v>
      </c>
    </row>
    <row r="31" spans="2:25" x14ac:dyDescent="0.2">
      <c r="B31" s="3"/>
      <c r="D31" s="8" t="s">
        <v>93</v>
      </c>
      <c r="E31" s="34">
        <f t="shared" ref="E31:P31" si="15">SUM(E25:E30)</f>
        <v>111538.10866666667</v>
      </c>
      <c r="F31" s="34">
        <f t="shared" si="15"/>
        <v>165043.34599999999</v>
      </c>
      <c r="G31" s="34">
        <f t="shared" si="15"/>
        <v>179467.86900000001</v>
      </c>
      <c r="H31" s="34">
        <f t="shared" si="15"/>
        <v>183341.61282352943</v>
      </c>
      <c r="I31" s="34">
        <f t="shared" si="15"/>
        <v>155206.35525000002</v>
      </c>
      <c r="J31" s="34">
        <f t="shared" si="15"/>
        <v>155094.38564705884</v>
      </c>
      <c r="K31" s="34">
        <f t="shared" si="15"/>
        <v>240714.84847058827</v>
      </c>
      <c r="L31" s="34">
        <f t="shared" si="15"/>
        <v>154233.46755555557</v>
      </c>
      <c r="M31" s="34">
        <f t="shared" si="15"/>
        <v>123471.166</v>
      </c>
      <c r="N31" s="34">
        <f t="shared" si="15"/>
        <v>120269.99266666667</v>
      </c>
      <c r="O31" s="34">
        <f t="shared" si="15"/>
        <v>153360.27242857142</v>
      </c>
      <c r="P31" s="34">
        <f t="shared" si="15"/>
        <v>129941.95</v>
      </c>
      <c r="Q31" s="34"/>
      <c r="R31" s="34">
        <f>SUM(R25:R30)</f>
        <v>456049.32366666669</v>
      </c>
      <c r="S31" s="34">
        <f>SUM(S25:S30)</f>
        <v>493642.35372058826</v>
      </c>
      <c r="T31" s="34">
        <f>SUM(T25:T30)</f>
        <v>518419.48202614381</v>
      </c>
      <c r="U31" s="34">
        <f>SUM(U25:U30)</f>
        <v>403572.21509523806</v>
      </c>
      <c r="V31" s="34"/>
      <c r="W31" s="34">
        <f>SUM(W25:W30)</f>
        <v>1871683.3745086365</v>
      </c>
      <c r="Y31" s="25">
        <f t="shared" si="14"/>
        <v>0</v>
      </c>
    </row>
    <row r="32" spans="2:25" x14ac:dyDescent="0.2">
      <c r="B32" s="3"/>
      <c r="D32" s="8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Y32" s="25"/>
    </row>
    <row r="33" spans="2:25" x14ac:dyDescent="0.2">
      <c r="B33" s="3"/>
      <c r="D33" s="7" t="s">
        <v>94</v>
      </c>
      <c r="E33" s="38">
        <f>+'2 Employees'!C280+'3 Benefits'!C113</f>
        <v>56009.581333333335</v>
      </c>
      <c r="F33" s="38">
        <f>+'2 Employees'!D280+'3 Benefits'!D113</f>
        <v>99933.333999999988</v>
      </c>
      <c r="G33" s="38">
        <f>+'2 Employees'!E280+'3 Benefits'!E113</f>
        <v>52560.785000000003</v>
      </c>
      <c r="H33" s="38">
        <f>+'2 Employees'!F280+'3 Benefits'!F113</f>
        <v>52591.86588235294</v>
      </c>
      <c r="I33" s="38">
        <f>+'2 Employees'!G280+'3 Benefits'!G113</f>
        <v>50755.491249999999</v>
      </c>
      <c r="J33" s="38">
        <f>+'2 Employees'!H280+'3 Benefits'!H113</f>
        <v>51421.211764705884</v>
      </c>
      <c r="K33" s="38">
        <f>+'2 Employees'!I280+'3 Benefits'!I113</f>
        <v>53980.69764705882</v>
      </c>
      <c r="L33" s="38">
        <f>+'2 Employees'!J280+'3 Benefits'!J113</f>
        <v>50594.077777777777</v>
      </c>
      <c r="M33" s="38">
        <f>+'2 Employees'!K280+'3 Benefits'!K113</f>
        <v>50560.380000000005</v>
      </c>
      <c r="N33" s="38">
        <f>+'2 Employees'!L280+'3 Benefits'!L113</f>
        <v>50638.906666666662</v>
      </c>
      <c r="O33" s="38">
        <f>+'2 Employees'!M280+'3 Benefits'!M113</f>
        <v>40900.250714285714</v>
      </c>
      <c r="P33" s="38">
        <f>+'2 Employees'!N280+'3 Benefits'!N113</f>
        <v>41150</v>
      </c>
      <c r="Q33" s="4"/>
      <c r="R33" s="4">
        <f>SUM(E33:G33)</f>
        <v>208503.70033333331</v>
      </c>
      <c r="S33" s="4">
        <f>SUM(H33:J33)</f>
        <v>154768.56889705884</v>
      </c>
      <c r="T33" s="4">
        <f>SUM(K33:M33)</f>
        <v>155135.15542483662</v>
      </c>
      <c r="U33" s="4">
        <f>SUM(N33:P33)</f>
        <v>132689.15738095238</v>
      </c>
      <c r="V33" s="4"/>
      <c r="W33" s="4">
        <f>SUM(E33:P33)</f>
        <v>651096.58203618124</v>
      </c>
      <c r="Y33" s="25">
        <f t="shared" ref="Y33:Y35" si="16">ROUND(SUM(R33:U33)-W33,2)</f>
        <v>0</v>
      </c>
    </row>
    <row r="34" spans="2:25" x14ac:dyDescent="0.2">
      <c r="B34" s="3"/>
      <c r="D34" s="7" t="s">
        <v>95</v>
      </c>
      <c r="E34" s="38">
        <f>+'4 Contractors'!C129</f>
        <v>17629.900000000001</v>
      </c>
      <c r="F34" s="38">
        <f>+'4 Contractors'!D129</f>
        <v>21170</v>
      </c>
      <c r="G34" s="38">
        <f>+'4 Contractors'!E129</f>
        <v>29860</v>
      </c>
      <c r="H34" s="38">
        <f>+'4 Contractors'!F129</f>
        <v>26120</v>
      </c>
      <c r="I34" s="38">
        <f>+'4 Contractors'!G129</f>
        <v>26528.33</v>
      </c>
      <c r="J34" s="38">
        <f>+'4 Contractors'!H129</f>
        <v>26078.33</v>
      </c>
      <c r="K34" s="38">
        <f>+'4 Contractors'!I129</f>
        <v>26980.83</v>
      </c>
      <c r="L34" s="38">
        <f>+'4 Contractors'!J129</f>
        <v>26470.83</v>
      </c>
      <c r="M34" s="38">
        <f>+'4 Contractors'!K129</f>
        <v>27283.33</v>
      </c>
      <c r="N34" s="38">
        <f>+'4 Contractors'!L129</f>
        <v>26460.83</v>
      </c>
      <c r="O34" s="38">
        <f>+'4 Contractors'!M129</f>
        <v>25385.83</v>
      </c>
      <c r="P34" s="38">
        <f>+'4 Contractors'!N129</f>
        <v>25400</v>
      </c>
      <c r="Q34" s="4"/>
      <c r="R34" s="4">
        <f>SUM(E34:G34)</f>
        <v>68659.899999999994</v>
      </c>
      <c r="S34" s="4">
        <f>SUM(H34:J34)</f>
        <v>78726.66</v>
      </c>
      <c r="T34" s="4">
        <f>SUM(K34:M34)</f>
        <v>80734.990000000005</v>
      </c>
      <c r="U34" s="4">
        <f>SUM(N34:P34)</f>
        <v>77246.66</v>
      </c>
      <c r="V34" s="4"/>
      <c r="W34" s="4">
        <f>SUM(E34:P34)</f>
        <v>305368.21000000008</v>
      </c>
      <c r="Y34" s="25">
        <f t="shared" si="16"/>
        <v>0</v>
      </c>
    </row>
    <row r="35" spans="2:25" x14ac:dyDescent="0.2">
      <c r="B35" s="3"/>
      <c r="D35" s="8" t="s">
        <v>96</v>
      </c>
      <c r="E35" s="34">
        <f t="shared" ref="E35:P35" si="17">SUM(E33:E34)</f>
        <v>73639.48133333333</v>
      </c>
      <c r="F35" s="34">
        <f t="shared" si="17"/>
        <v>121103.33399999999</v>
      </c>
      <c r="G35" s="34">
        <f t="shared" si="17"/>
        <v>82420.785000000003</v>
      </c>
      <c r="H35" s="34">
        <f t="shared" si="17"/>
        <v>78711.86588235294</v>
      </c>
      <c r="I35" s="34">
        <f t="shared" si="17"/>
        <v>77283.821250000008</v>
      </c>
      <c r="J35" s="34">
        <f t="shared" si="17"/>
        <v>77499.541764705878</v>
      </c>
      <c r="K35" s="34">
        <f t="shared" si="17"/>
        <v>80961.527647058829</v>
      </c>
      <c r="L35" s="34">
        <f t="shared" si="17"/>
        <v>77064.907777777786</v>
      </c>
      <c r="M35" s="34">
        <f t="shared" si="17"/>
        <v>77843.710000000006</v>
      </c>
      <c r="N35" s="34">
        <f t="shared" si="17"/>
        <v>77099.736666666664</v>
      </c>
      <c r="O35" s="34">
        <f t="shared" si="17"/>
        <v>66286.080714285723</v>
      </c>
      <c r="P35" s="34">
        <f t="shared" si="17"/>
        <v>66550</v>
      </c>
      <c r="Q35" s="34"/>
      <c r="R35" s="34">
        <f>SUM(R33:R34)</f>
        <v>277163.60033333331</v>
      </c>
      <c r="S35" s="34">
        <f>SUM(S33:S34)</f>
        <v>233495.22889705884</v>
      </c>
      <c r="T35" s="34">
        <f>SUM(T33:T34)</f>
        <v>235870.14542483661</v>
      </c>
      <c r="U35" s="34">
        <f>SUM(U33:U34)</f>
        <v>209935.81738095239</v>
      </c>
      <c r="V35" s="34"/>
      <c r="W35" s="34">
        <f>SUM(W33:W34)</f>
        <v>956464.79203618132</v>
      </c>
      <c r="Y35" s="25">
        <f t="shared" si="16"/>
        <v>0</v>
      </c>
    </row>
    <row r="36" spans="2:25" x14ac:dyDescent="0.2">
      <c r="B36" s="3"/>
      <c r="D36" s="8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Y36" s="25"/>
    </row>
    <row r="37" spans="2:25" x14ac:dyDescent="0.2">
      <c r="B37" s="3" t="s">
        <v>34</v>
      </c>
      <c r="D37" s="7" t="s">
        <v>34</v>
      </c>
      <c r="E37" s="38">
        <f>+'6 Other'!C5</f>
        <v>0</v>
      </c>
      <c r="F37" s="38">
        <f>+'6 Other'!D5</f>
        <v>0</v>
      </c>
      <c r="G37" s="38">
        <f>+'6 Other'!E5</f>
        <v>0</v>
      </c>
      <c r="H37" s="38">
        <f>+'6 Other'!F5</f>
        <v>0</v>
      </c>
      <c r="I37" s="38">
        <f>+'6 Other'!G5</f>
        <v>3545.63</v>
      </c>
      <c r="J37" s="38">
        <f>+'6 Other'!H5</f>
        <v>3545.63</v>
      </c>
      <c r="K37" s="38">
        <f>+'6 Other'!I5</f>
        <v>7091.26</v>
      </c>
      <c r="L37" s="38">
        <f>+'6 Other'!J5</f>
        <v>3545.63</v>
      </c>
      <c r="M37" s="38">
        <f>+'6 Other'!K5</f>
        <v>3545.63</v>
      </c>
      <c r="N37" s="38">
        <f>+'6 Other'!L5</f>
        <v>3545.63</v>
      </c>
      <c r="O37" s="38">
        <f>+'6 Other'!M5</f>
        <v>3545.63</v>
      </c>
      <c r="P37" s="38">
        <f>+'6 Other'!N5</f>
        <v>3550</v>
      </c>
      <c r="Q37" s="4"/>
      <c r="R37" s="4">
        <f t="shared" ref="R37:R46" si="18">SUM(E37:G37)</f>
        <v>0</v>
      </c>
      <c r="S37" s="4">
        <f t="shared" ref="S37:S46" si="19">SUM(H37:J37)</f>
        <v>7091.26</v>
      </c>
      <c r="T37" s="4">
        <f t="shared" ref="T37:T46" si="20">SUM(K37:M37)</f>
        <v>14182.52</v>
      </c>
      <c r="U37" s="4">
        <f t="shared" ref="U37:U46" si="21">SUM(N37:P37)</f>
        <v>10641.26</v>
      </c>
      <c r="V37" s="4"/>
      <c r="W37" s="4">
        <f t="shared" ref="W37:W46" si="22">SUM(E37:P37)</f>
        <v>31915.040000000005</v>
      </c>
      <c r="Y37" s="25">
        <f t="shared" ref="Y37:Y47" si="23">ROUND(SUM(R37:U37)-W37,2)</f>
        <v>0</v>
      </c>
    </row>
    <row r="38" spans="2:25" x14ac:dyDescent="0.2">
      <c r="B38" s="3" t="s">
        <v>30</v>
      </c>
      <c r="D38" s="7" t="s">
        <v>30</v>
      </c>
      <c r="E38" s="38" t="e">
        <f>+'6 Other'!#REF!</f>
        <v>#REF!</v>
      </c>
      <c r="F38" s="38" t="e">
        <f>+'6 Other'!#REF!</f>
        <v>#REF!</v>
      </c>
      <c r="G38" s="38" t="e">
        <f>+'6 Other'!#REF!</f>
        <v>#REF!</v>
      </c>
      <c r="H38" s="38" t="e">
        <f>+'6 Other'!#REF!</f>
        <v>#REF!</v>
      </c>
      <c r="I38" s="38" t="e">
        <f>+'6 Other'!#REF!</f>
        <v>#REF!</v>
      </c>
      <c r="J38" s="38" t="e">
        <f>+'6 Other'!#REF!</f>
        <v>#REF!</v>
      </c>
      <c r="K38" s="38" t="e">
        <f>+'6 Other'!#REF!</f>
        <v>#REF!</v>
      </c>
      <c r="L38" s="38" t="e">
        <f>+'6 Other'!#REF!</f>
        <v>#REF!</v>
      </c>
      <c r="M38" s="38" t="e">
        <f>+'6 Other'!#REF!</f>
        <v>#REF!</v>
      </c>
      <c r="N38" s="38" t="e">
        <f>+'6 Other'!#REF!</f>
        <v>#REF!</v>
      </c>
      <c r="O38" s="38" t="e">
        <f>+'6 Other'!#REF!</f>
        <v>#REF!</v>
      </c>
      <c r="P38" s="38" t="e">
        <f>+'6 Other'!#REF!</f>
        <v>#REF!</v>
      </c>
      <c r="Q38" s="4"/>
      <c r="R38" s="4" t="e">
        <f t="shared" si="18"/>
        <v>#REF!</v>
      </c>
      <c r="S38" s="4" t="e">
        <f t="shared" si="19"/>
        <v>#REF!</v>
      </c>
      <c r="T38" s="4" t="e">
        <f t="shared" si="20"/>
        <v>#REF!</v>
      </c>
      <c r="U38" s="4" t="e">
        <f t="shared" si="21"/>
        <v>#REF!</v>
      </c>
      <c r="V38" s="4"/>
      <c r="W38" s="4" t="e">
        <f t="shared" si="22"/>
        <v>#REF!</v>
      </c>
      <c r="Y38" s="25" t="e">
        <f t="shared" si="23"/>
        <v>#REF!</v>
      </c>
    </row>
    <row r="39" spans="2:25" x14ac:dyDescent="0.2">
      <c r="B39" s="3" t="s">
        <v>17</v>
      </c>
      <c r="D39" s="7" t="s">
        <v>17</v>
      </c>
      <c r="E39" s="38">
        <f>+'6 Other'!C6</f>
        <v>3866.9</v>
      </c>
      <c r="F39" s="38">
        <f>+'6 Other'!D6</f>
        <v>4575.8999999999996</v>
      </c>
      <c r="G39" s="38">
        <f>+'6 Other'!E6</f>
        <v>12536.15</v>
      </c>
      <c r="H39" s="38">
        <f>+'6 Other'!F6</f>
        <v>11114.35</v>
      </c>
      <c r="I39" s="38">
        <f>+'6 Other'!G6</f>
        <v>24774.020000000004</v>
      </c>
      <c r="J39" s="38">
        <f>+'6 Other'!H6</f>
        <v>23118.32</v>
      </c>
      <c r="K39" s="38">
        <f>+'6 Other'!I6</f>
        <v>22036.41</v>
      </c>
      <c r="L39" s="38">
        <f>+'6 Other'!J6</f>
        <v>91840.73</v>
      </c>
      <c r="M39" s="38">
        <f>+'6 Other'!K6</f>
        <v>10289.469999999998</v>
      </c>
      <c r="N39" s="38">
        <f>+'6 Other'!L6</f>
        <v>24251.63</v>
      </c>
      <c r="O39" s="38">
        <f>+'6 Other'!M6</f>
        <v>12056.23</v>
      </c>
      <c r="P39" s="38">
        <f>+'6 Other'!N6</f>
        <v>12000</v>
      </c>
      <c r="Q39" s="4"/>
      <c r="R39" s="4">
        <f t="shared" si="18"/>
        <v>20978.949999999997</v>
      </c>
      <c r="S39" s="4">
        <f t="shared" si="19"/>
        <v>59006.69</v>
      </c>
      <c r="T39" s="4">
        <f t="shared" si="20"/>
        <v>124166.61</v>
      </c>
      <c r="U39" s="4">
        <f t="shared" si="21"/>
        <v>48307.86</v>
      </c>
      <c r="V39" s="4"/>
      <c r="W39" s="4">
        <f t="shared" si="22"/>
        <v>252460.11000000002</v>
      </c>
      <c r="Y39" s="25">
        <f t="shared" si="23"/>
        <v>0</v>
      </c>
    </row>
    <row r="40" spans="2:25" x14ac:dyDescent="0.2">
      <c r="B40" s="3" t="s">
        <v>28</v>
      </c>
      <c r="D40" s="7" t="s">
        <v>28</v>
      </c>
      <c r="E40" s="38">
        <f>+'6 Other'!C7</f>
        <v>263.76</v>
      </c>
      <c r="F40" s="38">
        <f>+'6 Other'!D7</f>
        <v>807.23</v>
      </c>
      <c r="G40" s="38">
        <f>+'6 Other'!E7</f>
        <v>556.55999999999995</v>
      </c>
      <c r="H40" s="38">
        <f>+'6 Other'!F7</f>
        <v>556</v>
      </c>
      <c r="I40" s="38">
        <f>+'6 Other'!G7</f>
        <v>354.79</v>
      </c>
      <c r="J40" s="38">
        <f>+'6 Other'!H7</f>
        <v>1130.5700000000002</v>
      </c>
      <c r="K40" s="38">
        <f>+'6 Other'!I7</f>
        <v>355.28000000000003</v>
      </c>
      <c r="L40" s="38">
        <f>+'6 Other'!J7</f>
        <v>1606.02</v>
      </c>
      <c r="M40" s="38">
        <f>+'6 Other'!K7</f>
        <v>1215.05</v>
      </c>
      <c r="N40" s="38">
        <f>+'6 Other'!L7</f>
        <v>127.22999999999999</v>
      </c>
      <c r="O40" s="38">
        <f>+'6 Other'!M7</f>
        <v>4393.6299999999992</v>
      </c>
      <c r="P40" s="38">
        <f>+'6 Other'!N7</f>
        <v>500</v>
      </c>
      <c r="Q40" s="4"/>
      <c r="R40" s="4">
        <f t="shared" si="18"/>
        <v>1627.55</v>
      </c>
      <c r="S40" s="4">
        <f t="shared" si="19"/>
        <v>2041.3600000000001</v>
      </c>
      <c r="T40" s="4">
        <f t="shared" si="20"/>
        <v>3176.35</v>
      </c>
      <c r="U40" s="4">
        <f t="shared" si="21"/>
        <v>5020.8599999999988</v>
      </c>
      <c r="V40" s="4"/>
      <c r="W40" s="4">
        <f t="shared" si="22"/>
        <v>11866.119999999999</v>
      </c>
      <c r="Y40" s="25">
        <f t="shared" si="23"/>
        <v>0</v>
      </c>
    </row>
    <row r="41" spans="2:25" x14ac:dyDescent="0.2">
      <c r="B41" s="3" t="s">
        <v>18</v>
      </c>
      <c r="D41" s="7" t="s">
        <v>18</v>
      </c>
      <c r="E41" s="38">
        <f>+'6 Other'!C8</f>
        <v>496.97</v>
      </c>
      <c r="F41" s="38">
        <f>+'6 Other'!D8</f>
        <v>8280.18</v>
      </c>
      <c r="G41" s="38">
        <f>+'6 Other'!E8</f>
        <v>3089.8900000000003</v>
      </c>
      <c r="H41" s="38">
        <f>+'6 Other'!F8</f>
        <v>8984.89</v>
      </c>
      <c r="I41" s="38">
        <f>+'6 Other'!G8</f>
        <v>1547.5500000000002</v>
      </c>
      <c r="J41" s="38">
        <f>+'6 Other'!H8</f>
        <v>3039.49</v>
      </c>
      <c r="K41" s="38">
        <f>+'6 Other'!I8</f>
        <v>5580.2400000000007</v>
      </c>
      <c r="L41" s="38">
        <f>+'6 Other'!J8</f>
        <v>1783.2400000000002</v>
      </c>
      <c r="M41" s="38">
        <f>+'6 Other'!K8</f>
        <v>3039.49</v>
      </c>
      <c r="N41" s="38">
        <f>+'6 Other'!L8</f>
        <v>5817.8</v>
      </c>
      <c r="O41" s="38">
        <f>+'6 Other'!M8</f>
        <v>1783.2400000000002</v>
      </c>
      <c r="P41" s="38">
        <f>+'6 Other'!N8</f>
        <v>2500</v>
      </c>
      <c r="Q41" s="4"/>
      <c r="R41" s="4">
        <f t="shared" si="18"/>
        <v>11867.04</v>
      </c>
      <c r="S41" s="4">
        <f t="shared" si="19"/>
        <v>13571.929999999998</v>
      </c>
      <c r="T41" s="4">
        <f t="shared" si="20"/>
        <v>10402.970000000001</v>
      </c>
      <c r="U41" s="4">
        <f t="shared" si="21"/>
        <v>10101.040000000001</v>
      </c>
      <c r="V41" s="4"/>
      <c r="W41" s="4">
        <f t="shared" si="22"/>
        <v>45942.98</v>
      </c>
      <c r="Y41" s="25">
        <f t="shared" si="23"/>
        <v>0</v>
      </c>
    </row>
    <row r="42" spans="2:25" x14ac:dyDescent="0.2">
      <c r="B42" s="3" t="s">
        <v>29</v>
      </c>
      <c r="D42" s="7" t="s">
        <v>29</v>
      </c>
      <c r="E42" s="38">
        <f>+'6 Other'!C9</f>
        <v>10550</v>
      </c>
      <c r="F42" s="38">
        <f>+'6 Other'!D9</f>
        <v>15467.5</v>
      </c>
      <c r="G42" s="38">
        <f>+'6 Other'!E9</f>
        <v>18866</v>
      </c>
      <c r="H42" s="38">
        <f>+'6 Other'!F9</f>
        <v>28130</v>
      </c>
      <c r="I42" s="38">
        <f>+'6 Other'!G9</f>
        <v>23029.4</v>
      </c>
      <c r="J42" s="38">
        <f>+'6 Other'!H9</f>
        <v>10386.450000000001</v>
      </c>
      <c r="K42" s="38">
        <f>+'6 Other'!I9</f>
        <v>9005.5</v>
      </c>
      <c r="L42" s="38">
        <f>+'6 Other'!J9</f>
        <v>1950.5</v>
      </c>
      <c r="M42" s="38">
        <f>+'6 Other'!K9</f>
        <v>8001</v>
      </c>
      <c r="N42" s="38">
        <f>+'6 Other'!L9</f>
        <v>9200.7000000000007</v>
      </c>
      <c r="O42" s="38">
        <f>+'6 Other'!M9</f>
        <v>1426</v>
      </c>
      <c r="P42" s="38">
        <f>+'6 Other'!N9</f>
        <v>11000</v>
      </c>
      <c r="Q42" s="4"/>
      <c r="R42" s="4">
        <f t="shared" si="18"/>
        <v>44883.5</v>
      </c>
      <c r="S42" s="4">
        <f t="shared" si="19"/>
        <v>61545.850000000006</v>
      </c>
      <c r="T42" s="4">
        <f t="shared" si="20"/>
        <v>18957</v>
      </c>
      <c r="U42" s="4">
        <f t="shared" si="21"/>
        <v>21626.7</v>
      </c>
      <c r="V42" s="4"/>
      <c r="W42" s="4">
        <f t="shared" si="22"/>
        <v>147013.04999999999</v>
      </c>
      <c r="Y42" s="25">
        <f t="shared" si="23"/>
        <v>0</v>
      </c>
    </row>
    <row r="43" spans="2:25" x14ac:dyDescent="0.2">
      <c r="B43" s="3" t="s">
        <v>32</v>
      </c>
      <c r="D43" s="7" t="s">
        <v>32</v>
      </c>
      <c r="E43" s="38">
        <f>+'6 Other'!C10</f>
        <v>0</v>
      </c>
      <c r="F43" s="38">
        <f>+'6 Other'!D10</f>
        <v>0</v>
      </c>
      <c r="G43" s="38">
        <f>+'6 Other'!E10</f>
        <v>0</v>
      </c>
      <c r="H43" s="38">
        <f>+'6 Other'!F10</f>
        <v>0</v>
      </c>
      <c r="I43" s="38">
        <f>+'6 Other'!G10</f>
        <v>22482.5</v>
      </c>
      <c r="J43" s="38">
        <f>+'6 Other'!H10</f>
        <v>287.5</v>
      </c>
      <c r="K43" s="38">
        <f>+'6 Other'!I10</f>
        <v>535</v>
      </c>
      <c r="L43" s="38">
        <f>+'6 Other'!J10</f>
        <v>0</v>
      </c>
      <c r="M43" s="38">
        <f>+'6 Other'!K10</f>
        <v>565</v>
      </c>
      <c r="N43" s="38">
        <f>+'6 Other'!L10</f>
        <v>0</v>
      </c>
      <c r="O43" s="38">
        <f>+'6 Other'!M10</f>
        <v>0</v>
      </c>
      <c r="P43" s="38">
        <f>+'6 Other'!N10</f>
        <v>12500</v>
      </c>
      <c r="Q43" s="4"/>
      <c r="R43" s="4">
        <f t="shared" si="18"/>
        <v>0</v>
      </c>
      <c r="S43" s="4">
        <f t="shared" si="19"/>
        <v>22770</v>
      </c>
      <c r="T43" s="4">
        <f t="shared" si="20"/>
        <v>1100</v>
      </c>
      <c r="U43" s="4">
        <f t="shared" si="21"/>
        <v>12500</v>
      </c>
      <c r="V43" s="4"/>
      <c r="W43" s="4">
        <f t="shared" si="22"/>
        <v>36370</v>
      </c>
      <c r="Y43" s="25">
        <f t="shared" si="23"/>
        <v>0</v>
      </c>
    </row>
    <row r="44" spans="2:25" x14ac:dyDescent="0.2">
      <c r="B44" s="3" t="s">
        <v>31</v>
      </c>
      <c r="D44" s="7" t="s">
        <v>31</v>
      </c>
      <c r="E44" s="38">
        <f>+'6 Other'!C11</f>
        <v>0</v>
      </c>
      <c r="F44" s="38">
        <f>+'6 Other'!D11</f>
        <v>0</v>
      </c>
      <c r="G44" s="38">
        <f>+'6 Other'!E11</f>
        <v>63750</v>
      </c>
      <c r="H44" s="38">
        <f>+'6 Other'!F11</f>
        <v>0</v>
      </c>
      <c r="I44" s="38">
        <f>+'6 Other'!G11</f>
        <v>25000</v>
      </c>
      <c r="J44" s="38">
        <f>+'6 Other'!H11</f>
        <v>0</v>
      </c>
      <c r="K44" s="38">
        <f>+'6 Other'!I11</f>
        <v>0</v>
      </c>
      <c r="L44" s="38">
        <f>+'6 Other'!J11</f>
        <v>0</v>
      </c>
      <c r="M44" s="38">
        <f>+'6 Other'!K11</f>
        <v>0</v>
      </c>
      <c r="N44" s="38">
        <f>+'6 Other'!L11</f>
        <v>0</v>
      </c>
      <c r="O44" s="38">
        <f>+'6 Other'!M11</f>
        <v>0</v>
      </c>
      <c r="P44" s="38">
        <f>+'6 Other'!N11</f>
        <v>35000</v>
      </c>
      <c r="Q44" s="4"/>
      <c r="R44" s="4">
        <f t="shared" si="18"/>
        <v>63750</v>
      </c>
      <c r="S44" s="4">
        <f t="shared" si="19"/>
        <v>25000</v>
      </c>
      <c r="T44" s="4">
        <f t="shared" si="20"/>
        <v>0</v>
      </c>
      <c r="U44" s="4">
        <f t="shared" si="21"/>
        <v>35000</v>
      </c>
      <c r="V44" s="4"/>
      <c r="W44" s="4">
        <f t="shared" si="22"/>
        <v>123750</v>
      </c>
      <c r="Y44" s="25">
        <f t="shared" si="23"/>
        <v>0</v>
      </c>
    </row>
    <row r="45" spans="2:25" x14ac:dyDescent="0.2">
      <c r="B45" s="3" t="s">
        <v>21</v>
      </c>
      <c r="D45" s="7" t="s">
        <v>62</v>
      </c>
      <c r="E45" s="38">
        <f>+'6 Other'!C12</f>
        <v>0</v>
      </c>
      <c r="F45" s="38">
        <f>+'6 Other'!D12</f>
        <v>0</v>
      </c>
      <c r="G45" s="38">
        <f>+'6 Other'!E12</f>
        <v>4036</v>
      </c>
      <c r="H45" s="38">
        <f>+'6 Other'!F12</f>
        <v>20</v>
      </c>
      <c r="I45" s="38">
        <f>+'6 Other'!G12</f>
        <v>-326.17</v>
      </c>
      <c r="J45" s="38">
        <f>+'6 Other'!H12</f>
        <v>196</v>
      </c>
      <c r="K45" s="38">
        <f>+'6 Other'!I12</f>
        <v>112.92</v>
      </c>
      <c r="L45" s="38">
        <f>+'6 Other'!J12</f>
        <v>0</v>
      </c>
      <c r="M45" s="38">
        <f>+'6 Other'!K12</f>
        <v>-32</v>
      </c>
      <c r="N45" s="38">
        <f>+'6 Other'!L12</f>
        <v>188.43</v>
      </c>
      <c r="O45" s="38">
        <f>+'6 Other'!M12</f>
        <v>0</v>
      </c>
      <c r="P45" s="38">
        <f>+'6 Other'!N12</f>
        <v>250</v>
      </c>
      <c r="Q45" s="4"/>
      <c r="R45" s="4">
        <f t="shared" si="18"/>
        <v>4036</v>
      </c>
      <c r="S45" s="4">
        <f t="shared" si="19"/>
        <v>-110.17000000000002</v>
      </c>
      <c r="T45" s="4">
        <f t="shared" si="20"/>
        <v>80.92</v>
      </c>
      <c r="U45" s="4">
        <f t="shared" si="21"/>
        <v>438.43</v>
      </c>
      <c r="V45" s="4"/>
      <c r="W45" s="4">
        <f t="shared" si="22"/>
        <v>4445.18</v>
      </c>
      <c r="Y45" s="25">
        <f t="shared" si="23"/>
        <v>0</v>
      </c>
    </row>
    <row r="46" spans="2:25" x14ac:dyDescent="0.2">
      <c r="B46" s="3" t="s">
        <v>22</v>
      </c>
      <c r="D46" s="7" t="s">
        <v>22</v>
      </c>
      <c r="E46" s="38" t="e">
        <f>+'6 Other'!#REF!</f>
        <v>#REF!</v>
      </c>
      <c r="F46" s="38" t="e">
        <f>+'6 Other'!#REF!</f>
        <v>#REF!</v>
      </c>
      <c r="G46" s="38" t="e">
        <f>+'6 Other'!#REF!</f>
        <v>#REF!</v>
      </c>
      <c r="H46" s="38" t="e">
        <f>+'6 Other'!#REF!</f>
        <v>#REF!</v>
      </c>
      <c r="I46" s="38" t="e">
        <f>+'6 Other'!#REF!</f>
        <v>#REF!</v>
      </c>
      <c r="J46" s="38" t="e">
        <f>+'6 Other'!#REF!</f>
        <v>#REF!</v>
      </c>
      <c r="K46" s="38" t="e">
        <f>+'6 Other'!#REF!</f>
        <v>#REF!</v>
      </c>
      <c r="L46" s="38" t="e">
        <f>+'6 Other'!#REF!</f>
        <v>#REF!</v>
      </c>
      <c r="M46" s="38" t="e">
        <f>+'6 Other'!#REF!</f>
        <v>#REF!</v>
      </c>
      <c r="N46" s="38" t="e">
        <f>+'6 Other'!#REF!</f>
        <v>#REF!</v>
      </c>
      <c r="O46" s="38" t="e">
        <f>+'6 Other'!#REF!</f>
        <v>#REF!</v>
      </c>
      <c r="P46" s="38" t="e">
        <f>+'6 Other'!#REF!</f>
        <v>#REF!</v>
      </c>
      <c r="Q46" s="4"/>
      <c r="R46" s="4" t="e">
        <f t="shared" si="18"/>
        <v>#REF!</v>
      </c>
      <c r="S46" s="4" t="e">
        <f t="shared" si="19"/>
        <v>#REF!</v>
      </c>
      <c r="T46" s="4" t="e">
        <f t="shared" si="20"/>
        <v>#REF!</v>
      </c>
      <c r="U46" s="4" t="e">
        <f t="shared" si="21"/>
        <v>#REF!</v>
      </c>
      <c r="V46" s="4"/>
      <c r="W46" s="4" t="e">
        <f t="shared" si="22"/>
        <v>#REF!</v>
      </c>
      <c r="Y46" s="25" t="e">
        <f t="shared" si="23"/>
        <v>#REF!</v>
      </c>
    </row>
    <row r="47" spans="2:25" x14ac:dyDescent="0.2">
      <c r="B47" s="3"/>
      <c r="D47" s="8" t="s">
        <v>97</v>
      </c>
      <c r="E47" s="34" t="e">
        <f>SUM(E37:E46)</f>
        <v>#REF!</v>
      </c>
      <c r="F47" s="34" t="e">
        <f t="shared" ref="F47:P47" si="24">SUM(F37:F46)</f>
        <v>#REF!</v>
      </c>
      <c r="G47" s="34" t="e">
        <f t="shared" si="24"/>
        <v>#REF!</v>
      </c>
      <c r="H47" s="34" t="e">
        <f t="shared" si="24"/>
        <v>#REF!</v>
      </c>
      <c r="I47" s="34" t="e">
        <f t="shared" si="24"/>
        <v>#REF!</v>
      </c>
      <c r="J47" s="34" t="e">
        <f>SUM(J37:J46)</f>
        <v>#REF!</v>
      </c>
      <c r="K47" s="34" t="e">
        <f t="shared" si="24"/>
        <v>#REF!</v>
      </c>
      <c r="L47" s="34" t="e">
        <f t="shared" si="24"/>
        <v>#REF!</v>
      </c>
      <c r="M47" s="34" t="e">
        <f t="shared" si="24"/>
        <v>#REF!</v>
      </c>
      <c r="N47" s="34" t="e">
        <f t="shared" si="24"/>
        <v>#REF!</v>
      </c>
      <c r="O47" s="34" t="e">
        <f t="shared" si="24"/>
        <v>#REF!</v>
      </c>
      <c r="P47" s="34" t="e">
        <f t="shared" si="24"/>
        <v>#REF!</v>
      </c>
      <c r="Q47" s="34"/>
      <c r="R47" s="34" t="e">
        <f>SUM(R37:R46)</f>
        <v>#REF!</v>
      </c>
      <c r="S47" s="34" t="e">
        <f>SUM(S37:S46)</f>
        <v>#REF!</v>
      </c>
      <c r="T47" s="34" t="e">
        <f>SUM(T37:T46)</f>
        <v>#REF!</v>
      </c>
      <c r="U47" s="34" t="e">
        <f>SUM(U37:U46)</f>
        <v>#REF!</v>
      </c>
      <c r="V47" s="34"/>
      <c r="W47" s="34" t="e">
        <f>SUM(W37:W46)</f>
        <v>#REF!</v>
      </c>
      <c r="Y47" s="25" t="e">
        <f t="shared" si="23"/>
        <v>#REF!</v>
      </c>
    </row>
    <row r="48" spans="2:25" x14ac:dyDescent="0.2">
      <c r="B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Y48" s="25"/>
    </row>
    <row r="49" spans="2:25" x14ac:dyDescent="0.2">
      <c r="B49" s="3"/>
      <c r="D49" s="8" t="s">
        <v>43</v>
      </c>
      <c r="E49" s="34" t="e">
        <f t="shared" ref="E49:P49" si="25">+E23+E31+E35+E47</f>
        <v>#REF!</v>
      </c>
      <c r="F49" s="34" t="e">
        <f t="shared" si="25"/>
        <v>#REF!</v>
      </c>
      <c r="G49" s="34" t="e">
        <f t="shared" si="25"/>
        <v>#REF!</v>
      </c>
      <c r="H49" s="34" t="e">
        <f t="shared" si="25"/>
        <v>#REF!</v>
      </c>
      <c r="I49" s="34" t="e">
        <f t="shared" si="25"/>
        <v>#REF!</v>
      </c>
      <c r="J49" s="34" t="e">
        <f t="shared" si="25"/>
        <v>#REF!</v>
      </c>
      <c r="K49" s="34" t="e">
        <f t="shared" si="25"/>
        <v>#REF!</v>
      </c>
      <c r="L49" s="34" t="e">
        <f t="shared" si="25"/>
        <v>#REF!</v>
      </c>
      <c r="M49" s="34" t="e">
        <f t="shared" si="25"/>
        <v>#REF!</v>
      </c>
      <c r="N49" s="34" t="e">
        <f t="shared" si="25"/>
        <v>#REF!</v>
      </c>
      <c r="O49" s="34" t="e">
        <f t="shared" si="25"/>
        <v>#REF!</v>
      </c>
      <c r="P49" s="34" t="e">
        <f t="shared" si="25"/>
        <v>#REF!</v>
      </c>
      <c r="Q49" s="34"/>
      <c r="R49" s="34" t="e">
        <f>+R23+R31+R35+R47</f>
        <v>#REF!</v>
      </c>
      <c r="S49" s="34" t="e">
        <f>+S23+S31+S35+S47</f>
        <v>#REF!</v>
      </c>
      <c r="T49" s="34" t="e">
        <f>+T23+T31+T35+T47</f>
        <v>#REF!</v>
      </c>
      <c r="U49" s="34" t="e">
        <f>+U23+U31+U35+U47</f>
        <v>#REF!</v>
      </c>
      <c r="V49" s="34"/>
      <c r="W49" s="34" t="e">
        <f>+W23+W31+W35+W47</f>
        <v>#REF!</v>
      </c>
      <c r="Y49" s="25" t="e">
        <f>ROUND(SUM(R49:U49)-W49,2)</f>
        <v>#REF!</v>
      </c>
    </row>
    <row r="50" spans="2:25" x14ac:dyDescent="0.2">
      <c r="B50" s="3"/>
      <c r="Y50" s="25"/>
    </row>
    <row r="51" spans="2:25" x14ac:dyDescent="0.2">
      <c r="B51" s="6" t="s">
        <v>33</v>
      </c>
      <c r="D51" s="7" t="s">
        <v>33</v>
      </c>
      <c r="E51" s="38">
        <f>+'6 Other'!C18</f>
        <v>0</v>
      </c>
      <c r="F51" s="38">
        <f>+'6 Other'!D18</f>
        <v>0</v>
      </c>
      <c r="G51" s="38">
        <f>+'6 Other'!E18</f>
        <v>0</v>
      </c>
      <c r="H51" s="38">
        <f>+'6 Other'!F18</f>
        <v>0</v>
      </c>
      <c r="I51" s="38">
        <f>+'6 Other'!G18</f>
        <v>0</v>
      </c>
      <c r="J51" s="38">
        <f>+'6 Other'!H18</f>
        <v>0</v>
      </c>
      <c r="K51" s="38">
        <f>+'6 Other'!I18</f>
        <v>0</v>
      </c>
      <c r="L51" s="38">
        <f>+'6 Other'!J18</f>
        <v>0</v>
      </c>
      <c r="M51" s="38">
        <f>+'6 Other'!K18</f>
        <v>0</v>
      </c>
      <c r="N51" s="38">
        <f>+'6 Other'!L18</f>
        <v>0</v>
      </c>
      <c r="O51" s="38">
        <f>+'6 Other'!M18</f>
        <v>0</v>
      </c>
      <c r="P51" s="38">
        <f>+'6 Other'!N18</f>
        <v>0</v>
      </c>
      <c r="Q51" s="4"/>
      <c r="R51" s="4">
        <f>SUM(E51:G51)</f>
        <v>0</v>
      </c>
      <c r="S51" s="4">
        <f>SUM(H51:J51)</f>
        <v>0</v>
      </c>
      <c r="T51" s="4">
        <f>SUM(K51:M51)</f>
        <v>0</v>
      </c>
      <c r="U51" s="4">
        <f>SUM(N51:P51)</f>
        <v>0</v>
      </c>
      <c r="V51" s="4"/>
      <c r="W51" s="4">
        <f>SUM(E51:P51)</f>
        <v>0</v>
      </c>
      <c r="Y51" s="25">
        <f t="shared" ref="Y51:Y56" si="26">ROUND(SUM(R51:U51)-W51,2)</f>
        <v>0</v>
      </c>
    </row>
    <row r="52" spans="2:25" x14ac:dyDescent="0.2">
      <c r="B52" s="3" t="s">
        <v>35</v>
      </c>
      <c r="D52" s="7" t="s">
        <v>35</v>
      </c>
      <c r="E52" s="38">
        <f>+'6 Other'!C19</f>
        <v>0</v>
      </c>
      <c r="F52" s="38">
        <f>+'6 Other'!D19</f>
        <v>0</v>
      </c>
      <c r="G52" s="38">
        <f>+'6 Other'!E19</f>
        <v>0</v>
      </c>
      <c r="H52" s="38">
        <f>+'6 Other'!F19</f>
        <v>0</v>
      </c>
      <c r="I52" s="38">
        <f>+'6 Other'!G19</f>
        <v>0</v>
      </c>
      <c r="J52" s="38">
        <f>+'6 Other'!H19</f>
        <v>0</v>
      </c>
      <c r="K52" s="38">
        <f>+'6 Other'!I19</f>
        <v>0</v>
      </c>
      <c r="L52" s="38">
        <f>+'6 Other'!J19</f>
        <v>0</v>
      </c>
      <c r="M52" s="38">
        <f>+'6 Other'!K19</f>
        <v>0</v>
      </c>
      <c r="N52" s="38">
        <f>+'6 Other'!L19</f>
        <v>0</v>
      </c>
      <c r="O52" s="38">
        <f>+'6 Other'!M19</f>
        <v>0</v>
      </c>
      <c r="P52" s="38">
        <f>+'6 Other'!N19</f>
        <v>0</v>
      </c>
      <c r="Q52" s="4"/>
      <c r="R52" s="4">
        <f t="shared" ref="R52:R55" si="27">SUM(E52:G52)</f>
        <v>0</v>
      </c>
      <c r="S52" s="4">
        <f t="shared" ref="S52:S55" si="28">SUM(H52:J52)</f>
        <v>0</v>
      </c>
      <c r="T52" s="4">
        <f t="shared" ref="T52:T55" si="29">SUM(K52:M52)</f>
        <v>0</v>
      </c>
      <c r="U52" s="4">
        <f t="shared" ref="U52:U55" si="30">SUM(N52:P52)</f>
        <v>0</v>
      </c>
      <c r="V52" s="4"/>
      <c r="W52" s="4">
        <f t="shared" ref="W52:W55" si="31">SUM(E52:P52)</f>
        <v>0</v>
      </c>
      <c r="Y52" s="25">
        <f t="shared" si="26"/>
        <v>0</v>
      </c>
    </row>
    <row r="53" spans="2:25" x14ac:dyDescent="0.2">
      <c r="B53" s="3" t="s">
        <v>16</v>
      </c>
      <c r="D53" s="7" t="s">
        <v>16</v>
      </c>
      <c r="E53" s="38">
        <f>+'6 Other'!C20</f>
        <v>-5043.37</v>
      </c>
      <c r="F53" s="38">
        <f>+'6 Other'!D20</f>
        <v>-5518.34</v>
      </c>
      <c r="G53" s="38">
        <f>+'6 Other'!E20</f>
        <v>-4685.37</v>
      </c>
      <c r="H53" s="38">
        <f>+'6 Other'!F20</f>
        <v>-3686.29</v>
      </c>
      <c r="I53" s="38">
        <f>+'6 Other'!G20</f>
        <v>-2521.11</v>
      </c>
      <c r="J53" s="38">
        <f>+'6 Other'!H20</f>
        <v>-957.06</v>
      </c>
      <c r="K53" s="38">
        <f>+'6 Other'!I20</f>
        <v>-183.94</v>
      </c>
      <c r="L53" s="38">
        <f>+'6 Other'!J20</f>
        <v>0</v>
      </c>
      <c r="M53" s="38">
        <f>+'6 Other'!K20</f>
        <v>0</v>
      </c>
      <c r="N53" s="38">
        <f>+'6 Other'!L20</f>
        <v>0</v>
      </c>
      <c r="O53" s="38">
        <f>+'6 Other'!M20</f>
        <v>0</v>
      </c>
      <c r="P53" s="38">
        <f>+'6 Other'!N20</f>
        <v>0</v>
      </c>
      <c r="Q53" s="4"/>
      <c r="R53" s="4">
        <f t="shared" si="27"/>
        <v>-15247.079999999998</v>
      </c>
      <c r="S53" s="4">
        <f t="shared" si="28"/>
        <v>-7164.4599999999991</v>
      </c>
      <c r="T53" s="4">
        <f t="shared" si="29"/>
        <v>-183.94</v>
      </c>
      <c r="U53" s="4">
        <f t="shared" si="30"/>
        <v>0</v>
      </c>
      <c r="V53" s="4"/>
      <c r="W53" s="4">
        <f t="shared" si="31"/>
        <v>-22595.48</v>
      </c>
      <c r="Y53" s="25">
        <f t="shared" si="26"/>
        <v>0</v>
      </c>
    </row>
    <row r="54" spans="2:25" x14ac:dyDescent="0.2">
      <c r="B54" s="3" t="s">
        <v>0</v>
      </c>
      <c r="D54" s="7" t="s">
        <v>0</v>
      </c>
      <c r="E54" s="38">
        <f>+'6 Other'!C21</f>
        <v>0</v>
      </c>
      <c r="F54" s="38">
        <f>+'6 Other'!D21</f>
        <v>-1010.7</v>
      </c>
      <c r="G54" s="38">
        <f>+'6 Other'!E21</f>
        <v>0</v>
      </c>
      <c r="H54" s="38">
        <f>+'6 Other'!F21</f>
        <v>-1222.92</v>
      </c>
      <c r="I54" s="38">
        <f>+'6 Other'!G21</f>
        <v>-2784.15</v>
      </c>
      <c r="J54" s="38">
        <f>+'6 Other'!H21</f>
        <v>-1124.19</v>
      </c>
      <c r="K54" s="38">
        <f>+'6 Other'!I21</f>
        <v>-1126.1100000000001</v>
      </c>
      <c r="L54" s="38">
        <f>+'6 Other'!J21</f>
        <v>-105.74</v>
      </c>
      <c r="M54" s="38">
        <f>+'6 Other'!K21</f>
        <v>0</v>
      </c>
      <c r="N54" s="38">
        <f>+'6 Other'!L21</f>
        <v>0</v>
      </c>
      <c r="O54" s="38">
        <f>+'6 Other'!M21</f>
        <v>0</v>
      </c>
      <c r="P54" s="38">
        <f>+'6 Other'!N21</f>
        <v>0</v>
      </c>
      <c r="Q54" s="4"/>
      <c r="R54" s="4">
        <f t="shared" si="27"/>
        <v>-1010.7</v>
      </c>
      <c r="S54" s="4">
        <f t="shared" si="28"/>
        <v>-5131.26</v>
      </c>
      <c r="T54" s="4">
        <f t="shared" si="29"/>
        <v>-1231.8500000000001</v>
      </c>
      <c r="U54" s="4">
        <f t="shared" si="30"/>
        <v>0</v>
      </c>
      <c r="V54" s="4"/>
      <c r="W54" s="4">
        <f t="shared" si="31"/>
        <v>-7373.8100000000013</v>
      </c>
      <c r="Y54" s="25">
        <f t="shared" si="26"/>
        <v>0</v>
      </c>
    </row>
    <row r="55" spans="2:25" x14ac:dyDescent="0.2">
      <c r="B55" s="3" t="s">
        <v>26</v>
      </c>
      <c r="D55" s="7" t="s">
        <v>26</v>
      </c>
      <c r="E55" s="38">
        <f>+'6 Other'!C23</f>
        <v>-246.35</v>
      </c>
      <c r="F55" s="38">
        <f>+'6 Other'!D23</f>
        <v>-433.54</v>
      </c>
      <c r="G55" s="38">
        <f>+'6 Other'!E23</f>
        <v>-471.18</v>
      </c>
      <c r="H55" s="38">
        <f>+'6 Other'!F23</f>
        <v>-346.98</v>
      </c>
      <c r="I55" s="38">
        <f>+'6 Other'!G23</f>
        <v>-328.78999999999996</v>
      </c>
      <c r="J55" s="38">
        <f>+'6 Other'!H23</f>
        <v>-692</v>
      </c>
      <c r="K55" s="38">
        <f>+'6 Other'!I23</f>
        <v>-386.11</v>
      </c>
      <c r="L55" s="38">
        <f>+'6 Other'!J23</f>
        <v>-335.21</v>
      </c>
      <c r="M55" s="38">
        <f>+'6 Other'!K23</f>
        <v>-324.17</v>
      </c>
      <c r="N55" s="38">
        <f>+'6 Other'!L23</f>
        <v>-341.29</v>
      </c>
      <c r="O55" s="38">
        <f>+'6 Other'!M23</f>
        <v>-311.16000000000003</v>
      </c>
      <c r="P55" s="38">
        <f>+'6 Other'!N23</f>
        <v>-400</v>
      </c>
      <c r="Q55" s="4"/>
      <c r="R55" s="4">
        <f t="shared" si="27"/>
        <v>-1151.07</v>
      </c>
      <c r="S55" s="4">
        <f t="shared" si="28"/>
        <v>-1367.77</v>
      </c>
      <c r="T55" s="4">
        <f t="shared" si="29"/>
        <v>-1045.49</v>
      </c>
      <c r="U55" s="4">
        <f t="shared" si="30"/>
        <v>-1052.45</v>
      </c>
      <c r="V55" s="4"/>
      <c r="W55" s="4">
        <f t="shared" si="31"/>
        <v>-4616.7800000000007</v>
      </c>
      <c r="Y55" s="25">
        <f t="shared" si="26"/>
        <v>0</v>
      </c>
    </row>
    <row r="56" spans="2:25" x14ac:dyDescent="0.2">
      <c r="B56" s="3" t="s">
        <v>48</v>
      </c>
      <c r="D56" s="7" t="s">
        <v>48</v>
      </c>
      <c r="E56" s="38">
        <f>+'6 Other'!C24</f>
        <v>7748.71</v>
      </c>
      <c r="F56" s="38">
        <f>+'6 Other'!D24</f>
        <v>8351.2900000000009</v>
      </c>
      <c r="G56" s="38">
        <f>+'6 Other'!E24</f>
        <v>8145.22</v>
      </c>
      <c r="H56" s="38">
        <f>+'6 Other'!F24</f>
        <v>6912.1</v>
      </c>
      <c r="I56" s="38">
        <f>+'6 Other'!G24</f>
        <v>5204.78</v>
      </c>
      <c r="J56" s="38">
        <f>+'6 Other'!H24</f>
        <v>3887.72</v>
      </c>
      <c r="K56" s="38">
        <f>+'6 Other'!I24</f>
        <v>3150.25</v>
      </c>
      <c r="L56" s="38">
        <f>+'6 Other'!J24</f>
        <v>2155.66</v>
      </c>
      <c r="M56" s="38">
        <f>+'6 Other'!K24</f>
        <v>1083.05</v>
      </c>
      <c r="N56" s="38">
        <f>+'6 Other'!L24</f>
        <v>613.20000000000005</v>
      </c>
      <c r="O56" s="38">
        <f>+'6 Other'!M24</f>
        <v>312.41000000000003</v>
      </c>
      <c r="P56" s="38">
        <f>+'6 Other'!N24</f>
        <v>300</v>
      </c>
      <c r="Q56" s="4"/>
      <c r="R56" s="4">
        <f>SUM(E56:G56)</f>
        <v>24245.22</v>
      </c>
      <c r="S56" s="4">
        <f>SUM(H56:J56)</f>
        <v>16004.6</v>
      </c>
      <c r="T56" s="4">
        <f>SUM(K56:M56)</f>
        <v>6388.96</v>
      </c>
      <c r="U56" s="4">
        <f>SUM(N56:P56)</f>
        <v>1225.6100000000001</v>
      </c>
      <c r="V56" s="4"/>
      <c r="W56" s="4">
        <f>SUM(E56:P56)</f>
        <v>47864.39</v>
      </c>
      <c r="Y56" s="25">
        <f t="shared" si="26"/>
        <v>0</v>
      </c>
    </row>
    <row r="57" spans="2:25" x14ac:dyDescent="0.2">
      <c r="B57" s="3"/>
      <c r="Y57" s="25"/>
    </row>
    <row r="58" spans="2:25" x14ac:dyDescent="0.2">
      <c r="B58" s="3"/>
      <c r="D58" s="1" t="s">
        <v>44</v>
      </c>
      <c r="E58" s="35">
        <v>3221818.87</v>
      </c>
      <c r="F58" s="5" t="e">
        <f>+E63</f>
        <v>#REF!</v>
      </c>
      <c r="G58" s="5" t="e">
        <f t="shared" ref="G58:P58" si="32">+F63</f>
        <v>#REF!</v>
      </c>
      <c r="H58" s="5" t="e">
        <f t="shared" si="32"/>
        <v>#REF!</v>
      </c>
      <c r="I58" s="5" t="e">
        <f t="shared" si="32"/>
        <v>#REF!</v>
      </c>
      <c r="J58" s="5" t="e">
        <f t="shared" si="32"/>
        <v>#REF!</v>
      </c>
      <c r="K58" s="5" t="e">
        <f t="shared" si="32"/>
        <v>#REF!</v>
      </c>
      <c r="L58" s="5" t="e">
        <f t="shared" si="32"/>
        <v>#REF!</v>
      </c>
      <c r="M58" s="5" t="e">
        <f t="shared" si="32"/>
        <v>#REF!</v>
      </c>
      <c r="N58" s="5" t="e">
        <f t="shared" si="32"/>
        <v>#REF!</v>
      </c>
      <c r="O58" s="5" t="e">
        <f t="shared" si="32"/>
        <v>#REF!</v>
      </c>
      <c r="P58" s="5" t="e">
        <f t="shared" si="32"/>
        <v>#REF!</v>
      </c>
      <c r="Q58" s="5"/>
      <c r="R58" s="5">
        <f>+E58</f>
        <v>3221818.87</v>
      </c>
      <c r="S58" s="5" t="e">
        <f>+R63</f>
        <v>#REF!</v>
      </c>
      <c r="T58" s="5" t="e">
        <f>+S63</f>
        <v>#REF!</v>
      </c>
      <c r="U58" s="5" t="e">
        <f>+T63</f>
        <v>#REF!</v>
      </c>
      <c r="V58" s="5"/>
      <c r="W58" s="5">
        <f>+R58</f>
        <v>3221818.87</v>
      </c>
      <c r="Y58" s="25"/>
    </row>
    <row r="59" spans="2:25" x14ac:dyDescent="0.2">
      <c r="B59" s="3"/>
      <c r="Y59" s="25"/>
    </row>
    <row r="60" spans="2:25" x14ac:dyDescent="0.2">
      <c r="B60" s="3"/>
      <c r="D60" s="7" t="s">
        <v>45</v>
      </c>
      <c r="E60" s="4" t="e">
        <f t="shared" ref="E60:P60" si="33">E17-E49+SUM(E51:E56)</f>
        <v>#REF!</v>
      </c>
      <c r="F60" s="4" t="e">
        <f t="shared" si="33"/>
        <v>#REF!</v>
      </c>
      <c r="G60" s="4" t="e">
        <f t="shared" si="33"/>
        <v>#REF!</v>
      </c>
      <c r="H60" s="4" t="e">
        <f t="shared" si="33"/>
        <v>#REF!</v>
      </c>
      <c r="I60" s="4" t="e">
        <f t="shared" si="33"/>
        <v>#REF!</v>
      </c>
      <c r="J60" s="4" t="e">
        <f t="shared" si="33"/>
        <v>#REF!</v>
      </c>
      <c r="K60" s="4" t="e">
        <f t="shared" si="33"/>
        <v>#REF!</v>
      </c>
      <c r="L60" s="4" t="e">
        <f t="shared" si="33"/>
        <v>#REF!</v>
      </c>
      <c r="M60" s="4" t="e">
        <f t="shared" si="33"/>
        <v>#REF!</v>
      </c>
      <c r="N60" s="4" t="e">
        <f t="shared" si="33"/>
        <v>#REF!</v>
      </c>
      <c r="O60" s="4" t="e">
        <f t="shared" si="33"/>
        <v>#REF!</v>
      </c>
      <c r="P60" s="4" t="e">
        <f t="shared" si="33"/>
        <v>#REF!</v>
      </c>
      <c r="Q60" s="4"/>
      <c r="R60" s="4" t="e">
        <f>SUM(E60:G60)</f>
        <v>#REF!</v>
      </c>
      <c r="S60" s="4" t="e">
        <f>SUM(H60:J60)</f>
        <v>#REF!</v>
      </c>
      <c r="T60" s="4" t="e">
        <f>SUM(K60:M60)</f>
        <v>#REF!</v>
      </c>
      <c r="U60" s="4" t="e">
        <f>SUM(N60:P60)</f>
        <v>#REF!</v>
      </c>
      <c r="V60" s="4"/>
      <c r="W60" s="4" t="e">
        <f>SUM(E60:P60)</f>
        <v>#REF!</v>
      </c>
      <c r="Y60" s="25" t="e">
        <f>ROUND(SUM(R60:U60)-W60,2)</f>
        <v>#REF!</v>
      </c>
    </row>
    <row r="61" spans="2:25" x14ac:dyDescent="0.2">
      <c r="B61" s="3"/>
      <c r="D61" s="7" t="s">
        <v>50</v>
      </c>
      <c r="E61" s="38">
        <f>+'6 Other'!C29</f>
        <v>199999.41999999998</v>
      </c>
      <c r="F61" s="38">
        <f>+'6 Other'!D29</f>
        <v>749999.44</v>
      </c>
      <c r="G61" s="38">
        <f>+'6 Other'!E29</f>
        <v>0</v>
      </c>
      <c r="H61" s="38">
        <f>+'6 Other'!F29</f>
        <v>0</v>
      </c>
      <c r="I61" s="38">
        <f>+'6 Other'!G29</f>
        <v>0</v>
      </c>
      <c r="J61" s="38">
        <f>+'6 Other'!H29</f>
        <v>-25000</v>
      </c>
      <c r="K61" s="38">
        <f>+'6 Other'!I29</f>
        <v>0</v>
      </c>
      <c r="L61" s="38">
        <f>+'6 Other'!J29</f>
        <v>0</v>
      </c>
      <c r="M61" s="38">
        <f>+'6 Other'!K29</f>
        <v>0</v>
      </c>
      <c r="N61" s="38">
        <f>+'6 Other'!L29</f>
        <v>0</v>
      </c>
      <c r="O61" s="38">
        <f>+'6 Other'!M29</f>
        <v>0</v>
      </c>
      <c r="P61" s="38">
        <f>+'6 Other'!N29</f>
        <v>-25000</v>
      </c>
      <c r="Q61" s="4"/>
      <c r="R61" s="4">
        <f t="shared" ref="R61" si="34">SUM(E61:G61)</f>
        <v>949998.85999999987</v>
      </c>
      <c r="S61" s="4">
        <f t="shared" ref="S61" si="35">SUM(H61:J61)</f>
        <v>-25000</v>
      </c>
      <c r="T61" s="4">
        <f t="shared" ref="T61" si="36">SUM(K61:M61)</f>
        <v>0</v>
      </c>
      <c r="U61" s="4">
        <f t="shared" ref="U61" si="37">SUM(N61:P61)</f>
        <v>-25000</v>
      </c>
      <c r="V61" s="4"/>
      <c r="W61" s="4">
        <f t="shared" ref="W61" si="38">SUM(E61:P61)</f>
        <v>899998.85999999987</v>
      </c>
      <c r="Y61" s="25">
        <f t="shared" ref="Y61" si="39">ROUND(SUM(R61:U61)-W61,2)</f>
        <v>0</v>
      </c>
    </row>
    <row r="62" spans="2:25" x14ac:dyDescent="0.2">
      <c r="B62" s="3"/>
      <c r="D62" s="7"/>
      <c r="Y62" s="3"/>
    </row>
    <row r="63" spans="2:25" x14ac:dyDescent="0.2">
      <c r="B63" s="3"/>
      <c r="D63" s="8" t="s">
        <v>46</v>
      </c>
      <c r="E63" s="34" t="e">
        <f>ROUND(+E58+E60+E61,0)</f>
        <v>#REF!</v>
      </c>
      <c r="F63" s="34" t="e">
        <f t="shared" ref="F63:U63" si="40">ROUND(+F58+F60+F61,0)</f>
        <v>#REF!</v>
      </c>
      <c r="G63" s="34" t="e">
        <f t="shared" si="40"/>
        <v>#REF!</v>
      </c>
      <c r="H63" s="34" t="e">
        <f t="shared" si="40"/>
        <v>#REF!</v>
      </c>
      <c r="I63" s="34" t="e">
        <f t="shared" si="40"/>
        <v>#REF!</v>
      </c>
      <c r="J63" s="34" t="e">
        <f t="shared" si="40"/>
        <v>#REF!</v>
      </c>
      <c r="K63" s="34" t="e">
        <f t="shared" si="40"/>
        <v>#REF!</v>
      </c>
      <c r="L63" s="34" t="e">
        <f t="shared" si="40"/>
        <v>#REF!</v>
      </c>
      <c r="M63" s="34" t="e">
        <f t="shared" si="40"/>
        <v>#REF!</v>
      </c>
      <c r="N63" s="34" t="e">
        <f t="shared" si="40"/>
        <v>#REF!</v>
      </c>
      <c r="O63" s="34" t="e">
        <f t="shared" si="40"/>
        <v>#REF!</v>
      </c>
      <c r="P63" s="34" t="e">
        <f t="shared" si="40"/>
        <v>#REF!</v>
      </c>
      <c r="Q63" s="34"/>
      <c r="R63" s="34" t="e">
        <f>ROUND(+R58+R60+R61,0)</f>
        <v>#REF!</v>
      </c>
      <c r="S63" s="34" t="e">
        <f t="shared" si="40"/>
        <v>#REF!</v>
      </c>
      <c r="T63" s="34" t="e">
        <f t="shared" si="40"/>
        <v>#REF!</v>
      </c>
      <c r="U63" s="34" t="e">
        <f t="shared" si="40"/>
        <v>#REF!</v>
      </c>
      <c r="V63" s="34"/>
      <c r="W63" s="34" t="e">
        <f>ROUND(+W58+W60+W61,0)</f>
        <v>#REF!</v>
      </c>
      <c r="Y63" s="3"/>
    </row>
    <row r="64" spans="2:25" x14ac:dyDescent="0.2">
      <c r="B64" s="3"/>
      <c r="E64" s="4"/>
      <c r="I64" s="4"/>
      <c r="J64" s="4"/>
      <c r="K64" s="4"/>
    </row>
    <row r="65" spans="2:16" x14ac:dyDescent="0.2">
      <c r="B65" s="3"/>
      <c r="D65" s="7" t="s">
        <v>13</v>
      </c>
      <c r="E65" s="4" t="e">
        <f>+E63-'2025 Detail'!C61</f>
        <v>#REF!</v>
      </c>
      <c r="F65" s="4" t="e">
        <f>+F63-'2025 Detail'!D61</f>
        <v>#REF!</v>
      </c>
      <c r="G65" s="4" t="e">
        <f>+G63-'2025 Detail'!E61</f>
        <v>#REF!</v>
      </c>
      <c r="H65" s="4" t="e">
        <f>+H63-'2025 Detail'!F61</f>
        <v>#REF!</v>
      </c>
      <c r="I65" s="4" t="e">
        <f>+I63-'2025 Detail'!G61</f>
        <v>#REF!</v>
      </c>
      <c r="J65" s="4" t="e">
        <f>+J63-'2025 Detail'!H61</f>
        <v>#REF!</v>
      </c>
      <c r="K65" s="4" t="e">
        <f>+K63-'2025 Detail'!I61</f>
        <v>#REF!</v>
      </c>
      <c r="L65" s="4" t="e">
        <f>+L63-'2025 Detail'!J61</f>
        <v>#REF!</v>
      </c>
      <c r="M65" s="4" t="e">
        <f>+M63-'2025 Detail'!K61</f>
        <v>#REF!</v>
      </c>
      <c r="N65" s="4" t="e">
        <f>+N63-'2025 Detail'!L61</f>
        <v>#REF!</v>
      </c>
      <c r="O65" s="4" t="e">
        <f>+O63-'2025 Detail'!M61</f>
        <v>#REF!</v>
      </c>
      <c r="P65" s="4" t="e">
        <f>+P63-'2025 Detail'!N61</f>
        <v>#REF!</v>
      </c>
    </row>
    <row r="66" spans="2:16" x14ac:dyDescent="0.2">
      <c r="B66" s="3"/>
      <c r="E66" s="4"/>
      <c r="I66" s="4"/>
    </row>
    <row r="67" spans="2:16" x14ac:dyDescent="0.2">
      <c r="B67" s="3"/>
      <c r="I67" s="4"/>
    </row>
    <row r="68" spans="2:16" x14ac:dyDescent="0.2">
      <c r="B68" s="3"/>
      <c r="I68" s="4"/>
    </row>
    <row r="69" spans="2:16" x14ac:dyDescent="0.2">
      <c r="B69" s="3"/>
    </row>
    <row r="70" spans="2:16" x14ac:dyDescent="0.2">
      <c r="B70" s="3"/>
      <c r="I70" s="4"/>
    </row>
    <row r="71" spans="2:16" x14ac:dyDescent="0.2">
      <c r="B71" s="3"/>
      <c r="I71" s="4"/>
    </row>
  </sheetData>
  <pageMargins left="0.25" right="0.25" top="0.75" bottom="0.75" header="0.3" footer="0.3"/>
  <pageSetup scale="5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EEEE-444C-40F2-8CA0-C8F6314691BC}">
  <sheetPr>
    <pageSetUpPr fitToPage="1"/>
  </sheetPr>
  <dimension ref="B2:W48"/>
  <sheetViews>
    <sheetView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I22" sqref="I22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14" width="10.6640625" style="1" customWidth="1"/>
    <col min="15" max="15" width="2.6640625" style="1" customWidth="1"/>
    <col min="16" max="19" width="10.6640625" style="1" customWidth="1"/>
    <col min="20" max="20" width="2.6640625" style="1" customWidth="1"/>
    <col min="21" max="21" width="10.6640625" style="1" customWidth="1"/>
    <col min="22" max="22" width="2.6640625" style="1" customWidth="1"/>
    <col min="23" max="23" width="6.6640625" style="1" customWidth="1"/>
    <col min="24" max="16384" width="9.1640625" style="1"/>
  </cols>
  <sheetData>
    <row r="2" spans="2:23" x14ac:dyDescent="0.2">
      <c r="B2" s="8" t="s">
        <v>47</v>
      </c>
      <c r="C2" s="9">
        <v>45658</v>
      </c>
      <c r="D2" s="9">
        <f>EDATE(C2,1)</f>
        <v>45689</v>
      </c>
      <c r="E2" s="9">
        <f t="shared" ref="E2:N2" si="0">EDATE(D2,1)</f>
        <v>45717</v>
      </c>
      <c r="F2" s="9">
        <f t="shared" si="0"/>
        <v>45748</v>
      </c>
      <c r="G2" s="9">
        <f t="shared" si="0"/>
        <v>45778</v>
      </c>
      <c r="H2" s="9">
        <f t="shared" si="0"/>
        <v>45809</v>
      </c>
      <c r="I2" s="9">
        <f t="shared" si="0"/>
        <v>45839</v>
      </c>
      <c r="J2" s="9">
        <f t="shared" si="0"/>
        <v>45870</v>
      </c>
      <c r="K2" s="9">
        <f t="shared" si="0"/>
        <v>45901</v>
      </c>
      <c r="L2" s="9">
        <f t="shared" si="0"/>
        <v>45931</v>
      </c>
      <c r="M2" s="9">
        <f t="shared" si="0"/>
        <v>45962</v>
      </c>
      <c r="N2" s="9">
        <f t="shared" si="0"/>
        <v>45992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2025</v>
      </c>
      <c r="W2" s="3" t="s">
        <v>13</v>
      </c>
    </row>
    <row r="3" spans="2:23" x14ac:dyDescent="0.2">
      <c r="B3" s="24" t="str">
        <f>+Version!$C$3</f>
        <v>Y2025 12 v001</v>
      </c>
      <c r="W3" s="3"/>
    </row>
    <row r="4" spans="2:23" x14ac:dyDescent="0.2">
      <c r="B4" s="24"/>
      <c r="W4" s="3"/>
    </row>
    <row r="5" spans="2:23" x14ac:dyDescent="0.2">
      <c r="B5" s="7" t="s">
        <v>138</v>
      </c>
      <c r="C5" s="4">
        <f>+'2025 Detail'!C8</f>
        <v>276138.86</v>
      </c>
      <c r="D5" s="4">
        <f>+'2025 Detail'!D8</f>
        <v>303659.09999999998</v>
      </c>
      <c r="E5" s="4">
        <f>+'2025 Detail'!E8</f>
        <v>148959.5</v>
      </c>
      <c r="F5" s="4">
        <f>+'2025 Detail'!F8</f>
        <v>175655.2</v>
      </c>
      <c r="G5" s="4">
        <f>+'2025 Detail'!G8</f>
        <v>192782.4</v>
      </c>
      <c r="H5" s="4">
        <f>+'2025 Detail'!H8</f>
        <v>75752.899999999994</v>
      </c>
      <c r="I5" s="4">
        <f>+'2025 Detail'!I8</f>
        <v>256181</v>
      </c>
      <c r="J5" s="4">
        <f>+'2025 Detail'!J8</f>
        <v>104161</v>
      </c>
      <c r="K5" s="4">
        <f>+'2025 Detail'!K8</f>
        <v>86977.5</v>
      </c>
      <c r="L5" s="4">
        <f>+'2025 Detail'!L8</f>
        <v>188278</v>
      </c>
      <c r="M5" s="4">
        <f>+'2025 Detail'!M8</f>
        <v>243482.5</v>
      </c>
      <c r="N5" s="4">
        <f>+'2025 Detail'!N8</f>
        <v>335155</v>
      </c>
      <c r="O5" s="4"/>
      <c r="P5" s="4">
        <f>SUM(C5:E5)</f>
        <v>728757.46</v>
      </c>
      <c r="Q5" s="4">
        <f>SUM(F5:H5)</f>
        <v>444190.5</v>
      </c>
      <c r="R5" s="4">
        <f>SUM(I5:K5)</f>
        <v>447319.5</v>
      </c>
      <c r="S5" s="4">
        <f>SUM(L5:N5)</f>
        <v>766915.5</v>
      </c>
      <c r="T5" s="4"/>
      <c r="U5" s="4">
        <f>SUM(C5:N5)</f>
        <v>2387182.96</v>
      </c>
      <c r="W5" s="25">
        <f>ROUND(SUM(P5:S5)-U5,2)</f>
        <v>0</v>
      </c>
    </row>
    <row r="6" spans="2:23" x14ac:dyDescent="0.2">
      <c r="B6" s="7" t="s">
        <v>139</v>
      </c>
      <c r="C6" s="4">
        <f>+'2025 Detail'!C13</f>
        <v>0</v>
      </c>
      <c r="D6" s="4">
        <f>+'2025 Detail'!D13</f>
        <v>50000</v>
      </c>
      <c r="E6" s="4">
        <f>+'2025 Detail'!E13</f>
        <v>126292.98</v>
      </c>
      <c r="F6" s="4">
        <f>+'2025 Detail'!F13</f>
        <v>36377.5</v>
      </c>
      <c r="G6" s="4">
        <f>+'2025 Detail'!G13</f>
        <v>0</v>
      </c>
      <c r="H6" s="4">
        <f>+'2025 Detail'!H13</f>
        <v>40314.5</v>
      </c>
      <c r="I6" s="4">
        <f>+'2025 Detail'!I13</f>
        <v>69000</v>
      </c>
      <c r="J6" s="4">
        <f>+'2025 Detail'!J13</f>
        <v>81277.600000000006</v>
      </c>
      <c r="K6" s="4">
        <f>+'2025 Detail'!K13</f>
        <v>22000</v>
      </c>
      <c r="L6" s="4">
        <f>+'2025 Detail'!L13</f>
        <v>86055.2</v>
      </c>
      <c r="M6" s="4">
        <f>+'2025 Detail'!M13</f>
        <v>181027.6</v>
      </c>
      <c r="N6" s="4">
        <f>+'2025 Detail'!N13</f>
        <v>512777.6</v>
      </c>
      <c r="O6" s="4"/>
      <c r="P6" s="4">
        <f>SUM(C6:E6)</f>
        <v>176292.97999999998</v>
      </c>
      <c r="Q6" s="4">
        <f>SUM(F6:H6)</f>
        <v>76692</v>
      </c>
      <c r="R6" s="4">
        <f>SUM(I6:K6)</f>
        <v>172277.6</v>
      </c>
      <c r="S6" s="4">
        <f>SUM(L6:N6)</f>
        <v>779860.39999999991</v>
      </c>
      <c r="T6" s="4"/>
      <c r="U6" s="4">
        <f>SUM(C6:N6)</f>
        <v>1205122.98</v>
      </c>
      <c r="W6" s="25">
        <f>ROUND(SUM(P6:S6)-U6,2)</f>
        <v>0</v>
      </c>
    </row>
    <row r="7" spans="2:23" ht="6" customHeight="1" x14ac:dyDescent="0.2">
      <c r="B7" s="24"/>
      <c r="W7" s="3"/>
    </row>
    <row r="8" spans="2:23" x14ac:dyDescent="0.2">
      <c r="B8" s="8" t="s">
        <v>42</v>
      </c>
      <c r="C8" s="34">
        <f>SUM(C5:C6)</f>
        <v>276138.86</v>
      </c>
      <c r="D8" s="34">
        <f t="shared" ref="D8:U8" si="1">SUM(D5:D6)</f>
        <v>353659.1</v>
      </c>
      <c r="E8" s="34">
        <f t="shared" si="1"/>
        <v>275252.47999999998</v>
      </c>
      <c r="F8" s="34">
        <f t="shared" si="1"/>
        <v>212032.7</v>
      </c>
      <c r="G8" s="34">
        <f t="shared" si="1"/>
        <v>192782.4</v>
      </c>
      <c r="H8" s="34">
        <f t="shared" si="1"/>
        <v>116067.4</v>
      </c>
      <c r="I8" s="34">
        <f t="shared" si="1"/>
        <v>325181</v>
      </c>
      <c r="J8" s="34">
        <f t="shared" si="1"/>
        <v>185438.6</v>
      </c>
      <c r="K8" s="34">
        <f t="shared" si="1"/>
        <v>108977.5</v>
      </c>
      <c r="L8" s="34">
        <f t="shared" si="1"/>
        <v>274333.2</v>
      </c>
      <c r="M8" s="34">
        <f t="shared" si="1"/>
        <v>424510.1</v>
      </c>
      <c r="N8" s="34">
        <f t="shared" si="1"/>
        <v>847932.6</v>
      </c>
      <c r="O8" s="34"/>
      <c r="P8" s="34">
        <f t="shared" si="1"/>
        <v>905050.44</v>
      </c>
      <c r="Q8" s="34">
        <f t="shared" si="1"/>
        <v>520882.5</v>
      </c>
      <c r="R8" s="34">
        <f t="shared" si="1"/>
        <v>619597.1</v>
      </c>
      <c r="S8" s="34">
        <f t="shared" si="1"/>
        <v>1546775.9</v>
      </c>
      <c r="T8" s="34"/>
      <c r="U8" s="34">
        <f t="shared" si="1"/>
        <v>3592305.94</v>
      </c>
      <c r="W8" s="25">
        <f>ROUND(SUM(P8:S8)-U8,2)</f>
        <v>0</v>
      </c>
    </row>
    <row r="9" spans="2:23" x14ac:dyDescent="0.2">
      <c r="B9" s="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25"/>
    </row>
    <row r="10" spans="2:23" x14ac:dyDescent="0.2">
      <c r="B10" s="7" t="s">
        <v>82</v>
      </c>
      <c r="C10" s="4">
        <f>+'2025 Detail'!C17+'2025 Detail'!C18+'2025 Detail'!C23+'2025 Detail'!C24</f>
        <v>237094.68600000002</v>
      </c>
      <c r="D10" s="4">
        <f>+'2025 Detail'!D17+'2025 Detail'!D18+'2025 Detail'!D23+'2025 Detail'!D24</f>
        <v>373512.68800000002</v>
      </c>
      <c r="E10" s="4">
        <f>+'2025 Detail'!E17+'2025 Detail'!E18+'2025 Detail'!E23+'2025 Detail'!E24</f>
        <v>223536.75750000001</v>
      </c>
      <c r="F10" s="4">
        <f>+'2025 Detail'!F17+'2025 Detail'!F18+'2025 Detail'!F23+'2025 Detail'!F24</f>
        <v>187863.7805882353</v>
      </c>
      <c r="G10" s="4">
        <f>+'2025 Detail'!G17+'2025 Detail'!G18+'2025 Detail'!G23+'2025 Detail'!G24</f>
        <v>191763.049375</v>
      </c>
      <c r="H10" s="4">
        <f>+'2025 Detail'!H17+'2025 Detail'!H18+'2025 Detail'!H23+'2025 Detail'!H24</f>
        <v>197231.83117647062</v>
      </c>
      <c r="I10" s="4">
        <f>+'2025 Detail'!I17+'2025 Detail'!I18+'2025 Detail'!I23+'2025 Detail'!I24</f>
        <v>187788.92176470588</v>
      </c>
      <c r="J10" s="4">
        <f>+'2025 Detail'!J17+'2025 Detail'!J18+'2025 Detail'!J23+'2025 Detail'!J24</f>
        <v>186132.84222222224</v>
      </c>
      <c r="K10" s="4">
        <f>+'2025 Detail'!K17+'2025 Detail'!K18+'2025 Detail'!K23+'2025 Detail'!K24</f>
        <v>188525.38</v>
      </c>
      <c r="L10" s="4">
        <f>+'2025 Detail'!L17+'2025 Detail'!L18+'2025 Detail'!L23+'2025 Detail'!L24</f>
        <v>194858.93333333332</v>
      </c>
      <c r="M10" s="4">
        <f>+'2025 Detail'!M17+'2025 Detail'!M18+'2025 Detail'!M23+'2025 Detail'!M24</f>
        <v>195112.19500000001</v>
      </c>
      <c r="N10" s="4">
        <f>+'2025 Detail'!N17+'2025 Detail'!N18+'2025 Detail'!N23+'2025 Detail'!N24</f>
        <v>194610</v>
      </c>
      <c r="O10" s="4"/>
      <c r="P10" s="4">
        <f>SUM(C10:E10)</f>
        <v>834144.13150000013</v>
      </c>
      <c r="Q10" s="4">
        <f>SUM(F10:H10)</f>
        <v>576858.66113970592</v>
      </c>
      <c r="R10" s="4">
        <f>SUM(I10:K10)</f>
        <v>562447.14398692816</v>
      </c>
      <c r="S10" s="4">
        <f>SUM(L10:N10)</f>
        <v>584581.1283333333</v>
      </c>
      <c r="T10" s="4"/>
      <c r="U10" s="4">
        <f>SUM(C10:N10)</f>
        <v>2558031.0649599666</v>
      </c>
      <c r="W10" s="25">
        <f t="shared" ref="W10:W11" si="2">ROUND(SUM(P10:S10)-U10,2)</f>
        <v>0</v>
      </c>
    </row>
    <row r="11" spans="2:23" x14ac:dyDescent="0.2">
      <c r="B11" s="7" t="s">
        <v>99</v>
      </c>
      <c r="C11" s="4">
        <f>+'2025 Detail'!C19+'2025 Detail'!C20+'2025 Detail'!C25+'2025 Detail'!C26</f>
        <v>78003.842000000004</v>
      </c>
      <c r="D11" s="4">
        <f>+'2025 Detail'!D19+'2025 Detail'!D20+'2025 Detail'!D25+'2025 Detail'!D26</f>
        <v>140382.28599999999</v>
      </c>
      <c r="E11" s="4">
        <f>+'2025 Detail'!E19+'2025 Detail'!E20+'2025 Detail'!E25+'2025 Detail'!E26</f>
        <v>126492.96250000001</v>
      </c>
      <c r="F11" s="4">
        <f>+'2025 Detail'!F19+'2025 Detail'!F20+'2025 Detail'!F25+'2025 Detail'!F26</f>
        <v>161548.09470588237</v>
      </c>
      <c r="G11" s="4">
        <f>+'2025 Detail'!G19+'2025 Detail'!G20+'2025 Detail'!G25+'2025 Detail'!G26</f>
        <v>144154.05812499998</v>
      </c>
      <c r="H11" s="4">
        <f>+'2025 Detail'!H19+'2025 Detail'!H20+'2025 Detail'!H25+'2025 Detail'!H26</f>
        <v>128723.1994117647</v>
      </c>
      <c r="I11" s="4">
        <f>+'2025 Detail'!I19+'2025 Detail'!I20+'2025 Detail'!I25+'2025 Detail'!I26</f>
        <v>192250.88411764707</v>
      </c>
      <c r="J11" s="4">
        <f>+'2025 Detail'!J19+'2025 Detail'!J20+'2025 Detail'!J25+'2025 Detail'!J26</f>
        <v>87570.00444444445</v>
      </c>
      <c r="K11" s="4">
        <f>+'2025 Detail'!K19+'2025 Detail'!K20+'2025 Detail'!K25+'2025 Detail'!K26</f>
        <v>74441.25</v>
      </c>
      <c r="L11" s="4">
        <f>+'2025 Detail'!L19+'2025 Detail'!L20+'2025 Detail'!L25+'2025 Detail'!L26</f>
        <v>71438.823333333334</v>
      </c>
      <c r="M11" s="4">
        <f>+'2025 Detail'!M19+'2025 Detail'!M20+'2025 Detail'!M25+'2025 Detail'!M26</f>
        <v>78528.452857142853</v>
      </c>
      <c r="N11" s="4">
        <f>+'2025 Detail'!N19+'2025 Detail'!N20+'2025 Detail'!N25+'2025 Detail'!N26</f>
        <v>121150</v>
      </c>
      <c r="O11" s="4"/>
      <c r="P11" s="4">
        <f>SUM(C11:E11)</f>
        <v>344879.09049999999</v>
      </c>
      <c r="Q11" s="4">
        <f>SUM(F11:H11)</f>
        <v>434425.35224264703</v>
      </c>
      <c r="R11" s="4">
        <f>SUM(I11:K11)</f>
        <v>354262.13856209151</v>
      </c>
      <c r="S11" s="4">
        <f>SUM(L11:N11)</f>
        <v>271117.2761904762</v>
      </c>
      <c r="T11" s="4"/>
      <c r="U11" s="4">
        <f>SUM(C11:N11)</f>
        <v>1404683.8574952148</v>
      </c>
      <c r="W11" s="25">
        <f t="shared" si="2"/>
        <v>0</v>
      </c>
    </row>
    <row r="12" spans="2:23" x14ac:dyDescent="0.2">
      <c r="B12" s="7" t="s">
        <v>140</v>
      </c>
      <c r="C12" s="4">
        <f>+'2025 Detail'!C27+'2025 Detail'!C28</f>
        <v>67048.030666666658</v>
      </c>
      <c r="D12" s="4">
        <f>+'2025 Detail'!D27+'2025 Detail'!D28</f>
        <v>80129.361999999994</v>
      </c>
      <c r="E12" s="4">
        <f>+'2025 Detail'!E27+'2025 Detail'!E28</f>
        <v>91822.045000000013</v>
      </c>
      <c r="F12" s="4">
        <f>+'2025 Detail'!F27+'2025 Detail'!F28</f>
        <v>92862.958823529421</v>
      </c>
      <c r="G12" s="4">
        <f>+'2025 Detail'!G27+'2025 Detail'!G28</f>
        <v>94487.78125</v>
      </c>
      <c r="H12" s="4">
        <f>+'2025 Detail'!H27+'2025 Detail'!H28</f>
        <v>105814.20764705882</v>
      </c>
      <c r="I12" s="4">
        <f>+'2025 Detail'!I27+'2025 Detail'!I28</f>
        <v>108222.55647058824</v>
      </c>
      <c r="J12" s="4">
        <f>+'2025 Detail'!J27+'2025 Detail'!J28</f>
        <v>111190.81555555556</v>
      </c>
      <c r="K12" s="4">
        <f>+'2025 Detail'!K27+'2025 Detail'!K28</f>
        <v>85582.319999999992</v>
      </c>
      <c r="L12" s="4">
        <f>+'2025 Detail'!L27+'2025 Detail'!L28</f>
        <v>84238.516666666663</v>
      </c>
      <c r="M12" s="4">
        <f>+'2025 Detail'!M27+'2025 Detail'!M28</f>
        <v>115046.79142857142</v>
      </c>
      <c r="N12" s="4">
        <f>+'2025 Detail'!N27+'2025 Detail'!N28</f>
        <v>60761.95</v>
      </c>
      <c r="O12" s="4"/>
      <c r="P12" s="4">
        <f t="shared" ref="P12:P13" si="3">SUM(C12:E12)</f>
        <v>238999.43766666666</v>
      </c>
      <c r="Q12" s="4">
        <f t="shared" ref="Q12:Q13" si="4">SUM(F12:H12)</f>
        <v>293164.94772058824</v>
      </c>
      <c r="R12" s="4">
        <f t="shared" ref="R12:R13" si="5">SUM(I12:K12)</f>
        <v>304995.69202614378</v>
      </c>
      <c r="S12" s="4">
        <f t="shared" ref="S12:S13" si="6">SUM(L12:N12)</f>
        <v>260047.25809523807</v>
      </c>
      <c r="T12" s="4"/>
      <c r="U12" s="4">
        <f t="shared" ref="U12:U13" si="7">SUM(C12:N12)</f>
        <v>1097207.3355086367</v>
      </c>
      <c r="W12" s="25">
        <f t="shared" ref="W12:W14" si="8">ROUND(SUM(P12:S12)-U12,2)</f>
        <v>0</v>
      </c>
    </row>
    <row r="13" spans="2:23" x14ac:dyDescent="0.2">
      <c r="B13" s="7" t="s">
        <v>103</v>
      </c>
      <c r="C13" s="4">
        <f>+'2025 Detail'!C31+'2025 Detail'!C32</f>
        <v>73639.48133333333</v>
      </c>
      <c r="D13" s="4">
        <f>+'2025 Detail'!D31+'2025 Detail'!D32</f>
        <v>121103.33399999999</v>
      </c>
      <c r="E13" s="4">
        <f>+'2025 Detail'!E31+'2025 Detail'!E32</f>
        <v>82420.785000000003</v>
      </c>
      <c r="F13" s="4">
        <f>+'2025 Detail'!F31+'2025 Detail'!F32</f>
        <v>78711.86588235294</v>
      </c>
      <c r="G13" s="4">
        <f>+'2025 Detail'!G31+'2025 Detail'!G32</f>
        <v>77283.821250000008</v>
      </c>
      <c r="H13" s="4">
        <f>+'2025 Detail'!H31+'2025 Detail'!H32</f>
        <v>77499.541764705878</v>
      </c>
      <c r="I13" s="4">
        <f>+'2025 Detail'!I31+'2025 Detail'!I32</f>
        <v>80961.527647058829</v>
      </c>
      <c r="J13" s="4">
        <f>+'2025 Detail'!J31+'2025 Detail'!J32</f>
        <v>77064.907777777786</v>
      </c>
      <c r="K13" s="4">
        <f>+'2025 Detail'!K31+'2025 Detail'!K32</f>
        <v>77843.710000000006</v>
      </c>
      <c r="L13" s="4">
        <f>+'2025 Detail'!L31+'2025 Detail'!L32</f>
        <v>77099.736666666664</v>
      </c>
      <c r="M13" s="4">
        <f>+'2025 Detail'!M31+'2025 Detail'!M32</f>
        <v>66286.080714285723</v>
      </c>
      <c r="N13" s="4">
        <f>+'2025 Detail'!N31+'2025 Detail'!N32</f>
        <v>66550</v>
      </c>
      <c r="O13" s="4"/>
      <c r="P13" s="4">
        <f t="shared" si="3"/>
        <v>277163.60033333336</v>
      </c>
      <c r="Q13" s="4">
        <f t="shared" si="4"/>
        <v>233495.22889705884</v>
      </c>
      <c r="R13" s="4">
        <f t="shared" si="5"/>
        <v>235870.14542483661</v>
      </c>
      <c r="S13" s="4">
        <f t="shared" si="6"/>
        <v>209935.81738095239</v>
      </c>
      <c r="T13" s="4"/>
      <c r="U13" s="4">
        <f t="shared" si="7"/>
        <v>956464.7920361812</v>
      </c>
      <c r="W13" s="25">
        <f t="shared" si="8"/>
        <v>0</v>
      </c>
    </row>
    <row r="14" spans="2:23" x14ac:dyDescent="0.2">
      <c r="B14" s="8" t="s">
        <v>153</v>
      </c>
      <c r="C14" s="34">
        <f>SUM(C10:C13)</f>
        <v>455786.04000000004</v>
      </c>
      <c r="D14" s="34">
        <f t="shared" ref="D14:N14" si="9">SUM(D10:D13)</f>
        <v>715127.67</v>
      </c>
      <c r="E14" s="34">
        <f t="shared" si="9"/>
        <v>524272.55000000005</v>
      </c>
      <c r="F14" s="34">
        <f t="shared" si="9"/>
        <v>520986.7</v>
      </c>
      <c r="G14" s="34">
        <f t="shared" si="9"/>
        <v>507688.70999999996</v>
      </c>
      <c r="H14" s="34">
        <f t="shared" si="9"/>
        <v>509268.78</v>
      </c>
      <c r="I14" s="34">
        <f t="shared" si="9"/>
        <v>569223.89000000013</v>
      </c>
      <c r="J14" s="34">
        <f t="shared" si="9"/>
        <v>461958.57000000007</v>
      </c>
      <c r="K14" s="34">
        <f t="shared" si="9"/>
        <v>426392.66000000003</v>
      </c>
      <c r="L14" s="34">
        <f t="shared" si="9"/>
        <v>427636.01</v>
      </c>
      <c r="M14" s="34">
        <f t="shared" si="9"/>
        <v>454973.52</v>
      </c>
      <c r="N14" s="34">
        <f t="shared" si="9"/>
        <v>443071.95</v>
      </c>
      <c r="O14" s="34"/>
      <c r="P14" s="34">
        <f t="shared" ref="P14" si="10">SUM(P10:P13)</f>
        <v>1695186.2600000002</v>
      </c>
      <c r="Q14" s="34">
        <f t="shared" ref="Q14" si="11">SUM(Q10:Q13)</f>
        <v>1537944.19</v>
      </c>
      <c r="R14" s="34">
        <f t="shared" ref="R14" si="12">SUM(R10:R13)</f>
        <v>1457575.1199999999</v>
      </c>
      <c r="S14" s="34">
        <f t="shared" ref="S14" si="13">SUM(S10:S13)</f>
        <v>1325681.48</v>
      </c>
      <c r="T14" s="34"/>
      <c r="U14" s="34">
        <f t="shared" ref="U14" si="14">SUM(U10:U13)</f>
        <v>6016387.0499999989</v>
      </c>
      <c r="W14" s="25">
        <f t="shared" si="8"/>
        <v>0</v>
      </c>
    </row>
    <row r="15" spans="2:23" x14ac:dyDescent="0.2">
      <c r="B15" s="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W15" s="25"/>
    </row>
    <row r="16" spans="2:23" x14ac:dyDescent="0.2">
      <c r="B16" s="7" t="s">
        <v>34</v>
      </c>
      <c r="C16" s="4">
        <f>+'2025 Detail'!C35</f>
        <v>0</v>
      </c>
      <c r="D16" s="4">
        <f>+'2025 Detail'!D35</f>
        <v>0</v>
      </c>
      <c r="E16" s="4">
        <f>+'2025 Detail'!E35</f>
        <v>0</v>
      </c>
      <c r="F16" s="4">
        <f>+'2025 Detail'!F35</f>
        <v>0</v>
      </c>
      <c r="G16" s="4">
        <f>+'2025 Detail'!G35</f>
        <v>3545.63</v>
      </c>
      <c r="H16" s="4">
        <f>+'2025 Detail'!H35</f>
        <v>3545.63</v>
      </c>
      <c r="I16" s="4">
        <f>+'2025 Detail'!I35</f>
        <v>7091.26</v>
      </c>
      <c r="J16" s="4">
        <f>+'2025 Detail'!J35</f>
        <v>3545.63</v>
      </c>
      <c r="K16" s="4">
        <f>+'2025 Detail'!K35</f>
        <v>3545.63</v>
      </c>
      <c r="L16" s="4">
        <f>+'2025 Detail'!L35</f>
        <v>3545.63</v>
      </c>
      <c r="M16" s="4">
        <f>+'2025 Detail'!M35</f>
        <v>3545.63</v>
      </c>
      <c r="N16" s="4">
        <f>+'2025 Detail'!N35</f>
        <v>3550</v>
      </c>
      <c r="O16" s="4"/>
      <c r="P16" s="4">
        <f t="shared" ref="P16:P24" si="15">SUM(C16:E16)</f>
        <v>0</v>
      </c>
      <c r="Q16" s="4">
        <f t="shared" ref="Q16:Q24" si="16">SUM(F16:H16)</f>
        <v>7091.26</v>
      </c>
      <c r="R16" s="4">
        <f t="shared" ref="R16:R24" si="17">SUM(I16:K16)</f>
        <v>14182.52</v>
      </c>
      <c r="S16" s="4">
        <f t="shared" ref="S16:S24" si="18">SUM(L16:N16)</f>
        <v>10641.26</v>
      </c>
      <c r="T16" s="4"/>
      <c r="U16" s="4">
        <f t="shared" ref="U16:U24" si="19">SUM(C16:N16)</f>
        <v>31915.040000000005</v>
      </c>
      <c r="W16" s="25">
        <f t="shared" ref="W16:W25" si="20">ROUND(SUM(P16:S16)-U16,2)</f>
        <v>0</v>
      </c>
    </row>
    <row r="17" spans="2:23" x14ac:dyDescent="0.2">
      <c r="B17" s="7" t="s">
        <v>17</v>
      </c>
      <c r="C17" s="4">
        <f>+'2025 Detail'!C36</f>
        <v>3866.9</v>
      </c>
      <c r="D17" s="4">
        <f>+'2025 Detail'!D36</f>
        <v>4575.8999999999996</v>
      </c>
      <c r="E17" s="4">
        <f>+'2025 Detail'!E36</f>
        <v>12536.15</v>
      </c>
      <c r="F17" s="4">
        <f>+'2025 Detail'!F36</f>
        <v>11114.35</v>
      </c>
      <c r="G17" s="4">
        <f>+'2025 Detail'!G36</f>
        <v>24774.020000000004</v>
      </c>
      <c r="H17" s="4">
        <f>+'2025 Detail'!H36</f>
        <v>23118.32</v>
      </c>
      <c r="I17" s="4">
        <f>+'2025 Detail'!I36</f>
        <v>22036.41</v>
      </c>
      <c r="J17" s="4">
        <f>+'2025 Detail'!J36</f>
        <v>91840.73</v>
      </c>
      <c r="K17" s="4">
        <f>+'2025 Detail'!K36</f>
        <v>10289.469999999998</v>
      </c>
      <c r="L17" s="4">
        <f>+'2025 Detail'!L36</f>
        <v>24251.63</v>
      </c>
      <c r="M17" s="4">
        <f>+'2025 Detail'!M36</f>
        <v>12056.23</v>
      </c>
      <c r="N17" s="4">
        <f>+'2025 Detail'!N36</f>
        <v>12000</v>
      </c>
      <c r="O17" s="4"/>
      <c r="P17" s="4">
        <f t="shared" si="15"/>
        <v>20978.949999999997</v>
      </c>
      <c r="Q17" s="4">
        <f t="shared" si="16"/>
        <v>59006.69</v>
      </c>
      <c r="R17" s="4">
        <f t="shared" si="17"/>
        <v>124166.61</v>
      </c>
      <c r="S17" s="4">
        <f t="shared" si="18"/>
        <v>48307.86</v>
      </c>
      <c r="T17" s="4"/>
      <c r="U17" s="4">
        <f t="shared" si="19"/>
        <v>252460.11000000002</v>
      </c>
      <c r="W17" s="25">
        <f t="shared" si="20"/>
        <v>0</v>
      </c>
    </row>
    <row r="18" spans="2:23" x14ac:dyDescent="0.2">
      <c r="B18" s="7" t="s">
        <v>28</v>
      </c>
      <c r="C18" s="4">
        <f>+'2025 Detail'!C37</f>
        <v>263.76</v>
      </c>
      <c r="D18" s="4">
        <f>+'2025 Detail'!D37</f>
        <v>807.23</v>
      </c>
      <c r="E18" s="4">
        <f>+'2025 Detail'!E37</f>
        <v>556.55999999999995</v>
      </c>
      <c r="F18" s="4">
        <f>+'2025 Detail'!F37</f>
        <v>556</v>
      </c>
      <c r="G18" s="4">
        <f>+'2025 Detail'!G37</f>
        <v>354.79</v>
      </c>
      <c r="H18" s="4">
        <f>+'2025 Detail'!H37</f>
        <v>1130.5700000000002</v>
      </c>
      <c r="I18" s="4">
        <f>+'2025 Detail'!I37</f>
        <v>355.28000000000003</v>
      </c>
      <c r="J18" s="4">
        <f>+'2025 Detail'!J37</f>
        <v>1606.02</v>
      </c>
      <c r="K18" s="4">
        <f>+'2025 Detail'!K37</f>
        <v>1215.05</v>
      </c>
      <c r="L18" s="4">
        <f>+'2025 Detail'!L37</f>
        <v>127.22999999999999</v>
      </c>
      <c r="M18" s="4">
        <f>+'2025 Detail'!M37</f>
        <v>4393.6299999999992</v>
      </c>
      <c r="N18" s="4">
        <f>+'2025 Detail'!N37</f>
        <v>500</v>
      </c>
      <c r="O18" s="4"/>
      <c r="P18" s="4">
        <f t="shared" si="15"/>
        <v>1627.55</v>
      </c>
      <c r="Q18" s="4">
        <f t="shared" si="16"/>
        <v>2041.3600000000001</v>
      </c>
      <c r="R18" s="4">
        <f t="shared" si="17"/>
        <v>3176.35</v>
      </c>
      <c r="S18" s="4">
        <f t="shared" si="18"/>
        <v>5020.8599999999988</v>
      </c>
      <c r="T18" s="4"/>
      <c r="U18" s="4">
        <f t="shared" si="19"/>
        <v>11866.119999999999</v>
      </c>
      <c r="W18" s="25">
        <f t="shared" si="20"/>
        <v>0</v>
      </c>
    </row>
    <row r="19" spans="2:23" x14ac:dyDescent="0.2">
      <c r="B19" s="7" t="s">
        <v>18</v>
      </c>
      <c r="C19" s="4">
        <f>+'2025 Detail'!C38</f>
        <v>496.97</v>
      </c>
      <c r="D19" s="4">
        <f>+'2025 Detail'!D38</f>
        <v>8280.18</v>
      </c>
      <c r="E19" s="4">
        <f>+'2025 Detail'!E38</f>
        <v>3089.8900000000003</v>
      </c>
      <c r="F19" s="4">
        <f>+'2025 Detail'!F38</f>
        <v>8984.89</v>
      </c>
      <c r="G19" s="4">
        <f>+'2025 Detail'!G38</f>
        <v>1547.5500000000002</v>
      </c>
      <c r="H19" s="4">
        <f>+'2025 Detail'!H38</f>
        <v>3039.49</v>
      </c>
      <c r="I19" s="4">
        <f>+'2025 Detail'!I38</f>
        <v>5580.2400000000007</v>
      </c>
      <c r="J19" s="4">
        <f>+'2025 Detail'!J38</f>
        <v>1783.2400000000002</v>
      </c>
      <c r="K19" s="4">
        <f>+'2025 Detail'!K38</f>
        <v>3039.49</v>
      </c>
      <c r="L19" s="4">
        <f>+'2025 Detail'!L38</f>
        <v>5817.8</v>
      </c>
      <c r="M19" s="4">
        <f>+'2025 Detail'!M38</f>
        <v>1783.2400000000002</v>
      </c>
      <c r="N19" s="4">
        <f>+'2025 Detail'!N38</f>
        <v>2500</v>
      </c>
      <c r="O19" s="4"/>
      <c r="P19" s="4">
        <f t="shared" si="15"/>
        <v>11867.04</v>
      </c>
      <c r="Q19" s="4">
        <f t="shared" si="16"/>
        <v>13571.929999999998</v>
      </c>
      <c r="R19" s="4">
        <f t="shared" si="17"/>
        <v>10402.970000000001</v>
      </c>
      <c r="S19" s="4">
        <f t="shared" si="18"/>
        <v>10101.040000000001</v>
      </c>
      <c r="T19" s="4"/>
      <c r="U19" s="4">
        <f t="shared" si="19"/>
        <v>45942.98</v>
      </c>
      <c r="W19" s="25">
        <f t="shared" si="20"/>
        <v>0</v>
      </c>
    </row>
    <row r="20" spans="2:23" x14ac:dyDescent="0.2">
      <c r="B20" s="7" t="s">
        <v>29</v>
      </c>
      <c r="C20" s="4">
        <f>+'2025 Detail'!C39</f>
        <v>10550</v>
      </c>
      <c r="D20" s="4">
        <f>+'2025 Detail'!D39</f>
        <v>15467.5</v>
      </c>
      <c r="E20" s="4">
        <f>+'2025 Detail'!E39</f>
        <v>18866</v>
      </c>
      <c r="F20" s="4">
        <f>+'2025 Detail'!F39</f>
        <v>28130</v>
      </c>
      <c r="G20" s="4">
        <f>+'2025 Detail'!G39</f>
        <v>23029.4</v>
      </c>
      <c r="H20" s="4">
        <f>+'2025 Detail'!H39</f>
        <v>10386.450000000001</v>
      </c>
      <c r="I20" s="4">
        <f>+'2025 Detail'!I39</f>
        <v>9005.5</v>
      </c>
      <c r="J20" s="4">
        <f>+'2025 Detail'!J39</f>
        <v>1950.5</v>
      </c>
      <c r="K20" s="4">
        <f>+'2025 Detail'!K39</f>
        <v>8001</v>
      </c>
      <c r="L20" s="4">
        <f>+'2025 Detail'!L39</f>
        <v>9200.7000000000007</v>
      </c>
      <c r="M20" s="4">
        <f>+'2025 Detail'!M39</f>
        <v>1426</v>
      </c>
      <c r="N20" s="4">
        <f>+'2025 Detail'!N39</f>
        <v>11000</v>
      </c>
      <c r="O20" s="4"/>
      <c r="P20" s="4">
        <f t="shared" si="15"/>
        <v>44883.5</v>
      </c>
      <c r="Q20" s="4">
        <f t="shared" si="16"/>
        <v>61545.850000000006</v>
      </c>
      <c r="R20" s="4">
        <f t="shared" si="17"/>
        <v>18957</v>
      </c>
      <c r="S20" s="4">
        <f t="shared" si="18"/>
        <v>21626.7</v>
      </c>
      <c r="T20" s="4"/>
      <c r="U20" s="4">
        <f t="shared" si="19"/>
        <v>147013.04999999999</v>
      </c>
      <c r="W20" s="25">
        <f t="shared" si="20"/>
        <v>0</v>
      </c>
    </row>
    <row r="21" spans="2:23" x14ac:dyDescent="0.2">
      <c r="B21" s="7" t="s">
        <v>32</v>
      </c>
      <c r="C21" s="4">
        <f>+'2025 Detail'!C40</f>
        <v>0</v>
      </c>
      <c r="D21" s="4">
        <f>+'2025 Detail'!D40</f>
        <v>0</v>
      </c>
      <c r="E21" s="4">
        <f>+'2025 Detail'!E40</f>
        <v>0</v>
      </c>
      <c r="F21" s="4">
        <f>+'2025 Detail'!F40</f>
        <v>0</v>
      </c>
      <c r="G21" s="4">
        <f>+'2025 Detail'!G40</f>
        <v>22482.5</v>
      </c>
      <c r="H21" s="4">
        <f>+'2025 Detail'!H40</f>
        <v>287.5</v>
      </c>
      <c r="I21" s="4">
        <f>+'2025 Detail'!I40</f>
        <v>535</v>
      </c>
      <c r="J21" s="4">
        <f>+'2025 Detail'!J40</f>
        <v>0</v>
      </c>
      <c r="K21" s="4">
        <f>+'2025 Detail'!K40</f>
        <v>565</v>
      </c>
      <c r="L21" s="4">
        <f>+'2025 Detail'!L40</f>
        <v>0</v>
      </c>
      <c r="M21" s="4">
        <f>+'2025 Detail'!M40</f>
        <v>0</v>
      </c>
      <c r="N21" s="4">
        <f>+'2025 Detail'!N40</f>
        <v>12500</v>
      </c>
      <c r="O21" s="4"/>
      <c r="P21" s="4">
        <f t="shared" si="15"/>
        <v>0</v>
      </c>
      <c r="Q21" s="4">
        <f t="shared" si="16"/>
        <v>22770</v>
      </c>
      <c r="R21" s="4">
        <f t="shared" si="17"/>
        <v>1100</v>
      </c>
      <c r="S21" s="4">
        <f t="shared" si="18"/>
        <v>12500</v>
      </c>
      <c r="T21" s="4"/>
      <c r="U21" s="4">
        <f t="shared" si="19"/>
        <v>36370</v>
      </c>
      <c r="W21" s="25">
        <f t="shared" si="20"/>
        <v>0</v>
      </c>
    </row>
    <row r="22" spans="2:23" x14ac:dyDescent="0.2">
      <c r="B22" s="7" t="s">
        <v>31</v>
      </c>
      <c r="C22" s="4">
        <f>+'2025 Detail'!C41</f>
        <v>0</v>
      </c>
      <c r="D22" s="4">
        <f>+'2025 Detail'!D41</f>
        <v>0</v>
      </c>
      <c r="E22" s="4">
        <f>+'2025 Detail'!E41</f>
        <v>63750</v>
      </c>
      <c r="F22" s="4">
        <f>+'2025 Detail'!F41</f>
        <v>0</v>
      </c>
      <c r="G22" s="4">
        <f>+'2025 Detail'!G41</f>
        <v>25000</v>
      </c>
      <c r="H22" s="4">
        <f>+'2025 Detail'!H41</f>
        <v>0</v>
      </c>
      <c r="I22" s="4">
        <f>+'2025 Detail'!I41</f>
        <v>0</v>
      </c>
      <c r="J22" s="4">
        <f>+'2025 Detail'!J41</f>
        <v>0</v>
      </c>
      <c r="K22" s="4">
        <f>+'2025 Detail'!K41</f>
        <v>0</v>
      </c>
      <c r="L22" s="4">
        <f>+'2025 Detail'!L41</f>
        <v>0</v>
      </c>
      <c r="M22" s="4">
        <f>+'2025 Detail'!M41</f>
        <v>0</v>
      </c>
      <c r="N22" s="4">
        <f>+'2025 Detail'!N41</f>
        <v>35000</v>
      </c>
      <c r="O22" s="4"/>
      <c r="P22" s="4">
        <f t="shared" si="15"/>
        <v>63750</v>
      </c>
      <c r="Q22" s="4">
        <f t="shared" si="16"/>
        <v>25000</v>
      </c>
      <c r="R22" s="4">
        <f t="shared" si="17"/>
        <v>0</v>
      </c>
      <c r="S22" s="4">
        <f t="shared" si="18"/>
        <v>35000</v>
      </c>
      <c r="T22" s="4"/>
      <c r="U22" s="4">
        <f t="shared" si="19"/>
        <v>123750</v>
      </c>
      <c r="W22" s="25">
        <f t="shared" si="20"/>
        <v>0</v>
      </c>
    </row>
    <row r="23" spans="2:23" x14ac:dyDescent="0.2">
      <c r="B23" s="7" t="s">
        <v>62</v>
      </c>
      <c r="C23" s="4">
        <f>+'2025 Detail'!C42</f>
        <v>0</v>
      </c>
      <c r="D23" s="4">
        <f>+'2025 Detail'!D42</f>
        <v>0</v>
      </c>
      <c r="E23" s="4">
        <f>+'2025 Detail'!E42</f>
        <v>4036</v>
      </c>
      <c r="F23" s="4">
        <f>+'2025 Detail'!F42</f>
        <v>20</v>
      </c>
      <c r="G23" s="4">
        <f>+'2025 Detail'!G42</f>
        <v>-326.17</v>
      </c>
      <c r="H23" s="4">
        <f>+'2025 Detail'!H42</f>
        <v>196</v>
      </c>
      <c r="I23" s="4">
        <f>+'2025 Detail'!I42</f>
        <v>112.92</v>
      </c>
      <c r="J23" s="4">
        <f>+'2025 Detail'!J42</f>
        <v>0</v>
      </c>
      <c r="K23" s="4">
        <f>+'2025 Detail'!K42</f>
        <v>-32</v>
      </c>
      <c r="L23" s="4">
        <f>+'2025 Detail'!L42</f>
        <v>188.43</v>
      </c>
      <c r="M23" s="4">
        <f>+'2025 Detail'!M42</f>
        <v>0</v>
      </c>
      <c r="N23" s="4">
        <f>+'2025 Detail'!N42</f>
        <v>250</v>
      </c>
      <c r="O23" s="4"/>
      <c r="P23" s="4">
        <f t="shared" si="15"/>
        <v>4036</v>
      </c>
      <c r="Q23" s="4">
        <f t="shared" si="16"/>
        <v>-110.17000000000002</v>
      </c>
      <c r="R23" s="4">
        <f t="shared" si="17"/>
        <v>80.92</v>
      </c>
      <c r="S23" s="4">
        <f t="shared" si="18"/>
        <v>438.43</v>
      </c>
      <c r="T23" s="4"/>
      <c r="U23" s="4">
        <f t="shared" si="19"/>
        <v>4445.18</v>
      </c>
      <c r="W23" s="25">
        <f t="shared" si="20"/>
        <v>0</v>
      </c>
    </row>
    <row r="24" spans="2:23" x14ac:dyDescent="0.2">
      <c r="B24" s="7" t="s">
        <v>22</v>
      </c>
      <c r="C24" s="4">
        <f>+'2025 Detail'!C43</f>
        <v>24863.58</v>
      </c>
      <c r="D24" s="4">
        <f>+'2025 Detail'!D43</f>
        <v>829.94</v>
      </c>
      <c r="E24" s="4">
        <f>+'2025 Detail'!E43</f>
        <v>2230.5</v>
      </c>
      <c r="F24" s="4">
        <f>+'2025 Detail'!F43</f>
        <v>13849.7</v>
      </c>
      <c r="G24" s="4">
        <f>+'2025 Detail'!G43</f>
        <v>20024.030000000002</v>
      </c>
      <c r="H24" s="4">
        <f>+'2025 Detail'!H43</f>
        <v>38178.86000000003</v>
      </c>
      <c r="I24" s="4">
        <f>+'2025 Detail'!I43</f>
        <v>9873.2099999999991</v>
      </c>
      <c r="J24" s="4">
        <f>+'2025 Detail'!J43</f>
        <v>21014.370000000003</v>
      </c>
      <c r="K24" s="4">
        <f>+'2025 Detail'!K43</f>
        <v>32093.19</v>
      </c>
      <c r="L24" s="4">
        <f>+'2025 Detail'!L43</f>
        <v>21464.5</v>
      </c>
      <c r="M24" s="4">
        <f>+'2025 Detail'!M43</f>
        <v>12742</v>
      </c>
      <c r="N24" s="4">
        <f>+'2025 Detail'!N43</f>
        <v>8500</v>
      </c>
      <c r="O24" s="4"/>
      <c r="P24" s="4">
        <f t="shared" si="15"/>
        <v>27924.02</v>
      </c>
      <c r="Q24" s="4">
        <f t="shared" si="16"/>
        <v>72052.590000000026</v>
      </c>
      <c r="R24" s="4">
        <f t="shared" si="17"/>
        <v>62980.770000000004</v>
      </c>
      <c r="S24" s="4">
        <f t="shared" si="18"/>
        <v>42706.5</v>
      </c>
      <c r="T24" s="4"/>
      <c r="U24" s="4">
        <f t="shared" si="19"/>
        <v>205663.88000000003</v>
      </c>
      <c r="W24" s="25">
        <f t="shared" si="20"/>
        <v>0</v>
      </c>
    </row>
    <row r="25" spans="2:23" x14ac:dyDescent="0.2">
      <c r="B25" s="8" t="s">
        <v>97</v>
      </c>
      <c r="C25" s="34">
        <f t="shared" ref="C25:N25" si="21">SUM(C16:C24)</f>
        <v>40041.210000000006</v>
      </c>
      <c r="D25" s="34">
        <f t="shared" si="21"/>
        <v>29960.749999999996</v>
      </c>
      <c r="E25" s="34">
        <f t="shared" si="21"/>
        <v>105065.1</v>
      </c>
      <c r="F25" s="34">
        <f t="shared" si="21"/>
        <v>62654.94</v>
      </c>
      <c r="G25" s="34">
        <f t="shared" si="21"/>
        <v>120431.75000000001</v>
      </c>
      <c r="H25" s="34">
        <f t="shared" si="21"/>
        <v>79882.820000000036</v>
      </c>
      <c r="I25" s="34">
        <f t="shared" si="21"/>
        <v>54589.819999999992</v>
      </c>
      <c r="J25" s="34">
        <f t="shared" si="21"/>
        <v>121740.49000000002</v>
      </c>
      <c r="K25" s="34">
        <f t="shared" si="21"/>
        <v>58716.83</v>
      </c>
      <c r="L25" s="34">
        <f t="shared" si="21"/>
        <v>64595.920000000006</v>
      </c>
      <c r="M25" s="34">
        <f t="shared" si="21"/>
        <v>35946.729999999996</v>
      </c>
      <c r="N25" s="34">
        <f t="shared" si="21"/>
        <v>85800</v>
      </c>
      <c r="O25" s="34"/>
      <c r="P25" s="34">
        <f>SUM(P16:P24)</f>
        <v>175067.05999999997</v>
      </c>
      <c r="Q25" s="34">
        <f>SUM(Q16:Q24)</f>
        <v>262969.51</v>
      </c>
      <c r="R25" s="34">
        <f>SUM(R16:R24)</f>
        <v>235047.14</v>
      </c>
      <c r="S25" s="34">
        <f>SUM(S16:S24)</f>
        <v>186342.65</v>
      </c>
      <c r="T25" s="34"/>
      <c r="U25" s="34">
        <f>SUM(U16:U24)</f>
        <v>859426.3600000001</v>
      </c>
      <c r="W25" s="25">
        <f t="shared" si="20"/>
        <v>0</v>
      </c>
    </row>
    <row r="26" spans="2:23" x14ac:dyDescent="0.2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W26" s="25"/>
    </row>
    <row r="27" spans="2:23" x14ac:dyDescent="0.2">
      <c r="B27" s="8" t="s">
        <v>43</v>
      </c>
      <c r="C27" s="34">
        <f t="shared" ref="C27:N27" si="22">+C14+C25</f>
        <v>495827.25000000006</v>
      </c>
      <c r="D27" s="34">
        <f t="shared" si="22"/>
        <v>745088.42</v>
      </c>
      <c r="E27" s="34">
        <f t="shared" si="22"/>
        <v>629337.65</v>
      </c>
      <c r="F27" s="34">
        <f t="shared" si="22"/>
        <v>583641.64</v>
      </c>
      <c r="G27" s="34">
        <f t="shared" si="22"/>
        <v>628120.46</v>
      </c>
      <c r="H27" s="34">
        <f t="shared" si="22"/>
        <v>589151.60000000009</v>
      </c>
      <c r="I27" s="34">
        <f t="shared" si="22"/>
        <v>623813.71000000008</v>
      </c>
      <c r="J27" s="34">
        <f t="shared" si="22"/>
        <v>583699.06000000006</v>
      </c>
      <c r="K27" s="34">
        <f t="shared" si="22"/>
        <v>485109.49000000005</v>
      </c>
      <c r="L27" s="34">
        <f t="shared" si="22"/>
        <v>492231.93</v>
      </c>
      <c r="M27" s="34">
        <f t="shared" si="22"/>
        <v>490920.25</v>
      </c>
      <c r="N27" s="34">
        <f t="shared" si="22"/>
        <v>528871.94999999995</v>
      </c>
      <c r="O27" s="34"/>
      <c r="P27" s="34">
        <f>+P14+P25</f>
        <v>1870253.3200000003</v>
      </c>
      <c r="Q27" s="34">
        <f>+Q14+Q25</f>
        <v>1800913.7</v>
      </c>
      <c r="R27" s="34">
        <f>+R14+R25</f>
        <v>1692622.2599999998</v>
      </c>
      <c r="S27" s="34">
        <f>+S14+S25</f>
        <v>1512024.13</v>
      </c>
      <c r="T27" s="34"/>
      <c r="U27" s="34">
        <f>+U14+U25</f>
        <v>6875813.4099999992</v>
      </c>
      <c r="W27" s="25">
        <f>ROUND(SUM(P27:S27)-U27,2)</f>
        <v>0</v>
      </c>
    </row>
    <row r="28" spans="2:23" x14ac:dyDescent="0.2">
      <c r="W28" s="25"/>
    </row>
    <row r="29" spans="2:23" x14ac:dyDescent="0.2">
      <c r="B29" s="7" t="s">
        <v>33</v>
      </c>
      <c r="C29" s="4">
        <f>+'2025 Detail'!C48</f>
        <v>0</v>
      </c>
      <c r="D29" s="4">
        <f>+'2025 Detail'!D48</f>
        <v>0</v>
      </c>
      <c r="E29" s="4">
        <f>+'2025 Detail'!E48</f>
        <v>0</v>
      </c>
      <c r="F29" s="4">
        <f>+'2025 Detail'!F48</f>
        <v>0</v>
      </c>
      <c r="G29" s="4">
        <f>+'2025 Detail'!G48</f>
        <v>0</v>
      </c>
      <c r="H29" s="4">
        <f>+'2025 Detail'!H48</f>
        <v>0</v>
      </c>
      <c r="I29" s="4">
        <f>+'2025 Detail'!I48</f>
        <v>0</v>
      </c>
      <c r="J29" s="4">
        <f>+'2025 Detail'!J48</f>
        <v>0</v>
      </c>
      <c r="K29" s="4">
        <f>+'2025 Detail'!K48</f>
        <v>0</v>
      </c>
      <c r="L29" s="4">
        <f>+'2025 Detail'!L48</f>
        <v>0</v>
      </c>
      <c r="M29" s="4">
        <f>+'2025 Detail'!M48</f>
        <v>0</v>
      </c>
      <c r="N29" s="4">
        <f>+'2025 Detail'!N48</f>
        <v>0</v>
      </c>
      <c r="O29" s="4"/>
      <c r="P29" s="4">
        <f>SUM(C29:E29)</f>
        <v>0</v>
      </c>
      <c r="Q29" s="4">
        <f>SUM(F29:H29)</f>
        <v>0</v>
      </c>
      <c r="R29" s="4">
        <f>SUM(I29:K29)</f>
        <v>0</v>
      </c>
      <c r="S29" s="4">
        <f>SUM(L29:N29)</f>
        <v>0</v>
      </c>
      <c r="T29" s="4"/>
      <c r="U29" s="4">
        <f>SUM(C29:N29)</f>
        <v>0</v>
      </c>
      <c r="W29" s="25">
        <f t="shared" ref="W29:W34" si="23">ROUND(SUM(P29:S29)-U29,2)</f>
        <v>0</v>
      </c>
    </row>
    <row r="30" spans="2:23" x14ac:dyDescent="0.2">
      <c r="B30" s="7" t="s">
        <v>35</v>
      </c>
      <c r="C30" s="4">
        <f>+'2025 Detail'!C49</f>
        <v>0</v>
      </c>
      <c r="D30" s="4">
        <f>+'2025 Detail'!D49</f>
        <v>0</v>
      </c>
      <c r="E30" s="4">
        <f>+'2025 Detail'!E49</f>
        <v>0</v>
      </c>
      <c r="F30" s="4">
        <f>+'2025 Detail'!F49</f>
        <v>0</v>
      </c>
      <c r="G30" s="4">
        <f>+'2025 Detail'!G49</f>
        <v>0</v>
      </c>
      <c r="H30" s="4">
        <f>+'2025 Detail'!H49</f>
        <v>0</v>
      </c>
      <c r="I30" s="4">
        <f>+'2025 Detail'!I49</f>
        <v>0</v>
      </c>
      <c r="J30" s="4">
        <f>+'2025 Detail'!J49</f>
        <v>0</v>
      </c>
      <c r="K30" s="4">
        <f>+'2025 Detail'!K49</f>
        <v>0</v>
      </c>
      <c r="L30" s="4">
        <f>+'2025 Detail'!L49</f>
        <v>0</v>
      </c>
      <c r="M30" s="4">
        <f>+'2025 Detail'!M49</f>
        <v>0</v>
      </c>
      <c r="N30" s="4">
        <f>+'2025 Detail'!N49</f>
        <v>0</v>
      </c>
      <c r="O30" s="4"/>
      <c r="P30" s="4">
        <f t="shared" ref="P30:P33" si="24">SUM(C30:E30)</f>
        <v>0</v>
      </c>
      <c r="Q30" s="4">
        <f t="shared" ref="Q30:Q33" si="25">SUM(F30:H30)</f>
        <v>0</v>
      </c>
      <c r="R30" s="4">
        <f t="shared" ref="R30:R33" si="26">SUM(I30:K30)</f>
        <v>0</v>
      </c>
      <c r="S30" s="4">
        <f t="shared" ref="S30:S33" si="27">SUM(L30:N30)</f>
        <v>0</v>
      </c>
      <c r="T30" s="4"/>
      <c r="U30" s="4">
        <f t="shared" ref="U30:U33" si="28">SUM(C30:N30)</f>
        <v>0</v>
      </c>
      <c r="W30" s="25">
        <f t="shared" si="23"/>
        <v>0</v>
      </c>
    </row>
    <row r="31" spans="2:23" x14ac:dyDescent="0.2">
      <c r="B31" s="7" t="s">
        <v>16</v>
      </c>
      <c r="C31" s="4">
        <f>+'2025 Detail'!C50</f>
        <v>-5043.37</v>
      </c>
      <c r="D31" s="4">
        <f>+'2025 Detail'!D50</f>
        <v>-5518.34</v>
      </c>
      <c r="E31" s="4">
        <f>+'2025 Detail'!E50</f>
        <v>-4685.37</v>
      </c>
      <c r="F31" s="4">
        <f>+'2025 Detail'!F50</f>
        <v>-3686.29</v>
      </c>
      <c r="G31" s="4">
        <f>+'2025 Detail'!G50</f>
        <v>-2521.11</v>
      </c>
      <c r="H31" s="4">
        <f>+'2025 Detail'!H50</f>
        <v>-957.06</v>
      </c>
      <c r="I31" s="4">
        <f>+'2025 Detail'!I50</f>
        <v>-183.94</v>
      </c>
      <c r="J31" s="4">
        <f>+'2025 Detail'!J50</f>
        <v>0</v>
      </c>
      <c r="K31" s="4">
        <f>+'2025 Detail'!K50</f>
        <v>0</v>
      </c>
      <c r="L31" s="4">
        <f>+'2025 Detail'!L50</f>
        <v>0</v>
      </c>
      <c r="M31" s="4">
        <f>+'2025 Detail'!M50</f>
        <v>0</v>
      </c>
      <c r="N31" s="4">
        <f>+'2025 Detail'!N50</f>
        <v>0</v>
      </c>
      <c r="O31" s="4"/>
      <c r="P31" s="4">
        <f t="shared" si="24"/>
        <v>-15247.079999999998</v>
      </c>
      <c r="Q31" s="4">
        <f t="shared" si="25"/>
        <v>-7164.4599999999991</v>
      </c>
      <c r="R31" s="4">
        <f t="shared" si="26"/>
        <v>-183.94</v>
      </c>
      <c r="S31" s="4">
        <f t="shared" si="27"/>
        <v>0</v>
      </c>
      <c r="T31" s="4"/>
      <c r="U31" s="4">
        <f t="shared" si="28"/>
        <v>-22595.48</v>
      </c>
      <c r="W31" s="25">
        <f t="shared" si="23"/>
        <v>0</v>
      </c>
    </row>
    <row r="32" spans="2:23" x14ac:dyDescent="0.2">
      <c r="B32" s="7" t="s">
        <v>0</v>
      </c>
      <c r="C32" s="4">
        <f>+'2025 Detail'!C51</f>
        <v>0</v>
      </c>
      <c r="D32" s="4">
        <f>+'2025 Detail'!D51</f>
        <v>-1010.7</v>
      </c>
      <c r="E32" s="4">
        <f>+'2025 Detail'!E51</f>
        <v>0</v>
      </c>
      <c r="F32" s="4">
        <f>+'2025 Detail'!F51</f>
        <v>-1222.92</v>
      </c>
      <c r="G32" s="4">
        <f>+'2025 Detail'!G51</f>
        <v>-2784.15</v>
      </c>
      <c r="H32" s="4">
        <f>+'2025 Detail'!H51</f>
        <v>-1124.19</v>
      </c>
      <c r="I32" s="4">
        <f>+'2025 Detail'!I51</f>
        <v>-1126.1100000000001</v>
      </c>
      <c r="J32" s="4">
        <f>+'2025 Detail'!J51</f>
        <v>-105.74</v>
      </c>
      <c r="K32" s="4">
        <f>+'2025 Detail'!K51</f>
        <v>0</v>
      </c>
      <c r="L32" s="4">
        <f>+'2025 Detail'!L51</f>
        <v>0</v>
      </c>
      <c r="M32" s="4">
        <f>+'2025 Detail'!M51</f>
        <v>0</v>
      </c>
      <c r="N32" s="4">
        <f>+'2025 Detail'!N51</f>
        <v>0</v>
      </c>
      <c r="O32" s="4"/>
      <c r="P32" s="4">
        <f t="shared" si="24"/>
        <v>-1010.7</v>
      </c>
      <c r="Q32" s="4">
        <f t="shared" si="25"/>
        <v>-5131.26</v>
      </c>
      <c r="R32" s="4">
        <f t="shared" si="26"/>
        <v>-1231.8500000000001</v>
      </c>
      <c r="S32" s="4">
        <f t="shared" si="27"/>
        <v>0</v>
      </c>
      <c r="T32" s="4"/>
      <c r="U32" s="4">
        <f t="shared" si="28"/>
        <v>-7373.8100000000013</v>
      </c>
      <c r="W32" s="25">
        <f t="shared" si="23"/>
        <v>0</v>
      </c>
    </row>
    <row r="33" spans="2:23" x14ac:dyDescent="0.2">
      <c r="B33" s="7" t="s">
        <v>26</v>
      </c>
      <c r="C33" s="4">
        <f>+'2025 Detail'!C53</f>
        <v>-246.35</v>
      </c>
      <c r="D33" s="4">
        <f>+'2025 Detail'!D53</f>
        <v>-433.54</v>
      </c>
      <c r="E33" s="4">
        <f>+'2025 Detail'!E53</f>
        <v>-471.18</v>
      </c>
      <c r="F33" s="4">
        <f>+'2025 Detail'!F53</f>
        <v>-346.98</v>
      </c>
      <c r="G33" s="4">
        <f>+'2025 Detail'!G53</f>
        <v>-328.78999999999996</v>
      </c>
      <c r="H33" s="4">
        <f>+'2025 Detail'!H53</f>
        <v>-692</v>
      </c>
      <c r="I33" s="4">
        <f>+'2025 Detail'!I53</f>
        <v>-386.11</v>
      </c>
      <c r="J33" s="4">
        <f>+'2025 Detail'!J53</f>
        <v>-335.21</v>
      </c>
      <c r="K33" s="4">
        <f>+'2025 Detail'!K53</f>
        <v>-324.17</v>
      </c>
      <c r="L33" s="4">
        <f>+'2025 Detail'!L53</f>
        <v>-341.29</v>
      </c>
      <c r="M33" s="4">
        <f>+'2025 Detail'!M53</f>
        <v>-311.16000000000003</v>
      </c>
      <c r="N33" s="4">
        <f>+'2025 Detail'!N53</f>
        <v>-400</v>
      </c>
      <c r="O33" s="4"/>
      <c r="P33" s="4">
        <f t="shared" si="24"/>
        <v>-1151.07</v>
      </c>
      <c r="Q33" s="4">
        <f t="shared" si="25"/>
        <v>-1367.77</v>
      </c>
      <c r="R33" s="4">
        <f t="shared" si="26"/>
        <v>-1045.49</v>
      </c>
      <c r="S33" s="4">
        <f t="shared" si="27"/>
        <v>-1052.45</v>
      </c>
      <c r="T33" s="4"/>
      <c r="U33" s="4">
        <f t="shared" si="28"/>
        <v>-4616.7800000000007</v>
      </c>
      <c r="W33" s="25">
        <f t="shared" si="23"/>
        <v>0</v>
      </c>
    </row>
    <row r="34" spans="2:23" x14ac:dyDescent="0.2">
      <c r="B34" s="7" t="s">
        <v>48</v>
      </c>
      <c r="C34" s="4">
        <f>+'2025 Detail'!C54</f>
        <v>7748.71</v>
      </c>
      <c r="D34" s="4">
        <f>+'2025 Detail'!D54</f>
        <v>8351.2900000000009</v>
      </c>
      <c r="E34" s="4">
        <f>+'2025 Detail'!E54</f>
        <v>8145.22</v>
      </c>
      <c r="F34" s="4">
        <f>+'2025 Detail'!F54</f>
        <v>6912.1</v>
      </c>
      <c r="G34" s="4">
        <f>+'2025 Detail'!G54</f>
        <v>5204.78</v>
      </c>
      <c r="H34" s="4">
        <f>+'2025 Detail'!H54</f>
        <v>3887.72</v>
      </c>
      <c r="I34" s="4">
        <f>+'2025 Detail'!I54</f>
        <v>3150.25</v>
      </c>
      <c r="J34" s="4">
        <f>+'2025 Detail'!J54</f>
        <v>2155.66</v>
      </c>
      <c r="K34" s="4">
        <f>+'2025 Detail'!K54</f>
        <v>1083.05</v>
      </c>
      <c r="L34" s="4">
        <f>+'2025 Detail'!L54</f>
        <v>613.20000000000005</v>
      </c>
      <c r="M34" s="4">
        <f>+'2025 Detail'!M54</f>
        <v>312.41000000000003</v>
      </c>
      <c r="N34" s="4">
        <f>+'2025 Detail'!N54</f>
        <v>300</v>
      </c>
      <c r="O34" s="4"/>
      <c r="P34" s="4">
        <f>SUM(C34:E34)</f>
        <v>24245.22</v>
      </c>
      <c r="Q34" s="4">
        <f>SUM(F34:H34)</f>
        <v>16004.6</v>
      </c>
      <c r="R34" s="4">
        <f>SUM(I34:K34)</f>
        <v>6388.96</v>
      </c>
      <c r="S34" s="4">
        <f>SUM(L34:N34)</f>
        <v>1225.6100000000001</v>
      </c>
      <c r="T34" s="4"/>
      <c r="U34" s="4">
        <f>SUM(C34:N34)</f>
        <v>47864.39</v>
      </c>
      <c r="W34" s="25">
        <f t="shared" si="23"/>
        <v>0</v>
      </c>
    </row>
    <row r="35" spans="2:23" x14ac:dyDescent="0.2">
      <c r="W35" s="25"/>
    </row>
    <row r="36" spans="2:23" x14ac:dyDescent="0.2">
      <c r="B36" s="1" t="s">
        <v>44</v>
      </c>
      <c r="C36" s="5">
        <f>+'2025 Detail'!C56</f>
        <v>3334341.02</v>
      </c>
      <c r="D36" s="5">
        <f>+C41</f>
        <v>3317111.04</v>
      </c>
      <c r="E36" s="5">
        <f t="shared" ref="E36:N36" si="29">+D41</f>
        <v>3677069.87</v>
      </c>
      <c r="F36" s="5">
        <f t="shared" si="29"/>
        <v>3325973.37</v>
      </c>
      <c r="G36" s="5">
        <f t="shared" si="29"/>
        <v>2956020.34</v>
      </c>
      <c r="H36" s="5">
        <f t="shared" si="29"/>
        <v>2520253.0099999998</v>
      </c>
      <c r="I36" s="5">
        <f t="shared" si="29"/>
        <v>2023283.28</v>
      </c>
      <c r="J36" s="5">
        <f t="shared" si="29"/>
        <v>1726104.66</v>
      </c>
      <c r="K36" s="5">
        <f t="shared" si="29"/>
        <v>1329558.9099999999</v>
      </c>
      <c r="L36" s="5">
        <f t="shared" si="29"/>
        <v>954185.8</v>
      </c>
      <c r="M36" s="5">
        <f t="shared" si="29"/>
        <v>736558.98</v>
      </c>
      <c r="N36" s="5">
        <f t="shared" si="29"/>
        <v>670150.07999999996</v>
      </c>
      <c r="O36" s="5"/>
      <c r="P36" s="5">
        <f>+C36</f>
        <v>3334341.02</v>
      </c>
      <c r="Q36" s="5">
        <f>+P41</f>
        <v>3325973</v>
      </c>
      <c r="R36" s="5">
        <f>+Q41</f>
        <v>2023283</v>
      </c>
      <c r="S36" s="5">
        <f>+R41</f>
        <v>954186</v>
      </c>
      <c r="T36" s="5"/>
      <c r="U36" s="5">
        <f>+P36</f>
        <v>3334341.02</v>
      </c>
      <c r="W36" s="25"/>
    </row>
    <row r="37" spans="2:23" x14ac:dyDescent="0.2">
      <c r="W37" s="25"/>
    </row>
    <row r="38" spans="2:23" x14ac:dyDescent="0.2">
      <c r="B38" s="7" t="s">
        <v>45</v>
      </c>
      <c r="C38" s="4">
        <f t="shared" ref="C38:N38" si="30">C8-C27+SUM(C29:C34)</f>
        <v>-217229.40000000008</v>
      </c>
      <c r="D38" s="4">
        <f t="shared" si="30"/>
        <v>-390040.61000000004</v>
      </c>
      <c r="E38" s="4">
        <f t="shared" si="30"/>
        <v>-351096.50000000006</v>
      </c>
      <c r="F38" s="4">
        <f t="shared" si="30"/>
        <v>-369953.03</v>
      </c>
      <c r="G38" s="4">
        <f t="shared" si="30"/>
        <v>-435767.32999999996</v>
      </c>
      <c r="H38" s="4">
        <f t="shared" si="30"/>
        <v>-471969.7300000001</v>
      </c>
      <c r="I38" s="4">
        <f t="shared" si="30"/>
        <v>-297178.62000000005</v>
      </c>
      <c r="J38" s="4">
        <f t="shared" si="30"/>
        <v>-396545.75000000006</v>
      </c>
      <c r="K38" s="4">
        <f t="shared" si="30"/>
        <v>-375373.11000000004</v>
      </c>
      <c r="L38" s="4">
        <f t="shared" si="30"/>
        <v>-217626.81999999998</v>
      </c>
      <c r="M38" s="4">
        <f t="shared" si="30"/>
        <v>-66408.900000000023</v>
      </c>
      <c r="N38" s="4">
        <f t="shared" si="30"/>
        <v>318960.65000000002</v>
      </c>
      <c r="O38" s="4"/>
      <c r="P38" s="4">
        <f>SUM(C38:E38)</f>
        <v>-958366.51000000024</v>
      </c>
      <c r="Q38" s="4">
        <f>SUM(F38:H38)</f>
        <v>-1277690.0900000001</v>
      </c>
      <c r="R38" s="4">
        <f>SUM(I38:K38)</f>
        <v>-1069097.4800000002</v>
      </c>
      <c r="S38" s="4">
        <f>SUM(L38:N38)</f>
        <v>34924.930000000051</v>
      </c>
      <c r="T38" s="4"/>
      <c r="U38" s="4">
        <f>SUM(C38:N38)</f>
        <v>-3270229.15</v>
      </c>
      <c r="W38" s="25">
        <f>ROUND(SUM(P38:S38)-U38,2)</f>
        <v>0</v>
      </c>
    </row>
    <row r="39" spans="2:23" x14ac:dyDescent="0.2">
      <c r="B39" s="7" t="s">
        <v>50</v>
      </c>
      <c r="C39" s="4">
        <f>+'2025 Detail'!C59</f>
        <v>199999.41999999998</v>
      </c>
      <c r="D39" s="4">
        <f>+'2025 Detail'!D59</f>
        <v>749999.44</v>
      </c>
      <c r="E39" s="4">
        <f>+'2025 Detail'!E59</f>
        <v>0</v>
      </c>
      <c r="F39" s="4">
        <f>+'2025 Detail'!F59</f>
        <v>0</v>
      </c>
      <c r="G39" s="4">
        <f>+'2025 Detail'!G59</f>
        <v>0</v>
      </c>
      <c r="H39" s="4">
        <f>+'2025 Detail'!H59</f>
        <v>-25000</v>
      </c>
      <c r="I39" s="4">
        <f>+'2025 Detail'!I59</f>
        <v>0</v>
      </c>
      <c r="J39" s="4">
        <f>+'2025 Detail'!J59</f>
        <v>0</v>
      </c>
      <c r="K39" s="4">
        <f>+'2025 Detail'!K59</f>
        <v>0</v>
      </c>
      <c r="L39" s="4">
        <f>+'2025 Detail'!L59</f>
        <v>0</v>
      </c>
      <c r="M39" s="4">
        <f>+'2025 Detail'!M59</f>
        <v>0</v>
      </c>
      <c r="N39" s="4">
        <f>+'2025 Detail'!N59</f>
        <v>-25000</v>
      </c>
      <c r="O39" s="4"/>
      <c r="P39" s="4">
        <f>SUM(C39:E39)</f>
        <v>949998.85999999987</v>
      </c>
      <c r="Q39" s="4">
        <f>SUM(F39:H39)</f>
        <v>-25000</v>
      </c>
      <c r="R39" s="4">
        <f>SUM(I39:K39)</f>
        <v>0</v>
      </c>
      <c r="S39" s="4">
        <f>SUM(L39:N39)</f>
        <v>-25000</v>
      </c>
      <c r="T39" s="4"/>
      <c r="U39" s="4">
        <f>SUM(C39:N39)</f>
        <v>899998.85999999987</v>
      </c>
      <c r="W39" s="25">
        <f>ROUND(SUM(P39:S39)-U39,2)</f>
        <v>0</v>
      </c>
    </row>
    <row r="40" spans="2:23" x14ac:dyDescent="0.2">
      <c r="B40" s="7"/>
      <c r="W40" s="3"/>
    </row>
    <row r="41" spans="2:23" x14ac:dyDescent="0.2">
      <c r="B41" s="8" t="s">
        <v>46</v>
      </c>
      <c r="C41" s="34">
        <f>ROUND(+C36+C38+C39,2)</f>
        <v>3317111.04</v>
      </c>
      <c r="D41" s="34">
        <f t="shared" ref="D41:N41" si="31">ROUND(+D36+D38+D39,2)</f>
        <v>3677069.87</v>
      </c>
      <c r="E41" s="34">
        <f t="shared" si="31"/>
        <v>3325973.37</v>
      </c>
      <c r="F41" s="34">
        <f t="shared" si="31"/>
        <v>2956020.34</v>
      </c>
      <c r="G41" s="34">
        <f t="shared" si="31"/>
        <v>2520253.0099999998</v>
      </c>
      <c r="H41" s="34">
        <f t="shared" si="31"/>
        <v>2023283.28</v>
      </c>
      <c r="I41" s="34">
        <f t="shared" si="31"/>
        <v>1726104.66</v>
      </c>
      <c r="J41" s="34">
        <f t="shared" si="31"/>
        <v>1329558.9099999999</v>
      </c>
      <c r="K41" s="34">
        <f t="shared" si="31"/>
        <v>954185.8</v>
      </c>
      <c r="L41" s="34">
        <f t="shared" si="31"/>
        <v>736558.98</v>
      </c>
      <c r="M41" s="34">
        <f t="shared" si="31"/>
        <v>670150.07999999996</v>
      </c>
      <c r="N41" s="34">
        <f t="shared" si="31"/>
        <v>964110.73</v>
      </c>
      <c r="O41" s="34"/>
      <c r="P41" s="34">
        <f t="shared" ref="P41:U41" si="32">ROUND(+P36+P38+P39,0)</f>
        <v>3325973</v>
      </c>
      <c r="Q41" s="34">
        <f t="shared" si="32"/>
        <v>2023283</v>
      </c>
      <c r="R41" s="34">
        <f t="shared" si="32"/>
        <v>954186</v>
      </c>
      <c r="S41" s="34">
        <f t="shared" si="32"/>
        <v>964111</v>
      </c>
      <c r="T41" s="34"/>
      <c r="U41" s="34">
        <f t="shared" si="32"/>
        <v>964111</v>
      </c>
      <c r="W41" s="3"/>
    </row>
    <row r="42" spans="2:23" x14ac:dyDescent="0.2">
      <c r="G42" s="4"/>
      <c r="H42" s="4"/>
      <c r="I42" s="4"/>
    </row>
    <row r="43" spans="2:23" x14ac:dyDescent="0.2">
      <c r="B43" s="1" t="s">
        <v>192</v>
      </c>
      <c r="C43" s="4">
        <f t="shared" ref="C43:N43" si="33">+C8</f>
        <v>276138.86</v>
      </c>
      <c r="D43" s="4">
        <f t="shared" si="33"/>
        <v>353659.1</v>
      </c>
      <c r="E43" s="4">
        <f t="shared" si="33"/>
        <v>275252.47999999998</v>
      </c>
      <c r="F43" s="4">
        <f t="shared" si="33"/>
        <v>212032.7</v>
      </c>
      <c r="G43" s="4">
        <f t="shared" si="33"/>
        <v>192782.4</v>
      </c>
      <c r="H43" s="4">
        <f t="shared" si="33"/>
        <v>116067.4</v>
      </c>
      <c r="I43" s="4">
        <f t="shared" si="33"/>
        <v>325181</v>
      </c>
      <c r="J43" s="4">
        <f t="shared" si="33"/>
        <v>185438.6</v>
      </c>
      <c r="K43" s="4">
        <f t="shared" si="33"/>
        <v>108977.5</v>
      </c>
      <c r="L43" s="4">
        <f t="shared" si="33"/>
        <v>274333.2</v>
      </c>
      <c r="M43" s="4">
        <f t="shared" si="33"/>
        <v>424510.1</v>
      </c>
      <c r="N43" s="4">
        <f t="shared" si="33"/>
        <v>847932.6</v>
      </c>
      <c r="P43" s="4">
        <f>+P8</f>
        <v>905050.44</v>
      </c>
      <c r="Q43" s="4">
        <f>+Q8</f>
        <v>520882.5</v>
      </c>
      <c r="R43" s="4">
        <f>+R8</f>
        <v>619597.1</v>
      </c>
      <c r="S43" s="4">
        <f>+S8</f>
        <v>1546775.9</v>
      </c>
      <c r="U43" s="4">
        <f>+U8</f>
        <v>3592305.94</v>
      </c>
    </row>
    <row r="44" spans="2:23" x14ac:dyDescent="0.2">
      <c r="B44" s="1" t="s">
        <v>193</v>
      </c>
      <c r="C44" s="4">
        <f t="shared" ref="C44:N44" si="34">+C10</f>
        <v>237094.68600000002</v>
      </c>
      <c r="D44" s="4">
        <f t="shared" si="34"/>
        <v>373512.68800000002</v>
      </c>
      <c r="E44" s="4">
        <f t="shared" si="34"/>
        <v>223536.75750000001</v>
      </c>
      <c r="F44" s="4">
        <f t="shared" si="34"/>
        <v>187863.7805882353</v>
      </c>
      <c r="G44" s="4">
        <f t="shared" si="34"/>
        <v>191763.049375</v>
      </c>
      <c r="H44" s="4">
        <f t="shared" si="34"/>
        <v>197231.83117647062</v>
      </c>
      <c r="I44" s="4">
        <f t="shared" si="34"/>
        <v>187788.92176470588</v>
      </c>
      <c r="J44" s="4">
        <f t="shared" si="34"/>
        <v>186132.84222222224</v>
      </c>
      <c r="K44" s="4">
        <f t="shared" si="34"/>
        <v>188525.38</v>
      </c>
      <c r="L44" s="4">
        <f t="shared" si="34"/>
        <v>194858.93333333332</v>
      </c>
      <c r="M44" s="4">
        <f t="shared" si="34"/>
        <v>195112.19500000001</v>
      </c>
      <c r="N44" s="4">
        <f t="shared" si="34"/>
        <v>194610</v>
      </c>
      <c r="P44" s="4">
        <f>+P10</f>
        <v>834144.13150000013</v>
      </c>
      <c r="Q44" s="4">
        <f>+Q10</f>
        <v>576858.66113970592</v>
      </c>
      <c r="R44" s="4">
        <f>+R10</f>
        <v>562447.14398692816</v>
      </c>
      <c r="S44" s="4">
        <f>+S10</f>
        <v>584581.1283333333</v>
      </c>
      <c r="U44" s="4">
        <f>+U10</f>
        <v>2558031.0649599666</v>
      </c>
    </row>
    <row r="45" spans="2:23" x14ac:dyDescent="0.2">
      <c r="B45" s="1" t="s">
        <v>194</v>
      </c>
      <c r="C45" s="4">
        <f>+C43-C44</f>
        <v>39044.17399999997</v>
      </c>
      <c r="D45" s="4">
        <f t="shared" ref="D45:N45" si="35">+D43-D44</f>
        <v>-19853.588000000047</v>
      </c>
      <c r="E45" s="4">
        <f t="shared" si="35"/>
        <v>51715.722499999974</v>
      </c>
      <c r="F45" s="4">
        <f t="shared" si="35"/>
        <v>24168.919411764713</v>
      </c>
      <c r="G45" s="4">
        <f t="shared" si="35"/>
        <v>1019.3506249999919</v>
      </c>
      <c r="H45" s="4">
        <f t="shared" si="35"/>
        <v>-81164.431176470622</v>
      </c>
      <c r="I45" s="4">
        <f t="shared" si="35"/>
        <v>137392.07823529412</v>
      </c>
      <c r="J45" s="4">
        <f t="shared" si="35"/>
        <v>-694.24222222223761</v>
      </c>
      <c r="K45" s="4">
        <f t="shared" si="35"/>
        <v>-79547.88</v>
      </c>
      <c r="L45" s="4">
        <f t="shared" si="35"/>
        <v>79474.266666666692</v>
      </c>
      <c r="M45" s="4">
        <f t="shared" si="35"/>
        <v>229397.90499999997</v>
      </c>
      <c r="N45" s="4">
        <f t="shared" si="35"/>
        <v>653322.6</v>
      </c>
      <c r="P45" s="4">
        <f t="shared" ref="P45" si="36">+P43-P44</f>
        <v>70906.30849999981</v>
      </c>
      <c r="Q45" s="4">
        <f t="shared" ref="Q45" si="37">+Q43-Q44</f>
        <v>-55976.161139705917</v>
      </c>
      <c r="R45" s="4">
        <f t="shared" ref="R45" si="38">+R43-R44</f>
        <v>57149.956013071816</v>
      </c>
      <c r="S45" s="4">
        <f t="shared" ref="S45" si="39">+S43-S44</f>
        <v>962194.77166666661</v>
      </c>
      <c r="U45" s="4">
        <f t="shared" ref="U45" si="40">+U43-U44</f>
        <v>1034274.8750400334</v>
      </c>
    </row>
    <row r="46" spans="2:23" x14ac:dyDescent="0.2">
      <c r="B46" s="1" t="s">
        <v>195</v>
      </c>
      <c r="C46" s="40">
        <f>+C45/C43</f>
        <v>0.14139326134684546</v>
      </c>
      <c r="D46" s="40">
        <f t="shared" ref="D46:N46" si="41">+D45/D43</f>
        <v>-5.6137642153135742E-2</v>
      </c>
      <c r="E46" s="40">
        <f t="shared" si="41"/>
        <v>0.187884674099939</v>
      </c>
      <c r="F46" s="40">
        <f t="shared" si="41"/>
        <v>0.11398675492867238</v>
      </c>
      <c r="G46" s="40">
        <f t="shared" si="41"/>
        <v>5.2875709867705343E-3</v>
      </c>
      <c r="H46" s="40">
        <f t="shared" si="41"/>
        <v>-0.69928706231440207</v>
      </c>
      <c r="I46" s="40">
        <f t="shared" si="41"/>
        <v>0.42250955078954217</v>
      </c>
      <c r="J46" s="40">
        <f t="shared" si="41"/>
        <v>-3.743784855053034E-3</v>
      </c>
      <c r="K46" s="40">
        <f t="shared" si="41"/>
        <v>-0.72994774150627428</v>
      </c>
      <c r="L46" s="40">
        <f t="shared" si="41"/>
        <v>0.28969977628178684</v>
      </c>
      <c r="M46" s="40">
        <f t="shared" si="41"/>
        <v>0.54038267876312007</v>
      </c>
      <c r="N46" s="40">
        <f t="shared" si="41"/>
        <v>0.77048883366437382</v>
      </c>
      <c r="P46" s="40">
        <f t="shared" ref="P46" si="42">+P45/P43</f>
        <v>7.834514560315535E-2</v>
      </c>
      <c r="Q46" s="40">
        <f t="shared" ref="Q46" si="43">+Q45/Q43</f>
        <v>-0.10746408477863226</v>
      </c>
      <c r="R46" s="40">
        <f t="shared" ref="R46" si="44">+R45/R43</f>
        <v>9.2237287768247814E-2</v>
      </c>
      <c r="S46" s="40">
        <f t="shared" ref="S46" si="45">+S45/S43</f>
        <v>0.62206475525424643</v>
      </c>
      <c r="U46" s="40">
        <f t="shared" ref="U46" si="46">+U45/U43</f>
        <v>0.28791391722054538</v>
      </c>
    </row>
    <row r="47" spans="2:23" x14ac:dyDescent="0.2">
      <c r="G47" s="4"/>
    </row>
    <row r="48" spans="2:23" x14ac:dyDescent="0.2">
      <c r="B48" s="7" t="s">
        <v>13</v>
      </c>
      <c r="C48" s="87">
        <f>+C41-'2025 Detail'!C61</f>
        <v>0</v>
      </c>
      <c r="D48" s="87">
        <f>+D41-'2025 Detail'!D61</f>
        <v>0</v>
      </c>
      <c r="E48" s="87">
        <f>+E41-'2025 Detail'!E61</f>
        <v>0</v>
      </c>
      <c r="F48" s="87">
        <f>+F41-'2025 Detail'!F61</f>
        <v>0</v>
      </c>
      <c r="G48" s="87">
        <f>+G41-'2025 Detail'!G61</f>
        <v>0</v>
      </c>
      <c r="H48" s="87">
        <f>+H41-'2025 Detail'!H61</f>
        <v>0</v>
      </c>
      <c r="I48" s="87">
        <f>+I41-'2025 Detail'!I61</f>
        <v>0</v>
      </c>
      <c r="J48" s="87">
        <f>+J41-'2025 Detail'!J61</f>
        <v>0</v>
      </c>
      <c r="K48" s="87">
        <f>+K41-'2025 Detail'!K61</f>
        <v>0</v>
      </c>
      <c r="L48" s="87">
        <f>+L41-'2025 Detail'!L61</f>
        <v>0</v>
      </c>
      <c r="M48" s="87">
        <f>+M41-'2025 Detail'!M61</f>
        <v>0</v>
      </c>
      <c r="N48" s="87">
        <f>+N41-'2025 Detail'!N61</f>
        <v>0</v>
      </c>
    </row>
  </sheetData>
  <pageMargins left="0.25" right="0.25" top="0.75" bottom="0.75" header="0.3" footer="0.3"/>
  <pageSetup scale="7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F8A0-A2CE-4D25-8D7D-65B160EB359E}">
  <sheetPr>
    <pageSetUpPr fitToPage="1"/>
  </sheetPr>
  <dimension ref="B2:X90"/>
  <sheetViews>
    <sheetView workbookViewId="0">
      <pane xSplit="2" ySplit="3" topLeftCell="C10" activePane="bottomRight" state="frozen"/>
      <selection activeCell="D1" sqref="D1"/>
      <selection pane="topRight" activeCell="E1" sqref="E1"/>
      <selection pane="bottomLeft" activeCell="D4" sqref="D4"/>
      <selection pane="bottomRight" activeCell="G27" sqref="G27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14" width="10.6640625" style="1" customWidth="1"/>
    <col min="15" max="15" width="2.6640625" style="1" customWidth="1"/>
    <col min="16" max="19" width="10.6640625" style="1" customWidth="1"/>
    <col min="20" max="20" width="2.6640625" style="1" customWidth="1"/>
    <col min="21" max="21" width="10.6640625" style="1" customWidth="1"/>
    <col min="22" max="22" width="2.6640625" style="1" customWidth="1"/>
    <col min="23" max="23" width="6.6640625" style="1" customWidth="1"/>
    <col min="24" max="24" width="9.83203125" style="1" bestFit="1" customWidth="1"/>
    <col min="25" max="16384" width="9.1640625" style="1"/>
  </cols>
  <sheetData>
    <row r="2" spans="2:23" x14ac:dyDescent="0.2">
      <c r="B2" s="8" t="s">
        <v>47</v>
      </c>
      <c r="C2" s="9">
        <v>45658</v>
      </c>
      <c r="D2" s="9">
        <f>EDATE(C2,1)</f>
        <v>45689</v>
      </c>
      <c r="E2" s="9">
        <f t="shared" ref="E2:N2" si="0">EDATE(D2,1)</f>
        <v>45717</v>
      </c>
      <c r="F2" s="9">
        <f t="shared" si="0"/>
        <v>45748</v>
      </c>
      <c r="G2" s="9">
        <f t="shared" si="0"/>
        <v>45778</v>
      </c>
      <c r="H2" s="9">
        <f t="shared" si="0"/>
        <v>45809</v>
      </c>
      <c r="I2" s="9">
        <f t="shared" si="0"/>
        <v>45839</v>
      </c>
      <c r="J2" s="9">
        <f t="shared" si="0"/>
        <v>45870</v>
      </c>
      <c r="K2" s="9">
        <f t="shared" si="0"/>
        <v>45901</v>
      </c>
      <c r="L2" s="9">
        <f t="shared" si="0"/>
        <v>45931</v>
      </c>
      <c r="M2" s="9">
        <f t="shared" si="0"/>
        <v>45962</v>
      </c>
      <c r="N2" s="9">
        <f t="shared" si="0"/>
        <v>45992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2025</v>
      </c>
      <c r="W2" s="3" t="s">
        <v>13</v>
      </c>
    </row>
    <row r="3" spans="2:23" x14ac:dyDescent="0.2">
      <c r="B3" s="24" t="str">
        <f>+Version!$C$3</f>
        <v>Y2025 12 v001</v>
      </c>
      <c r="W3" s="3"/>
    </row>
    <row r="4" spans="2:23" x14ac:dyDescent="0.2">
      <c r="B4" s="24"/>
      <c r="W4" s="3"/>
    </row>
    <row r="5" spans="2:23" x14ac:dyDescent="0.2">
      <c r="B5" s="7" t="s">
        <v>63</v>
      </c>
      <c r="C5" s="5">
        <f>+'1 Collections'!E29</f>
        <v>80791.899999999994</v>
      </c>
      <c r="D5" s="5">
        <f>+'1 Collections'!F29</f>
        <v>26087.5</v>
      </c>
      <c r="E5" s="5">
        <f>+'1 Collections'!G29</f>
        <v>37975</v>
      </c>
      <c r="F5" s="5">
        <f>+'1 Collections'!H29</f>
        <v>30025</v>
      </c>
      <c r="G5" s="5">
        <f>+'1 Collections'!I29</f>
        <v>24950</v>
      </c>
      <c r="H5" s="5">
        <f>+'1 Collections'!J29</f>
        <v>13706.25</v>
      </c>
      <c r="I5" s="5">
        <f>+'1 Collections'!K29</f>
        <v>15950</v>
      </c>
      <c r="J5" s="5">
        <f>+'1 Collections'!L29</f>
        <v>5192.5</v>
      </c>
      <c r="K5" s="5">
        <f>+'1 Collections'!M29</f>
        <v>7367.5</v>
      </c>
      <c r="L5" s="5">
        <f>+'1 Collections'!N29</f>
        <v>2680</v>
      </c>
      <c r="M5" s="5">
        <f>+'1 Collections'!O29</f>
        <v>1930</v>
      </c>
      <c r="N5" s="38">
        <f>+'1 Collections'!P29</f>
        <v>1930</v>
      </c>
      <c r="O5" s="4"/>
      <c r="P5" s="4">
        <f>SUM(C5:E5)</f>
        <v>144854.39999999999</v>
      </c>
      <c r="Q5" s="4">
        <f>SUM(F5:H5)</f>
        <v>68681.25</v>
      </c>
      <c r="R5" s="4">
        <f>SUM(I5:K5)</f>
        <v>28510</v>
      </c>
      <c r="S5" s="4">
        <f>SUM(L5:N5)</f>
        <v>6540</v>
      </c>
      <c r="T5" s="4"/>
      <c r="U5" s="4">
        <f>SUM(C5:N5)</f>
        <v>248585.65</v>
      </c>
      <c r="W5" s="25">
        <f>ROUND(SUM(P5:S5)-U5,2)</f>
        <v>0</v>
      </c>
    </row>
    <row r="6" spans="2:23" x14ac:dyDescent="0.2">
      <c r="B6" s="7" t="s">
        <v>87</v>
      </c>
      <c r="C6" s="5">
        <f>+'1 Collections'!E30</f>
        <v>162319.6</v>
      </c>
      <c r="D6" s="5">
        <f>+'1 Collections'!F30</f>
        <v>101637.6</v>
      </c>
      <c r="E6" s="5">
        <f>+'1 Collections'!G30</f>
        <v>110984.5</v>
      </c>
      <c r="F6" s="5">
        <f>+'1 Collections'!H30</f>
        <v>145135.20000000001</v>
      </c>
      <c r="G6" s="5">
        <f>+'1 Collections'!I30</f>
        <v>165203.6</v>
      </c>
      <c r="H6" s="5">
        <f>+'1 Collections'!J30</f>
        <v>39277.599999999999</v>
      </c>
      <c r="I6" s="5">
        <f>+'1 Collections'!K30</f>
        <v>166597.6</v>
      </c>
      <c r="J6" s="5">
        <f>+'1 Collections'!L30</f>
        <v>57512</v>
      </c>
      <c r="K6" s="5">
        <f>+'1 Collections'!M30</f>
        <v>57500</v>
      </c>
      <c r="L6" s="5">
        <f>+'1 Collections'!N30</f>
        <v>163189.5</v>
      </c>
      <c r="M6" s="5">
        <f>+'1 Collections'!O30</f>
        <v>233341.5</v>
      </c>
      <c r="N6" s="38">
        <f>+'1 Collections'!P30</f>
        <v>138214</v>
      </c>
      <c r="O6" s="4"/>
      <c r="P6" s="4">
        <f>SUM(C6:E6)</f>
        <v>374941.7</v>
      </c>
      <c r="Q6" s="4">
        <f>SUM(F6:H6)</f>
        <v>349616.4</v>
      </c>
      <c r="R6" s="4">
        <f>SUM(I6:K6)</f>
        <v>281609.59999999998</v>
      </c>
      <c r="S6" s="4">
        <f>SUM(L6:N6)</f>
        <v>534745</v>
      </c>
      <c r="T6" s="4"/>
      <c r="U6" s="4">
        <f>SUM(C6:N6)</f>
        <v>1540912.7</v>
      </c>
      <c r="W6" s="25">
        <f>ROUND(SUM(P6:S6)-U6,2)</f>
        <v>0</v>
      </c>
    </row>
    <row r="7" spans="2:23" x14ac:dyDescent="0.2">
      <c r="B7" s="7" t="s">
        <v>549</v>
      </c>
      <c r="C7" s="5">
        <f>+'1 Collections'!E31</f>
        <v>33027.360000000001</v>
      </c>
      <c r="D7" s="5">
        <f>+'1 Collections'!F31</f>
        <v>175934</v>
      </c>
      <c r="E7" s="5">
        <f>+'1 Collections'!G31</f>
        <v>0</v>
      </c>
      <c r="F7" s="5">
        <f>+'1 Collections'!H31</f>
        <v>495</v>
      </c>
      <c r="G7" s="5">
        <f>+'1 Collections'!I31</f>
        <v>2628.8</v>
      </c>
      <c r="H7" s="5">
        <f>+'1 Collections'!J31</f>
        <v>22769.05</v>
      </c>
      <c r="I7" s="5">
        <f>+'1 Collections'!K31</f>
        <v>73633.399999999994</v>
      </c>
      <c r="J7" s="5">
        <f>+'1 Collections'!L31</f>
        <v>41456.5</v>
      </c>
      <c r="K7" s="5">
        <f>+'1 Collections'!M31</f>
        <v>22110</v>
      </c>
      <c r="L7" s="5">
        <f>+'1 Collections'!N31</f>
        <v>22408.5</v>
      </c>
      <c r="M7" s="5">
        <f>+'1 Collections'!O31</f>
        <v>8211</v>
      </c>
      <c r="N7" s="38">
        <f>+'1 Collections'!P31</f>
        <v>195011</v>
      </c>
      <c r="O7" s="4"/>
      <c r="P7" s="4">
        <f>SUM(C7:E7)</f>
        <v>208961.36</v>
      </c>
      <c r="Q7" s="4">
        <f>SUM(F7:H7)</f>
        <v>25892.85</v>
      </c>
      <c r="R7" s="4">
        <f>SUM(I7:K7)</f>
        <v>137199.9</v>
      </c>
      <c r="S7" s="4">
        <f>SUM(L7:N7)</f>
        <v>225630.5</v>
      </c>
      <c r="T7" s="4"/>
      <c r="U7" s="4">
        <f>SUM(C7:N7)</f>
        <v>597684.61</v>
      </c>
      <c r="W7" s="25">
        <f>ROUND(SUM(P7:S7)-U7,2)</f>
        <v>0</v>
      </c>
    </row>
    <row r="8" spans="2:23" x14ac:dyDescent="0.2">
      <c r="B8" s="8" t="s">
        <v>84</v>
      </c>
      <c r="C8" s="34">
        <f t="shared" ref="C8:N8" si="1">SUM(C5:C7)</f>
        <v>276138.86</v>
      </c>
      <c r="D8" s="34">
        <f t="shared" si="1"/>
        <v>303659.09999999998</v>
      </c>
      <c r="E8" s="34">
        <f t="shared" si="1"/>
        <v>148959.5</v>
      </c>
      <c r="F8" s="34">
        <f t="shared" si="1"/>
        <v>175655.2</v>
      </c>
      <c r="G8" s="34">
        <f t="shared" si="1"/>
        <v>192782.4</v>
      </c>
      <c r="H8" s="34">
        <f t="shared" si="1"/>
        <v>75752.899999999994</v>
      </c>
      <c r="I8" s="34">
        <f t="shared" si="1"/>
        <v>256181</v>
      </c>
      <c r="J8" s="34">
        <f t="shared" si="1"/>
        <v>104161</v>
      </c>
      <c r="K8" s="34">
        <f t="shared" si="1"/>
        <v>86977.5</v>
      </c>
      <c r="L8" s="34">
        <f t="shared" si="1"/>
        <v>188278</v>
      </c>
      <c r="M8" s="34">
        <f t="shared" si="1"/>
        <v>243482.5</v>
      </c>
      <c r="N8" s="34">
        <f t="shared" si="1"/>
        <v>335155</v>
      </c>
      <c r="O8" s="34"/>
      <c r="P8" s="34">
        <f>SUM(P5:P7)</f>
        <v>728757.46</v>
      </c>
      <c r="Q8" s="34">
        <f>SUM(Q5:Q7)</f>
        <v>444190.5</v>
      </c>
      <c r="R8" s="34">
        <f>SUM(R5:R7)</f>
        <v>447319.5</v>
      </c>
      <c r="S8" s="34">
        <f>SUM(S5:S7)</f>
        <v>766915.5</v>
      </c>
      <c r="T8" s="34"/>
      <c r="U8" s="34">
        <f>SUM(U5:U7)</f>
        <v>2387182.96</v>
      </c>
      <c r="W8" s="25">
        <f>ROUND(SUM(P8:S8)-U8,2)</f>
        <v>0</v>
      </c>
    </row>
    <row r="9" spans="2:23" ht="6" customHeight="1" x14ac:dyDescent="0.2">
      <c r="B9" s="24"/>
      <c r="C9" s="5"/>
      <c r="D9" s="5"/>
      <c r="W9" s="3"/>
    </row>
    <row r="10" spans="2:23" x14ac:dyDescent="0.2">
      <c r="B10" s="7" t="s">
        <v>63</v>
      </c>
      <c r="C10" s="5">
        <f>+'1 Collections'!E34</f>
        <v>0</v>
      </c>
      <c r="D10" s="5">
        <f>+'1 Collections'!F34</f>
        <v>50000</v>
      </c>
      <c r="E10" s="5">
        <f>+'1 Collections'!G34</f>
        <v>126292.98</v>
      </c>
      <c r="F10" s="5">
        <f>+'1 Collections'!H34</f>
        <v>11377.5</v>
      </c>
      <c r="G10" s="5">
        <f>+'1 Collections'!I34</f>
        <v>0</v>
      </c>
      <c r="H10" s="5">
        <f>+'1 Collections'!J34</f>
        <v>30327.5</v>
      </c>
      <c r="I10" s="5">
        <f>+'1 Collections'!K34</f>
        <v>0</v>
      </c>
      <c r="J10" s="5">
        <f>+'1 Collections'!L34</f>
        <v>0</v>
      </c>
      <c r="K10" s="5">
        <f>+'1 Collections'!M34</f>
        <v>0</v>
      </c>
      <c r="L10" s="5">
        <f>+'1 Collections'!N34</f>
        <v>0</v>
      </c>
      <c r="M10" s="5">
        <f>+'1 Collections'!O34</f>
        <v>103250</v>
      </c>
      <c r="N10" s="38">
        <f>+'1 Collections'!P34</f>
        <v>203000</v>
      </c>
      <c r="O10" s="4"/>
      <c r="P10" s="4">
        <f>SUM(C10:E10)</f>
        <v>176292.97999999998</v>
      </c>
      <c r="Q10" s="4">
        <f>SUM(F10:H10)</f>
        <v>41705</v>
      </c>
      <c r="R10" s="4">
        <f>SUM(I10:K10)</f>
        <v>0</v>
      </c>
      <c r="S10" s="4">
        <f>SUM(L10:N10)</f>
        <v>306250</v>
      </c>
      <c r="T10" s="4"/>
      <c r="U10" s="4">
        <f>SUM(C10:N10)</f>
        <v>524247.98</v>
      </c>
      <c r="W10" s="25">
        <f>ROUND(SUM(P10:S10)-U10,2)</f>
        <v>0</v>
      </c>
    </row>
    <row r="11" spans="2:23" x14ac:dyDescent="0.2">
      <c r="B11" s="7" t="s">
        <v>87</v>
      </c>
      <c r="C11" s="5">
        <f>+'1 Collections'!E35</f>
        <v>0</v>
      </c>
      <c r="D11" s="5">
        <f>+'1 Collections'!F35</f>
        <v>0</v>
      </c>
      <c r="E11" s="5">
        <f>+'1 Collections'!G35</f>
        <v>0</v>
      </c>
      <c r="F11" s="5">
        <f>+'1 Collections'!H35</f>
        <v>0</v>
      </c>
      <c r="G11" s="5">
        <f>+'1 Collections'!I35</f>
        <v>0</v>
      </c>
      <c r="H11" s="5">
        <f>+'1 Collections'!J35</f>
        <v>9987</v>
      </c>
      <c r="I11" s="5">
        <f>+'1 Collections'!K35</f>
        <v>0</v>
      </c>
      <c r="J11" s="5">
        <f>+'1 Collections'!L35</f>
        <v>39277.599999999999</v>
      </c>
      <c r="K11" s="5">
        <f>+'1 Collections'!M35</f>
        <v>0</v>
      </c>
      <c r="L11" s="5">
        <f>+'1 Collections'!N35</f>
        <v>64055.199999999997</v>
      </c>
      <c r="M11" s="5">
        <f>+'1 Collections'!O35</f>
        <v>53777.599999999999</v>
      </c>
      <c r="N11" s="38">
        <f>+'1 Collections'!P35</f>
        <v>269777.59999999998</v>
      </c>
      <c r="O11" s="4"/>
      <c r="P11" s="4">
        <f>SUM(C11:E11)</f>
        <v>0</v>
      </c>
      <c r="Q11" s="4">
        <f>SUM(F11:H11)</f>
        <v>9987</v>
      </c>
      <c r="R11" s="4">
        <f>SUM(I11:K11)</f>
        <v>39277.599999999999</v>
      </c>
      <c r="S11" s="4">
        <f>SUM(L11:N11)</f>
        <v>387610.39999999997</v>
      </c>
      <c r="T11" s="4"/>
      <c r="U11" s="4">
        <f>SUM(C11:N11)</f>
        <v>436875</v>
      </c>
      <c r="W11" s="25">
        <f>ROUND(SUM(P11:S11)-U11,2)</f>
        <v>0</v>
      </c>
    </row>
    <row r="12" spans="2:23" x14ac:dyDescent="0.2">
      <c r="B12" s="7" t="s">
        <v>549</v>
      </c>
      <c r="C12" s="5">
        <f>+'1 Collections'!E36</f>
        <v>0</v>
      </c>
      <c r="D12" s="5">
        <f>+'1 Collections'!F36</f>
        <v>0</v>
      </c>
      <c r="E12" s="5">
        <f>+'1 Collections'!G36</f>
        <v>0</v>
      </c>
      <c r="F12" s="5">
        <f>+'1 Collections'!H36</f>
        <v>25000</v>
      </c>
      <c r="G12" s="5">
        <f>+'1 Collections'!I36</f>
        <v>0</v>
      </c>
      <c r="H12" s="5">
        <f>+'1 Collections'!J36</f>
        <v>0</v>
      </c>
      <c r="I12" s="5">
        <f>+'1 Collections'!K36</f>
        <v>69000</v>
      </c>
      <c r="J12" s="5">
        <f>+'1 Collections'!L36</f>
        <v>42000</v>
      </c>
      <c r="K12" s="5">
        <f>+'1 Collections'!M36</f>
        <v>22000</v>
      </c>
      <c r="L12" s="5">
        <f>+'1 Collections'!N36</f>
        <v>22000</v>
      </c>
      <c r="M12" s="5">
        <f>+'1 Collections'!O36</f>
        <v>24000</v>
      </c>
      <c r="N12" s="38">
        <f>+'1 Collections'!P36</f>
        <v>40000</v>
      </c>
      <c r="O12" s="4"/>
      <c r="P12" s="4">
        <f>SUM(C12:E12)</f>
        <v>0</v>
      </c>
      <c r="Q12" s="4">
        <f>SUM(F12:H12)</f>
        <v>25000</v>
      </c>
      <c r="R12" s="4">
        <f>SUM(I12:K12)</f>
        <v>133000</v>
      </c>
      <c r="S12" s="4">
        <f>SUM(L12:N12)</f>
        <v>86000</v>
      </c>
      <c r="T12" s="4"/>
      <c r="U12" s="4">
        <f>SUM(C12:N12)</f>
        <v>244000</v>
      </c>
      <c r="W12" s="25">
        <f>ROUND(SUM(P12:S12)-U12,2)</f>
        <v>0</v>
      </c>
    </row>
    <row r="13" spans="2:23" x14ac:dyDescent="0.2">
      <c r="B13" s="8" t="s">
        <v>83</v>
      </c>
      <c r="C13" s="34">
        <f t="shared" ref="C13:N13" si="2">SUM(C10:C12)</f>
        <v>0</v>
      </c>
      <c r="D13" s="34">
        <f t="shared" si="2"/>
        <v>50000</v>
      </c>
      <c r="E13" s="34">
        <f t="shared" si="2"/>
        <v>126292.98</v>
      </c>
      <c r="F13" s="34">
        <f t="shared" si="2"/>
        <v>36377.5</v>
      </c>
      <c r="G13" s="34">
        <f t="shared" si="2"/>
        <v>0</v>
      </c>
      <c r="H13" s="34">
        <f t="shared" si="2"/>
        <v>40314.5</v>
      </c>
      <c r="I13" s="34">
        <f t="shared" si="2"/>
        <v>69000</v>
      </c>
      <c r="J13" s="34">
        <f t="shared" si="2"/>
        <v>81277.600000000006</v>
      </c>
      <c r="K13" s="34">
        <f t="shared" si="2"/>
        <v>22000</v>
      </c>
      <c r="L13" s="34">
        <f t="shared" si="2"/>
        <v>86055.2</v>
      </c>
      <c r="M13" s="34">
        <f t="shared" si="2"/>
        <v>181027.6</v>
      </c>
      <c r="N13" s="34">
        <f t="shared" si="2"/>
        <v>512777.6</v>
      </c>
      <c r="O13" s="34"/>
      <c r="P13" s="34">
        <f>SUM(P10:P12)</f>
        <v>176292.97999999998</v>
      </c>
      <c r="Q13" s="34">
        <f>SUM(Q10:Q12)</f>
        <v>76692</v>
      </c>
      <c r="R13" s="34">
        <f>SUM(R10:R12)</f>
        <v>172277.6</v>
      </c>
      <c r="S13" s="34">
        <f>SUM(S10:S12)</f>
        <v>779860.39999999991</v>
      </c>
      <c r="T13" s="34"/>
      <c r="U13" s="34">
        <f>SUM(U10:U12)</f>
        <v>1205122.98</v>
      </c>
      <c r="W13" s="25">
        <f>ROUND(SUM(P13:S13)-U13,2)</f>
        <v>0</v>
      </c>
    </row>
    <row r="14" spans="2:23" ht="6" customHeight="1" x14ac:dyDescent="0.2">
      <c r="B14" s="24"/>
      <c r="C14" s="5"/>
      <c r="D14" s="5"/>
      <c r="W14" s="3"/>
    </row>
    <row r="15" spans="2:23" x14ac:dyDescent="0.2">
      <c r="B15" s="8" t="s">
        <v>42</v>
      </c>
      <c r="C15" s="34">
        <f t="shared" ref="C15:N15" si="3">+C8+C13</f>
        <v>276138.86</v>
      </c>
      <c r="D15" s="34">
        <f t="shared" si="3"/>
        <v>353659.1</v>
      </c>
      <c r="E15" s="34">
        <f t="shared" si="3"/>
        <v>275252.47999999998</v>
      </c>
      <c r="F15" s="34">
        <f t="shared" si="3"/>
        <v>212032.7</v>
      </c>
      <c r="G15" s="34">
        <f t="shared" si="3"/>
        <v>192782.4</v>
      </c>
      <c r="H15" s="34">
        <f t="shared" si="3"/>
        <v>116067.4</v>
      </c>
      <c r="I15" s="34">
        <f t="shared" si="3"/>
        <v>325181</v>
      </c>
      <c r="J15" s="34">
        <f t="shared" si="3"/>
        <v>185438.6</v>
      </c>
      <c r="K15" s="34">
        <f t="shared" si="3"/>
        <v>108977.5</v>
      </c>
      <c r="L15" s="34">
        <f t="shared" si="3"/>
        <v>274333.2</v>
      </c>
      <c r="M15" s="34">
        <f t="shared" si="3"/>
        <v>424510.1</v>
      </c>
      <c r="N15" s="34">
        <f t="shared" si="3"/>
        <v>847932.6</v>
      </c>
      <c r="O15" s="34"/>
      <c r="P15" s="34">
        <f>+P8+P13</f>
        <v>905050.44</v>
      </c>
      <c r="Q15" s="34">
        <f>+Q8+Q13</f>
        <v>520882.5</v>
      </c>
      <c r="R15" s="34">
        <f>+R8+R13</f>
        <v>619597.1</v>
      </c>
      <c r="S15" s="34">
        <f>+S8+S13</f>
        <v>1546775.9</v>
      </c>
      <c r="T15" s="34"/>
      <c r="U15" s="34">
        <f>+U8+U13</f>
        <v>3592305.94</v>
      </c>
      <c r="W15" s="25">
        <f>ROUND(SUM(P15:S15)-U15,2)</f>
        <v>0</v>
      </c>
    </row>
    <row r="16" spans="2:23" x14ac:dyDescent="0.2">
      <c r="B16" s="8"/>
      <c r="C16" s="34"/>
      <c r="D16" s="34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W16" s="25"/>
    </row>
    <row r="17" spans="2:23" x14ac:dyDescent="0.2">
      <c r="B17" s="7" t="s">
        <v>89</v>
      </c>
      <c r="C17" s="5">
        <f>+'2 Employees'!C80+'3 Benefits'!C104</f>
        <v>155026.30600000001</v>
      </c>
      <c r="D17" s="5">
        <f>+'2 Employees'!D80+'3 Benefits'!D104</f>
        <v>274377.43800000002</v>
      </c>
      <c r="E17" s="5">
        <f>+'2 Employees'!E80+'3 Benefits'!E104</f>
        <v>140023.00750000001</v>
      </c>
      <c r="F17" s="5">
        <f>+'2 Employees'!F80+'3 Benefits'!F104</f>
        <v>126333.5305882353</v>
      </c>
      <c r="G17" s="5">
        <f>+'2 Employees'!G80+'3 Benefits'!G104</f>
        <v>127019.549375</v>
      </c>
      <c r="H17" s="5">
        <f>+'2 Employees'!H80+'3 Benefits'!H104</f>
        <v>129349.5811764706</v>
      </c>
      <c r="I17" s="5">
        <f>+'2 Employees'!I80+'3 Benefits'!I104</f>
        <v>126181.92176470588</v>
      </c>
      <c r="J17" s="5">
        <f>+'2 Employees'!J80+'3 Benefits'!J104</f>
        <v>124588.76222222223</v>
      </c>
      <c r="K17" s="5">
        <f>+'2 Employees'!K80+'3 Benefits'!K104</f>
        <v>123826.38</v>
      </c>
      <c r="L17" s="5">
        <f>+'2 Employees'!L80+'3 Benefits'!L104</f>
        <v>122993.68333333332</v>
      </c>
      <c r="M17" s="5">
        <f>+'2 Employees'!M80+'3 Benefits'!M104</f>
        <v>122781.19500000001</v>
      </c>
      <c r="N17" s="38">
        <f>+'2 Employees'!N80+'3 Benefits'!N104</f>
        <v>126510</v>
      </c>
      <c r="O17" s="4"/>
      <c r="P17" s="4">
        <f>SUM(C17:E17)</f>
        <v>569426.75150000001</v>
      </c>
      <c r="Q17" s="4">
        <f>SUM(F17:H17)</f>
        <v>382702.66113970592</v>
      </c>
      <c r="R17" s="4">
        <f>SUM(I17:K17)</f>
        <v>374597.06398692809</v>
      </c>
      <c r="S17" s="4">
        <f>SUM(L17:N17)</f>
        <v>372284.8783333333</v>
      </c>
      <c r="T17" s="4"/>
      <c r="U17" s="4">
        <f>SUM(C17:N17)</f>
        <v>1699011.3549599675</v>
      </c>
      <c r="W17" s="25">
        <f t="shared" ref="W17:W20" si="4">ROUND(SUM(P17:S17)-U17,2)</f>
        <v>0</v>
      </c>
    </row>
    <row r="18" spans="2:23" x14ac:dyDescent="0.2">
      <c r="B18" s="7" t="s">
        <v>90</v>
      </c>
      <c r="C18" s="5">
        <f>+'4 Contractors'!C29+'4 Contractors'!C142</f>
        <v>82068.38</v>
      </c>
      <c r="D18" s="5">
        <f>+'4 Contractors'!D29+'4 Contractors'!D142</f>
        <v>99135.25</v>
      </c>
      <c r="E18" s="5">
        <f>+'4 Contractors'!E29+'4 Contractors'!E142</f>
        <v>81353.75</v>
      </c>
      <c r="F18" s="5">
        <f>+'4 Contractors'!F29+'4 Contractors'!F142</f>
        <v>58506.25</v>
      </c>
      <c r="G18" s="5">
        <f>+'4 Contractors'!G29+'4 Contractors'!G142</f>
        <v>61313.5</v>
      </c>
      <c r="H18" s="5">
        <f>+'4 Contractors'!H29+'4 Contractors'!H142</f>
        <v>59235.25</v>
      </c>
      <c r="I18" s="5">
        <f>+'4 Contractors'!I29+'4 Contractors'!I142</f>
        <v>48960</v>
      </c>
      <c r="J18" s="5">
        <f>+'4 Contractors'!J29+'4 Contractors'!J142</f>
        <v>49996.08</v>
      </c>
      <c r="K18" s="5">
        <f>+'4 Contractors'!K29+'4 Contractors'!K142</f>
        <v>53887</v>
      </c>
      <c r="L18" s="5">
        <f>+'4 Contractors'!L29+'4 Contractors'!L142</f>
        <v>63216.25</v>
      </c>
      <c r="M18" s="5">
        <f>+'4 Contractors'!M29+'4 Contractors'!M142</f>
        <v>69388</v>
      </c>
      <c r="N18" s="38">
        <f>+'4 Contractors'!N29+'4 Contractors'!N142</f>
        <v>57500</v>
      </c>
      <c r="O18" s="4"/>
      <c r="P18" s="4">
        <f>SUM(C18:E18)</f>
        <v>262557.38</v>
      </c>
      <c r="Q18" s="4">
        <f>SUM(F18:H18)</f>
        <v>179055</v>
      </c>
      <c r="R18" s="4">
        <f>SUM(I18:K18)</f>
        <v>152843.08000000002</v>
      </c>
      <c r="S18" s="4">
        <f>SUM(L18:N18)</f>
        <v>190104.25</v>
      </c>
      <c r="T18" s="4"/>
      <c r="U18" s="4">
        <f>SUM(C18:N18)</f>
        <v>784559.71</v>
      </c>
      <c r="W18" s="25">
        <f t="shared" si="4"/>
        <v>0</v>
      </c>
    </row>
    <row r="19" spans="2:23" x14ac:dyDescent="0.2">
      <c r="B19" s="7" t="s">
        <v>91</v>
      </c>
      <c r="C19" s="5">
        <f>+'2 Employees'!C123+'3 Benefits'!C105</f>
        <v>40442.091999999997</v>
      </c>
      <c r="D19" s="5">
        <f>+'2 Employees'!D123+'3 Benefits'!D105</f>
        <v>73453.686000000002</v>
      </c>
      <c r="E19" s="5">
        <f>+'2 Employees'!E123+'3 Benefits'!E105</f>
        <v>38585.802500000005</v>
      </c>
      <c r="F19" s="5">
        <f>+'2 Employees'!F123+'3 Benefits'!F105</f>
        <v>40144.61882352941</v>
      </c>
      <c r="G19" s="5">
        <f>+'2 Employees'!G123+'3 Benefits'!G105</f>
        <v>40438.646874999999</v>
      </c>
      <c r="H19" s="5">
        <f>+'2 Employees'!H123+'3 Benefits'!H105</f>
        <v>41437.227647058819</v>
      </c>
      <c r="I19" s="5">
        <f>+'2 Employees'!I123+'3 Benefits'!I105</f>
        <v>40525.576470588232</v>
      </c>
      <c r="J19" s="5">
        <f>+'2 Employees'!J123+'3 Benefits'!J105</f>
        <v>40196.536666666667</v>
      </c>
      <c r="K19" s="5">
        <f>+'2 Employees'!K123+'3 Benefits'!K105</f>
        <v>39459.07</v>
      </c>
      <c r="L19" s="5">
        <f>+'2 Employees'!L123+'3 Benefits'!L105</f>
        <v>39174.67</v>
      </c>
      <c r="M19" s="5">
        <f>+'2 Employees'!M123+'3 Benefits'!M105</f>
        <v>39775.222142857143</v>
      </c>
      <c r="N19" s="38">
        <f>+'2 Employees'!N123+'3 Benefits'!N105</f>
        <v>40600</v>
      </c>
      <c r="O19" s="4"/>
      <c r="P19" s="4">
        <f>SUM(C19:E19)</f>
        <v>152481.58049999998</v>
      </c>
      <c r="Q19" s="4">
        <f>SUM(F19:H19)</f>
        <v>122020.49334558821</v>
      </c>
      <c r="R19" s="4">
        <f>SUM(I19:K19)</f>
        <v>120181.18313725491</v>
      </c>
      <c r="S19" s="4">
        <f>SUM(L19:N19)</f>
        <v>119549.89214285713</v>
      </c>
      <c r="T19" s="4"/>
      <c r="U19" s="4">
        <f>SUM(C19:N19)</f>
        <v>514233.14912570023</v>
      </c>
      <c r="W19" s="25">
        <f t="shared" si="4"/>
        <v>0</v>
      </c>
    </row>
    <row r="20" spans="2:23" x14ac:dyDescent="0.2">
      <c r="B20" s="7" t="s">
        <v>92</v>
      </c>
      <c r="C20" s="5">
        <f>+'4 Contractors'!C46</f>
        <v>12121.26</v>
      </c>
      <c r="D20" s="5">
        <f>+'4 Contractors'!D46</f>
        <v>12000</v>
      </c>
      <c r="E20" s="5">
        <f>+'4 Contractors'!E46</f>
        <v>16141.55</v>
      </c>
      <c r="F20" s="5">
        <f>+'4 Contractors'!F46</f>
        <v>12000</v>
      </c>
      <c r="G20" s="5">
        <f>+'4 Contractors'!G46</f>
        <v>12199.26</v>
      </c>
      <c r="H20" s="5">
        <f>+'4 Contractors'!H46</f>
        <v>12000</v>
      </c>
      <c r="I20" s="5">
        <f>+'4 Contractors'!I46</f>
        <v>8000</v>
      </c>
      <c r="J20" s="5">
        <f>+'4 Contractors'!J46</f>
        <v>0</v>
      </c>
      <c r="K20" s="5">
        <f>+'4 Contractors'!K46</f>
        <v>0</v>
      </c>
      <c r="L20" s="5">
        <f>+'4 Contractors'!L46</f>
        <v>0</v>
      </c>
      <c r="M20" s="5">
        <f>+'4 Contractors'!M46</f>
        <v>0</v>
      </c>
      <c r="N20" s="38">
        <f>+'4 Contractors'!N46</f>
        <v>0</v>
      </c>
      <c r="O20" s="4"/>
      <c r="P20" s="4">
        <f>SUM(C20:E20)</f>
        <v>40262.81</v>
      </c>
      <c r="Q20" s="4">
        <f>SUM(F20:H20)</f>
        <v>36199.26</v>
      </c>
      <c r="R20" s="4">
        <f>SUM(I20:K20)</f>
        <v>8000</v>
      </c>
      <c r="S20" s="4">
        <f>SUM(L20:N20)</f>
        <v>0</v>
      </c>
      <c r="T20" s="4"/>
      <c r="U20" s="4">
        <f>SUM(C20:N20)</f>
        <v>84462.07</v>
      </c>
      <c r="W20" s="25">
        <f t="shared" si="4"/>
        <v>0</v>
      </c>
    </row>
    <row r="21" spans="2:23" x14ac:dyDescent="0.2">
      <c r="B21" s="8" t="s">
        <v>88</v>
      </c>
      <c r="C21" s="34">
        <f t="shared" ref="C21:N21" si="5">SUM(C17:C20)</f>
        <v>289658.038</v>
      </c>
      <c r="D21" s="34">
        <f t="shared" si="5"/>
        <v>458966.37400000001</v>
      </c>
      <c r="E21" s="34">
        <f t="shared" si="5"/>
        <v>276104.11</v>
      </c>
      <c r="F21" s="34">
        <f t="shared" si="5"/>
        <v>236984.39941176469</v>
      </c>
      <c r="G21" s="34">
        <f t="shared" si="5"/>
        <v>240970.95625000002</v>
      </c>
      <c r="H21" s="34">
        <f t="shared" si="5"/>
        <v>242022.05882352943</v>
      </c>
      <c r="I21" s="34">
        <f t="shared" si="5"/>
        <v>223667.49823529413</v>
      </c>
      <c r="J21" s="34">
        <f t="shared" si="5"/>
        <v>214781.37888888892</v>
      </c>
      <c r="K21" s="34">
        <f t="shared" si="5"/>
        <v>217172.45</v>
      </c>
      <c r="L21" s="34">
        <f t="shared" si="5"/>
        <v>225384.60333333333</v>
      </c>
      <c r="M21" s="34">
        <f t="shared" si="5"/>
        <v>231944.41714285716</v>
      </c>
      <c r="N21" s="34">
        <f t="shared" si="5"/>
        <v>224610</v>
      </c>
      <c r="O21" s="34"/>
      <c r="P21" s="34">
        <f>SUM(P17:P20)</f>
        <v>1024728.5220000001</v>
      </c>
      <c r="Q21" s="34">
        <f>SUM(Q17:Q20)</f>
        <v>719977.41448529414</v>
      </c>
      <c r="R21" s="34">
        <f>SUM(R17:R20)</f>
        <v>655621.32712418295</v>
      </c>
      <c r="S21" s="34">
        <f>SUM(S17:S20)</f>
        <v>681939.02047619037</v>
      </c>
      <c r="T21" s="34"/>
      <c r="U21" s="34">
        <f>SUM(U17:U20)</f>
        <v>3082266.2840856677</v>
      </c>
      <c r="W21" s="25">
        <f t="shared" ref="W21" si="6">ROUND(SUM(P21:S21)-U21,2)</f>
        <v>0</v>
      </c>
    </row>
    <row r="22" spans="2:23" x14ac:dyDescent="0.2">
      <c r="B22" s="8"/>
      <c r="C22" s="5"/>
      <c r="D22" s="34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W22" s="25"/>
    </row>
    <row r="23" spans="2:23" x14ac:dyDescent="0.2">
      <c r="B23" s="7" t="s">
        <v>89</v>
      </c>
      <c r="C23" s="5">
        <f>+'2 Employees'!C156+'3 Benefits'!C108</f>
        <v>0</v>
      </c>
      <c r="D23" s="5">
        <f>+'2 Employees'!D156+'3 Benefits'!D108</f>
        <v>0</v>
      </c>
      <c r="E23" s="5">
        <f>+'2 Employees'!E156+'3 Benefits'!E108</f>
        <v>0</v>
      </c>
      <c r="F23" s="5">
        <f>+'2 Employees'!F156+'3 Benefits'!F108</f>
        <v>0</v>
      </c>
      <c r="G23" s="5">
        <f>+'2 Employees'!G156+'3 Benefits'!G108</f>
        <v>0</v>
      </c>
      <c r="H23" s="5">
        <f>+'2 Employees'!H156+'3 Benefits'!H108</f>
        <v>0</v>
      </c>
      <c r="I23" s="5">
        <f>+'2 Employees'!I156+'3 Benefits'!I108</f>
        <v>0</v>
      </c>
      <c r="J23" s="5">
        <f>+'2 Employees'!J156+'3 Benefits'!J108</f>
        <v>0</v>
      </c>
      <c r="K23" s="5">
        <f>+'2 Employees'!K156+'3 Benefits'!K108</f>
        <v>0</v>
      </c>
      <c r="L23" s="5">
        <f>+'2 Employees'!L156+'3 Benefits'!L108</f>
        <v>0</v>
      </c>
      <c r="M23" s="5">
        <f>+'2 Employees'!M156+'3 Benefits'!M108</f>
        <v>0</v>
      </c>
      <c r="N23" s="38">
        <f>+'2 Employees'!N156+'3 Benefits'!N108</f>
        <v>0</v>
      </c>
      <c r="O23" s="4"/>
      <c r="P23" s="4">
        <f t="shared" ref="P23:P28" si="7">SUM(C23:E23)</f>
        <v>0</v>
      </c>
      <c r="Q23" s="4">
        <f t="shared" ref="Q23:Q28" si="8">SUM(F23:H23)</f>
        <v>0</v>
      </c>
      <c r="R23" s="4">
        <f t="shared" ref="R23:R28" si="9">SUM(I23:K23)</f>
        <v>0</v>
      </c>
      <c r="S23" s="4">
        <f t="shared" ref="S23:S28" si="10">SUM(L23:N23)</f>
        <v>0</v>
      </c>
      <c r="T23" s="4"/>
      <c r="U23" s="4">
        <f t="shared" ref="U23:U28" si="11">SUM(C23:N23)</f>
        <v>0</v>
      </c>
      <c r="W23" s="25">
        <f t="shared" ref="W23:W29" si="12">ROUND(SUM(P23:S23)-U23,2)</f>
        <v>0</v>
      </c>
    </row>
    <row r="24" spans="2:23" x14ac:dyDescent="0.2">
      <c r="B24" s="7" t="s">
        <v>90</v>
      </c>
      <c r="C24" s="5">
        <f>+'4 Contractors'!C63</f>
        <v>0</v>
      </c>
      <c r="D24" s="5">
        <f>+'4 Contractors'!D63</f>
        <v>0</v>
      </c>
      <c r="E24" s="5">
        <f>+'4 Contractors'!E63</f>
        <v>2160</v>
      </c>
      <c r="F24" s="5">
        <f>+'4 Contractors'!F63</f>
        <v>3024</v>
      </c>
      <c r="G24" s="5">
        <f>+'4 Contractors'!G63</f>
        <v>3430</v>
      </c>
      <c r="H24" s="5">
        <f>+'4 Contractors'!H63</f>
        <v>8647</v>
      </c>
      <c r="I24" s="5">
        <f>+'4 Contractors'!I63</f>
        <v>12647</v>
      </c>
      <c r="J24" s="5">
        <f>+'4 Contractors'!J63</f>
        <v>11548</v>
      </c>
      <c r="K24" s="5">
        <f>+'4 Contractors'!K63</f>
        <v>10812</v>
      </c>
      <c r="L24" s="5">
        <f>+'4 Contractors'!L63</f>
        <v>8649</v>
      </c>
      <c r="M24" s="5">
        <f>+'4 Contractors'!M63</f>
        <v>2943</v>
      </c>
      <c r="N24" s="38">
        <f>+'4 Contractors'!N63</f>
        <v>10600</v>
      </c>
      <c r="O24" s="4"/>
      <c r="P24" s="4">
        <f t="shared" si="7"/>
        <v>2160</v>
      </c>
      <c r="Q24" s="4">
        <f t="shared" si="8"/>
        <v>15101</v>
      </c>
      <c r="R24" s="4">
        <f t="shared" si="9"/>
        <v>35007</v>
      </c>
      <c r="S24" s="4">
        <f t="shared" si="10"/>
        <v>22192</v>
      </c>
      <c r="T24" s="4"/>
      <c r="U24" s="4">
        <f t="shared" si="11"/>
        <v>74460</v>
      </c>
      <c r="W24" s="25">
        <f t="shared" si="12"/>
        <v>0</v>
      </c>
    </row>
    <row r="25" spans="2:23" x14ac:dyDescent="0.2">
      <c r="B25" s="7" t="s">
        <v>91</v>
      </c>
      <c r="C25" s="5">
        <f>+'2 Employees'!C189+'3 Benefits'!C109</f>
        <v>0</v>
      </c>
      <c r="D25" s="5">
        <f>+'2 Employees'!D189+'3 Benefits'!D109</f>
        <v>0</v>
      </c>
      <c r="E25" s="5">
        <f>+'2 Employees'!E189+'3 Benefits'!E109</f>
        <v>0</v>
      </c>
      <c r="F25" s="5">
        <f>+'2 Employees'!F189+'3 Benefits'!F109</f>
        <v>34139.875882352935</v>
      </c>
      <c r="G25" s="5">
        <f>+'2 Employees'!G189+'3 Benefits'!G109</f>
        <v>46418.631249999999</v>
      </c>
      <c r="H25" s="5">
        <f>+'2 Employees'!H189+'3 Benefits'!H109</f>
        <v>46843.851764705883</v>
      </c>
      <c r="I25" s="5">
        <f>+'2 Employees'!I189+'3 Benefits'!I109</f>
        <v>36071.077647058824</v>
      </c>
      <c r="J25" s="5">
        <f>+'2 Employees'!J189+'3 Benefits'!J109</f>
        <v>27739.71777777778</v>
      </c>
      <c r="K25" s="5">
        <f>+'2 Employees'!K189+'3 Benefits'!K109</f>
        <v>19593.18</v>
      </c>
      <c r="L25" s="5">
        <f>+'2 Employees'!L189+'3 Benefits'!L109</f>
        <v>16569.523333333334</v>
      </c>
      <c r="M25" s="5">
        <f>+'2 Employees'!M189+'3 Benefits'!M109</f>
        <v>15050.230714285713</v>
      </c>
      <c r="N25" s="38">
        <f>+'2 Employees'!N189+'3 Benefits'!N109</f>
        <v>33850</v>
      </c>
      <c r="O25" s="4"/>
      <c r="P25" s="4">
        <f t="shared" si="7"/>
        <v>0</v>
      </c>
      <c r="Q25" s="4">
        <f t="shared" si="8"/>
        <v>127402.35889705882</v>
      </c>
      <c r="R25" s="4">
        <f t="shared" si="9"/>
        <v>83403.975424836593</v>
      </c>
      <c r="S25" s="4">
        <f t="shared" si="10"/>
        <v>65469.754047619048</v>
      </c>
      <c r="T25" s="4"/>
      <c r="U25" s="4">
        <f t="shared" si="11"/>
        <v>276276.08836951444</v>
      </c>
      <c r="W25" s="25">
        <f t="shared" ref="W25:W28" si="13">ROUND(SUM(P25:S25)-U25,2)</f>
        <v>0</v>
      </c>
    </row>
    <row r="26" spans="2:23" x14ac:dyDescent="0.2">
      <c r="B26" s="7" t="s">
        <v>92</v>
      </c>
      <c r="C26" s="5">
        <f>+'4 Contractors'!C89</f>
        <v>25440.489999999998</v>
      </c>
      <c r="D26" s="5">
        <f>+'4 Contractors'!D89</f>
        <v>54928.6</v>
      </c>
      <c r="E26" s="5">
        <f>+'4 Contractors'!E89</f>
        <v>71765.61</v>
      </c>
      <c r="F26" s="5">
        <f>+'4 Contractors'!F89</f>
        <v>75263.600000000006</v>
      </c>
      <c r="G26" s="5">
        <f>+'4 Contractors'!G89</f>
        <v>45097.520000000004</v>
      </c>
      <c r="H26" s="5">
        <f>+'4 Contractors'!H89</f>
        <v>28442.12</v>
      </c>
      <c r="I26" s="5">
        <f>+'4 Contractors'!I89</f>
        <v>107654.23000000001</v>
      </c>
      <c r="J26" s="5">
        <f>+'4 Contractors'!J89</f>
        <v>19633.75</v>
      </c>
      <c r="K26" s="5">
        <f>+'4 Contractors'!K89</f>
        <v>15389</v>
      </c>
      <c r="L26" s="5">
        <f>+'4 Contractors'!L89</f>
        <v>15694.630000000001</v>
      </c>
      <c r="M26" s="5">
        <f>+'4 Contractors'!M89</f>
        <v>23703</v>
      </c>
      <c r="N26" s="38">
        <f>+'4 Contractors'!N89</f>
        <v>46700</v>
      </c>
      <c r="O26" s="4"/>
      <c r="P26" s="4">
        <f t="shared" si="7"/>
        <v>152134.70000000001</v>
      </c>
      <c r="Q26" s="4">
        <f t="shared" si="8"/>
        <v>148803.24000000002</v>
      </c>
      <c r="R26" s="4">
        <f t="shared" si="9"/>
        <v>142676.98000000001</v>
      </c>
      <c r="S26" s="4">
        <f t="shared" si="10"/>
        <v>86097.63</v>
      </c>
      <c r="T26" s="4"/>
      <c r="U26" s="4">
        <f t="shared" si="11"/>
        <v>529712.55000000005</v>
      </c>
      <c r="W26" s="25">
        <f t="shared" si="13"/>
        <v>0</v>
      </c>
    </row>
    <row r="27" spans="2:23" x14ac:dyDescent="0.2">
      <c r="B27" s="7" t="s">
        <v>106</v>
      </c>
      <c r="C27" s="5">
        <f>+'2 Employees'!C227+'3 Benefits'!C110</f>
        <v>23645.880666666664</v>
      </c>
      <c r="D27" s="5">
        <f>+'2 Employees'!D227+'3 Benefits'!D110</f>
        <v>23206.142</v>
      </c>
      <c r="E27" s="5">
        <f>+'2 Employees'!E227+'3 Benefits'!E110</f>
        <v>42806.165000000001</v>
      </c>
      <c r="F27" s="5">
        <f>+'2 Employees'!F227+'3 Benefits'!F110</f>
        <v>40594.268823529412</v>
      </c>
      <c r="G27" s="5">
        <f>+'2 Employees'!G227+'3 Benefits'!G110</f>
        <v>35576.491249999999</v>
      </c>
      <c r="H27" s="5">
        <f>+'2 Employees'!H227+'3 Benefits'!H110</f>
        <v>45030.207647058822</v>
      </c>
      <c r="I27" s="5">
        <f>+'2 Employees'!I227+'3 Benefits'!I110</f>
        <v>54965.226470588241</v>
      </c>
      <c r="J27" s="5">
        <f>+'2 Employees'!J227+'3 Benefits'!J110</f>
        <v>61914.095555555556</v>
      </c>
      <c r="K27" s="5">
        <f>+'2 Employees'!K227+'3 Benefits'!K110</f>
        <v>38513.229999999996</v>
      </c>
      <c r="L27" s="5">
        <f>+'2 Employees'!L227+'3 Benefits'!L110</f>
        <v>38003.906666666662</v>
      </c>
      <c r="M27" s="5">
        <f>+'2 Employees'!M227+'3 Benefits'!M110</f>
        <v>38968.221428571429</v>
      </c>
      <c r="N27" s="38">
        <f>+'2 Employees'!N227+'3 Benefits'!N110</f>
        <v>39300</v>
      </c>
      <c r="O27" s="4"/>
      <c r="P27" s="4">
        <f t="shared" si="7"/>
        <v>89658.187666666665</v>
      </c>
      <c r="Q27" s="4">
        <f t="shared" si="8"/>
        <v>121200.96772058823</v>
      </c>
      <c r="R27" s="4">
        <f t="shared" si="9"/>
        <v>155392.55202614379</v>
      </c>
      <c r="S27" s="4">
        <f t="shared" si="10"/>
        <v>116272.12809523809</v>
      </c>
      <c r="T27" s="4"/>
      <c r="U27" s="4">
        <f t="shared" si="11"/>
        <v>482523.83550863678</v>
      </c>
      <c r="W27" s="25">
        <f t="shared" si="13"/>
        <v>0</v>
      </c>
    </row>
    <row r="28" spans="2:23" x14ac:dyDescent="0.2">
      <c r="B28" s="7" t="s">
        <v>107</v>
      </c>
      <c r="C28" s="5">
        <f>+'4 Contractors'!C111</f>
        <v>43402.15</v>
      </c>
      <c r="D28" s="5">
        <f>+'4 Contractors'!D111</f>
        <v>56923.22</v>
      </c>
      <c r="E28" s="5">
        <f>+'4 Contractors'!E111</f>
        <v>49015.880000000005</v>
      </c>
      <c r="F28" s="5">
        <f>+'4 Contractors'!F111</f>
        <v>52268.69</v>
      </c>
      <c r="G28" s="5">
        <f>+'4 Contractors'!G111</f>
        <v>58911.29</v>
      </c>
      <c r="H28" s="5">
        <f>+'4 Contractors'!H111</f>
        <v>60784</v>
      </c>
      <c r="I28" s="5">
        <f>+'4 Contractors'!I111</f>
        <v>53257.33</v>
      </c>
      <c r="J28" s="5">
        <f>+'4 Contractors'!J111</f>
        <v>49276.72</v>
      </c>
      <c r="K28" s="5">
        <f>+'4 Contractors'!K111</f>
        <v>47069.09</v>
      </c>
      <c r="L28" s="5">
        <f>+'4 Contractors'!L111</f>
        <v>46234.61</v>
      </c>
      <c r="M28" s="5">
        <f>+'4 Contractors'!M111</f>
        <v>76078.569999999992</v>
      </c>
      <c r="N28" s="38">
        <f>+'4 Contractors'!N111</f>
        <v>21461.95</v>
      </c>
      <c r="O28" s="4"/>
      <c r="P28" s="4">
        <f t="shared" si="7"/>
        <v>149341.25</v>
      </c>
      <c r="Q28" s="4">
        <f t="shared" si="8"/>
        <v>171963.98</v>
      </c>
      <c r="R28" s="4">
        <f t="shared" si="9"/>
        <v>149603.14000000001</v>
      </c>
      <c r="S28" s="4">
        <f t="shared" si="10"/>
        <v>143775.13</v>
      </c>
      <c r="T28" s="4"/>
      <c r="U28" s="4">
        <f t="shared" si="11"/>
        <v>614683.49999999988</v>
      </c>
      <c r="W28" s="25">
        <f t="shared" si="13"/>
        <v>0</v>
      </c>
    </row>
    <row r="29" spans="2:23" x14ac:dyDescent="0.2">
      <c r="B29" s="8" t="s">
        <v>93</v>
      </c>
      <c r="C29" s="34">
        <f t="shared" ref="C29:N29" si="14">SUM(C23:C28)</f>
        <v>92488.520666666664</v>
      </c>
      <c r="D29" s="34">
        <f t="shared" si="14"/>
        <v>135057.962</v>
      </c>
      <c r="E29" s="34">
        <f t="shared" si="14"/>
        <v>165747.655</v>
      </c>
      <c r="F29" s="34">
        <f t="shared" si="14"/>
        <v>205290.43470588236</v>
      </c>
      <c r="G29" s="34">
        <f t="shared" si="14"/>
        <v>189433.9325</v>
      </c>
      <c r="H29" s="34">
        <f t="shared" si="14"/>
        <v>189747.17941176472</v>
      </c>
      <c r="I29" s="34">
        <f t="shared" si="14"/>
        <v>264594.86411764706</v>
      </c>
      <c r="J29" s="34">
        <f t="shared" si="14"/>
        <v>170112.28333333333</v>
      </c>
      <c r="K29" s="34">
        <f t="shared" si="14"/>
        <v>131376.5</v>
      </c>
      <c r="L29" s="34">
        <f t="shared" si="14"/>
        <v>125151.67</v>
      </c>
      <c r="M29" s="34">
        <f t="shared" si="14"/>
        <v>156743.02214285714</v>
      </c>
      <c r="N29" s="34">
        <f t="shared" si="14"/>
        <v>151911.95000000001</v>
      </c>
      <c r="O29" s="34"/>
      <c r="P29" s="34">
        <f>SUM(P23:P28)</f>
        <v>393294.13766666665</v>
      </c>
      <c r="Q29" s="34">
        <f>SUM(Q23:Q28)</f>
        <v>584471.54661764705</v>
      </c>
      <c r="R29" s="34">
        <f>SUM(R23:R28)</f>
        <v>566083.64745098038</v>
      </c>
      <c r="S29" s="34">
        <f>SUM(S23:S28)</f>
        <v>433806.64214285719</v>
      </c>
      <c r="T29" s="34"/>
      <c r="U29" s="34">
        <f>SUM(U23:U28)</f>
        <v>1977655.9738781513</v>
      </c>
      <c r="W29" s="25">
        <f t="shared" si="12"/>
        <v>0</v>
      </c>
    </row>
    <row r="30" spans="2:23" x14ac:dyDescent="0.2">
      <c r="B30" s="8"/>
      <c r="C30" s="34"/>
      <c r="D30" s="34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W30" s="25"/>
    </row>
    <row r="31" spans="2:23" x14ac:dyDescent="0.2">
      <c r="B31" s="7" t="s">
        <v>94</v>
      </c>
      <c r="C31" s="5">
        <f>+'2 Employees'!C280+'3 Benefits'!C113</f>
        <v>56009.581333333335</v>
      </c>
      <c r="D31" s="5">
        <f>+'2 Employees'!D280+'3 Benefits'!D113</f>
        <v>99933.333999999988</v>
      </c>
      <c r="E31" s="5">
        <f>+'2 Employees'!E280+'3 Benefits'!E113</f>
        <v>52560.785000000003</v>
      </c>
      <c r="F31" s="5">
        <f>+'2 Employees'!F280+'3 Benefits'!F113</f>
        <v>52591.86588235294</v>
      </c>
      <c r="G31" s="5">
        <f>+'2 Employees'!G280+'3 Benefits'!G113</f>
        <v>50755.491249999999</v>
      </c>
      <c r="H31" s="5">
        <f>+'2 Employees'!H280+'3 Benefits'!H113</f>
        <v>51421.211764705884</v>
      </c>
      <c r="I31" s="5">
        <f>+'2 Employees'!I280+'3 Benefits'!I113</f>
        <v>53980.69764705882</v>
      </c>
      <c r="J31" s="5">
        <f>+'2 Employees'!J280+'3 Benefits'!J113</f>
        <v>50594.077777777777</v>
      </c>
      <c r="K31" s="5">
        <f>+'2 Employees'!K280+'3 Benefits'!K113</f>
        <v>50560.380000000005</v>
      </c>
      <c r="L31" s="5">
        <f>+'2 Employees'!L280+'3 Benefits'!L113</f>
        <v>50638.906666666662</v>
      </c>
      <c r="M31" s="5">
        <f>+'2 Employees'!M280+'3 Benefits'!M113</f>
        <v>40900.250714285714</v>
      </c>
      <c r="N31" s="38">
        <f>+'2 Employees'!N280+'3 Benefits'!N113</f>
        <v>41150</v>
      </c>
      <c r="O31" s="4"/>
      <c r="P31" s="4">
        <f>SUM(C31:E31)</f>
        <v>208503.70033333331</v>
      </c>
      <c r="Q31" s="4">
        <f>SUM(F31:H31)</f>
        <v>154768.56889705884</v>
      </c>
      <c r="R31" s="4">
        <f>SUM(I31:K31)</f>
        <v>155135.15542483662</v>
      </c>
      <c r="S31" s="4">
        <f>SUM(L31:N31)</f>
        <v>132689.15738095238</v>
      </c>
      <c r="T31" s="4"/>
      <c r="U31" s="4">
        <f>SUM(C31:N31)</f>
        <v>651096.58203618124</v>
      </c>
      <c r="W31" s="25">
        <f t="shared" ref="W31:W33" si="15">ROUND(SUM(P31:S31)-U31,2)</f>
        <v>0</v>
      </c>
    </row>
    <row r="32" spans="2:23" x14ac:dyDescent="0.2">
      <c r="B32" s="7" t="s">
        <v>95</v>
      </c>
      <c r="C32" s="5">
        <f>+'4 Contractors'!C129</f>
        <v>17629.900000000001</v>
      </c>
      <c r="D32" s="5">
        <f>+'4 Contractors'!D129</f>
        <v>21170</v>
      </c>
      <c r="E32" s="5">
        <f>+'4 Contractors'!E129</f>
        <v>29860</v>
      </c>
      <c r="F32" s="5">
        <f>+'4 Contractors'!F129</f>
        <v>26120</v>
      </c>
      <c r="G32" s="5">
        <f>+'4 Contractors'!G129</f>
        <v>26528.33</v>
      </c>
      <c r="H32" s="5">
        <f>+'4 Contractors'!H129</f>
        <v>26078.33</v>
      </c>
      <c r="I32" s="5">
        <f>+'4 Contractors'!I129</f>
        <v>26980.83</v>
      </c>
      <c r="J32" s="5">
        <f>+'4 Contractors'!J129</f>
        <v>26470.83</v>
      </c>
      <c r="K32" s="5">
        <f>+'4 Contractors'!K129</f>
        <v>27283.33</v>
      </c>
      <c r="L32" s="5">
        <f>+'4 Contractors'!L129</f>
        <v>26460.83</v>
      </c>
      <c r="M32" s="5">
        <f>+'4 Contractors'!M129</f>
        <v>25385.83</v>
      </c>
      <c r="N32" s="38">
        <f>+'4 Contractors'!N129</f>
        <v>25400</v>
      </c>
      <c r="O32" s="4"/>
      <c r="P32" s="4">
        <f>SUM(C32:E32)</f>
        <v>68659.899999999994</v>
      </c>
      <c r="Q32" s="4">
        <f>SUM(F32:H32)</f>
        <v>78726.66</v>
      </c>
      <c r="R32" s="4">
        <f>SUM(I32:K32)</f>
        <v>80734.990000000005</v>
      </c>
      <c r="S32" s="4">
        <f>SUM(L32:N32)</f>
        <v>77246.66</v>
      </c>
      <c r="T32" s="4"/>
      <c r="U32" s="4">
        <f>SUM(C32:N32)</f>
        <v>305368.21000000008</v>
      </c>
      <c r="W32" s="25">
        <f t="shared" si="15"/>
        <v>0</v>
      </c>
    </row>
    <row r="33" spans="2:24" x14ac:dyDescent="0.2">
      <c r="B33" s="8" t="s">
        <v>96</v>
      </c>
      <c r="C33" s="34">
        <f t="shared" ref="C33:N33" si="16">SUM(C31:C32)</f>
        <v>73639.48133333333</v>
      </c>
      <c r="D33" s="34">
        <f t="shared" si="16"/>
        <v>121103.33399999999</v>
      </c>
      <c r="E33" s="34">
        <f t="shared" si="16"/>
        <v>82420.785000000003</v>
      </c>
      <c r="F33" s="34">
        <f t="shared" si="16"/>
        <v>78711.86588235294</v>
      </c>
      <c r="G33" s="34">
        <f t="shared" si="16"/>
        <v>77283.821250000008</v>
      </c>
      <c r="H33" s="34">
        <f t="shared" si="16"/>
        <v>77499.541764705878</v>
      </c>
      <c r="I33" s="34">
        <f t="shared" si="16"/>
        <v>80961.527647058829</v>
      </c>
      <c r="J33" s="34">
        <f t="shared" si="16"/>
        <v>77064.907777777786</v>
      </c>
      <c r="K33" s="34">
        <f t="shared" si="16"/>
        <v>77843.710000000006</v>
      </c>
      <c r="L33" s="34">
        <f t="shared" si="16"/>
        <v>77099.736666666664</v>
      </c>
      <c r="M33" s="34">
        <f t="shared" si="16"/>
        <v>66286.080714285723</v>
      </c>
      <c r="N33" s="34">
        <f t="shared" si="16"/>
        <v>66550</v>
      </c>
      <c r="O33" s="34"/>
      <c r="P33" s="34">
        <f>SUM(P31:P32)</f>
        <v>277163.60033333331</v>
      </c>
      <c r="Q33" s="34">
        <f>SUM(Q31:Q32)</f>
        <v>233495.22889705884</v>
      </c>
      <c r="R33" s="34">
        <f>SUM(R31:R32)</f>
        <v>235870.14542483661</v>
      </c>
      <c r="S33" s="34">
        <f>SUM(S31:S32)</f>
        <v>209935.81738095239</v>
      </c>
      <c r="T33" s="34"/>
      <c r="U33" s="34">
        <f>SUM(U31:U32)</f>
        <v>956464.79203618132</v>
      </c>
      <c r="W33" s="25">
        <f t="shared" si="15"/>
        <v>0</v>
      </c>
    </row>
    <row r="34" spans="2:24" x14ac:dyDescent="0.2">
      <c r="B34" s="8"/>
      <c r="C34" s="34"/>
      <c r="D34" s="34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W34" s="25"/>
    </row>
    <row r="35" spans="2:24" x14ac:dyDescent="0.2">
      <c r="B35" s="7" t="s">
        <v>34</v>
      </c>
      <c r="C35" s="5">
        <f>+'6 Other'!C5</f>
        <v>0</v>
      </c>
      <c r="D35" s="5">
        <f>+'6 Other'!D5</f>
        <v>0</v>
      </c>
      <c r="E35" s="5">
        <f>+'6 Other'!E5</f>
        <v>0</v>
      </c>
      <c r="F35" s="5">
        <f>+'6 Other'!F5</f>
        <v>0</v>
      </c>
      <c r="G35" s="5">
        <f>+'6 Other'!G5</f>
        <v>3545.63</v>
      </c>
      <c r="H35" s="5">
        <f>+'6 Other'!H5</f>
        <v>3545.63</v>
      </c>
      <c r="I35" s="5">
        <f>+'6 Other'!I5</f>
        <v>7091.26</v>
      </c>
      <c r="J35" s="5">
        <f>+'6 Other'!J5</f>
        <v>3545.63</v>
      </c>
      <c r="K35" s="5">
        <f>+'6 Other'!K5</f>
        <v>3545.63</v>
      </c>
      <c r="L35" s="5">
        <f>+'6 Other'!L5</f>
        <v>3545.63</v>
      </c>
      <c r="M35" s="5">
        <f>+'6 Other'!M5</f>
        <v>3545.63</v>
      </c>
      <c r="N35" s="38">
        <f>+'6 Other'!N5</f>
        <v>3550</v>
      </c>
      <c r="O35" s="4"/>
      <c r="P35" s="4">
        <f t="shared" ref="P35:P43" si="17">SUM(C35:E35)</f>
        <v>0</v>
      </c>
      <c r="Q35" s="4">
        <f t="shared" ref="Q35:Q43" si="18">SUM(F35:H35)</f>
        <v>7091.26</v>
      </c>
      <c r="R35" s="4">
        <f t="shared" ref="R35:R43" si="19">SUM(I35:K35)</f>
        <v>14182.52</v>
      </c>
      <c r="S35" s="4">
        <f t="shared" ref="S35:S43" si="20">SUM(L35:N35)</f>
        <v>10641.26</v>
      </c>
      <c r="T35" s="4"/>
      <c r="U35" s="4">
        <f t="shared" ref="U35:U43" si="21">SUM(C35:N35)</f>
        <v>31915.040000000005</v>
      </c>
      <c r="W35" s="25">
        <f t="shared" ref="W35:W44" si="22">ROUND(SUM(P35:S35)-U35,2)</f>
        <v>0</v>
      </c>
    </row>
    <row r="36" spans="2:24" x14ac:dyDescent="0.2">
      <c r="B36" s="7" t="s">
        <v>17</v>
      </c>
      <c r="C36" s="5">
        <f>+'6 Other'!C6</f>
        <v>3866.9</v>
      </c>
      <c r="D36" s="5">
        <f>+'6 Other'!D6</f>
        <v>4575.8999999999996</v>
      </c>
      <c r="E36" s="5">
        <f>+'6 Other'!E6</f>
        <v>12536.15</v>
      </c>
      <c r="F36" s="5">
        <f>+'6 Other'!F6</f>
        <v>11114.35</v>
      </c>
      <c r="G36" s="5">
        <f>+'6 Other'!G6</f>
        <v>24774.020000000004</v>
      </c>
      <c r="H36" s="5">
        <f>+'6 Other'!H6</f>
        <v>23118.32</v>
      </c>
      <c r="I36" s="5">
        <f>+'6 Other'!I6</f>
        <v>22036.41</v>
      </c>
      <c r="J36" s="5">
        <f>+'6 Other'!J6</f>
        <v>91840.73</v>
      </c>
      <c r="K36" s="5">
        <f>+'6 Other'!K6</f>
        <v>10289.469999999998</v>
      </c>
      <c r="L36" s="5">
        <f>+'6 Other'!L6</f>
        <v>24251.63</v>
      </c>
      <c r="M36" s="5">
        <f>+'6 Other'!M6</f>
        <v>12056.23</v>
      </c>
      <c r="N36" s="38">
        <f>+'6 Other'!N6</f>
        <v>12000</v>
      </c>
      <c r="O36" s="4"/>
      <c r="P36" s="4">
        <f t="shared" si="17"/>
        <v>20978.949999999997</v>
      </c>
      <c r="Q36" s="4">
        <f t="shared" si="18"/>
        <v>59006.69</v>
      </c>
      <c r="R36" s="4">
        <f t="shared" si="19"/>
        <v>124166.61</v>
      </c>
      <c r="S36" s="4">
        <f t="shared" si="20"/>
        <v>48307.86</v>
      </c>
      <c r="T36" s="4"/>
      <c r="U36" s="4">
        <f t="shared" si="21"/>
        <v>252460.11000000002</v>
      </c>
      <c r="W36" s="25">
        <f t="shared" si="22"/>
        <v>0</v>
      </c>
    </row>
    <row r="37" spans="2:24" x14ac:dyDescent="0.2">
      <c r="B37" s="7" t="s">
        <v>28</v>
      </c>
      <c r="C37" s="5">
        <f>+'6 Other'!C7</f>
        <v>263.76</v>
      </c>
      <c r="D37" s="5">
        <f>+'6 Other'!D7</f>
        <v>807.23</v>
      </c>
      <c r="E37" s="5">
        <f>+'6 Other'!E7</f>
        <v>556.55999999999995</v>
      </c>
      <c r="F37" s="5">
        <f>+'6 Other'!F7</f>
        <v>556</v>
      </c>
      <c r="G37" s="5">
        <f>+'6 Other'!G7</f>
        <v>354.79</v>
      </c>
      <c r="H37" s="5">
        <f>+'6 Other'!H7</f>
        <v>1130.5700000000002</v>
      </c>
      <c r="I37" s="5">
        <f>+'6 Other'!I7</f>
        <v>355.28000000000003</v>
      </c>
      <c r="J37" s="5">
        <f>+'6 Other'!J7</f>
        <v>1606.02</v>
      </c>
      <c r="K37" s="5">
        <f>+'6 Other'!K7</f>
        <v>1215.05</v>
      </c>
      <c r="L37" s="5">
        <f>+'6 Other'!L7</f>
        <v>127.22999999999999</v>
      </c>
      <c r="M37" s="5">
        <f>+'6 Other'!M7</f>
        <v>4393.6299999999992</v>
      </c>
      <c r="N37" s="38">
        <f>+'6 Other'!N7</f>
        <v>500</v>
      </c>
      <c r="O37" s="4"/>
      <c r="P37" s="4">
        <f t="shared" si="17"/>
        <v>1627.55</v>
      </c>
      <c r="Q37" s="4">
        <f t="shared" si="18"/>
        <v>2041.3600000000001</v>
      </c>
      <c r="R37" s="4">
        <f t="shared" si="19"/>
        <v>3176.35</v>
      </c>
      <c r="S37" s="4">
        <f t="shared" si="20"/>
        <v>5020.8599999999988</v>
      </c>
      <c r="T37" s="4"/>
      <c r="U37" s="4">
        <f t="shared" si="21"/>
        <v>11866.119999999999</v>
      </c>
      <c r="W37" s="25">
        <f t="shared" si="22"/>
        <v>0</v>
      </c>
    </row>
    <row r="38" spans="2:24" x14ac:dyDescent="0.2">
      <c r="B38" s="7" t="s">
        <v>18</v>
      </c>
      <c r="C38" s="5">
        <f>+'6 Other'!C8</f>
        <v>496.97</v>
      </c>
      <c r="D38" s="5">
        <f>+'6 Other'!D8</f>
        <v>8280.18</v>
      </c>
      <c r="E38" s="5">
        <f>+'6 Other'!E8</f>
        <v>3089.8900000000003</v>
      </c>
      <c r="F38" s="5">
        <f>+'6 Other'!F8</f>
        <v>8984.89</v>
      </c>
      <c r="G38" s="5">
        <f>+'6 Other'!G8</f>
        <v>1547.5500000000002</v>
      </c>
      <c r="H38" s="5">
        <f>+'6 Other'!H8</f>
        <v>3039.49</v>
      </c>
      <c r="I38" s="5">
        <f>+'6 Other'!I8</f>
        <v>5580.2400000000007</v>
      </c>
      <c r="J38" s="5">
        <f>+'6 Other'!J8</f>
        <v>1783.2400000000002</v>
      </c>
      <c r="K38" s="5">
        <f>+'6 Other'!K8</f>
        <v>3039.49</v>
      </c>
      <c r="L38" s="5">
        <f>+'6 Other'!L8</f>
        <v>5817.8</v>
      </c>
      <c r="M38" s="5">
        <f>+'6 Other'!M8</f>
        <v>1783.2400000000002</v>
      </c>
      <c r="N38" s="38">
        <f>+'6 Other'!N8</f>
        <v>2500</v>
      </c>
      <c r="O38" s="4"/>
      <c r="P38" s="4">
        <f t="shared" si="17"/>
        <v>11867.04</v>
      </c>
      <c r="Q38" s="4">
        <f t="shared" si="18"/>
        <v>13571.929999999998</v>
      </c>
      <c r="R38" s="4">
        <f t="shared" si="19"/>
        <v>10402.970000000001</v>
      </c>
      <c r="S38" s="4">
        <f t="shared" si="20"/>
        <v>10101.040000000001</v>
      </c>
      <c r="T38" s="4"/>
      <c r="U38" s="4">
        <f t="shared" si="21"/>
        <v>45942.98</v>
      </c>
      <c r="W38" s="25">
        <f t="shared" si="22"/>
        <v>0</v>
      </c>
    </row>
    <row r="39" spans="2:24" x14ac:dyDescent="0.2">
      <c r="B39" s="7" t="s">
        <v>29</v>
      </c>
      <c r="C39" s="5">
        <f>+'6 Other'!C9</f>
        <v>10550</v>
      </c>
      <c r="D39" s="5">
        <f>+'6 Other'!D9</f>
        <v>15467.5</v>
      </c>
      <c r="E39" s="5">
        <f>+'6 Other'!E9</f>
        <v>18866</v>
      </c>
      <c r="F39" s="5">
        <f>+'6 Other'!F9</f>
        <v>28130</v>
      </c>
      <c r="G39" s="5">
        <f>+'6 Other'!G9</f>
        <v>23029.4</v>
      </c>
      <c r="H39" s="5">
        <f>+'6 Other'!H9</f>
        <v>10386.450000000001</v>
      </c>
      <c r="I39" s="5">
        <f>+'6 Other'!I9</f>
        <v>9005.5</v>
      </c>
      <c r="J39" s="5">
        <f>+'6 Other'!J9</f>
        <v>1950.5</v>
      </c>
      <c r="K39" s="5">
        <f>+'6 Other'!K9</f>
        <v>8001</v>
      </c>
      <c r="L39" s="5">
        <f>+'6 Other'!L9</f>
        <v>9200.7000000000007</v>
      </c>
      <c r="M39" s="5">
        <f>+'6 Other'!M9</f>
        <v>1426</v>
      </c>
      <c r="N39" s="38">
        <f>+'6 Other'!N9</f>
        <v>11000</v>
      </c>
      <c r="O39" s="4"/>
      <c r="P39" s="4">
        <f t="shared" si="17"/>
        <v>44883.5</v>
      </c>
      <c r="Q39" s="4">
        <f t="shared" si="18"/>
        <v>61545.850000000006</v>
      </c>
      <c r="R39" s="4">
        <f t="shared" si="19"/>
        <v>18957</v>
      </c>
      <c r="S39" s="4">
        <f t="shared" si="20"/>
        <v>21626.7</v>
      </c>
      <c r="T39" s="4"/>
      <c r="U39" s="4">
        <f t="shared" si="21"/>
        <v>147013.04999999999</v>
      </c>
      <c r="W39" s="25">
        <f t="shared" si="22"/>
        <v>0</v>
      </c>
    </row>
    <row r="40" spans="2:24" x14ac:dyDescent="0.2">
      <c r="B40" s="7" t="s">
        <v>32</v>
      </c>
      <c r="C40" s="5">
        <f>+'6 Other'!C10</f>
        <v>0</v>
      </c>
      <c r="D40" s="5">
        <f>+'6 Other'!D10</f>
        <v>0</v>
      </c>
      <c r="E40" s="5">
        <f>+'6 Other'!E10</f>
        <v>0</v>
      </c>
      <c r="F40" s="5">
        <f>+'6 Other'!F10</f>
        <v>0</v>
      </c>
      <c r="G40" s="5">
        <f>+'6 Other'!G10</f>
        <v>22482.5</v>
      </c>
      <c r="H40" s="5">
        <f>+'6 Other'!H10</f>
        <v>287.5</v>
      </c>
      <c r="I40" s="5">
        <f>+'6 Other'!I10</f>
        <v>535</v>
      </c>
      <c r="J40" s="5">
        <f>+'6 Other'!J10</f>
        <v>0</v>
      </c>
      <c r="K40" s="5">
        <f>+'6 Other'!K10</f>
        <v>565</v>
      </c>
      <c r="L40" s="5">
        <f>+'6 Other'!L10</f>
        <v>0</v>
      </c>
      <c r="M40" s="5">
        <f>+'6 Other'!M10</f>
        <v>0</v>
      </c>
      <c r="N40" s="38">
        <f>+'6 Other'!N10</f>
        <v>12500</v>
      </c>
      <c r="O40" s="4"/>
      <c r="P40" s="4">
        <f t="shared" si="17"/>
        <v>0</v>
      </c>
      <c r="Q40" s="4">
        <f t="shared" si="18"/>
        <v>22770</v>
      </c>
      <c r="R40" s="4">
        <f t="shared" si="19"/>
        <v>1100</v>
      </c>
      <c r="S40" s="4">
        <f t="shared" si="20"/>
        <v>12500</v>
      </c>
      <c r="T40" s="4"/>
      <c r="U40" s="4">
        <f t="shared" si="21"/>
        <v>36370</v>
      </c>
      <c r="W40" s="25">
        <f t="shared" si="22"/>
        <v>0</v>
      </c>
    </row>
    <row r="41" spans="2:24" x14ac:dyDescent="0.2">
      <c r="B41" s="7" t="s">
        <v>31</v>
      </c>
      <c r="C41" s="5">
        <f>+'6 Other'!C11</f>
        <v>0</v>
      </c>
      <c r="D41" s="5">
        <f>+'6 Other'!D11</f>
        <v>0</v>
      </c>
      <c r="E41" s="5">
        <f>+'6 Other'!E11</f>
        <v>63750</v>
      </c>
      <c r="F41" s="5">
        <f>+'6 Other'!F11</f>
        <v>0</v>
      </c>
      <c r="G41" s="5">
        <f>+'6 Other'!G11</f>
        <v>25000</v>
      </c>
      <c r="H41" s="5">
        <f>+'6 Other'!H11</f>
        <v>0</v>
      </c>
      <c r="I41" s="5">
        <f>+'6 Other'!I11</f>
        <v>0</v>
      </c>
      <c r="J41" s="5">
        <f>+'6 Other'!J11</f>
        <v>0</v>
      </c>
      <c r="K41" s="5">
        <f>+'6 Other'!K11</f>
        <v>0</v>
      </c>
      <c r="L41" s="5">
        <f>+'6 Other'!L11</f>
        <v>0</v>
      </c>
      <c r="M41" s="5">
        <f>+'6 Other'!M11</f>
        <v>0</v>
      </c>
      <c r="N41" s="38">
        <f>+'6 Other'!N11</f>
        <v>35000</v>
      </c>
      <c r="O41" s="4"/>
      <c r="P41" s="4">
        <f t="shared" si="17"/>
        <v>63750</v>
      </c>
      <c r="Q41" s="4">
        <f t="shared" si="18"/>
        <v>25000</v>
      </c>
      <c r="R41" s="4">
        <f t="shared" si="19"/>
        <v>0</v>
      </c>
      <c r="S41" s="4">
        <f t="shared" si="20"/>
        <v>35000</v>
      </c>
      <c r="T41" s="4"/>
      <c r="U41" s="4">
        <f t="shared" si="21"/>
        <v>123750</v>
      </c>
      <c r="W41" s="25">
        <f t="shared" si="22"/>
        <v>0</v>
      </c>
    </row>
    <row r="42" spans="2:24" x14ac:dyDescent="0.2">
      <c r="B42" s="7" t="s">
        <v>62</v>
      </c>
      <c r="C42" s="5">
        <f>+'6 Other'!C12</f>
        <v>0</v>
      </c>
      <c r="D42" s="5">
        <f>+'6 Other'!D12</f>
        <v>0</v>
      </c>
      <c r="E42" s="5">
        <f>+'6 Other'!E12</f>
        <v>4036</v>
      </c>
      <c r="F42" s="5">
        <f>+'6 Other'!F12</f>
        <v>20</v>
      </c>
      <c r="G42" s="5">
        <f>+'6 Other'!G12</f>
        <v>-326.17</v>
      </c>
      <c r="H42" s="5">
        <f>+'6 Other'!H12</f>
        <v>196</v>
      </c>
      <c r="I42" s="5">
        <f>+'6 Other'!I12</f>
        <v>112.92</v>
      </c>
      <c r="J42" s="5">
        <f>+'6 Other'!J12</f>
        <v>0</v>
      </c>
      <c r="K42" s="5">
        <f>+'6 Other'!K12</f>
        <v>-32</v>
      </c>
      <c r="L42" s="5">
        <f>+'6 Other'!L12</f>
        <v>188.43</v>
      </c>
      <c r="M42" s="5">
        <f>+'6 Other'!M12</f>
        <v>0</v>
      </c>
      <c r="N42" s="38">
        <f>+'6 Other'!N12</f>
        <v>250</v>
      </c>
      <c r="O42" s="4"/>
      <c r="P42" s="4">
        <f t="shared" si="17"/>
        <v>4036</v>
      </c>
      <c r="Q42" s="4">
        <f t="shared" si="18"/>
        <v>-110.17000000000002</v>
      </c>
      <c r="R42" s="4">
        <f t="shared" si="19"/>
        <v>80.92</v>
      </c>
      <c r="S42" s="4">
        <f t="shared" si="20"/>
        <v>438.43</v>
      </c>
      <c r="T42" s="4"/>
      <c r="U42" s="4">
        <f t="shared" si="21"/>
        <v>4445.18</v>
      </c>
      <c r="W42" s="25">
        <f t="shared" si="22"/>
        <v>0</v>
      </c>
    </row>
    <row r="43" spans="2:24" x14ac:dyDescent="0.2">
      <c r="B43" s="7" t="s">
        <v>22</v>
      </c>
      <c r="C43" s="5">
        <f>SUM('6 Other'!C13:C13)</f>
        <v>24863.58</v>
      </c>
      <c r="D43" s="5">
        <f>SUM('6 Other'!D13:D13)</f>
        <v>829.94</v>
      </c>
      <c r="E43" s="5">
        <f>SUM('6 Other'!E13:E13)</f>
        <v>2230.5</v>
      </c>
      <c r="F43" s="5">
        <f>SUM('6 Other'!F13:F13)</f>
        <v>13849.7</v>
      </c>
      <c r="G43" s="5">
        <f>SUM('6 Other'!G13:G13)</f>
        <v>20024.030000000002</v>
      </c>
      <c r="H43" s="5">
        <f>SUM('6 Other'!H13:H13)</f>
        <v>38178.86000000003</v>
      </c>
      <c r="I43" s="5">
        <f>SUM('6 Other'!I13:I13)</f>
        <v>9873.2099999999991</v>
      </c>
      <c r="J43" s="5">
        <f>SUM('6 Other'!J13:J13)</f>
        <v>21014.370000000003</v>
      </c>
      <c r="K43" s="5">
        <f>SUM('6 Other'!K13:K13)</f>
        <v>32093.19</v>
      </c>
      <c r="L43" s="5">
        <f>+'6 Other'!L13</f>
        <v>21464.5</v>
      </c>
      <c r="M43" s="5">
        <f>+'6 Other'!M13</f>
        <v>12742</v>
      </c>
      <c r="N43" s="38">
        <f>+'6 Other'!N13</f>
        <v>8500</v>
      </c>
      <c r="O43" s="4"/>
      <c r="P43" s="4">
        <f t="shared" si="17"/>
        <v>27924.02</v>
      </c>
      <c r="Q43" s="4">
        <f t="shared" si="18"/>
        <v>72052.590000000026</v>
      </c>
      <c r="R43" s="4">
        <f t="shared" si="19"/>
        <v>62980.770000000004</v>
      </c>
      <c r="S43" s="4">
        <f t="shared" si="20"/>
        <v>42706.5</v>
      </c>
      <c r="T43" s="4"/>
      <c r="U43" s="4">
        <f t="shared" si="21"/>
        <v>205663.88000000003</v>
      </c>
      <c r="W43" s="25">
        <f t="shared" si="22"/>
        <v>0</v>
      </c>
    </row>
    <row r="44" spans="2:24" x14ac:dyDescent="0.2">
      <c r="B44" s="8" t="s">
        <v>97</v>
      </c>
      <c r="C44" s="34">
        <f t="shared" ref="C44:N44" si="23">SUM(C35:C43)</f>
        <v>40041.210000000006</v>
      </c>
      <c r="D44" s="34">
        <f t="shared" si="23"/>
        <v>29960.749999999996</v>
      </c>
      <c r="E44" s="34">
        <f t="shared" si="23"/>
        <v>105065.1</v>
      </c>
      <c r="F44" s="34">
        <f t="shared" si="23"/>
        <v>62654.94</v>
      </c>
      <c r="G44" s="34">
        <f t="shared" si="23"/>
        <v>120431.75000000001</v>
      </c>
      <c r="H44" s="34">
        <f t="shared" si="23"/>
        <v>79882.820000000036</v>
      </c>
      <c r="I44" s="34">
        <f t="shared" si="23"/>
        <v>54589.819999999992</v>
      </c>
      <c r="J44" s="34">
        <f t="shared" si="23"/>
        <v>121740.49000000002</v>
      </c>
      <c r="K44" s="34">
        <f>SUM(K35:K43)</f>
        <v>58716.83</v>
      </c>
      <c r="L44" s="34">
        <f t="shared" si="23"/>
        <v>64595.920000000006</v>
      </c>
      <c r="M44" s="34">
        <f t="shared" si="23"/>
        <v>35946.729999999996</v>
      </c>
      <c r="N44" s="34">
        <f t="shared" si="23"/>
        <v>85800</v>
      </c>
      <c r="O44" s="34"/>
      <c r="P44" s="34">
        <f>SUM(P35:P43)</f>
        <v>175067.05999999997</v>
      </c>
      <c r="Q44" s="34">
        <f>SUM(Q35:Q43)</f>
        <v>262969.51</v>
      </c>
      <c r="R44" s="34">
        <f>SUM(R35:R43)</f>
        <v>235047.14</v>
      </c>
      <c r="S44" s="34">
        <f>SUM(S35:S43)</f>
        <v>186342.65</v>
      </c>
      <c r="T44" s="34"/>
      <c r="U44" s="34">
        <f>SUM(U35:U43)</f>
        <v>859426.3600000001</v>
      </c>
      <c r="W44" s="25">
        <f t="shared" si="22"/>
        <v>0</v>
      </c>
    </row>
    <row r="45" spans="2:24" x14ac:dyDescent="0.2">
      <c r="C45" s="5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W45" s="25"/>
    </row>
    <row r="46" spans="2:24" x14ac:dyDescent="0.2">
      <c r="B46" s="8" t="s">
        <v>43</v>
      </c>
      <c r="C46" s="34">
        <f t="shared" ref="C46:N46" si="24">+C21+C29+C33+C44</f>
        <v>495827.25000000006</v>
      </c>
      <c r="D46" s="34">
        <f t="shared" si="24"/>
        <v>745088.42</v>
      </c>
      <c r="E46" s="34">
        <f t="shared" si="24"/>
        <v>629337.65</v>
      </c>
      <c r="F46" s="34">
        <f t="shared" si="24"/>
        <v>583641.6399999999</v>
      </c>
      <c r="G46" s="34">
        <f t="shared" si="24"/>
        <v>628120.46000000008</v>
      </c>
      <c r="H46" s="34">
        <f t="shared" si="24"/>
        <v>589151.60000000009</v>
      </c>
      <c r="I46" s="34">
        <f t="shared" si="24"/>
        <v>623813.71</v>
      </c>
      <c r="J46" s="34">
        <f t="shared" si="24"/>
        <v>583699.06000000006</v>
      </c>
      <c r="K46" s="34">
        <f t="shared" si="24"/>
        <v>485109.49000000005</v>
      </c>
      <c r="L46" s="34">
        <f t="shared" si="24"/>
        <v>492231.93</v>
      </c>
      <c r="M46" s="34">
        <f t="shared" si="24"/>
        <v>490920.25</v>
      </c>
      <c r="N46" s="34">
        <f t="shared" si="24"/>
        <v>528871.94999999995</v>
      </c>
      <c r="O46" s="34"/>
      <c r="P46" s="34">
        <f>+P21+P29+P33+P44</f>
        <v>1870253.32</v>
      </c>
      <c r="Q46" s="34">
        <f>+Q21+Q29+Q33+Q44</f>
        <v>1800913.7</v>
      </c>
      <c r="R46" s="34">
        <f>+R21+R29+R33+R44</f>
        <v>1692622.2599999998</v>
      </c>
      <c r="S46" s="34">
        <f>+S21+S29+S33+S44</f>
        <v>1512024.13</v>
      </c>
      <c r="T46" s="34"/>
      <c r="U46" s="34">
        <f>+U21+U29+U33+U44</f>
        <v>6875813.4100000011</v>
      </c>
      <c r="W46" s="25">
        <f>ROUND(SUM(P46:S46)-U46,2)</f>
        <v>0</v>
      </c>
      <c r="X46" s="5"/>
    </row>
    <row r="47" spans="2:24" x14ac:dyDescent="0.2">
      <c r="C47" s="5"/>
      <c r="D47" s="5"/>
      <c r="W47" s="25"/>
      <c r="X47" s="5"/>
    </row>
    <row r="48" spans="2:24" x14ac:dyDescent="0.2">
      <c r="B48" s="7" t="s">
        <v>33</v>
      </c>
      <c r="C48" s="5">
        <f>+'6 Other'!C18</f>
        <v>0</v>
      </c>
      <c r="D48" s="5">
        <f>+'6 Other'!D18</f>
        <v>0</v>
      </c>
      <c r="E48" s="5">
        <f>+'6 Other'!E18</f>
        <v>0</v>
      </c>
      <c r="F48" s="5">
        <f>+'6 Other'!F18</f>
        <v>0</v>
      </c>
      <c r="G48" s="5">
        <f>+'6 Other'!G18</f>
        <v>0</v>
      </c>
      <c r="H48" s="5">
        <f>+'6 Other'!H18</f>
        <v>0</v>
      </c>
      <c r="I48" s="5">
        <f>+'6 Other'!I18</f>
        <v>0</v>
      </c>
      <c r="J48" s="5">
        <f>+'6 Other'!J18</f>
        <v>0</v>
      </c>
      <c r="K48" s="5">
        <f>+'6 Other'!K18</f>
        <v>0</v>
      </c>
      <c r="L48" s="5">
        <f>+'6 Other'!L18</f>
        <v>0</v>
      </c>
      <c r="M48" s="5">
        <f>+'6 Other'!M18</f>
        <v>0</v>
      </c>
      <c r="N48" s="38">
        <f>+'6 Other'!N18</f>
        <v>0</v>
      </c>
      <c r="O48" s="4"/>
      <c r="P48" s="4">
        <f>SUM(C48:E48)</f>
        <v>0</v>
      </c>
      <c r="Q48" s="4">
        <f>SUM(F48:H48)</f>
        <v>0</v>
      </c>
      <c r="R48" s="4">
        <f>SUM(I48:K48)</f>
        <v>0</v>
      </c>
      <c r="S48" s="4">
        <f>SUM(L48:N48)</f>
        <v>0</v>
      </c>
      <c r="T48" s="4"/>
      <c r="U48" s="4">
        <f>SUM(C48:N48)</f>
        <v>0</v>
      </c>
      <c r="W48" s="25">
        <f t="shared" ref="W48:W54" si="25">ROUND(SUM(P48:S48)-U48,2)</f>
        <v>0</v>
      </c>
    </row>
    <row r="49" spans="2:23" x14ac:dyDescent="0.2">
      <c r="B49" s="7" t="s">
        <v>35</v>
      </c>
      <c r="C49" s="5">
        <f>+'6 Other'!C19</f>
        <v>0</v>
      </c>
      <c r="D49" s="5">
        <f>+'6 Other'!D19</f>
        <v>0</v>
      </c>
      <c r="E49" s="5">
        <f>+'6 Other'!E19</f>
        <v>0</v>
      </c>
      <c r="F49" s="5">
        <f>+'6 Other'!F19</f>
        <v>0</v>
      </c>
      <c r="G49" s="5">
        <f>+'6 Other'!G19</f>
        <v>0</v>
      </c>
      <c r="H49" s="5">
        <f>+'6 Other'!H19</f>
        <v>0</v>
      </c>
      <c r="I49" s="5">
        <f>+'6 Other'!I19</f>
        <v>0</v>
      </c>
      <c r="J49" s="5">
        <f>+'6 Other'!J19</f>
        <v>0</v>
      </c>
      <c r="K49" s="5">
        <f>+'6 Other'!K19</f>
        <v>0</v>
      </c>
      <c r="L49" s="5">
        <f>+'6 Other'!L19</f>
        <v>0</v>
      </c>
      <c r="M49" s="5">
        <f>+'6 Other'!M19</f>
        <v>0</v>
      </c>
      <c r="N49" s="38">
        <f>+'6 Other'!N19</f>
        <v>0</v>
      </c>
      <c r="O49" s="4"/>
      <c r="P49" s="4">
        <f t="shared" ref="P49:P53" si="26">SUM(C49:E49)</f>
        <v>0</v>
      </c>
      <c r="Q49" s="4">
        <f t="shared" ref="Q49:Q53" si="27">SUM(F49:H49)</f>
        <v>0</v>
      </c>
      <c r="R49" s="4">
        <f t="shared" ref="R49:R53" si="28">SUM(I49:K49)</f>
        <v>0</v>
      </c>
      <c r="S49" s="4">
        <f t="shared" ref="S49:S53" si="29">SUM(L49:N49)</f>
        <v>0</v>
      </c>
      <c r="T49" s="4"/>
      <c r="U49" s="4">
        <f t="shared" ref="U49:U53" si="30">SUM(C49:N49)</f>
        <v>0</v>
      </c>
      <c r="W49" s="25">
        <f t="shared" si="25"/>
        <v>0</v>
      </c>
    </row>
    <row r="50" spans="2:23" x14ac:dyDescent="0.2">
      <c r="B50" s="7" t="s">
        <v>16</v>
      </c>
      <c r="C50" s="5">
        <f>+'6 Other'!C20</f>
        <v>-5043.37</v>
      </c>
      <c r="D50" s="5">
        <f>+'6 Other'!D20</f>
        <v>-5518.34</v>
      </c>
      <c r="E50" s="5">
        <f>+'6 Other'!E20</f>
        <v>-4685.37</v>
      </c>
      <c r="F50" s="5">
        <f>+'6 Other'!F20</f>
        <v>-3686.29</v>
      </c>
      <c r="G50" s="5">
        <f>+'6 Other'!G20</f>
        <v>-2521.11</v>
      </c>
      <c r="H50" s="5">
        <f>+'6 Other'!H20</f>
        <v>-957.06</v>
      </c>
      <c r="I50" s="5">
        <f>+'6 Other'!I20</f>
        <v>-183.94</v>
      </c>
      <c r="J50" s="5">
        <f>+'6 Other'!J20</f>
        <v>0</v>
      </c>
      <c r="K50" s="5">
        <f>+'6 Other'!K20</f>
        <v>0</v>
      </c>
      <c r="L50" s="5">
        <f>+'6 Other'!L20</f>
        <v>0</v>
      </c>
      <c r="M50" s="5">
        <f>+'6 Other'!M20</f>
        <v>0</v>
      </c>
      <c r="N50" s="38">
        <f>+'6 Other'!N20</f>
        <v>0</v>
      </c>
      <c r="O50" s="4"/>
      <c r="P50" s="4">
        <f t="shared" si="26"/>
        <v>-15247.079999999998</v>
      </c>
      <c r="Q50" s="4">
        <f t="shared" si="27"/>
        <v>-7164.4599999999991</v>
      </c>
      <c r="R50" s="4">
        <f t="shared" si="28"/>
        <v>-183.94</v>
      </c>
      <c r="S50" s="4">
        <f t="shared" si="29"/>
        <v>0</v>
      </c>
      <c r="T50" s="4"/>
      <c r="U50" s="4">
        <f t="shared" si="30"/>
        <v>-22595.48</v>
      </c>
      <c r="W50" s="25">
        <f t="shared" si="25"/>
        <v>0</v>
      </c>
    </row>
    <row r="51" spans="2:23" x14ac:dyDescent="0.2">
      <c r="B51" s="7" t="s">
        <v>0</v>
      </c>
      <c r="C51" s="5">
        <f>+'6 Other'!C21</f>
        <v>0</v>
      </c>
      <c r="D51" s="5">
        <f>+'6 Other'!D21</f>
        <v>-1010.7</v>
      </c>
      <c r="E51" s="5">
        <f>+'6 Other'!E21</f>
        <v>0</v>
      </c>
      <c r="F51" s="5">
        <f>+'6 Other'!F21</f>
        <v>-1222.92</v>
      </c>
      <c r="G51" s="5">
        <f>+'6 Other'!G21</f>
        <v>-2784.15</v>
      </c>
      <c r="H51" s="5">
        <f>+'6 Other'!H21</f>
        <v>-1124.19</v>
      </c>
      <c r="I51" s="5">
        <f>+'6 Other'!I21</f>
        <v>-1126.1100000000001</v>
      </c>
      <c r="J51" s="5">
        <f>+'6 Other'!J21</f>
        <v>-105.74</v>
      </c>
      <c r="K51" s="5">
        <f>+'6 Other'!K21</f>
        <v>0</v>
      </c>
      <c r="L51" s="5">
        <f>+'6 Other'!L21</f>
        <v>0</v>
      </c>
      <c r="M51" s="5">
        <f>+'6 Other'!M21</f>
        <v>0</v>
      </c>
      <c r="N51" s="38">
        <f>+'6 Other'!N21</f>
        <v>0</v>
      </c>
      <c r="O51" s="4"/>
      <c r="P51" s="4">
        <f t="shared" si="26"/>
        <v>-1010.7</v>
      </c>
      <c r="Q51" s="4">
        <f t="shared" si="27"/>
        <v>-5131.26</v>
      </c>
      <c r="R51" s="4">
        <f t="shared" si="28"/>
        <v>-1231.8500000000001</v>
      </c>
      <c r="S51" s="4">
        <f t="shared" si="29"/>
        <v>0</v>
      </c>
      <c r="T51" s="4"/>
      <c r="U51" s="4">
        <f t="shared" si="30"/>
        <v>-7373.8100000000013</v>
      </c>
      <c r="W51" s="25">
        <f t="shared" si="25"/>
        <v>0</v>
      </c>
    </row>
    <row r="52" spans="2:23" x14ac:dyDescent="0.2">
      <c r="B52" s="7" t="s">
        <v>840</v>
      </c>
      <c r="C52" s="5">
        <f>+'6 Other'!C22</f>
        <v>0</v>
      </c>
      <c r="D52" s="5">
        <f>+'6 Other'!D22</f>
        <v>0</v>
      </c>
      <c r="E52" s="5">
        <f>+'6 Other'!E22</f>
        <v>0</v>
      </c>
      <c r="F52" s="5">
        <f>+'6 Other'!F22</f>
        <v>0</v>
      </c>
      <c r="G52" s="5">
        <f>+'6 Other'!G22</f>
        <v>0</v>
      </c>
      <c r="H52" s="5">
        <f>+'6 Other'!H22</f>
        <v>0</v>
      </c>
      <c r="I52" s="5">
        <f>+'6 Other'!I22</f>
        <v>0</v>
      </c>
      <c r="J52" s="5">
        <f>+'6 Other'!J22</f>
        <v>0</v>
      </c>
      <c r="K52" s="5">
        <f>+'6 Other'!K22</f>
        <v>0</v>
      </c>
      <c r="L52" s="5">
        <f>+'6 Other'!L22</f>
        <v>0</v>
      </c>
      <c r="M52" s="5">
        <f>+'6 Other'!M22</f>
        <v>0</v>
      </c>
      <c r="N52" s="38">
        <f>+'6 Other'!N22</f>
        <v>0</v>
      </c>
      <c r="O52" s="4"/>
      <c r="P52" s="4">
        <f t="shared" ref="P52" si="31">SUM(C52:E52)</f>
        <v>0</v>
      </c>
      <c r="Q52" s="4">
        <f t="shared" ref="Q52" si="32">SUM(F52:H52)</f>
        <v>0</v>
      </c>
      <c r="R52" s="4">
        <f t="shared" ref="R52" si="33">SUM(I52:K52)</f>
        <v>0</v>
      </c>
      <c r="S52" s="4">
        <f t="shared" ref="S52" si="34">SUM(L52:N52)</f>
        <v>0</v>
      </c>
      <c r="T52" s="4"/>
      <c r="U52" s="4">
        <f t="shared" ref="U52" si="35">SUM(C52:N52)</f>
        <v>0</v>
      </c>
      <c r="W52" s="25">
        <f t="shared" ref="W52" si="36">ROUND(SUM(P52:S52)-U52,2)</f>
        <v>0</v>
      </c>
    </row>
    <row r="53" spans="2:23" x14ac:dyDescent="0.2">
      <c r="B53" s="7" t="s">
        <v>26</v>
      </c>
      <c r="C53" s="5">
        <f>+'6 Other'!C23</f>
        <v>-246.35</v>
      </c>
      <c r="D53" s="5">
        <f>+'6 Other'!D23</f>
        <v>-433.54</v>
      </c>
      <c r="E53" s="5">
        <f>+'6 Other'!E23</f>
        <v>-471.18</v>
      </c>
      <c r="F53" s="5">
        <f>+'6 Other'!F23</f>
        <v>-346.98</v>
      </c>
      <c r="G53" s="5">
        <f>+'6 Other'!G23</f>
        <v>-328.78999999999996</v>
      </c>
      <c r="H53" s="5">
        <f>+'6 Other'!H23</f>
        <v>-692</v>
      </c>
      <c r="I53" s="5">
        <f>+'6 Other'!I23</f>
        <v>-386.11</v>
      </c>
      <c r="J53" s="5">
        <f>+'6 Other'!J23</f>
        <v>-335.21</v>
      </c>
      <c r="K53" s="5">
        <f>+'6 Other'!K23</f>
        <v>-324.17</v>
      </c>
      <c r="L53" s="5">
        <f>+'6 Other'!L23</f>
        <v>-341.29</v>
      </c>
      <c r="M53" s="5">
        <f>+'6 Other'!M23</f>
        <v>-311.16000000000003</v>
      </c>
      <c r="N53" s="38">
        <f>+'6 Other'!N23</f>
        <v>-400</v>
      </c>
      <c r="O53" s="4"/>
      <c r="P53" s="4">
        <f t="shared" si="26"/>
        <v>-1151.07</v>
      </c>
      <c r="Q53" s="4">
        <f t="shared" si="27"/>
        <v>-1367.77</v>
      </c>
      <c r="R53" s="4">
        <f t="shared" si="28"/>
        <v>-1045.49</v>
      </c>
      <c r="S53" s="4">
        <f t="shared" si="29"/>
        <v>-1052.45</v>
      </c>
      <c r="T53" s="4"/>
      <c r="U53" s="4">
        <f t="shared" si="30"/>
        <v>-4616.7800000000007</v>
      </c>
      <c r="W53" s="25">
        <f t="shared" si="25"/>
        <v>0</v>
      </c>
    </row>
    <row r="54" spans="2:23" x14ac:dyDescent="0.2">
      <c r="B54" s="7" t="s">
        <v>48</v>
      </c>
      <c r="C54" s="5">
        <f>+'6 Other'!C24</f>
        <v>7748.71</v>
      </c>
      <c r="D54" s="5">
        <f>+'6 Other'!D24</f>
        <v>8351.2900000000009</v>
      </c>
      <c r="E54" s="5">
        <f>+'6 Other'!E24</f>
        <v>8145.22</v>
      </c>
      <c r="F54" s="5">
        <f>+'6 Other'!F24</f>
        <v>6912.1</v>
      </c>
      <c r="G54" s="5">
        <f>+'6 Other'!G24</f>
        <v>5204.78</v>
      </c>
      <c r="H54" s="5">
        <f>+'6 Other'!H24</f>
        <v>3887.72</v>
      </c>
      <c r="I54" s="5">
        <f>+'6 Other'!I24</f>
        <v>3150.25</v>
      </c>
      <c r="J54" s="5">
        <f>+'6 Other'!J24</f>
        <v>2155.66</v>
      </c>
      <c r="K54" s="5">
        <f>+'6 Other'!K24</f>
        <v>1083.05</v>
      </c>
      <c r="L54" s="5">
        <f>+'6 Other'!L24</f>
        <v>613.20000000000005</v>
      </c>
      <c r="M54" s="5">
        <f>+'6 Other'!M24</f>
        <v>312.41000000000003</v>
      </c>
      <c r="N54" s="38">
        <f>+'6 Other'!N24</f>
        <v>300</v>
      </c>
      <c r="O54" s="4"/>
      <c r="P54" s="4">
        <f>SUM(C54:E54)</f>
        <v>24245.22</v>
      </c>
      <c r="Q54" s="4">
        <f>SUM(F54:H54)</f>
        <v>16004.6</v>
      </c>
      <c r="R54" s="4">
        <f>SUM(I54:K54)</f>
        <v>6388.96</v>
      </c>
      <c r="S54" s="4">
        <f>SUM(L54:N54)</f>
        <v>1225.6100000000001</v>
      </c>
      <c r="T54" s="4"/>
      <c r="U54" s="4">
        <f>SUM(C54:N54)</f>
        <v>47864.39</v>
      </c>
      <c r="W54" s="25">
        <f t="shared" si="25"/>
        <v>0</v>
      </c>
    </row>
    <row r="55" spans="2:23" x14ac:dyDescent="0.2">
      <c r="C55" s="5"/>
      <c r="D55" s="5"/>
      <c r="W55" s="25"/>
    </row>
    <row r="56" spans="2:23" x14ac:dyDescent="0.2">
      <c r="B56" s="1" t="s">
        <v>44</v>
      </c>
      <c r="C56" s="35">
        <v>3334341.02</v>
      </c>
      <c r="D56" s="5">
        <f>+C61</f>
        <v>3317111.04</v>
      </c>
      <c r="E56" s="5">
        <f t="shared" ref="E56:N56" si="37">+D61</f>
        <v>3677069.87</v>
      </c>
      <c r="F56" s="5">
        <f t="shared" si="37"/>
        <v>3325973.37</v>
      </c>
      <c r="G56" s="5">
        <f t="shared" si="37"/>
        <v>2956020.34</v>
      </c>
      <c r="H56" s="5">
        <f t="shared" si="37"/>
        <v>2520253.0099999998</v>
      </c>
      <c r="I56" s="5">
        <f t="shared" si="37"/>
        <v>2023283.28</v>
      </c>
      <c r="J56" s="5">
        <f t="shared" si="37"/>
        <v>1726104.66</v>
      </c>
      <c r="K56" s="5">
        <f t="shared" si="37"/>
        <v>1329558.9099999999</v>
      </c>
      <c r="L56" s="5">
        <f t="shared" si="37"/>
        <v>954185.8</v>
      </c>
      <c r="M56" s="5">
        <f t="shared" si="37"/>
        <v>736558.98</v>
      </c>
      <c r="N56" s="5">
        <f t="shared" si="37"/>
        <v>670150.07999999996</v>
      </c>
      <c r="O56" s="5"/>
      <c r="P56" s="5">
        <f>+C56</f>
        <v>3334341.02</v>
      </c>
      <c r="Q56" s="5">
        <f>+P61</f>
        <v>3325973</v>
      </c>
      <c r="R56" s="5">
        <f>+Q61</f>
        <v>2023283</v>
      </c>
      <c r="S56" s="5">
        <f>+R61</f>
        <v>954186</v>
      </c>
      <c r="T56" s="5"/>
      <c r="U56" s="5">
        <f>+P56</f>
        <v>3334341.02</v>
      </c>
      <c r="W56" s="25"/>
    </row>
    <row r="57" spans="2:23" x14ac:dyDescent="0.2">
      <c r="C57" s="5"/>
      <c r="D57" s="5"/>
      <c r="W57" s="25"/>
    </row>
    <row r="58" spans="2:23" x14ac:dyDescent="0.2">
      <c r="B58" s="7" t="s">
        <v>45</v>
      </c>
      <c r="C58" s="5">
        <f>C15-C46+SUM(C48:C54)</f>
        <v>-217229.40000000008</v>
      </c>
      <c r="D58" s="5">
        <f t="shared" ref="D58:N58" si="38">D15-D46+SUM(D48:D54)</f>
        <v>-390040.61000000004</v>
      </c>
      <c r="E58" s="4">
        <f t="shared" si="38"/>
        <v>-351096.50000000006</v>
      </c>
      <c r="F58" s="4">
        <f t="shared" si="38"/>
        <v>-369953.02999999991</v>
      </c>
      <c r="G58" s="4">
        <f t="shared" si="38"/>
        <v>-435767.33000000007</v>
      </c>
      <c r="H58" s="4">
        <f>H15-H46+SUM(H48:H54)</f>
        <v>-471969.7300000001</v>
      </c>
      <c r="I58" s="4">
        <f>I15-I46+SUM(I48:I54)</f>
        <v>-297178.61999999994</v>
      </c>
      <c r="J58" s="4">
        <f t="shared" si="38"/>
        <v>-396545.75000000006</v>
      </c>
      <c r="K58" s="4">
        <f t="shared" si="38"/>
        <v>-375373.11000000004</v>
      </c>
      <c r="L58" s="4">
        <f t="shared" si="38"/>
        <v>-217626.81999999998</v>
      </c>
      <c r="M58" s="4">
        <f t="shared" si="38"/>
        <v>-66408.900000000023</v>
      </c>
      <c r="N58" s="4">
        <f t="shared" si="38"/>
        <v>318960.65000000002</v>
      </c>
      <c r="O58" s="4"/>
      <c r="P58" s="4">
        <f>SUM(C58:E58)</f>
        <v>-958366.51000000024</v>
      </c>
      <c r="Q58" s="4">
        <f>SUM(F58:H58)</f>
        <v>-1277690.0900000001</v>
      </c>
      <c r="R58" s="4">
        <f>SUM(I58:K58)</f>
        <v>-1069097.48</v>
      </c>
      <c r="S58" s="4">
        <f>SUM(L58:N58)</f>
        <v>34924.930000000051</v>
      </c>
      <c r="T58" s="4"/>
      <c r="U58" s="4">
        <f>SUM(C58:N58)</f>
        <v>-3270229.15</v>
      </c>
      <c r="W58" s="25">
        <f>ROUND(SUM(P58:S58)-U58,2)</f>
        <v>0</v>
      </c>
    </row>
    <row r="59" spans="2:23" x14ac:dyDescent="0.2">
      <c r="B59" s="7" t="s">
        <v>50</v>
      </c>
      <c r="C59" s="5">
        <f>+'6 Other'!C29</f>
        <v>199999.41999999998</v>
      </c>
      <c r="D59" s="5">
        <f>+'6 Other'!D29</f>
        <v>749999.44</v>
      </c>
      <c r="E59" s="5">
        <f>+'6 Other'!E29</f>
        <v>0</v>
      </c>
      <c r="F59" s="5">
        <f>+'6 Other'!F29</f>
        <v>0</v>
      </c>
      <c r="G59" s="5">
        <f>+'6 Other'!G29</f>
        <v>0</v>
      </c>
      <c r="H59" s="5">
        <f>+'6 Other'!H29</f>
        <v>-25000</v>
      </c>
      <c r="I59" s="5">
        <f>+'6 Other'!I29</f>
        <v>0</v>
      </c>
      <c r="J59" s="5">
        <f>+'6 Other'!J29</f>
        <v>0</v>
      </c>
      <c r="K59" s="5">
        <f>+'6 Other'!K29</f>
        <v>0</v>
      </c>
      <c r="L59" s="5">
        <f>+'6 Other'!L29</f>
        <v>0</v>
      </c>
      <c r="M59" s="5">
        <f>+'6 Other'!M29</f>
        <v>0</v>
      </c>
      <c r="N59" s="38">
        <f>+'6 Other'!N29</f>
        <v>-25000</v>
      </c>
      <c r="O59" s="4"/>
      <c r="P59" s="4">
        <f t="shared" ref="P59" si="39">SUM(C59:E59)</f>
        <v>949998.85999999987</v>
      </c>
      <c r="Q59" s="4">
        <f t="shared" ref="Q59" si="40">SUM(F59:H59)</f>
        <v>-25000</v>
      </c>
      <c r="R59" s="4">
        <f t="shared" ref="R59" si="41">SUM(I59:K59)</f>
        <v>0</v>
      </c>
      <c r="S59" s="4">
        <f t="shared" ref="S59" si="42">SUM(L59:N59)</f>
        <v>-25000</v>
      </c>
      <c r="T59" s="4"/>
      <c r="U59" s="4">
        <f t="shared" ref="U59" si="43">SUM(C59:N59)</f>
        <v>899998.85999999987</v>
      </c>
      <c r="W59" s="25">
        <f t="shared" ref="W59" si="44">ROUND(SUM(P59:S59)-U59,2)</f>
        <v>0</v>
      </c>
    </row>
    <row r="60" spans="2:23" x14ac:dyDescent="0.2">
      <c r="B60" s="7"/>
      <c r="C60" s="5"/>
      <c r="D60" s="5"/>
      <c r="W60" s="3"/>
    </row>
    <row r="61" spans="2:23" x14ac:dyDescent="0.2">
      <c r="B61" s="8" t="s">
        <v>46</v>
      </c>
      <c r="C61" s="34">
        <f>ROUND(+C56+C58+C59,2)</f>
        <v>3317111.04</v>
      </c>
      <c r="D61" s="34">
        <f t="shared" ref="D61:M61" si="45">ROUND(+D56+D58+D59,2)</f>
        <v>3677069.87</v>
      </c>
      <c r="E61" s="34">
        <f t="shared" si="45"/>
        <v>3325973.37</v>
      </c>
      <c r="F61" s="34">
        <f t="shared" si="45"/>
        <v>2956020.34</v>
      </c>
      <c r="G61" s="34">
        <f t="shared" si="45"/>
        <v>2520253.0099999998</v>
      </c>
      <c r="H61" s="34">
        <f t="shared" si="45"/>
        <v>2023283.28</v>
      </c>
      <c r="I61" s="34">
        <f>ROUND(+I56+I58+I59,2)</f>
        <v>1726104.66</v>
      </c>
      <c r="J61" s="34">
        <f t="shared" si="45"/>
        <v>1329558.9099999999</v>
      </c>
      <c r="K61" s="34">
        <f t="shared" si="45"/>
        <v>954185.8</v>
      </c>
      <c r="L61" s="34">
        <f t="shared" si="45"/>
        <v>736558.98</v>
      </c>
      <c r="M61" s="34">
        <f t="shared" si="45"/>
        <v>670150.07999999996</v>
      </c>
      <c r="N61" s="34">
        <f>ROUND(+N56+N58+N59,2)</f>
        <v>964110.73</v>
      </c>
      <c r="O61" s="34"/>
      <c r="P61" s="34">
        <f>ROUND(+P56+P58+P59,0)</f>
        <v>3325973</v>
      </c>
      <c r="Q61" s="34">
        <f t="shared" ref="Q61:S61" si="46">ROUND(+Q56+Q58+Q59,0)</f>
        <v>2023283</v>
      </c>
      <c r="R61" s="34">
        <f t="shared" si="46"/>
        <v>954186</v>
      </c>
      <c r="S61" s="34">
        <f t="shared" si="46"/>
        <v>964111</v>
      </c>
      <c r="T61" s="34"/>
      <c r="U61" s="34">
        <f>ROUND(+U56+U58+U59,0)</f>
        <v>964111</v>
      </c>
      <c r="W61" s="3"/>
    </row>
    <row r="62" spans="2:23" x14ac:dyDescent="0.2">
      <c r="C62" s="4"/>
      <c r="G62" s="4"/>
      <c r="H62" s="4"/>
      <c r="I62" s="4"/>
      <c r="J62" s="4"/>
      <c r="K62" s="4"/>
      <c r="L62" s="4"/>
      <c r="M62" s="4"/>
      <c r="N62" s="4"/>
    </row>
    <row r="63" spans="2:23" x14ac:dyDescent="0.2">
      <c r="B63" s="1" t="s">
        <v>192</v>
      </c>
      <c r="C63" s="4">
        <f t="shared" ref="C63:N63" si="47">+C15</f>
        <v>276138.86</v>
      </c>
      <c r="D63" s="4">
        <f t="shared" si="47"/>
        <v>353659.1</v>
      </c>
      <c r="E63" s="4">
        <f t="shared" si="47"/>
        <v>275252.47999999998</v>
      </c>
      <c r="F63" s="4">
        <f t="shared" si="47"/>
        <v>212032.7</v>
      </c>
      <c r="G63" s="4">
        <f t="shared" si="47"/>
        <v>192782.4</v>
      </c>
      <c r="H63" s="4">
        <f t="shared" si="47"/>
        <v>116067.4</v>
      </c>
      <c r="I63" s="4">
        <f t="shared" si="47"/>
        <v>325181</v>
      </c>
      <c r="J63" s="4">
        <f t="shared" si="47"/>
        <v>185438.6</v>
      </c>
      <c r="K63" s="4">
        <f t="shared" si="47"/>
        <v>108977.5</v>
      </c>
      <c r="L63" s="4">
        <f t="shared" si="47"/>
        <v>274333.2</v>
      </c>
      <c r="M63" s="4">
        <f t="shared" si="47"/>
        <v>424510.1</v>
      </c>
      <c r="N63" s="4">
        <f t="shared" si="47"/>
        <v>847932.6</v>
      </c>
      <c r="P63" s="4">
        <f>+P15</f>
        <v>905050.44</v>
      </c>
      <c r="Q63" s="4">
        <f>+Q15</f>
        <v>520882.5</v>
      </c>
      <c r="R63" s="4">
        <f>+R15</f>
        <v>619597.1</v>
      </c>
      <c r="S63" s="4">
        <f>+S15</f>
        <v>1546775.9</v>
      </c>
      <c r="U63" s="4">
        <f>+U15</f>
        <v>3592305.94</v>
      </c>
    </row>
    <row r="64" spans="2:23" x14ac:dyDescent="0.2">
      <c r="B64" s="1" t="s">
        <v>193</v>
      </c>
      <c r="C64" s="4">
        <f t="shared" ref="C64:N64" si="48">SUM(C17:C18,C23:C24)</f>
        <v>237094.68600000002</v>
      </c>
      <c r="D64" s="4">
        <f t="shared" si="48"/>
        <v>373512.68800000002</v>
      </c>
      <c r="E64" s="4">
        <f t="shared" si="48"/>
        <v>223536.75750000001</v>
      </c>
      <c r="F64" s="4">
        <f t="shared" si="48"/>
        <v>187863.7805882353</v>
      </c>
      <c r="G64" s="4">
        <f t="shared" si="48"/>
        <v>191763.049375</v>
      </c>
      <c r="H64" s="4">
        <f t="shared" si="48"/>
        <v>197231.83117647062</v>
      </c>
      <c r="I64" s="4">
        <f t="shared" si="48"/>
        <v>187788.92176470588</v>
      </c>
      <c r="J64" s="4">
        <f t="shared" si="48"/>
        <v>186132.84222222224</v>
      </c>
      <c r="K64" s="4">
        <f t="shared" si="48"/>
        <v>188525.38</v>
      </c>
      <c r="L64" s="4">
        <f t="shared" si="48"/>
        <v>194858.93333333332</v>
      </c>
      <c r="M64" s="4">
        <f t="shared" si="48"/>
        <v>195112.19500000001</v>
      </c>
      <c r="N64" s="4">
        <f t="shared" si="48"/>
        <v>194610</v>
      </c>
      <c r="P64" s="4">
        <f>SUM(P17:P18,P23:P24)</f>
        <v>834144.13150000002</v>
      </c>
      <c r="Q64" s="4">
        <f>SUM(Q17:Q18,Q23:Q24)</f>
        <v>576858.66113970592</v>
      </c>
      <c r="R64" s="4">
        <f>SUM(R17:R18,R23:R24)</f>
        <v>562447.14398692804</v>
      </c>
      <c r="S64" s="4">
        <f>SUM(S17:S18,S23:S24)</f>
        <v>584581.1283333333</v>
      </c>
      <c r="U64" s="4">
        <f>SUM(U17:U18,U23:U24)</f>
        <v>2558031.0649599675</v>
      </c>
    </row>
    <row r="65" spans="2:21" x14ac:dyDescent="0.2">
      <c r="B65" s="1" t="s">
        <v>194</v>
      </c>
      <c r="C65" s="4">
        <f>+C63-C64</f>
        <v>39044.17399999997</v>
      </c>
      <c r="D65" s="4">
        <f t="shared" ref="D65:N65" si="49">+D63-D64</f>
        <v>-19853.588000000047</v>
      </c>
      <c r="E65" s="4">
        <f t="shared" si="49"/>
        <v>51715.722499999974</v>
      </c>
      <c r="F65" s="4">
        <f t="shared" si="49"/>
        <v>24168.919411764713</v>
      </c>
      <c r="G65" s="4">
        <f t="shared" si="49"/>
        <v>1019.3506249999919</v>
      </c>
      <c r="H65" s="4">
        <f t="shared" si="49"/>
        <v>-81164.431176470622</v>
      </c>
      <c r="I65" s="4">
        <f t="shared" si="49"/>
        <v>137392.07823529412</v>
      </c>
      <c r="J65" s="4">
        <f t="shared" si="49"/>
        <v>-694.24222222223761</v>
      </c>
      <c r="K65" s="4">
        <f t="shared" si="49"/>
        <v>-79547.88</v>
      </c>
      <c r="L65" s="4">
        <f t="shared" si="49"/>
        <v>79474.266666666692</v>
      </c>
      <c r="M65" s="4">
        <f t="shared" si="49"/>
        <v>229397.90499999997</v>
      </c>
      <c r="N65" s="4">
        <f t="shared" si="49"/>
        <v>653322.6</v>
      </c>
      <c r="P65" s="4">
        <f t="shared" ref="P65" si="50">+P63-P64</f>
        <v>70906.308499999926</v>
      </c>
      <c r="Q65" s="4">
        <f t="shared" ref="Q65" si="51">+Q63-Q64</f>
        <v>-55976.161139705917</v>
      </c>
      <c r="R65" s="4">
        <f t="shared" ref="R65" si="52">+R63-R64</f>
        <v>57149.956013071933</v>
      </c>
      <c r="S65" s="4">
        <f t="shared" ref="S65:U65" si="53">+S63-S64</f>
        <v>962194.77166666661</v>
      </c>
      <c r="U65" s="4">
        <f t="shared" si="53"/>
        <v>1034274.8750400324</v>
      </c>
    </row>
    <row r="66" spans="2:21" x14ac:dyDescent="0.2">
      <c r="B66" s="1" t="s">
        <v>195</v>
      </c>
      <c r="C66" s="40">
        <f>+C65/C63</f>
        <v>0.14139326134684546</v>
      </c>
      <c r="D66" s="40">
        <f t="shared" ref="D66:N66" si="54">+D65/D63</f>
        <v>-5.6137642153135742E-2</v>
      </c>
      <c r="E66" s="40">
        <f t="shared" si="54"/>
        <v>0.187884674099939</v>
      </c>
      <c r="F66" s="40">
        <f t="shared" si="54"/>
        <v>0.11398675492867238</v>
      </c>
      <c r="G66" s="40">
        <f t="shared" si="54"/>
        <v>5.2875709867705343E-3</v>
      </c>
      <c r="H66" s="40">
        <f t="shared" si="54"/>
        <v>-0.69928706231440207</v>
      </c>
      <c r="I66" s="40">
        <f t="shared" si="54"/>
        <v>0.42250955078954217</v>
      </c>
      <c r="J66" s="40">
        <f t="shared" si="54"/>
        <v>-3.743784855053034E-3</v>
      </c>
      <c r="K66" s="40">
        <f t="shared" si="54"/>
        <v>-0.72994774150627428</v>
      </c>
      <c r="L66" s="40">
        <f t="shared" si="54"/>
        <v>0.28969977628178684</v>
      </c>
      <c r="M66" s="40">
        <f t="shared" si="54"/>
        <v>0.54038267876312007</v>
      </c>
      <c r="N66" s="40">
        <f t="shared" si="54"/>
        <v>0.77048883366437382</v>
      </c>
      <c r="P66" s="40">
        <f t="shared" ref="P66" si="55">+P65/P63</f>
        <v>7.8345145603155475E-2</v>
      </c>
      <c r="Q66" s="40">
        <f t="shared" ref="Q66" si="56">+Q65/Q63</f>
        <v>-0.10746408477863226</v>
      </c>
      <c r="R66" s="40">
        <f t="shared" ref="R66" si="57">+R65/R63</f>
        <v>9.2237287768248008E-2</v>
      </c>
      <c r="S66" s="40">
        <f t="shared" ref="S66:U66" si="58">+S65/S63</f>
        <v>0.62206475525424643</v>
      </c>
      <c r="U66" s="40">
        <f t="shared" si="58"/>
        <v>0.2879139172205451</v>
      </c>
    </row>
    <row r="67" spans="2:21" x14ac:dyDescent="0.2">
      <c r="C67" s="4"/>
    </row>
    <row r="68" spans="2:21" x14ac:dyDescent="0.2">
      <c r="C68" s="4"/>
      <c r="F68" s="4"/>
      <c r="G68" s="4"/>
    </row>
    <row r="69" spans="2:21" x14ac:dyDescent="0.2">
      <c r="B69" s="7" t="s">
        <v>300</v>
      </c>
      <c r="C69" s="4">
        <f>+'2025 CF Basic'!E57</f>
        <v>500000</v>
      </c>
      <c r="D69" s="4">
        <f>+'2025 CF Basic'!F57</f>
        <v>500798.3</v>
      </c>
      <c r="E69" s="4">
        <f>+'2025 CF Basic'!G57</f>
        <v>500000</v>
      </c>
      <c r="F69" s="4">
        <f>+'2025 CF Basic'!H57</f>
        <v>500000</v>
      </c>
      <c r="G69" s="4">
        <f>+'2025 CF Basic'!I57</f>
        <v>498031.75</v>
      </c>
      <c r="H69" s="4">
        <f>+'2025 CF Basic'!J57</f>
        <v>498031.75</v>
      </c>
      <c r="I69" s="4">
        <f>+'2025 CF Basic'!K57</f>
        <v>500000</v>
      </c>
      <c r="J69" s="4">
        <f>+'2025 CF Basic'!L57</f>
        <v>500000</v>
      </c>
      <c r="K69" s="4">
        <f>+'2025 CF Basic'!M57</f>
        <v>527225</v>
      </c>
      <c r="L69" s="4">
        <f>+'2025 CF Basic'!N57</f>
        <v>500000</v>
      </c>
      <c r="M69" s="4">
        <f>+'2025 CF Basic'!O57</f>
        <v>503545.63</v>
      </c>
      <c r="P69" s="4"/>
    </row>
    <row r="70" spans="2:21" x14ac:dyDescent="0.2">
      <c r="B70" s="7" t="s">
        <v>440</v>
      </c>
      <c r="C70" s="4">
        <f>+'2025 CF Basic'!E58</f>
        <v>2817111.04</v>
      </c>
      <c r="D70" s="4">
        <f>+'2025 CF Basic'!F58</f>
        <v>3176271.51</v>
      </c>
      <c r="E70" s="4">
        <f>+'2025 CF Basic'!G58</f>
        <v>2825973.37</v>
      </c>
      <c r="F70" s="4">
        <f>+'2025 CF Basic'!H58</f>
        <v>2456020.34</v>
      </c>
      <c r="G70" s="4">
        <f>+'2025 CF Basic'!I58</f>
        <v>2026357.09</v>
      </c>
      <c r="H70" s="4">
        <f>+'2025 CF Basic'!J58</f>
        <v>1534856.65</v>
      </c>
      <c r="I70" s="4">
        <f>+'2025 CF Basic'!K58</f>
        <v>1245038.32</v>
      </c>
      <c r="J70" s="4">
        <f>+'2025 CF Basic'!L58</f>
        <v>854556</v>
      </c>
      <c r="K70" s="4">
        <f>+'2025 CF Basic'!M58</f>
        <v>431341.05</v>
      </c>
      <c r="L70" s="4">
        <f>+'2025 CF Basic'!N58</f>
        <v>253130.53</v>
      </c>
      <c r="M70" s="4">
        <f>+'2025 CF Basic'!O58</f>
        <v>183353.64</v>
      </c>
      <c r="P70" s="4"/>
    </row>
    <row r="71" spans="2:21" x14ac:dyDescent="0.2">
      <c r="B71" s="7" t="s">
        <v>1048</v>
      </c>
      <c r="C71" s="4">
        <f>+'2025 CF Basic'!E59</f>
        <v>0</v>
      </c>
      <c r="D71" s="4">
        <f>+'2025 CF Basic'!F59</f>
        <v>0</v>
      </c>
      <c r="E71" s="4">
        <f>+'2025 CF Basic'!G59</f>
        <v>0</v>
      </c>
      <c r="F71" s="4">
        <f>+'2025 CF Basic'!H59</f>
        <v>0</v>
      </c>
      <c r="G71" s="4">
        <f>+'2025 CF Basic'!I59</f>
        <v>-4135.83</v>
      </c>
      <c r="H71" s="4">
        <f>+'2025 CF Basic'!J59</f>
        <v>-9605.1200000000008</v>
      </c>
      <c r="I71" s="4">
        <f>+'2025 CF Basic'!K59</f>
        <v>-18933.66</v>
      </c>
      <c r="J71" s="4">
        <f>+'2025 CF Basic'!L59</f>
        <v>-24997.09</v>
      </c>
      <c r="K71" s="4">
        <f>+'2025 CF Basic'!M59</f>
        <v>-4380.25</v>
      </c>
      <c r="L71" s="4">
        <f>+'2025 CF Basic'!N59</f>
        <v>-16571.55</v>
      </c>
      <c r="M71" s="4">
        <f>+'2025 CF Basic'!O59</f>
        <v>-16749.189999999999</v>
      </c>
      <c r="P71" s="4"/>
    </row>
    <row r="72" spans="2:21" x14ac:dyDescent="0.2"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P72" s="4"/>
    </row>
    <row r="73" spans="2:21" x14ac:dyDescent="0.2">
      <c r="B73" s="1" t="s">
        <v>13</v>
      </c>
      <c r="C73" s="87">
        <f>ROUND(+C61-SUM(C69:C71),2)</f>
        <v>0</v>
      </c>
      <c r="D73" s="87">
        <f t="shared" ref="D73:H73" si="59">ROUND(+D61-SUM(D69:D71),2)</f>
        <v>0.06</v>
      </c>
      <c r="E73" s="87">
        <f t="shared" si="59"/>
        <v>0</v>
      </c>
      <c r="F73" s="87">
        <f t="shared" si="59"/>
        <v>0</v>
      </c>
      <c r="G73" s="87">
        <f t="shared" si="59"/>
        <v>0</v>
      </c>
      <c r="H73" s="87">
        <f t="shared" si="59"/>
        <v>0</v>
      </c>
      <c r="I73" s="87">
        <f t="shared" ref="I73:J73" si="60">ROUND(+I61-SUM(I69:I71),2)</f>
        <v>0</v>
      </c>
      <c r="J73" s="87">
        <f t="shared" si="60"/>
        <v>0</v>
      </c>
      <c r="K73" s="87">
        <f t="shared" ref="K73:L73" si="61">ROUND(+K61-SUM(K69:K71),2)</f>
        <v>0</v>
      </c>
      <c r="L73" s="87">
        <f t="shared" si="61"/>
        <v>0</v>
      </c>
      <c r="M73" s="87">
        <f>ROUND(+M61-SUM(M69:M71),2)</f>
        <v>0</v>
      </c>
    </row>
    <row r="74" spans="2:21" x14ac:dyDescent="0.2">
      <c r="C74" s="4"/>
      <c r="P74" s="4"/>
    </row>
    <row r="75" spans="2:21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P75" s="4"/>
      <c r="Q75" s="4"/>
      <c r="R75" s="4"/>
      <c r="S75" s="4"/>
      <c r="U75" s="4"/>
    </row>
    <row r="76" spans="2:21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P76" s="4"/>
      <c r="Q76" s="4"/>
      <c r="R76" s="4"/>
      <c r="S76" s="4"/>
      <c r="U76" s="4"/>
    </row>
    <row r="77" spans="2:21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P77" s="4"/>
      <c r="Q77" s="4"/>
      <c r="R77" s="4"/>
      <c r="S77" s="4"/>
      <c r="U77" s="4"/>
    </row>
    <row r="78" spans="2:21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P78" s="4"/>
      <c r="Q78" s="4"/>
      <c r="R78" s="4"/>
      <c r="S78" s="4"/>
      <c r="U78" s="4"/>
    </row>
    <row r="80" spans="2:21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P80" s="4"/>
      <c r="Q80" s="4"/>
      <c r="R80" s="4"/>
      <c r="S80" s="4"/>
      <c r="U80" s="4"/>
    </row>
    <row r="81" spans="3:21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P81" s="4"/>
      <c r="Q81" s="4"/>
      <c r="R81" s="4"/>
      <c r="S81" s="4"/>
      <c r="U81" s="4"/>
    </row>
    <row r="82" spans="3:21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P82" s="4"/>
      <c r="Q82" s="4"/>
      <c r="R82" s="4"/>
      <c r="S82" s="4"/>
      <c r="U82" s="4"/>
    </row>
    <row r="83" spans="3:21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P83" s="4"/>
      <c r="Q83" s="4"/>
      <c r="R83" s="4"/>
      <c r="S83" s="4"/>
      <c r="U83" s="4"/>
    </row>
    <row r="84" spans="3:21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P84" s="4"/>
      <c r="Q84" s="4"/>
      <c r="R84" s="4"/>
      <c r="S84" s="4"/>
      <c r="U84" s="4"/>
    </row>
    <row r="85" spans="3:21" x14ac:dyDescent="0.2">
      <c r="I85" s="4"/>
      <c r="J85" s="4"/>
      <c r="K85" s="4"/>
      <c r="L85" s="4"/>
      <c r="M85" s="4"/>
      <c r="N85" s="4"/>
    </row>
    <row r="86" spans="3:21" x14ac:dyDescent="0.2">
      <c r="I86" s="4"/>
      <c r="J86" s="4"/>
      <c r="K86" s="4"/>
      <c r="L86" s="4"/>
      <c r="M86" s="4"/>
      <c r="N86" s="4"/>
    </row>
    <row r="87" spans="3:21" x14ac:dyDescent="0.2">
      <c r="J87" s="4"/>
      <c r="K87" s="4"/>
      <c r="L87" s="4"/>
      <c r="M87" s="4"/>
      <c r="N87" s="4"/>
    </row>
    <row r="88" spans="3:21" x14ac:dyDescent="0.2">
      <c r="I88" s="4"/>
      <c r="J88" s="4"/>
      <c r="K88" s="4"/>
      <c r="L88" s="4"/>
      <c r="M88" s="4"/>
      <c r="N88" s="4"/>
    </row>
    <row r="89" spans="3:21" x14ac:dyDescent="0.2">
      <c r="I89" s="4"/>
      <c r="J89" s="4"/>
      <c r="K89" s="4"/>
      <c r="L89" s="4"/>
      <c r="M89" s="4"/>
      <c r="N89" s="4"/>
    </row>
    <row r="90" spans="3:21" x14ac:dyDescent="0.2">
      <c r="I90" s="4"/>
      <c r="J90" s="4"/>
      <c r="K90" s="4"/>
      <c r="L90" s="4"/>
      <c r="M90" s="4"/>
      <c r="N90" s="4"/>
    </row>
  </sheetData>
  <pageMargins left="0.25" right="0.25" top="0.75" bottom="0.75" header="0.3" footer="0.3"/>
  <pageSetup scale="5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DB77-98A1-4075-8F1D-74AF1171FD17}">
  <sheetPr>
    <pageSetUpPr fitToPage="1"/>
  </sheetPr>
  <dimension ref="A2:AB73"/>
  <sheetViews>
    <sheetView workbookViewId="0">
      <pane xSplit="4" ySplit="3" topLeftCell="E26" activePane="bottomRight" state="frozen"/>
      <selection activeCell="D1" sqref="D1"/>
      <selection pane="topRight" activeCell="E1" sqref="E1"/>
      <selection pane="bottomLeft" activeCell="D4" sqref="D4"/>
      <selection pane="bottomRight" activeCell="W55" sqref="W55"/>
    </sheetView>
  </sheetViews>
  <sheetFormatPr baseColWidth="10" defaultColWidth="9.1640625" defaultRowHeight="14" x14ac:dyDescent="0.2"/>
  <cols>
    <col min="1" max="1" width="2.6640625" style="1" hidden="1" customWidth="1"/>
    <col min="2" max="2" width="27.5" style="1" hidden="1" customWidth="1"/>
    <col min="3" max="3" width="2.6640625" style="1" customWidth="1"/>
    <col min="4" max="4" width="30.6640625" style="1" customWidth="1"/>
    <col min="5" max="16" width="10.6640625" style="1" customWidth="1"/>
    <col min="17" max="17" width="2.6640625" style="1" customWidth="1"/>
    <col min="18" max="21" width="10.6640625" style="1" customWidth="1"/>
    <col min="22" max="22" width="2.6640625" style="1" customWidth="1"/>
    <col min="23" max="23" width="10.6640625" style="1" customWidth="1"/>
    <col min="24" max="24" width="2.6640625" style="1" customWidth="1"/>
    <col min="25" max="25" width="6.6640625" style="1" customWidth="1"/>
    <col min="26" max="26" width="10.5" style="1" bestFit="1" customWidth="1"/>
    <col min="27" max="16384" width="9.1640625" style="1"/>
  </cols>
  <sheetData>
    <row r="2" spans="2:26" x14ac:dyDescent="0.2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2025</v>
      </c>
      <c r="Y2" s="3" t="s">
        <v>13</v>
      </c>
    </row>
    <row r="3" spans="2:26" x14ac:dyDescent="0.2">
      <c r="D3" s="24" t="str">
        <f>+Version!$C$3</f>
        <v>Y2025 12 v001</v>
      </c>
      <c r="Y3" s="3"/>
    </row>
    <row r="4" spans="2:26" x14ac:dyDescent="0.2">
      <c r="D4" s="24"/>
      <c r="Y4" s="3"/>
    </row>
    <row r="5" spans="2:26" x14ac:dyDescent="0.2">
      <c r="B5" s="3"/>
      <c r="D5" s="7" t="s">
        <v>63</v>
      </c>
      <c r="E5" s="5">
        <f>+'1 Collections'!E29</f>
        <v>80791.899999999994</v>
      </c>
      <c r="F5" s="5">
        <f>+'1 Collections'!F29</f>
        <v>26087.5</v>
      </c>
      <c r="G5" s="5">
        <f>+'1 Collections'!G29</f>
        <v>37975</v>
      </c>
      <c r="H5" s="5">
        <f>+'1 Collections'!H29</f>
        <v>30025</v>
      </c>
      <c r="I5" s="5">
        <f>+'1 Collections'!I29</f>
        <v>24950</v>
      </c>
      <c r="J5" s="5">
        <f>+'1 Collections'!J29</f>
        <v>13706.25</v>
      </c>
      <c r="K5" s="5">
        <f>+'1 Collections'!K29</f>
        <v>15950</v>
      </c>
      <c r="L5" s="5">
        <f>+'1 Collections'!L29</f>
        <v>5192.5</v>
      </c>
      <c r="M5" s="5">
        <f>+'1 Collections'!M29</f>
        <v>7367.5</v>
      </c>
      <c r="N5" s="5">
        <f>+'1 Collections'!N29</f>
        <v>2680</v>
      </c>
      <c r="O5" s="5">
        <f>+'1 Collections'!O29</f>
        <v>1930</v>
      </c>
      <c r="P5" s="38">
        <f>+'1 Collections'!P29</f>
        <v>1930</v>
      </c>
      <c r="Q5" s="4"/>
      <c r="R5" s="4">
        <f>SUM(E5:G5)</f>
        <v>144854.39999999999</v>
      </c>
      <c r="S5" s="4">
        <f>SUM(H5:J5)</f>
        <v>68681.25</v>
      </c>
      <c r="T5" s="4">
        <f>SUM(K5:M5)</f>
        <v>28510</v>
      </c>
      <c r="U5" s="4">
        <f>SUM(N5:P5)</f>
        <v>6540</v>
      </c>
      <c r="V5" s="4"/>
      <c r="W5" s="4">
        <f>SUM(E5:P5)</f>
        <v>248585.65</v>
      </c>
      <c r="Y5" s="25">
        <f>ROUND(SUM(R5:U5)-W5,2)</f>
        <v>0</v>
      </c>
    </row>
    <row r="6" spans="2:26" x14ac:dyDescent="0.2">
      <c r="D6" s="7" t="s">
        <v>87</v>
      </c>
      <c r="E6" s="5">
        <f>+'1 Collections'!E30</f>
        <v>162319.6</v>
      </c>
      <c r="F6" s="5">
        <f>+'1 Collections'!F30</f>
        <v>101637.6</v>
      </c>
      <c r="G6" s="5">
        <f>+'1 Collections'!G30</f>
        <v>110984.5</v>
      </c>
      <c r="H6" s="5">
        <f>+'1 Collections'!H30</f>
        <v>145135.20000000001</v>
      </c>
      <c r="I6" s="5">
        <f>+'1 Collections'!I30</f>
        <v>165203.6</v>
      </c>
      <c r="J6" s="5">
        <f>+'1 Collections'!J30</f>
        <v>39277.599999999999</v>
      </c>
      <c r="K6" s="5">
        <f>+'1 Collections'!K30</f>
        <v>166597.6</v>
      </c>
      <c r="L6" s="5">
        <f>+'1 Collections'!L30</f>
        <v>57512</v>
      </c>
      <c r="M6" s="5">
        <f>+'1 Collections'!M30</f>
        <v>57500</v>
      </c>
      <c r="N6" s="5">
        <f>+'1 Collections'!N30</f>
        <v>163189.5</v>
      </c>
      <c r="O6" s="5">
        <f>+'1 Collections'!O30</f>
        <v>233341.5</v>
      </c>
      <c r="P6" s="38">
        <f>+'1 Collections'!P30</f>
        <v>138214</v>
      </c>
      <c r="Q6" s="4"/>
      <c r="R6" s="4">
        <f>SUM(E6:G6)</f>
        <v>374941.7</v>
      </c>
      <c r="S6" s="4">
        <f>SUM(H6:J6)</f>
        <v>349616.4</v>
      </c>
      <c r="T6" s="4">
        <f>SUM(K6:M6)</f>
        <v>281609.59999999998</v>
      </c>
      <c r="U6" s="4">
        <f>SUM(N6:P6)</f>
        <v>534745</v>
      </c>
      <c r="V6" s="4"/>
      <c r="W6" s="4">
        <f>SUM(E6:P6)</f>
        <v>1540912.7</v>
      </c>
      <c r="Y6" s="25">
        <f>ROUND(SUM(R6:U6)-W6,2)</f>
        <v>0</v>
      </c>
    </row>
    <row r="7" spans="2:26" x14ac:dyDescent="0.2">
      <c r="D7" s="7" t="s">
        <v>549</v>
      </c>
      <c r="E7" s="5">
        <f>+'1 Collections'!E31</f>
        <v>33027.360000000001</v>
      </c>
      <c r="F7" s="5">
        <f>+'1 Collections'!F31</f>
        <v>175934</v>
      </c>
      <c r="G7" s="5">
        <f>+'1 Collections'!G31</f>
        <v>0</v>
      </c>
      <c r="H7" s="5">
        <f>+'1 Collections'!H31</f>
        <v>495</v>
      </c>
      <c r="I7" s="5">
        <f>+'1 Collections'!I31</f>
        <v>2628.8</v>
      </c>
      <c r="J7" s="5">
        <f>+'1 Collections'!J31</f>
        <v>22769.05</v>
      </c>
      <c r="K7" s="5">
        <f>+'1 Collections'!K31</f>
        <v>73633.399999999994</v>
      </c>
      <c r="L7" s="5">
        <f>+'1 Collections'!L31</f>
        <v>41456.5</v>
      </c>
      <c r="M7" s="5">
        <f>+'1 Collections'!M31</f>
        <v>22110</v>
      </c>
      <c r="N7" s="5">
        <f>+'1 Collections'!N31</f>
        <v>22408.5</v>
      </c>
      <c r="O7" s="5">
        <f>+'1 Collections'!O31</f>
        <v>8211</v>
      </c>
      <c r="P7" s="38">
        <f>+'1 Collections'!P31</f>
        <v>195011</v>
      </c>
      <c r="Q7" s="4"/>
      <c r="R7" s="4">
        <f>SUM(E7:G7)</f>
        <v>208961.36</v>
      </c>
      <c r="S7" s="4">
        <f>SUM(H7:J7)</f>
        <v>25892.85</v>
      </c>
      <c r="T7" s="4">
        <f>SUM(K7:M7)</f>
        <v>137199.9</v>
      </c>
      <c r="U7" s="4">
        <f>SUM(N7:P7)</f>
        <v>225630.5</v>
      </c>
      <c r="V7" s="4"/>
      <c r="W7" s="4">
        <f>SUM(E7:P7)</f>
        <v>597684.61</v>
      </c>
      <c r="Y7" s="25">
        <f>ROUND(SUM(R7:U7)-W7,2)</f>
        <v>0</v>
      </c>
    </row>
    <row r="8" spans="2:26" x14ac:dyDescent="0.2">
      <c r="D8" s="8" t="s">
        <v>84</v>
      </c>
      <c r="E8" s="34">
        <f t="shared" ref="E8:P8" si="1">SUM(E5:E7)</f>
        <v>276138.86</v>
      </c>
      <c r="F8" s="34">
        <f t="shared" si="1"/>
        <v>303659.09999999998</v>
      </c>
      <c r="G8" s="34">
        <f t="shared" si="1"/>
        <v>148959.5</v>
      </c>
      <c r="H8" s="34">
        <f t="shared" si="1"/>
        <v>175655.2</v>
      </c>
      <c r="I8" s="34">
        <f t="shared" si="1"/>
        <v>192782.4</v>
      </c>
      <c r="J8" s="34">
        <f t="shared" si="1"/>
        <v>75752.899999999994</v>
      </c>
      <c r="K8" s="34">
        <f t="shared" si="1"/>
        <v>256181</v>
      </c>
      <c r="L8" s="34">
        <f t="shared" si="1"/>
        <v>104161</v>
      </c>
      <c r="M8" s="34">
        <f t="shared" si="1"/>
        <v>86977.5</v>
      </c>
      <c r="N8" s="34">
        <f t="shared" si="1"/>
        <v>188278</v>
      </c>
      <c r="O8" s="34">
        <f t="shared" si="1"/>
        <v>243482.5</v>
      </c>
      <c r="P8" s="34">
        <f t="shared" si="1"/>
        <v>335155</v>
      </c>
      <c r="Q8" s="34"/>
      <c r="R8" s="34">
        <f>SUM(R5:R7)</f>
        <v>728757.46</v>
      </c>
      <c r="S8" s="34">
        <f>SUM(S5:S7)</f>
        <v>444190.5</v>
      </c>
      <c r="T8" s="34">
        <f>SUM(T5:T7)</f>
        <v>447319.5</v>
      </c>
      <c r="U8" s="34">
        <f>SUM(U5:U7)</f>
        <v>766915.5</v>
      </c>
      <c r="V8" s="34"/>
      <c r="W8" s="34">
        <f>SUM(W5:W7)</f>
        <v>2387182.96</v>
      </c>
      <c r="Y8" s="25">
        <f>ROUND(SUM(R8:U8)-W8,2)</f>
        <v>0</v>
      </c>
    </row>
    <row r="9" spans="2:26" ht="6" customHeight="1" x14ac:dyDescent="0.2">
      <c r="D9" s="24"/>
      <c r="E9" s="5"/>
      <c r="F9" s="5"/>
      <c r="Y9" s="3"/>
    </row>
    <row r="10" spans="2:26" x14ac:dyDescent="0.2">
      <c r="D10" s="7" t="s">
        <v>63</v>
      </c>
      <c r="E10" s="5">
        <f>+'1 Collections'!E34</f>
        <v>0</v>
      </c>
      <c r="F10" s="5">
        <f>+'1 Collections'!F34</f>
        <v>50000</v>
      </c>
      <c r="G10" s="5">
        <f>+'1 Collections'!G34</f>
        <v>126292.98</v>
      </c>
      <c r="H10" s="5">
        <f>+'1 Collections'!H34</f>
        <v>11377.5</v>
      </c>
      <c r="I10" s="5">
        <f>+'1 Collections'!I34</f>
        <v>0</v>
      </c>
      <c r="J10" s="5">
        <f>+'1 Collections'!J34</f>
        <v>30327.5</v>
      </c>
      <c r="K10" s="5">
        <f>+'1 Collections'!K34</f>
        <v>0</v>
      </c>
      <c r="L10" s="5">
        <f>+'1 Collections'!L34</f>
        <v>0</v>
      </c>
      <c r="M10" s="5">
        <f>+'1 Collections'!M34</f>
        <v>0</v>
      </c>
      <c r="N10" s="5">
        <f>+'1 Collections'!N34</f>
        <v>0</v>
      </c>
      <c r="O10" s="5">
        <f>+'1 Collections'!O34</f>
        <v>103250</v>
      </c>
      <c r="P10" s="38">
        <f>+'1 Collections'!P34</f>
        <v>203000</v>
      </c>
      <c r="Q10" s="4"/>
      <c r="R10" s="4">
        <f>SUM(E10:G10)</f>
        <v>176292.97999999998</v>
      </c>
      <c r="S10" s="4">
        <f>SUM(H10:J10)</f>
        <v>41705</v>
      </c>
      <c r="T10" s="4">
        <f>SUM(K10:M10)</f>
        <v>0</v>
      </c>
      <c r="U10" s="4">
        <f>SUM(N10:P10)</f>
        <v>306250</v>
      </c>
      <c r="V10" s="4"/>
      <c r="W10" s="4">
        <f>SUM(E10:P10)</f>
        <v>524247.98</v>
      </c>
      <c r="Y10" s="25">
        <f>ROUND(SUM(R10:U10)-W10,2)</f>
        <v>0</v>
      </c>
    </row>
    <row r="11" spans="2:26" x14ac:dyDescent="0.2">
      <c r="D11" s="7" t="s">
        <v>87</v>
      </c>
      <c r="E11" s="5">
        <f>+'1 Collections'!E35</f>
        <v>0</v>
      </c>
      <c r="F11" s="5">
        <f>+'1 Collections'!F35</f>
        <v>0</v>
      </c>
      <c r="G11" s="5">
        <f>+'1 Collections'!G35</f>
        <v>0</v>
      </c>
      <c r="H11" s="5">
        <f>+'1 Collections'!H35</f>
        <v>0</v>
      </c>
      <c r="I11" s="5">
        <f>+'1 Collections'!I35</f>
        <v>0</v>
      </c>
      <c r="J11" s="5">
        <f>+'1 Collections'!J35</f>
        <v>9987</v>
      </c>
      <c r="K11" s="5">
        <f>+'1 Collections'!K35</f>
        <v>0</v>
      </c>
      <c r="L11" s="5">
        <f>+'1 Collections'!L35</f>
        <v>39277.599999999999</v>
      </c>
      <c r="M11" s="5">
        <f>+'1 Collections'!M35</f>
        <v>0</v>
      </c>
      <c r="N11" s="5">
        <f>+'1 Collections'!N35</f>
        <v>64055.199999999997</v>
      </c>
      <c r="O11" s="5">
        <f>+'1 Collections'!O35</f>
        <v>53777.599999999999</v>
      </c>
      <c r="P11" s="38">
        <f>+'1 Collections'!P35</f>
        <v>269777.59999999998</v>
      </c>
      <c r="Q11" s="4"/>
      <c r="R11" s="4">
        <f>SUM(E11:G11)</f>
        <v>0</v>
      </c>
      <c r="S11" s="4">
        <f>SUM(H11:J11)</f>
        <v>9987</v>
      </c>
      <c r="T11" s="4">
        <f>SUM(K11:M11)</f>
        <v>39277.599999999999</v>
      </c>
      <c r="U11" s="4">
        <f>SUM(N11:P11)</f>
        <v>387610.39999999997</v>
      </c>
      <c r="V11" s="4"/>
      <c r="W11" s="4">
        <f>SUM(E11:P11)</f>
        <v>436875</v>
      </c>
      <c r="Y11" s="25">
        <f>ROUND(SUM(R11:U11)-W11,2)</f>
        <v>0</v>
      </c>
    </row>
    <row r="12" spans="2:26" x14ac:dyDescent="0.2">
      <c r="D12" s="7" t="s">
        <v>549</v>
      </c>
      <c r="E12" s="5">
        <f>+'1 Collections'!E36</f>
        <v>0</v>
      </c>
      <c r="F12" s="5">
        <f>+'1 Collections'!F36</f>
        <v>0</v>
      </c>
      <c r="G12" s="5">
        <f>+'1 Collections'!G36</f>
        <v>0</v>
      </c>
      <c r="H12" s="5">
        <f>+'1 Collections'!H36</f>
        <v>25000</v>
      </c>
      <c r="I12" s="5">
        <f>+'1 Collections'!I36</f>
        <v>0</v>
      </c>
      <c r="J12" s="5">
        <f>+'1 Collections'!J36</f>
        <v>0</v>
      </c>
      <c r="K12" s="5">
        <f>+'1 Collections'!K36</f>
        <v>69000</v>
      </c>
      <c r="L12" s="5">
        <f>+'1 Collections'!L36</f>
        <v>42000</v>
      </c>
      <c r="M12" s="5">
        <f>+'1 Collections'!M36</f>
        <v>22000</v>
      </c>
      <c r="N12" s="5">
        <f>+'1 Collections'!N36</f>
        <v>22000</v>
      </c>
      <c r="O12" s="5">
        <f>+'1 Collections'!O36</f>
        <v>24000</v>
      </c>
      <c r="P12" s="38">
        <f>+'1 Collections'!P36</f>
        <v>40000</v>
      </c>
      <c r="Q12" s="4"/>
      <c r="R12" s="4">
        <f>SUM(E12:G12)</f>
        <v>0</v>
      </c>
      <c r="S12" s="4">
        <f>SUM(H12:J12)</f>
        <v>25000</v>
      </c>
      <c r="T12" s="4">
        <f>SUM(K12:M12)</f>
        <v>133000</v>
      </c>
      <c r="U12" s="4">
        <f>SUM(N12:P12)</f>
        <v>86000</v>
      </c>
      <c r="V12" s="4"/>
      <c r="W12" s="4">
        <f>SUM(E12:P12)</f>
        <v>244000</v>
      </c>
      <c r="Y12" s="25">
        <f>ROUND(SUM(R12:U12)-W12,2)</f>
        <v>0</v>
      </c>
    </row>
    <row r="13" spans="2:26" x14ac:dyDescent="0.2">
      <c r="D13" s="8" t="s">
        <v>83</v>
      </c>
      <c r="E13" s="34">
        <f t="shared" ref="E13:P13" si="2">SUM(E10:E12)</f>
        <v>0</v>
      </c>
      <c r="F13" s="34">
        <f t="shared" si="2"/>
        <v>50000</v>
      </c>
      <c r="G13" s="34">
        <f t="shared" si="2"/>
        <v>126292.98</v>
      </c>
      <c r="H13" s="34">
        <f t="shared" si="2"/>
        <v>36377.5</v>
      </c>
      <c r="I13" s="34">
        <f t="shared" si="2"/>
        <v>0</v>
      </c>
      <c r="J13" s="34">
        <f t="shared" si="2"/>
        <v>40314.5</v>
      </c>
      <c r="K13" s="34">
        <f t="shared" si="2"/>
        <v>69000</v>
      </c>
      <c r="L13" s="34">
        <f t="shared" si="2"/>
        <v>81277.600000000006</v>
      </c>
      <c r="M13" s="34">
        <f t="shared" si="2"/>
        <v>22000</v>
      </c>
      <c r="N13" s="34">
        <f t="shared" si="2"/>
        <v>86055.2</v>
      </c>
      <c r="O13" s="34">
        <f t="shared" si="2"/>
        <v>181027.6</v>
      </c>
      <c r="P13" s="34">
        <f t="shared" si="2"/>
        <v>512777.6</v>
      </c>
      <c r="Q13" s="34"/>
      <c r="R13" s="34">
        <f>SUM(R10:R12)</f>
        <v>176292.97999999998</v>
      </c>
      <c r="S13" s="34">
        <f>SUM(S10:S12)</f>
        <v>76692</v>
      </c>
      <c r="T13" s="34">
        <f>SUM(T10:T12)</f>
        <v>172277.6</v>
      </c>
      <c r="U13" s="34">
        <f>SUM(U10:U12)</f>
        <v>779860.39999999991</v>
      </c>
      <c r="V13" s="34"/>
      <c r="W13" s="34">
        <f>SUM(W10:W12)</f>
        <v>1205122.98</v>
      </c>
      <c r="Y13" s="25">
        <f>ROUND(SUM(R13:U13)-W13,2)</f>
        <v>0</v>
      </c>
    </row>
    <row r="14" spans="2:26" ht="6" customHeight="1" x14ac:dyDescent="0.2">
      <c r="D14" s="24"/>
      <c r="E14" s="5"/>
      <c r="F14" s="5"/>
      <c r="Y14" s="3"/>
    </row>
    <row r="15" spans="2:26" x14ac:dyDescent="0.2">
      <c r="B15" s="3"/>
      <c r="D15" s="8" t="s">
        <v>42</v>
      </c>
      <c r="E15" s="34">
        <f t="shared" ref="E15:P15" si="3">+E8+E13</f>
        <v>276138.86</v>
      </c>
      <c r="F15" s="34">
        <f t="shared" si="3"/>
        <v>353659.1</v>
      </c>
      <c r="G15" s="34">
        <f t="shared" si="3"/>
        <v>275252.47999999998</v>
      </c>
      <c r="H15" s="34">
        <f t="shared" si="3"/>
        <v>212032.7</v>
      </c>
      <c r="I15" s="34">
        <f t="shared" si="3"/>
        <v>192782.4</v>
      </c>
      <c r="J15" s="34">
        <f t="shared" si="3"/>
        <v>116067.4</v>
      </c>
      <c r="K15" s="34">
        <f t="shared" si="3"/>
        <v>325181</v>
      </c>
      <c r="L15" s="34">
        <f t="shared" si="3"/>
        <v>185438.6</v>
      </c>
      <c r="M15" s="34">
        <f t="shared" si="3"/>
        <v>108977.5</v>
      </c>
      <c r="N15" s="34">
        <f t="shared" si="3"/>
        <v>274333.2</v>
      </c>
      <c r="O15" s="34">
        <f t="shared" si="3"/>
        <v>424510.1</v>
      </c>
      <c r="P15" s="34">
        <f t="shared" si="3"/>
        <v>847932.6</v>
      </c>
      <c r="Q15" s="34"/>
      <c r="R15" s="34">
        <f>+R8+R13</f>
        <v>905050.44</v>
      </c>
      <c r="S15" s="34">
        <f>+S8+S13</f>
        <v>520882.5</v>
      </c>
      <c r="T15" s="34">
        <f>+T8+T13</f>
        <v>619597.1</v>
      </c>
      <c r="U15" s="34">
        <f>+U8+U13</f>
        <v>1546775.9</v>
      </c>
      <c r="V15" s="34"/>
      <c r="W15" s="34">
        <f>+W8+W13</f>
        <v>3592305.94</v>
      </c>
      <c r="Y15" s="25">
        <f>ROUND(SUM(R15:U15)-W15,2)</f>
        <v>0</v>
      </c>
      <c r="Z15" s="5"/>
    </row>
    <row r="16" spans="2:26" x14ac:dyDescent="0.2">
      <c r="B16" s="3"/>
      <c r="D16" s="8"/>
      <c r="E16" s="34"/>
      <c r="F16" s="34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Y16" s="25"/>
    </row>
    <row r="17" spans="2:28" x14ac:dyDescent="0.2">
      <c r="B17" s="3" t="s">
        <v>24</v>
      </c>
      <c r="D17" s="7" t="s">
        <v>479</v>
      </c>
      <c r="E17" s="5">
        <f>SUMIFS(Data!$M$2:$M$3664,Data!$B$2:$B$3664,YEAR(E$2),Data!$C$2:$C$3664,MONTH(E$2),Data!$J$2:$J$3664,$B17)*-1</f>
        <v>152539.76</v>
      </c>
      <c r="F17" s="5">
        <f>SUMIFS(Data!$M$2:$M$3664,Data!$B$2:$B$3664,YEAR(F$2),Data!$C$2:$C$3664,MONTH(F$2),Data!$J$2:$J$3664,$B17)*-1</f>
        <v>262788.36</v>
      </c>
      <c r="G17" s="5">
        <f>SUMIFS(Data!$M$2:$M$3664,Data!$B$2:$B$3664,YEAR(G$2),Data!$C$2:$C$3664,MONTH(G$2),Data!$J$2:$J$3664,$B17)*-1</f>
        <v>148126.71000000002</v>
      </c>
      <c r="H17" s="5">
        <f>SUMIFS(Data!$M$2:$M$3664,Data!$B$2:$B$3664,YEAR(H$2),Data!$C$2:$C$3664,MONTH(H$2),Data!$J$2:$J$3664,$B17)*-1</f>
        <v>159163.10999999999</v>
      </c>
      <c r="I17" s="5">
        <f>SUMIFS(Data!$M$2:$M$3664,Data!$B$2:$B$3664,YEAR(I$2),Data!$C$2:$C$3664,MONTH(I$2),Data!$J$2:$J$3664,$B17)*-1</f>
        <v>168772.12</v>
      </c>
      <c r="J17" s="5">
        <f>SUMIFS(Data!$M$2:$M$3664,Data!$B$2:$B$3664,YEAR(J$2),Data!$C$2:$C$3664,MONTH(J$2),Data!$J$2:$J$3664,$B17)*-1</f>
        <v>170047.13</v>
      </c>
      <c r="K17" s="5">
        <f>SUMIFS(Data!$M$2:$M$3664,Data!$B$2:$B$3664,YEAR(K$2),Data!$C$2:$C$3664,MONTH(K$2),Data!$J$2:$J$3664,$B17)*-1</f>
        <v>171354.83000000002</v>
      </c>
      <c r="L17" s="5">
        <f>SUMIFS(Data!$M$2:$M$3664,Data!$B$2:$B$3664,YEAR(L$2),Data!$C$2:$C$3664,MONTH(L$2),Data!$J$2:$J$3664,$B17)*-1</f>
        <v>166610.29999999999</v>
      </c>
      <c r="M17" s="5">
        <f>SUMIFS(Data!$M$2:$M$3664,Data!$B$2:$B$3664,YEAR(M$2),Data!$C$2:$C$3664,MONTH(M$2),Data!$J$2:$J$3664,$B17)*-1</f>
        <v>149248.40000000002</v>
      </c>
      <c r="N17" s="5">
        <f>SUMIFS(Data!$M$2:$M$3664,Data!$B$2:$B$3664,YEAR(N$2),Data!$C$2:$C$3664,MONTH(N$2),Data!$J$2:$J$3664,$B17)*-1</f>
        <v>150193.78</v>
      </c>
      <c r="O17" s="5">
        <f>SUMIFS(Data!$M$2:$M$3664,Data!$B$2:$B$3664,YEAR(O$2),Data!$C$2:$C$3664,MONTH(O$2),Data!$J$2:$J$3664,$B17)*-1</f>
        <v>144248.96999999997</v>
      </c>
      <c r="P17" s="38">
        <f>+'2 Employees'!N286+'2 Employees'!N287</f>
        <v>157200</v>
      </c>
      <c r="Q17" s="4"/>
      <c r="R17" s="4">
        <f>SUM(E17:G17)</f>
        <v>563454.83000000007</v>
      </c>
      <c r="S17" s="4">
        <f>SUM(H17:J17)</f>
        <v>497982.36</v>
      </c>
      <c r="T17" s="4">
        <f>SUM(K17:M17)</f>
        <v>487213.53</v>
      </c>
      <c r="U17" s="4">
        <f>SUM(N17:P17)</f>
        <v>451642.75</v>
      </c>
      <c r="V17" s="4"/>
      <c r="W17" s="4">
        <f>SUM(E17:P17)</f>
        <v>2000293.4700000002</v>
      </c>
      <c r="Y17" s="25">
        <f t="shared" ref="Y17:Y21" si="4">ROUND(SUM(R17:U17)-W17,2)</f>
        <v>0</v>
      </c>
      <c r="Z17" s="5"/>
      <c r="AA17" s="38">
        <v>156232.35</v>
      </c>
      <c r="AB17" s="38">
        <f>+AA17-O17</f>
        <v>11983.380000000034</v>
      </c>
    </row>
    <row r="18" spans="2:28" x14ac:dyDescent="0.2">
      <c r="B18" s="3" t="s">
        <v>20</v>
      </c>
      <c r="D18" s="7" t="s">
        <v>20</v>
      </c>
      <c r="E18" s="5">
        <f>SUMIFS(Data!$M$2:$M$3664,Data!$B$2:$B$3664,YEAR(E$2),Data!$C$2:$C$3664,MONTH(E$2),Data!$J$2:$J$3664,$B18)*-1</f>
        <v>84529.69</v>
      </c>
      <c r="F18" s="5">
        <f>SUMIFS(Data!$M$2:$M$3664,Data!$B$2:$B$3664,YEAR(F$2),Data!$C$2:$C$3664,MONTH(F$2),Data!$J$2:$J$3664,$B18)*-1</f>
        <v>169583.91</v>
      </c>
      <c r="G18" s="5">
        <f>SUMIFS(Data!$M$2:$M$3664,Data!$B$2:$B$3664,YEAR(G$2),Data!$C$2:$C$3664,MONTH(G$2),Data!$J$2:$J$3664,$B18)*-1</f>
        <v>80658.850000000006</v>
      </c>
      <c r="H18" s="5">
        <f>SUMIFS(Data!$M$2:$M$3664,Data!$B$2:$B$3664,YEAR(H$2),Data!$C$2:$C$3664,MONTH(H$2),Data!$J$2:$J$3664,$B18)*-1</f>
        <v>82593.290000000008</v>
      </c>
      <c r="I18" s="5">
        <f>SUMIFS(Data!$M$2:$M$3664,Data!$B$2:$B$3664,YEAR(I$2),Data!$C$2:$C$3664,MONTH(I$2),Data!$J$2:$J$3664,$B18)*-1</f>
        <v>80882.52</v>
      </c>
      <c r="J18" s="5">
        <f>SUMIFS(Data!$M$2:$M$3664,Data!$B$2:$B$3664,YEAR(J$2),Data!$C$2:$C$3664,MONTH(J$2),Data!$J$2:$J$3664,$B18)*-1</f>
        <v>84662.51999999999</v>
      </c>
      <c r="K18" s="5">
        <f>SUMIFS(Data!$M$2:$M$3664,Data!$B$2:$B$3664,YEAR(K$2),Data!$C$2:$C$3664,MONTH(K$2),Data!$J$2:$J$3664,$B18)*-1</f>
        <v>86163.32</v>
      </c>
      <c r="L18" s="5">
        <f>SUMIFS(Data!$M$2:$M$3664,Data!$B$2:$B$3664,YEAR(L$2),Data!$C$2:$C$3664,MONTH(L$2),Data!$J$2:$J$3664,$B18)*-1</f>
        <v>83002.170000000013</v>
      </c>
      <c r="M18" s="5">
        <f>SUMIFS(Data!$M$2:$M$3664,Data!$B$2:$B$3664,YEAR(M$2),Data!$C$2:$C$3664,MONTH(M$2),Data!$J$2:$J$3664,$B18)*-1</f>
        <v>73710.559999999998</v>
      </c>
      <c r="N18" s="5">
        <f>SUMIFS(Data!$M$2:$M$3664,Data!$B$2:$B$3664,YEAR(N$2),Data!$C$2:$C$3664,MONTH(N$2),Data!$J$2:$J$3664,$B18)*-1</f>
        <v>70666.760000000009</v>
      </c>
      <c r="O18" s="5">
        <f>SUMIFS(Data!$M$2:$M$3664,Data!$B$2:$B$3664,YEAR(O$2),Data!$C$2:$C$3664,MONTH(O$2),Data!$J$2:$J$3664,$B18)*-1</f>
        <v>66294.64</v>
      </c>
      <c r="P18" s="38">
        <f>+'2 Employees'!N288</f>
        <v>77310</v>
      </c>
      <c r="Q18" s="4"/>
      <c r="R18" s="4">
        <f>SUM(E18:G18)</f>
        <v>334772.45</v>
      </c>
      <c r="S18" s="4">
        <f>SUM(H18:J18)</f>
        <v>248138.33</v>
      </c>
      <c r="T18" s="4">
        <f>SUM(K18:M18)</f>
        <v>242876.05000000002</v>
      </c>
      <c r="U18" s="4">
        <f>SUM(N18:P18)</f>
        <v>214271.40000000002</v>
      </c>
      <c r="V18" s="4"/>
      <c r="W18" s="4">
        <f>SUM(E18:P18)</f>
        <v>1040058.2300000001</v>
      </c>
      <c r="Y18" s="25">
        <f t="shared" si="4"/>
        <v>0</v>
      </c>
      <c r="AA18" s="38">
        <v>78109</v>
      </c>
      <c r="AB18" s="38">
        <f t="shared" ref="AB18:AB20" si="5">+AA18-O18</f>
        <v>11814.36</v>
      </c>
    </row>
    <row r="19" spans="2:28" x14ac:dyDescent="0.2">
      <c r="B19" s="3" t="s">
        <v>11</v>
      </c>
      <c r="D19" s="7" t="s">
        <v>11</v>
      </c>
      <c r="E19" s="5">
        <f>SUMIFS(Data!$M$2:$M$3664,Data!$B$2:$B$3664,YEAR(E$2),Data!$C$2:$C$3664,MONTH(E$2),Data!$J$2:$J$3664,$B19)*-1</f>
        <v>37722.29</v>
      </c>
      <c r="F19" s="5">
        <f>SUMIFS(Data!$M$2:$M$3664,Data!$B$2:$B$3664,YEAR(F$2),Data!$C$2:$C$3664,MONTH(F$2),Data!$J$2:$J$3664,$B19)*-1</f>
        <v>37866.079999999994</v>
      </c>
      <c r="G19" s="5">
        <f>SUMIFS(Data!$M$2:$M$3664,Data!$B$2:$B$3664,YEAR(G$2),Data!$C$2:$C$3664,MONTH(G$2),Data!$J$2:$J$3664,$B19)*-1</f>
        <v>44726.64</v>
      </c>
      <c r="H19" s="5">
        <f>SUMIFS(Data!$M$2:$M$3664,Data!$B$2:$B$3664,YEAR(H$2),Data!$C$2:$C$3664,MONTH(H$2),Data!$J$2:$J$3664,$B19)*-1</f>
        <v>51593.510000000009</v>
      </c>
      <c r="I19" s="5">
        <f>SUMIFS(Data!$M$2:$M$3664,Data!$B$2:$B$3664,YEAR(I$2),Data!$C$2:$C$3664,MONTH(I$2),Data!$J$2:$J$3664,$B19)*-1</f>
        <v>50077.07</v>
      </c>
      <c r="J19" s="5">
        <f>SUMIFS(Data!$M$2:$M$3664,Data!$B$2:$B$3664,YEAR(J$2),Data!$C$2:$C$3664,MONTH(J$2),Data!$J$2:$J$3664,$B19)*-1</f>
        <v>58876.359999999993</v>
      </c>
      <c r="K19" s="5">
        <f>SUMIFS(Data!$M$2:$M$3664,Data!$B$2:$B$3664,YEAR(K$2),Data!$C$2:$C$3664,MONTH(K$2),Data!$J$2:$J$3664,$B19)*-1</f>
        <v>53677.049999999996</v>
      </c>
      <c r="L19" s="5">
        <f>SUMIFS(Data!$M$2:$M$3664,Data!$B$2:$B$3664,YEAR(L$2),Data!$C$2:$C$3664,MONTH(L$2),Data!$J$2:$J$3664,$B19)*-1</f>
        <v>54921.93</v>
      </c>
      <c r="M19" s="5">
        <f>SUMIFS(Data!$M$2:$M$3664,Data!$B$2:$B$3664,YEAR(M$2),Data!$C$2:$C$3664,MONTH(M$2),Data!$J$2:$J$3664,$B19)*-1</f>
        <v>48527.89</v>
      </c>
      <c r="N19" s="5">
        <f>SUMIFS(Data!$M$2:$M$3664,Data!$B$2:$B$3664,YEAR(N$2),Data!$C$2:$C$3664,MONTH(N$2),Data!$J$2:$J$3664,$B19)*-1</f>
        <v>46206.87999999999</v>
      </c>
      <c r="O19" s="5">
        <f>SUMIFS(Data!$M$2:$M$3664,Data!$B$2:$B$3664,YEAR(O$2),Data!$C$2:$C$3664,MONTH(O$2),Data!$J$2:$J$3664,$B19)*-1</f>
        <v>46462.34</v>
      </c>
      <c r="P19" s="38">
        <f>+'3 Benefits'!N116</f>
        <v>46900</v>
      </c>
      <c r="Q19" s="4"/>
      <c r="R19" s="4">
        <f>SUM(E19:G19)</f>
        <v>120315.01</v>
      </c>
      <c r="S19" s="4">
        <f>SUM(H19:J19)</f>
        <v>160546.94</v>
      </c>
      <c r="T19" s="4">
        <f>SUM(K19:M19)</f>
        <v>157126.87</v>
      </c>
      <c r="U19" s="4">
        <f>SUM(N19:P19)</f>
        <v>139569.21999999997</v>
      </c>
      <c r="V19" s="4"/>
      <c r="W19" s="4">
        <f>SUM(E19:P19)</f>
        <v>577558.04</v>
      </c>
      <c r="Y19" s="25">
        <f t="shared" si="4"/>
        <v>0</v>
      </c>
      <c r="AA19" s="38">
        <v>52500</v>
      </c>
      <c r="AB19" s="38">
        <f t="shared" si="5"/>
        <v>6037.6600000000035</v>
      </c>
    </row>
    <row r="20" spans="2:28" x14ac:dyDescent="0.2">
      <c r="B20" s="3" t="s">
        <v>19</v>
      </c>
      <c r="D20" s="7" t="s">
        <v>19</v>
      </c>
      <c r="E20" s="5">
        <f>SUMIFS(Data!$M$2:$M$3664,Data!$B$2:$B$3664,YEAR(E$2),Data!$C$2:$C$3664,MONTH(E$2),Data!$J$2:$J$3664,$B20)*-1</f>
        <v>332.12</v>
      </c>
      <c r="F20" s="5">
        <f>SUMIFS(Data!$M$2:$M$3664,Data!$B$2:$B$3664,YEAR(F$2),Data!$C$2:$C$3664,MONTH(F$2),Data!$J$2:$J$3664,$B20)*-1</f>
        <v>732.25</v>
      </c>
      <c r="G20" s="5">
        <f>SUMIFS(Data!$M$2:$M$3664,Data!$B$2:$B$3664,YEAR(G$2),Data!$C$2:$C$3664,MONTH(G$2),Data!$J$2:$J$3664,$B20)*-1</f>
        <v>463.56</v>
      </c>
      <c r="H20" s="5">
        <f>SUMIFS(Data!$M$2:$M$3664,Data!$B$2:$B$3664,YEAR(H$2),Data!$C$2:$C$3664,MONTH(H$2),Data!$J$2:$J$3664,$B20)*-1</f>
        <v>454.25</v>
      </c>
      <c r="I20" s="5">
        <f>SUMIFS(Data!$M$2:$M$3664,Data!$B$2:$B$3664,YEAR(I$2),Data!$C$2:$C$3664,MONTH(I$2),Data!$J$2:$J$3664,$B20)*-1</f>
        <v>477.1</v>
      </c>
      <c r="J20" s="5">
        <f>SUMIFS(Data!$M$2:$M$3664,Data!$B$2:$B$3664,YEAR(J$2),Data!$C$2:$C$3664,MONTH(J$2),Data!$J$2:$J$3664,$B20)*-1</f>
        <v>496.07</v>
      </c>
      <c r="K20" s="5">
        <f>SUMIFS(Data!$M$2:$M$3664,Data!$B$2:$B$3664,YEAR(K$2),Data!$C$2:$C$3664,MONTH(K$2),Data!$J$2:$J$3664,$B20)*-1</f>
        <v>529.29999999999995</v>
      </c>
      <c r="L20" s="5">
        <f>SUMIFS(Data!$M$2:$M$3664,Data!$B$2:$B$3664,YEAR(L$2),Data!$C$2:$C$3664,MONTH(L$2),Data!$J$2:$J$3664,$B20)*-1</f>
        <v>498.78999999999996</v>
      </c>
      <c r="M20" s="5">
        <f>SUMIFS(Data!$M$2:$M$3664,Data!$B$2:$B$3664,YEAR(M$2),Data!$C$2:$C$3664,MONTH(M$2),Data!$J$2:$J$3664,$B20)*-1</f>
        <v>465.39</v>
      </c>
      <c r="N20" s="5">
        <f>SUMIFS(Data!$M$2:$M$3664,Data!$B$2:$B$3664,YEAR(N$2),Data!$C$2:$C$3664,MONTH(N$2),Data!$J$2:$J$3664,$B20)*-1</f>
        <v>313.27</v>
      </c>
      <c r="O20" s="5">
        <f>SUMIFS(Data!$M$2:$M$3664,Data!$B$2:$B$3664,YEAR(O$2),Data!$C$2:$C$3664,MONTH(O$2),Data!$J$2:$J$3664,$B20)*-1</f>
        <v>469.17</v>
      </c>
      <c r="P20" s="38">
        <v>0</v>
      </c>
      <c r="Q20" s="4"/>
      <c r="R20" s="4">
        <f>SUM(E20:G20)</f>
        <v>1527.9299999999998</v>
      </c>
      <c r="S20" s="4">
        <f>SUM(H20:J20)</f>
        <v>1427.42</v>
      </c>
      <c r="T20" s="4">
        <f>SUM(K20:M20)</f>
        <v>1493.48</v>
      </c>
      <c r="U20" s="4">
        <f>SUM(N20:P20)</f>
        <v>782.44</v>
      </c>
      <c r="V20" s="4"/>
      <c r="W20" s="4">
        <f>SUM(E20:P20)</f>
        <v>5231.2700000000004</v>
      </c>
      <c r="Y20" s="25">
        <f t="shared" ref="Y20" si="6">ROUND(SUM(R20:U20)-W20,2)</f>
        <v>0</v>
      </c>
      <c r="AA20" s="38">
        <v>0</v>
      </c>
      <c r="AB20" s="38">
        <f t="shared" si="5"/>
        <v>-469.17</v>
      </c>
    </row>
    <row r="21" spans="2:28" x14ac:dyDescent="0.2">
      <c r="B21" s="3"/>
      <c r="D21" s="8" t="s">
        <v>40</v>
      </c>
      <c r="E21" s="34">
        <f>SUM(E17:E20)</f>
        <v>275123.86</v>
      </c>
      <c r="F21" s="34">
        <f t="shared" ref="F21:P21" si="7">SUM(F17:F20)</f>
        <v>470970.60000000003</v>
      </c>
      <c r="G21" s="34">
        <f t="shared" si="7"/>
        <v>273975.76</v>
      </c>
      <c r="H21" s="34">
        <f t="shared" si="7"/>
        <v>293804.16000000003</v>
      </c>
      <c r="I21" s="34">
        <f t="shared" si="7"/>
        <v>300208.81</v>
      </c>
      <c r="J21" s="34">
        <f t="shared" si="7"/>
        <v>314082.08</v>
      </c>
      <c r="K21" s="34">
        <f t="shared" si="7"/>
        <v>311724.5</v>
      </c>
      <c r="L21" s="34">
        <f t="shared" si="7"/>
        <v>305033.19</v>
      </c>
      <c r="M21" s="34">
        <f t="shared" si="7"/>
        <v>271952.24000000005</v>
      </c>
      <c r="N21" s="34">
        <f t="shared" si="7"/>
        <v>267380.69</v>
      </c>
      <c r="O21" s="34">
        <f t="shared" si="7"/>
        <v>257475.12</v>
      </c>
      <c r="P21" s="34">
        <f t="shared" si="7"/>
        <v>281410</v>
      </c>
      <c r="Q21" s="34"/>
      <c r="R21" s="34">
        <f t="shared" ref="R21" si="8">SUM(R17:R20)</f>
        <v>1020070.2200000001</v>
      </c>
      <c r="S21" s="34">
        <f t="shared" ref="S21" si="9">SUM(S17:S20)</f>
        <v>908095.04999999993</v>
      </c>
      <c r="T21" s="34">
        <f t="shared" ref="T21" si="10">SUM(T17:T20)</f>
        <v>888709.93</v>
      </c>
      <c r="U21" s="34">
        <f t="shared" ref="U21:W21" si="11">SUM(U17:U20)</f>
        <v>806265.80999999994</v>
      </c>
      <c r="V21" s="34"/>
      <c r="W21" s="34">
        <f t="shared" si="11"/>
        <v>3623141.0100000002</v>
      </c>
      <c r="Y21" s="25">
        <f t="shared" si="4"/>
        <v>0</v>
      </c>
      <c r="AA21" s="34">
        <v>286841.34999999998</v>
      </c>
      <c r="AB21" s="34">
        <f>SUM(AB17:AB20)</f>
        <v>29366.23000000004</v>
      </c>
    </row>
    <row r="22" spans="2:28" x14ac:dyDescent="0.2">
      <c r="B22" s="3"/>
      <c r="D22" s="8"/>
      <c r="E22" s="5"/>
      <c r="F22" s="34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Y22" s="25"/>
      <c r="AA22" s="12"/>
      <c r="AB22" s="12"/>
    </row>
    <row r="23" spans="2:28" x14ac:dyDescent="0.2">
      <c r="B23" s="3" t="s">
        <v>27</v>
      </c>
      <c r="D23" s="7" t="s">
        <v>262</v>
      </c>
      <c r="E23" s="5">
        <f>SUMIFS(Data!$M$2:$M$3664,Data!$B$2:$B$3664,YEAR(E$2),Data!$C$2:$C$3664,MONTH(E$2),Data!$J$2:$J$3664,$B23)*-1</f>
        <v>94189.64</v>
      </c>
      <c r="F23" s="5">
        <f>SUMIFS(Data!$M$2:$M$3664,Data!$B$2:$B$3664,YEAR(F$2),Data!$C$2:$C$3664,MONTH(F$2),Data!$J$2:$J$3664,$B23)*-1</f>
        <v>111135.25</v>
      </c>
      <c r="G23" s="5">
        <f>SUMIFS(Data!$M$2:$M$3664,Data!$B$2:$B$3664,YEAR(G$2),Data!$C$2:$C$3664,MONTH(G$2),Data!$J$2:$J$3664,$B23)*-1</f>
        <v>99655.3</v>
      </c>
      <c r="H23" s="5">
        <f>SUMIFS(Data!$M$2:$M$3664,Data!$B$2:$B$3664,YEAR(H$2),Data!$C$2:$C$3664,MONTH(H$2),Data!$J$2:$J$3664,$B23)*-1</f>
        <v>73530.25</v>
      </c>
      <c r="I23" s="5">
        <f>SUMIFS(Data!$M$2:$M$3664,Data!$B$2:$B$3664,YEAR(I$2),Data!$C$2:$C$3664,MONTH(I$2),Data!$J$2:$J$3664,$B23)*-1</f>
        <v>76942.760000000009</v>
      </c>
      <c r="J23" s="5">
        <f>SUMIFS(Data!$M$2:$M$3664,Data!$B$2:$B$3664,YEAR(J$2),Data!$C$2:$C$3664,MONTH(J$2),Data!$J$2:$J$3664,$B23)*-1</f>
        <v>83356.25</v>
      </c>
      <c r="K23" s="5">
        <f>SUMIFS(Data!$M$2:$M$3664,Data!$B$2:$B$3664,YEAR(K$2),Data!$C$2:$C$3664,MONTH(K$2),Data!$J$2:$J$3664,$B23)*-1</f>
        <v>73361.25</v>
      </c>
      <c r="L23" s="5">
        <f>SUMIFS(Data!$M$2:$M$3664,Data!$B$2:$B$3664,YEAR(L$2),Data!$C$2:$C$3664,MONTH(L$2),Data!$J$2:$J$3664,$B23)*-1</f>
        <v>65258.58</v>
      </c>
      <c r="M23" s="5">
        <f>SUMIFS(Data!$M$2:$M$3664,Data!$B$2:$B$3664,YEAR(M$2),Data!$C$2:$C$3664,MONTH(M$2),Data!$J$2:$J$3664,$B23)*-1</f>
        <v>71922.25</v>
      </c>
      <c r="N23" s="5">
        <f>SUMIFS(Data!$M$2:$M$3664,Data!$B$2:$B$3664,YEAR(N$2),Data!$C$2:$C$3664,MONTH(N$2),Data!$J$2:$J$3664,$B23)*-1</f>
        <v>80373.75</v>
      </c>
      <c r="O23" s="5">
        <f>SUMIFS(Data!$M$2:$M$3664,Data!$B$2:$B$3664,YEAR(O$2),Data!$C$2:$C$3664,MONTH(O$2),Data!$J$2:$J$3664,$B23)*-1</f>
        <v>80023.75</v>
      </c>
      <c r="P23" s="38">
        <f>+'4 Contractors'!N29+'4 Contractors'!N46+'4 Contractors'!N142</f>
        <v>57500</v>
      </c>
      <c r="Q23" s="4"/>
      <c r="R23" s="4">
        <f t="shared" ref="R23" si="12">SUM(E23:G23)</f>
        <v>304980.19</v>
      </c>
      <c r="S23" s="4">
        <f t="shared" ref="S23" si="13">SUM(H23:J23)</f>
        <v>233829.26</v>
      </c>
      <c r="T23" s="4">
        <f t="shared" ref="T23" si="14">SUM(K23:M23)</f>
        <v>210542.08000000002</v>
      </c>
      <c r="U23" s="4">
        <f t="shared" ref="U23" si="15">SUM(N23:P23)</f>
        <v>217897.5</v>
      </c>
      <c r="V23" s="4"/>
      <c r="W23" s="4">
        <f t="shared" ref="W23" si="16">SUM(E23:P23)</f>
        <v>967249.02999999991</v>
      </c>
      <c r="Y23" s="25">
        <f t="shared" ref="Y23:Y26" si="17">ROUND(SUM(R23:U23)-W23,2)</f>
        <v>0</v>
      </c>
      <c r="AA23" s="38">
        <v>69388</v>
      </c>
      <c r="AB23" s="38">
        <f t="shared" ref="AB23:AB25" si="18">+AA23-O23</f>
        <v>-10635.75</v>
      </c>
    </row>
    <row r="24" spans="2:28" x14ac:dyDescent="0.2">
      <c r="B24" s="3" t="s">
        <v>353</v>
      </c>
      <c r="D24" s="7" t="s">
        <v>217</v>
      </c>
      <c r="E24" s="5">
        <f>SUMIFS(Data!$M$2:$M$3664,Data!$B$2:$B$3664,YEAR(E$2),Data!$C$2:$C$3664,MONTH(E$2),Data!$J$2:$J$3664,$B24)*-1</f>
        <v>68842.64</v>
      </c>
      <c r="F24" s="5">
        <f>SUMIFS(Data!$M$2:$M$3664,Data!$B$2:$B$3664,YEAR(F$2),Data!$C$2:$C$3664,MONTH(F$2),Data!$J$2:$J$3664,$B24)*-1</f>
        <v>106851.82</v>
      </c>
      <c r="G24" s="5">
        <f>SUMIFS(Data!$M$2:$M$3664,Data!$B$2:$B$3664,YEAR(G$2),Data!$C$2:$C$3664,MONTH(G$2),Data!$J$2:$J$3664,$B24)*-1</f>
        <v>120781.49</v>
      </c>
      <c r="H24" s="5">
        <f>SUMIFS(Data!$M$2:$M$3664,Data!$B$2:$B$3664,YEAR(H$2),Data!$C$2:$C$3664,MONTH(H$2),Data!$J$2:$J$3664,$B24)*-1</f>
        <v>127532.29000000001</v>
      </c>
      <c r="I24" s="5">
        <f>SUMIFS(Data!$M$2:$M$3664,Data!$B$2:$B$3664,YEAR(I$2),Data!$C$2:$C$3664,MONTH(I$2),Data!$J$2:$J$3664,$B24)*-1</f>
        <v>104008.81000000001</v>
      </c>
      <c r="J24" s="5">
        <f>SUMIFS(Data!$M$2:$M$3664,Data!$B$2:$B$3664,YEAR(J$2),Data!$C$2:$C$3664,MONTH(J$2),Data!$J$2:$J$3664,$B24)*-1</f>
        <v>85709</v>
      </c>
      <c r="K24" s="5">
        <f>SUMIFS(Data!$M$2:$M$3664,Data!$B$2:$B$3664,YEAR(K$2),Data!$C$2:$C$3664,MONTH(K$2),Data!$J$2:$J$3664,$B24)*-1</f>
        <v>156594.23000000001</v>
      </c>
      <c r="L24" s="5">
        <f>SUMIFS(Data!$M$2:$M$3664,Data!$B$2:$B$3664,YEAR(L$2),Data!$C$2:$C$3664,MONTH(L$2),Data!$J$2:$J$3664,$B24)*-1</f>
        <v>64602.799999999996</v>
      </c>
      <c r="M24" s="5">
        <f>SUMIFS(Data!$M$2:$M$3664,Data!$B$2:$B$3664,YEAR(M$2),Data!$C$2:$C$3664,MONTH(M$2),Data!$J$2:$J$3664,$B24)*-1</f>
        <v>54641.5</v>
      </c>
      <c r="N24" s="5">
        <f>SUMIFS(Data!$M$2:$M$3664,Data!$B$2:$B$3664,YEAR(N$2),Data!$C$2:$C$3664,MONTH(N$2),Data!$J$2:$J$3664,$B24)*-1</f>
        <v>51343.380000000005</v>
      </c>
      <c r="O24" s="5">
        <f>SUMIFS(Data!$M$2:$M$3664,Data!$B$2:$B$3664,YEAR(O$2),Data!$C$2:$C$3664,MONTH(O$2),Data!$J$2:$J$3664,$B24)*-1</f>
        <v>91081.05</v>
      </c>
      <c r="P24" s="38">
        <f>+'4 Contractors'!N63+'4 Contractors'!N89+'4 Contractors'!N111-'4 Contractors'!N103</f>
        <v>76761.95</v>
      </c>
      <c r="Q24" s="4"/>
      <c r="R24" s="4">
        <f t="shared" ref="R24:R25" si="19">SUM(E24:G24)</f>
        <v>296475.95</v>
      </c>
      <c r="S24" s="4">
        <f t="shared" ref="S24:S25" si="20">SUM(H24:J24)</f>
        <v>317250.10000000003</v>
      </c>
      <c r="T24" s="4">
        <f t="shared" ref="T24:T25" si="21">SUM(K24:M24)</f>
        <v>275838.53000000003</v>
      </c>
      <c r="U24" s="4">
        <f t="shared" ref="U24:U25" si="22">SUM(N24:P24)</f>
        <v>219186.38</v>
      </c>
      <c r="V24" s="4"/>
      <c r="W24" s="4">
        <f t="shared" ref="W24:W25" si="23">SUM(E24:P24)</f>
        <v>1108750.9600000002</v>
      </c>
      <c r="Y24" s="25">
        <f t="shared" ref="Y24:Y25" si="24">ROUND(SUM(R24:U24)-W24,2)</f>
        <v>0</v>
      </c>
      <c r="AA24" s="38">
        <v>75425.75</v>
      </c>
      <c r="AB24" s="38">
        <f t="shared" si="18"/>
        <v>-15655.300000000003</v>
      </c>
    </row>
    <row r="25" spans="2:28" x14ac:dyDescent="0.2">
      <c r="B25" s="3" t="s">
        <v>360</v>
      </c>
      <c r="D25" s="7" t="s">
        <v>103</v>
      </c>
      <c r="E25" s="5">
        <f>SUMIFS(Data!$M$2:$M$3664,Data!$B$2:$B$3664,YEAR(E$2),Data!$C$2:$C$3664,MONTH(E$2),Data!$J$2:$J$3664,$B25)*-1</f>
        <v>17629.900000000001</v>
      </c>
      <c r="F25" s="5">
        <f>SUMIFS(Data!$M$2:$M$3664,Data!$B$2:$B$3664,YEAR(F$2),Data!$C$2:$C$3664,MONTH(F$2),Data!$J$2:$J$3664,$B25)*-1</f>
        <v>21170</v>
      </c>
      <c r="G25" s="5">
        <f>SUMIFS(Data!$M$2:$M$3664,Data!$B$2:$B$3664,YEAR(G$2),Data!$C$2:$C$3664,MONTH(G$2),Data!$J$2:$J$3664,$B25)*-1</f>
        <v>29860</v>
      </c>
      <c r="H25" s="5">
        <f>SUMIFS(Data!$M$2:$M$3664,Data!$B$2:$B$3664,YEAR(H$2),Data!$C$2:$C$3664,MONTH(H$2),Data!$J$2:$J$3664,$B25)*-1</f>
        <v>26120</v>
      </c>
      <c r="I25" s="5">
        <f>SUMIFS(Data!$M$2:$M$3664,Data!$B$2:$B$3664,YEAR(I$2),Data!$C$2:$C$3664,MONTH(I$2),Data!$J$2:$J$3664,$B25)*-1</f>
        <v>26528.33</v>
      </c>
      <c r="J25" s="5">
        <f>SUMIFS(Data!$M$2:$M$3664,Data!$B$2:$B$3664,YEAR(J$2),Data!$C$2:$C$3664,MONTH(J$2),Data!$J$2:$J$3664,$B25)*-1</f>
        <v>26078.33</v>
      </c>
      <c r="K25" s="5">
        <f>SUMIFS(Data!$M$2:$M$3664,Data!$B$2:$B$3664,YEAR(K$2),Data!$C$2:$C$3664,MONTH(K$2),Data!$J$2:$J$3664,$B25)*-1</f>
        <v>26980.83</v>
      </c>
      <c r="L25" s="5">
        <f>SUMIFS(Data!$M$2:$M$3664,Data!$B$2:$B$3664,YEAR(L$2),Data!$C$2:$C$3664,MONTH(L$2),Data!$J$2:$J$3664,$B25)*-1</f>
        <v>26470.83</v>
      </c>
      <c r="M25" s="5">
        <f>SUMIFS(Data!$M$2:$M$3664,Data!$B$2:$B$3664,YEAR(M$2),Data!$C$2:$C$3664,MONTH(M$2),Data!$J$2:$J$3664,$B25)*-1</f>
        <v>27283.33</v>
      </c>
      <c r="N25" s="5">
        <f>SUMIFS(Data!$M$2:$M$3664,Data!$B$2:$B$3664,YEAR(N$2),Data!$C$2:$C$3664,MONTH(N$2),Data!$J$2:$J$3664,$B25)*-1</f>
        <v>26460.83</v>
      </c>
      <c r="O25" s="5">
        <f>SUMIFS(Data!$M$2:$M$3664,Data!$B$2:$B$3664,YEAR(O$2),Data!$C$2:$C$3664,MONTH(O$2),Data!$J$2:$J$3664,$B25)*-1</f>
        <v>25385.83</v>
      </c>
      <c r="P25" s="38">
        <f>+'4 Contractors'!N129</f>
        <v>25400</v>
      </c>
      <c r="Q25" s="4"/>
      <c r="R25" s="4">
        <f t="shared" si="19"/>
        <v>68659.899999999994</v>
      </c>
      <c r="S25" s="4">
        <f t="shared" si="20"/>
        <v>78726.66</v>
      </c>
      <c r="T25" s="4">
        <f t="shared" si="21"/>
        <v>80734.990000000005</v>
      </c>
      <c r="U25" s="4">
        <f t="shared" si="22"/>
        <v>77246.66</v>
      </c>
      <c r="V25" s="4"/>
      <c r="W25" s="4">
        <f t="shared" si="23"/>
        <v>305368.21000000008</v>
      </c>
      <c r="Y25" s="25">
        <f t="shared" si="24"/>
        <v>0</v>
      </c>
      <c r="AA25" s="38">
        <v>25385.83</v>
      </c>
      <c r="AB25" s="38">
        <f t="shared" si="18"/>
        <v>0</v>
      </c>
    </row>
    <row r="26" spans="2:28" x14ac:dyDescent="0.2">
      <c r="B26" s="3"/>
      <c r="D26" s="8" t="s">
        <v>480</v>
      </c>
      <c r="E26" s="34">
        <f t="shared" ref="E26:P26" si="25">SUM(E23:E25)</f>
        <v>180662.18</v>
      </c>
      <c r="F26" s="34">
        <f t="shared" si="25"/>
        <v>239157.07</v>
      </c>
      <c r="G26" s="34">
        <f t="shared" si="25"/>
        <v>250296.79</v>
      </c>
      <c r="H26" s="34">
        <f t="shared" si="25"/>
        <v>227182.54</v>
      </c>
      <c r="I26" s="34">
        <f t="shared" si="25"/>
        <v>207479.90000000002</v>
      </c>
      <c r="J26" s="34">
        <f t="shared" si="25"/>
        <v>195143.58000000002</v>
      </c>
      <c r="K26" s="34">
        <f t="shared" si="25"/>
        <v>256936.31</v>
      </c>
      <c r="L26" s="34">
        <f t="shared" si="25"/>
        <v>156332.21000000002</v>
      </c>
      <c r="M26" s="34">
        <f t="shared" si="25"/>
        <v>153847.08000000002</v>
      </c>
      <c r="N26" s="34">
        <f t="shared" si="25"/>
        <v>158177.96000000002</v>
      </c>
      <c r="O26" s="34">
        <f t="shared" si="25"/>
        <v>196490.63</v>
      </c>
      <c r="P26" s="34">
        <f t="shared" si="25"/>
        <v>159661.95000000001</v>
      </c>
      <c r="Q26" s="34"/>
      <c r="R26" s="34">
        <f>SUM(R23:R25)</f>
        <v>670116.04</v>
      </c>
      <c r="S26" s="34">
        <f>SUM(S23:S25)</f>
        <v>629806.02000000014</v>
      </c>
      <c r="T26" s="34">
        <f>SUM(T23:T25)</f>
        <v>567115.60000000009</v>
      </c>
      <c r="U26" s="34">
        <f>SUM(U23:U25)</f>
        <v>514330.54000000004</v>
      </c>
      <c r="V26" s="34"/>
      <c r="W26" s="34">
        <f>SUM(W23:W25)</f>
        <v>2381368.2000000002</v>
      </c>
      <c r="Y26" s="25">
        <f t="shared" si="17"/>
        <v>0</v>
      </c>
      <c r="AA26" s="34">
        <v>170199.58000000002</v>
      </c>
      <c r="AB26" s="34">
        <f>SUM(AB23:AB25)</f>
        <v>-26291.050000000003</v>
      </c>
    </row>
    <row r="27" spans="2:28" x14ac:dyDescent="0.2">
      <c r="B27" s="3"/>
      <c r="D27" s="8"/>
      <c r="E27" s="34"/>
      <c r="F27" s="34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Y27" s="25"/>
      <c r="AA27" s="12"/>
      <c r="AB27" s="12"/>
    </row>
    <row r="28" spans="2:28" x14ac:dyDescent="0.2">
      <c r="B28" s="3" t="s">
        <v>477</v>
      </c>
      <c r="D28" s="7" t="s">
        <v>477</v>
      </c>
      <c r="E28" s="5">
        <f>SUMIFS(Data!$M$2:$M$3664,Data!$B$2:$B$3664,YEAR(E$2),Data!$C$2:$C$3664,MONTH(E$2),Data!$J$2:$J$3664,$B28)*-1</f>
        <v>0</v>
      </c>
      <c r="F28" s="5">
        <f>SUMIFS(Data!$M$2:$M$3664,Data!$B$2:$B$3664,YEAR(F$2),Data!$C$2:$C$3664,MONTH(F$2),Data!$J$2:$J$3664,$B28)*-1</f>
        <v>5000</v>
      </c>
      <c r="G28" s="5">
        <f>SUMIFS(Data!$M$2:$M$3664,Data!$B$2:$B$3664,YEAR(G$2),Data!$C$2:$C$3664,MONTH(G$2),Data!$J$2:$J$3664,$B28)*-1</f>
        <v>0</v>
      </c>
      <c r="H28" s="5">
        <f>SUMIFS(Data!$M$2:$M$3664,Data!$B$2:$B$3664,YEAR(H$2),Data!$C$2:$C$3664,MONTH(H$2),Data!$J$2:$J$3664,$B28)*-1</f>
        <v>0</v>
      </c>
      <c r="I28" s="5">
        <f>SUMIFS(Data!$M$2:$M$3664,Data!$B$2:$B$3664,YEAR(I$2),Data!$C$2:$C$3664,MONTH(I$2),Data!$J$2:$J$3664,$B28)*-1</f>
        <v>0</v>
      </c>
      <c r="J28" s="5">
        <f>SUMIFS(Data!$M$2:$M$3664,Data!$B$2:$B$3664,YEAR(J$2),Data!$C$2:$C$3664,MONTH(J$2),Data!$J$2:$J$3664,$B28)*-1</f>
        <v>0</v>
      </c>
      <c r="K28" s="5">
        <f>SUMIFS(Data!$M$2:$M$3664,Data!$B$2:$B$3664,YEAR(K$2),Data!$C$2:$C$3664,MONTH(K$2),Data!$J$2:$J$3664,$B28)*-1</f>
        <v>563.07999999999993</v>
      </c>
      <c r="L28" s="5">
        <f>SUMIFS(Data!$M$2:$M$3664,Data!$B$2:$B$3664,YEAR(L$2),Data!$C$2:$C$3664,MONTH(L$2),Data!$J$2:$J$3664,$B28)*-1</f>
        <v>593.17000000000007</v>
      </c>
      <c r="M28" s="5">
        <f>SUMIFS(Data!$M$2:$M$3664,Data!$B$2:$B$3664,YEAR(M$2),Data!$C$2:$C$3664,MONTH(M$2),Data!$J$2:$J$3664,$B28)*-1</f>
        <v>593.33999999999992</v>
      </c>
      <c r="N28" s="5">
        <f>SUMIFS(Data!$M$2:$M$3664,Data!$B$2:$B$3664,YEAR(N$2),Data!$C$2:$C$3664,MONTH(N$2),Data!$J$2:$J$3664,$B28)*-1</f>
        <v>2077.36</v>
      </c>
      <c r="O28" s="5">
        <f>SUMIFS(Data!$M$2:$M$3664,Data!$B$2:$B$3664,YEAR(O$2),Data!$C$2:$C$3664,MONTH(O$2),Data!$J$2:$J$3664,$B28)*-1</f>
        <v>1007.77</v>
      </c>
      <c r="P28" s="38">
        <f>+'4 Contractors'!N103</f>
        <v>2000</v>
      </c>
      <c r="Q28" s="4"/>
      <c r="R28" s="4">
        <f t="shared" ref="R28:R37" si="26">SUM(E28:G28)</f>
        <v>5000</v>
      </c>
      <c r="S28" s="4">
        <f t="shared" ref="S28:S37" si="27">SUM(H28:J28)</f>
        <v>0</v>
      </c>
      <c r="T28" s="4">
        <f t="shared" ref="T28:T37" si="28">SUM(K28:M28)</f>
        <v>1749.59</v>
      </c>
      <c r="U28" s="4">
        <f t="shared" ref="U28:U37" si="29">SUM(N28:P28)</f>
        <v>5085.13</v>
      </c>
      <c r="V28" s="4"/>
      <c r="W28" s="4">
        <f t="shared" ref="W28:W37" si="30">SUM(E28:P28)</f>
        <v>11834.720000000001</v>
      </c>
      <c r="Y28" s="25">
        <f t="shared" ref="Y28:Y38" si="31">ROUND(SUM(R28:U28)-W28,2)</f>
        <v>0</v>
      </c>
      <c r="AA28" s="38">
        <v>2000</v>
      </c>
      <c r="AB28" s="38">
        <f t="shared" ref="AB28:AB37" si="32">+AA28-O28</f>
        <v>992.23</v>
      </c>
    </row>
    <row r="29" spans="2:28" x14ac:dyDescent="0.2">
      <c r="B29" s="3" t="s">
        <v>34</v>
      </c>
      <c r="D29" s="7" t="s">
        <v>34</v>
      </c>
      <c r="E29" s="5">
        <f>SUMIFS(Data!$M$2:$M$3664,Data!$B$2:$B$3664,YEAR(E$2),Data!$C$2:$C$3664,MONTH(E$2),Data!$J$2:$J$3664,$B29)*-1</f>
        <v>0</v>
      </c>
      <c r="F29" s="5">
        <f>SUMIFS(Data!$M$2:$M$3664,Data!$B$2:$B$3664,YEAR(F$2),Data!$C$2:$C$3664,MONTH(F$2),Data!$J$2:$J$3664,$B29)*-1</f>
        <v>0</v>
      </c>
      <c r="G29" s="5">
        <f>SUMIFS(Data!$M$2:$M$3664,Data!$B$2:$B$3664,YEAR(G$2),Data!$C$2:$C$3664,MONTH(G$2),Data!$J$2:$J$3664,$B29)*-1</f>
        <v>0</v>
      </c>
      <c r="H29" s="5">
        <f>SUMIFS(Data!$M$2:$M$3664,Data!$B$2:$B$3664,YEAR(H$2),Data!$C$2:$C$3664,MONTH(H$2),Data!$J$2:$J$3664,$B29)*-1</f>
        <v>0</v>
      </c>
      <c r="I29" s="5">
        <f>SUMIFS(Data!$M$2:$M$3664,Data!$B$2:$B$3664,YEAR(I$2),Data!$C$2:$C$3664,MONTH(I$2),Data!$J$2:$J$3664,$B29)*-1</f>
        <v>3545.63</v>
      </c>
      <c r="J29" s="5">
        <f>SUMIFS(Data!$M$2:$M$3664,Data!$B$2:$B$3664,YEAR(J$2),Data!$C$2:$C$3664,MONTH(J$2),Data!$J$2:$J$3664,$B29)*-1</f>
        <v>3545.63</v>
      </c>
      <c r="K29" s="5">
        <f>SUMIFS(Data!$M$2:$M$3664,Data!$B$2:$B$3664,YEAR(K$2),Data!$C$2:$C$3664,MONTH(K$2),Data!$J$2:$J$3664,$B29)*-1</f>
        <v>7091.26</v>
      </c>
      <c r="L29" s="5">
        <f>SUMIFS(Data!$M$2:$M$3664,Data!$B$2:$B$3664,YEAR(L$2),Data!$C$2:$C$3664,MONTH(L$2),Data!$J$2:$J$3664,$B29)*-1</f>
        <v>3545.63</v>
      </c>
      <c r="M29" s="5">
        <f>SUMIFS(Data!$M$2:$M$3664,Data!$B$2:$B$3664,YEAR(M$2),Data!$C$2:$C$3664,MONTH(M$2),Data!$J$2:$J$3664,$B29)*-1</f>
        <v>3545.63</v>
      </c>
      <c r="N29" s="5">
        <f>SUMIFS(Data!$M$2:$M$3664,Data!$B$2:$B$3664,YEAR(N$2),Data!$C$2:$C$3664,MONTH(N$2),Data!$J$2:$J$3664,$B29)*-1</f>
        <v>3545.63</v>
      </c>
      <c r="O29" s="5">
        <f>SUMIFS(Data!$M$2:$M$3664,Data!$B$2:$B$3664,YEAR(O$2),Data!$C$2:$C$3664,MONTH(O$2),Data!$J$2:$J$3664,$B29)*-1</f>
        <v>3545.63</v>
      </c>
      <c r="P29" s="38">
        <f>+'6 Other'!N5</f>
        <v>3550</v>
      </c>
      <c r="Q29" s="4"/>
      <c r="R29" s="4">
        <f t="shared" ref="R29" si="33">SUM(E29:G29)</f>
        <v>0</v>
      </c>
      <c r="S29" s="4">
        <f t="shared" ref="S29" si="34">SUM(H29:J29)</f>
        <v>7091.26</v>
      </c>
      <c r="T29" s="4">
        <f t="shared" ref="T29" si="35">SUM(K29:M29)</f>
        <v>14182.52</v>
      </c>
      <c r="U29" s="4">
        <f t="shared" ref="U29" si="36">SUM(N29:P29)</f>
        <v>10641.26</v>
      </c>
      <c r="V29" s="4"/>
      <c r="W29" s="4">
        <f t="shared" ref="W29" si="37">SUM(E29:P29)</f>
        <v>31915.040000000005</v>
      </c>
      <c r="Y29" s="25">
        <f t="shared" ref="Y29" si="38">ROUND(SUM(R29:U29)-W29,2)</f>
        <v>0</v>
      </c>
      <c r="AA29" s="38">
        <v>3550</v>
      </c>
      <c r="AB29" s="38">
        <f t="shared" si="32"/>
        <v>4.3699999999998909</v>
      </c>
    </row>
    <row r="30" spans="2:28" x14ac:dyDescent="0.2">
      <c r="B30" s="3" t="s">
        <v>17</v>
      </c>
      <c r="D30" s="7" t="s">
        <v>17</v>
      </c>
      <c r="E30" s="5">
        <f>SUMIFS(Data!$M$2:$M$3664,Data!$B$2:$B$3664,YEAR(E$2),Data!$C$2:$C$3664,MONTH(E$2),Data!$J$2:$J$3664,$B30)*-1</f>
        <v>3866.9</v>
      </c>
      <c r="F30" s="5">
        <f>SUMIFS(Data!$M$2:$M$3664,Data!$B$2:$B$3664,YEAR(F$2),Data!$C$2:$C$3664,MONTH(F$2),Data!$J$2:$J$3664,$B30)*-1</f>
        <v>4575.8999999999996</v>
      </c>
      <c r="G30" s="5">
        <f>SUMIFS(Data!$M$2:$M$3664,Data!$B$2:$B$3664,YEAR(G$2),Data!$C$2:$C$3664,MONTH(G$2),Data!$J$2:$J$3664,$B30)*-1</f>
        <v>12536.15</v>
      </c>
      <c r="H30" s="5">
        <f>SUMIFS(Data!$M$2:$M$3664,Data!$B$2:$B$3664,YEAR(H$2),Data!$C$2:$C$3664,MONTH(H$2),Data!$J$2:$J$3664,$B30)*-1</f>
        <v>11114.35</v>
      </c>
      <c r="I30" s="5">
        <f>SUMIFS(Data!$M$2:$M$3664,Data!$B$2:$B$3664,YEAR(I$2),Data!$C$2:$C$3664,MONTH(I$2),Data!$J$2:$J$3664,$B30)*-1</f>
        <v>24774.020000000004</v>
      </c>
      <c r="J30" s="5">
        <f>SUMIFS(Data!$M$2:$M$3664,Data!$B$2:$B$3664,YEAR(J$2),Data!$C$2:$C$3664,MONTH(J$2),Data!$J$2:$J$3664,$B30)*-1</f>
        <v>23118.32</v>
      </c>
      <c r="K30" s="5">
        <f>SUMIFS(Data!$M$2:$M$3664,Data!$B$2:$B$3664,YEAR(K$2),Data!$C$2:$C$3664,MONTH(K$2),Data!$J$2:$J$3664,$B30)*-1</f>
        <v>22225.4</v>
      </c>
      <c r="L30" s="5">
        <f>SUMIFS(Data!$M$2:$M$3664,Data!$B$2:$B$3664,YEAR(L$2),Data!$C$2:$C$3664,MONTH(L$2),Data!$J$2:$J$3664,$B30)*-1</f>
        <v>91840.73</v>
      </c>
      <c r="M30" s="5">
        <f>SUMIFS(Data!$M$2:$M$3664,Data!$B$2:$B$3664,YEAR(M$2),Data!$C$2:$C$3664,MONTH(M$2),Data!$J$2:$J$3664,$B30)*-1</f>
        <v>10289.469999999998</v>
      </c>
      <c r="N30" s="5">
        <f>SUMIFS(Data!$M$2:$M$3664,Data!$B$2:$B$3664,YEAR(N$2),Data!$C$2:$C$3664,MONTH(N$2),Data!$J$2:$J$3664,$B30)*-1</f>
        <v>24251.63</v>
      </c>
      <c r="O30" s="5">
        <f>SUMIFS(Data!$M$2:$M$3664,Data!$B$2:$B$3664,YEAR(O$2),Data!$C$2:$C$3664,MONTH(O$2),Data!$J$2:$J$3664,$B30)*-1</f>
        <v>12056.23</v>
      </c>
      <c r="P30" s="38">
        <f>+'6 Other'!N6</f>
        <v>12000</v>
      </c>
      <c r="Q30" s="4"/>
      <c r="R30" s="4">
        <f t="shared" si="26"/>
        <v>20978.949999999997</v>
      </c>
      <c r="S30" s="4">
        <f t="shared" si="27"/>
        <v>59006.69</v>
      </c>
      <c r="T30" s="4">
        <f t="shared" si="28"/>
        <v>124355.6</v>
      </c>
      <c r="U30" s="4">
        <f t="shared" si="29"/>
        <v>48307.86</v>
      </c>
      <c r="V30" s="4"/>
      <c r="W30" s="4">
        <f t="shared" si="30"/>
        <v>252649.10000000003</v>
      </c>
      <c r="Y30" s="25">
        <f t="shared" si="31"/>
        <v>0</v>
      </c>
      <c r="AA30" s="38">
        <v>18700</v>
      </c>
      <c r="AB30" s="38">
        <f t="shared" si="32"/>
        <v>6643.77</v>
      </c>
    </row>
    <row r="31" spans="2:28" x14ac:dyDescent="0.2">
      <c r="B31" s="3" t="s">
        <v>28</v>
      </c>
      <c r="D31" s="7" t="s">
        <v>28</v>
      </c>
      <c r="E31" s="5">
        <f>SUMIFS(Data!$M$2:$M$3664,Data!$B$2:$B$3664,YEAR(E$2),Data!$C$2:$C$3664,MONTH(E$2),Data!$J$2:$J$3664,$B31)*-1</f>
        <v>263.76</v>
      </c>
      <c r="F31" s="5">
        <f>SUMIFS(Data!$M$2:$M$3664,Data!$B$2:$B$3664,YEAR(F$2),Data!$C$2:$C$3664,MONTH(F$2),Data!$J$2:$J$3664,$B31)*-1</f>
        <v>807.23</v>
      </c>
      <c r="G31" s="5">
        <f>SUMIFS(Data!$M$2:$M$3664,Data!$B$2:$B$3664,YEAR(G$2),Data!$C$2:$C$3664,MONTH(G$2),Data!$J$2:$J$3664,$B31)*-1</f>
        <v>556.55999999999995</v>
      </c>
      <c r="H31" s="5">
        <f>SUMIFS(Data!$M$2:$M$3664,Data!$B$2:$B$3664,YEAR(H$2),Data!$C$2:$C$3664,MONTH(H$2),Data!$J$2:$J$3664,$B31)*-1</f>
        <v>556</v>
      </c>
      <c r="I31" s="5">
        <f>SUMIFS(Data!$M$2:$M$3664,Data!$B$2:$B$3664,YEAR(I$2),Data!$C$2:$C$3664,MONTH(I$2),Data!$J$2:$J$3664,$B31)*-1</f>
        <v>354.79</v>
      </c>
      <c r="J31" s="5">
        <f>SUMIFS(Data!$M$2:$M$3664,Data!$B$2:$B$3664,YEAR(J$2),Data!$C$2:$C$3664,MONTH(J$2),Data!$J$2:$J$3664,$B31)*-1</f>
        <v>1173.69</v>
      </c>
      <c r="K31" s="5">
        <f>SUMIFS(Data!$M$2:$M$3664,Data!$B$2:$B$3664,YEAR(K$2),Data!$C$2:$C$3664,MONTH(K$2),Data!$J$2:$J$3664,$B31)*-1</f>
        <v>355.28000000000003</v>
      </c>
      <c r="L31" s="5">
        <f>SUMIFS(Data!$M$2:$M$3664,Data!$B$2:$B$3664,YEAR(L$2),Data!$C$2:$C$3664,MONTH(L$2),Data!$J$2:$J$3664,$B31)*-1</f>
        <v>1606.02</v>
      </c>
      <c r="M31" s="5">
        <f>SUMIFS(Data!$M$2:$M$3664,Data!$B$2:$B$3664,YEAR(M$2),Data!$C$2:$C$3664,MONTH(M$2),Data!$J$2:$J$3664,$B31)*-1</f>
        <v>1215.05</v>
      </c>
      <c r="N31" s="5">
        <f>SUMIFS(Data!$M$2:$M$3664,Data!$B$2:$B$3664,YEAR(N$2),Data!$C$2:$C$3664,MONTH(N$2),Data!$J$2:$J$3664,$B31)*-1</f>
        <v>127.22999999999999</v>
      </c>
      <c r="O31" s="5">
        <f>SUMIFS(Data!$M$2:$M$3664,Data!$B$2:$B$3664,YEAR(O$2),Data!$C$2:$C$3664,MONTH(O$2),Data!$J$2:$J$3664,$B31)*-1</f>
        <v>4393.6299999999992</v>
      </c>
      <c r="P31" s="38">
        <f>+'6 Other'!N7</f>
        <v>500</v>
      </c>
      <c r="Q31" s="4"/>
      <c r="R31" s="4">
        <f t="shared" si="26"/>
        <v>1627.55</v>
      </c>
      <c r="S31" s="4">
        <f t="shared" si="27"/>
        <v>2084.48</v>
      </c>
      <c r="T31" s="4">
        <f t="shared" si="28"/>
        <v>3176.35</v>
      </c>
      <c r="U31" s="4">
        <f t="shared" si="29"/>
        <v>5020.8599999999988</v>
      </c>
      <c r="V31" s="4"/>
      <c r="W31" s="4">
        <f t="shared" si="30"/>
        <v>11909.239999999998</v>
      </c>
      <c r="Y31" s="25">
        <f t="shared" si="31"/>
        <v>0</v>
      </c>
      <c r="AA31" s="38">
        <v>500</v>
      </c>
      <c r="AB31" s="38">
        <f t="shared" si="32"/>
        <v>-3893.6299999999992</v>
      </c>
    </row>
    <row r="32" spans="2:28" x14ac:dyDescent="0.2">
      <c r="B32" s="3" t="s">
        <v>18</v>
      </c>
      <c r="D32" s="7" t="s">
        <v>18</v>
      </c>
      <c r="E32" s="5">
        <f>SUMIFS(Data!$M$2:$M$3664,Data!$B$2:$B$3664,YEAR(E$2),Data!$C$2:$C$3664,MONTH(E$2),Data!$J$2:$J$3664,$B32)*-1</f>
        <v>496.97</v>
      </c>
      <c r="F32" s="5">
        <f>SUMIFS(Data!$M$2:$M$3664,Data!$B$2:$B$3664,YEAR(F$2),Data!$C$2:$C$3664,MONTH(F$2),Data!$J$2:$J$3664,$B32)*-1</f>
        <v>8280.18</v>
      </c>
      <c r="G32" s="5">
        <f>SUMIFS(Data!$M$2:$M$3664,Data!$B$2:$B$3664,YEAR(G$2),Data!$C$2:$C$3664,MONTH(G$2),Data!$J$2:$J$3664,$B32)*-1</f>
        <v>3089.8900000000003</v>
      </c>
      <c r="H32" s="5">
        <f>SUMIFS(Data!$M$2:$M$3664,Data!$B$2:$B$3664,YEAR(H$2),Data!$C$2:$C$3664,MONTH(H$2),Data!$J$2:$J$3664,$B32)*-1</f>
        <v>8984.89</v>
      </c>
      <c r="I32" s="5">
        <f>SUMIFS(Data!$M$2:$M$3664,Data!$B$2:$B$3664,YEAR(I$2),Data!$C$2:$C$3664,MONTH(I$2),Data!$J$2:$J$3664,$B32)*-1</f>
        <v>1547.5500000000002</v>
      </c>
      <c r="J32" s="5">
        <f>SUMIFS(Data!$M$2:$M$3664,Data!$B$2:$B$3664,YEAR(J$2),Data!$C$2:$C$3664,MONTH(J$2),Data!$J$2:$J$3664,$B32)*-1</f>
        <v>3039.49</v>
      </c>
      <c r="K32" s="5">
        <f>SUMIFS(Data!$M$2:$M$3664,Data!$B$2:$B$3664,YEAR(K$2),Data!$C$2:$C$3664,MONTH(K$2),Data!$J$2:$J$3664,$B32)*-1</f>
        <v>5580.2400000000007</v>
      </c>
      <c r="L32" s="5">
        <f>SUMIFS(Data!$M$2:$M$3664,Data!$B$2:$B$3664,YEAR(L$2),Data!$C$2:$C$3664,MONTH(L$2),Data!$J$2:$J$3664,$B32)*-1</f>
        <v>1783.2400000000002</v>
      </c>
      <c r="M32" s="5">
        <f>SUMIFS(Data!$M$2:$M$3664,Data!$B$2:$B$3664,YEAR(M$2),Data!$C$2:$C$3664,MONTH(M$2),Data!$J$2:$J$3664,$B32)*-1</f>
        <v>3039.49</v>
      </c>
      <c r="N32" s="5">
        <f>SUMIFS(Data!$M$2:$M$3664,Data!$B$2:$B$3664,YEAR(N$2),Data!$C$2:$C$3664,MONTH(N$2),Data!$J$2:$J$3664,$B32)*-1</f>
        <v>5817.8</v>
      </c>
      <c r="O32" s="5">
        <f>SUMIFS(Data!$M$2:$M$3664,Data!$B$2:$B$3664,YEAR(O$2),Data!$C$2:$C$3664,MONTH(O$2),Data!$J$2:$J$3664,$B32)*-1</f>
        <v>1783.2400000000002</v>
      </c>
      <c r="P32" s="38">
        <f>+'6 Other'!N8</f>
        <v>2500</v>
      </c>
      <c r="Q32" s="4"/>
      <c r="R32" s="4">
        <f t="shared" si="26"/>
        <v>11867.04</v>
      </c>
      <c r="S32" s="4">
        <f t="shared" si="27"/>
        <v>13571.929999999998</v>
      </c>
      <c r="T32" s="4">
        <f t="shared" si="28"/>
        <v>10402.970000000001</v>
      </c>
      <c r="U32" s="4">
        <f t="shared" si="29"/>
        <v>10101.040000000001</v>
      </c>
      <c r="V32" s="4"/>
      <c r="W32" s="4">
        <f t="shared" si="30"/>
        <v>45942.98</v>
      </c>
      <c r="Y32" s="25">
        <f t="shared" si="31"/>
        <v>0</v>
      </c>
      <c r="AA32" s="38">
        <v>2500</v>
      </c>
      <c r="AB32" s="38">
        <f t="shared" si="32"/>
        <v>716.75999999999976</v>
      </c>
    </row>
    <row r="33" spans="2:28" x14ac:dyDescent="0.2">
      <c r="B33" s="3" t="s">
        <v>29</v>
      </c>
      <c r="D33" s="7" t="s">
        <v>29</v>
      </c>
      <c r="E33" s="5">
        <f>SUMIFS(Data!$M$2:$M$3664,Data!$B$2:$B$3664,YEAR(E$2),Data!$C$2:$C$3664,MONTH(E$2),Data!$J$2:$J$3664,$B33)*-1</f>
        <v>10550</v>
      </c>
      <c r="F33" s="5">
        <f>SUMIFS(Data!$M$2:$M$3664,Data!$B$2:$B$3664,YEAR(F$2),Data!$C$2:$C$3664,MONTH(F$2),Data!$J$2:$J$3664,$B33)*-1</f>
        <v>15467.5</v>
      </c>
      <c r="G33" s="5">
        <f>SUMIFS(Data!$M$2:$M$3664,Data!$B$2:$B$3664,YEAR(G$2),Data!$C$2:$C$3664,MONTH(G$2),Data!$J$2:$J$3664,$B33)*-1</f>
        <v>18866</v>
      </c>
      <c r="H33" s="5">
        <f>SUMIFS(Data!$M$2:$M$3664,Data!$B$2:$B$3664,YEAR(H$2),Data!$C$2:$C$3664,MONTH(H$2),Data!$J$2:$J$3664,$B33)*-1</f>
        <v>28130</v>
      </c>
      <c r="I33" s="5">
        <f>SUMIFS(Data!$M$2:$M$3664,Data!$B$2:$B$3664,YEAR(I$2),Data!$C$2:$C$3664,MONTH(I$2),Data!$J$2:$J$3664,$B33)*-1</f>
        <v>23029.4</v>
      </c>
      <c r="J33" s="5">
        <f>SUMIFS(Data!$M$2:$M$3664,Data!$B$2:$B$3664,YEAR(J$2),Data!$C$2:$C$3664,MONTH(J$2),Data!$J$2:$J$3664,$B33)*-1</f>
        <v>10386.450000000001</v>
      </c>
      <c r="K33" s="5">
        <f>SUMIFS(Data!$M$2:$M$3664,Data!$B$2:$B$3664,YEAR(K$2),Data!$C$2:$C$3664,MONTH(K$2),Data!$J$2:$J$3664,$B33)*-1</f>
        <v>9005.5</v>
      </c>
      <c r="L33" s="5">
        <f>SUMIFS(Data!$M$2:$M$3664,Data!$B$2:$B$3664,YEAR(L$2),Data!$C$2:$C$3664,MONTH(L$2),Data!$J$2:$J$3664,$B33)*-1</f>
        <v>1950.5</v>
      </c>
      <c r="M33" s="5">
        <f>SUMIFS(Data!$M$2:$M$3664,Data!$B$2:$B$3664,YEAR(M$2),Data!$C$2:$C$3664,MONTH(M$2),Data!$J$2:$J$3664,$B33)*-1</f>
        <v>8001</v>
      </c>
      <c r="N33" s="5">
        <f>SUMIFS(Data!$M$2:$M$3664,Data!$B$2:$B$3664,YEAR(N$2),Data!$C$2:$C$3664,MONTH(N$2),Data!$J$2:$J$3664,$B33)*-1</f>
        <v>9200.7000000000007</v>
      </c>
      <c r="O33" s="5">
        <f>SUMIFS(Data!$M$2:$M$3664,Data!$B$2:$B$3664,YEAR(O$2),Data!$C$2:$C$3664,MONTH(O$2),Data!$J$2:$J$3664,$B33)*-1</f>
        <v>1426</v>
      </c>
      <c r="P33" s="38">
        <f>+'6 Other'!N9</f>
        <v>11000</v>
      </c>
      <c r="Q33" s="4"/>
      <c r="R33" s="4">
        <f t="shared" si="26"/>
        <v>44883.5</v>
      </c>
      <c r="S33" s="4">
        <f t="shared" si="27"/>
        <v>61545.850000000006</v>
      </c>
      <c r="T33" s="4">
        <f t="shared" si="28"/>
        <v>18957</v>
      </c>
      <c r="U33" s="4">
        <f t="shared" si="29"/>
        <v>21626.7</v>
      </c>
      <c r="V33" s="4"/>
      <c r="W33" s="4">
        <f t="shared" si="30"/>
        <v>147013.04999999999</v>
      </c>
      <c r="Y33" s="25">
        <f t="shared" si="31"/>
        <v>0</v>
      </c>
      <c r="AA33" s="38">
        <v>6000</v>
      </c>
      <c r="AB33" s="38">
        <f t="shared" si="32"/>
        <v>4574</v>
      </c>
    </row>
    <row r="34" spans="2:28" x14ac:dyDescent="0.2">
      <c r="B34" s="3" t="s">
        <v>32</v>
      </c>
      <c r="D34" s="7" t="s">
        <v>32</v>
      </c>
      <c r="E34" s="5">
        <f>SUMIFS(Data!$M$2:$M$3664,Data!$B$2:$B$3664,YEAR(E$2),Data!$C$2:$C$3664,MONTH(E$2),Data!$J$2:$J$3664,$B34)*-1</f>
        <v>0</v>
      </c>
      <c r="F34" s="5">
        <f>SUMIFS(Data!$M$2:$M$3664,Data!$B$2:$B$3664,YEAR(F$2),Data!$C$2:$C$3664,MONTH(F$2),Data!$J$2:$J$3664,$B34)*-1</f>
        <v>0</v>
      </c>
      <c r="G34" s="5">
        <f>SUMIFS(Data!$M$2:$M$3664,Data!$B$2:$B$3664,YEAR(G$2),Data!$C$2:$C$3664,MONTH(G$2),Data!$J$2:$J$3664,$B34)*-1</f>
        <v>0</v>
      </c>
      <c r="H34" s="5">
        <f>SUMIFS(Data!$M$2:$M$3664,Data!$B$2:$B$3664,YEAR(H$2),Data!$C$2:$C$3664,MONTH(H$2),Data!$J$2:$J$3664,$B34)*-1</f>
        <v>0</v>
      </c>
      <c r="I34" s="5">
        <f>SUMIFS(Data!$M$2:$M$3664,Data!$B$2:$B$3664,YEAR(I$2),Data!$C$2:$C$3664,MONTH(I$2),Data!$J$2:$J$3664,$B34)*-1</f>
        <v>22482.5</v>
      </c>
      <c r="J34" s="5">
        <f>SUMIFS(Data!$M$2:$M$3664,Data!$B$2:$B$3664,YEAR(J$2),Data!$C$2:$C$3664,MONTH(J$2),Data!$J$2:$J$3664,$B34)*-1</f>
        <v>287.5</v>
      </c>
      <c r="K34" s="5">
        <f>SUMIFS(Data!$M$2:$M$3664,Data!$B$2:$B$3664,YEAR(K$2),Data!$C$2:$C$3664,MONTH(K$2),Data!$J$2:$J$3664,$B34)*-1</f>
        <v>535</v>
      </c>
      <c r="L34" s="5">
        <f>SUMIFS(Data!$M$2:$M$3664,Data!$B$2:$B$3664,YEAR(L$2),Data!$C$2:$C$3664,MONTH(L$2),Data!$J$2:$J$3664,$B34)*-1</f>
        <v>0</v>
      </c>
      <c r="M34" s="5">
        <f>SUMIFS(Data!$M$2:$M$3664,Data!$B$2:$B$3664,YEAR(M$2),Data!$C$2:$C$3664,MONTH(M$2),Data!$J$2:$J$3664,$B34)*-1</f>
        <v>565</v>
      </c>
      <c r="N34" s="5">
        <f>SUMIFS(Data!$M$2:$M$3664,Data!$B$2:$B$3664,YEAR(N$2),Data!$C$2:$C$3664,MONTH(N$2),Data!$J$2:$J$3664,$B34)*-1</f>
        <v>0</v>
      </c>
      <c r="O34" s="5">
        <f>SUMIFS(Data!$M$2:$M$3664,Data!$B$2:$B$3664,YEAR(O$2),Data!$C$2:$C$3664,MONTH(O$2),Data!$J$2:$J$3664,$B34)*-1</f>
        <v>0</v>
      </c>
      <c r="P34" s="38">
        <f>+'6 Other'!N10</f>
        <v>12500</v>
      </c>
      <c r="Q34" s="4"/>
      <c r="R34" s="4">
        <f t="shared" si="26"/>
        <v>0</v>
      </c>
      <c r="S34" s="4">
        <f t="shared" si="27"/>
        <v>22770</v>
      </c>
      <c r="T34" s="4">
        <f t="shared" si="28"/>
        <v>1100</v>
      </c>
      <c r="U34" s="4">
        <f t="shared" si="29"/>
        <v>12500</v>
      </c>
      <c r="V34" s="4"/>
      <c r="W34" s="4">
        <f t="shared" si="30"/>
        <v>36370</v>
      </c>
      <c r="Y34" s="25">
        <f t="shared" si="31"/>
        <v>0</v>
      </c>
      <c r="AA34" s="38">
        <v>12500</v>
      </c>
      <c r="AB34" s="38">
        <f t="shared" si="32"/>
        <v>12500</v>
      </c>
    </row>
    <row r="35" spans="2:28" x14ac:dyDescent="0.2">
      <c r="B35" s="3" t="s">
        <v>31</v>
      </c>
      <c r="D35" s="7" t="s">
        <v>31</v>
      </c>
      <c r="E35" s="5">
        <f>SUMIFS(Data!$M$2:$M$3664,Data!$B$2:$B$3664,YEAR(E$2),Data!$C$2:$C$3664,MONTH(E$2),Data!$J$2:$J$3664,$B35)*-1</f>
        <v>0</v>
      </c>
      <c r="F35" s="5">
        <f>SUMIFS(Data!$M$2:$M$3664,Data!$B$2:$B$3664,YEAR(F$2),Data!$C$2:$C$3664,MONTH(F$2),Data!$J$2:$J$3664,$B35)*-1</f>
        <v>0</v>
      </c>
      <c r="G35" s="5">
        <f>SUMIFS(Data!$M$2:$M$3664,Data!$B$2:$B$3664,YEAR(G$2),Data!$C$2:$C$3664,MONTH(G$2),Data!$J$2:$J$3664,$B35)*-1</f>
        <v>63750</v>
      </c>
      <c r="H35" s="5">
        <f>SUMIFS(Data!$M$2:$M$3664,Data!$B$2:$B$3664,YEAR(H$2),Data!$C$2:$C$3664,MONTH(H$2),Data!$J$2:$J$3664,$B35)*-1</f>
        <v>0</v>
      </c>
      <c r="I35" s="5">
        <f>SUMIFS(Data!$M$2:$M$3664,Data!$B$2:$B$3664,YEAR(I$2),Data!$C$2:$C$3664,MONTH(I$2),Data!$J$2:$J$3664,$B35)*-1</f>
        <v>25000</v>
      </c>
      <c r="J35" s="5">
        <f>SUMIFS(Data!$M$2:$M$3664,Data!$B$2:$B$3664,YEAR(J$2),Data!$C$2:$C$3664,MONTH(J$2),Data!$J$2:$J$3664,$B35)*-1</f>
        <v>0</v>
      </c>
      <c r="K35" s="5">
        <f>SUMIFS(Data!$M$2:$M$3664,Data!$B$2:$B$3664,YEAR(K$2),Data!$C$2:$C$3664,MONTH(K$2),Data!$J$2:$J$3664,$B35)*-1</f>
        <v>0</v>
      </c>
      <c r="L35" s="5">
        <f>SUMIFS(Data!$M$2:$M$3664,Data!$B$2:$B$3664,YEAR(L$2),Data!$C$2:$C$3664,MONTH(L$2),Data!$J$2:$J$3664,$B35)*-1</f>
        <v>0</v>
      </c>
      <c r="M35" s="5">
        <f>SUMIFS(Data!$M$2:$M$3664,Data!$B$2:$B$3664,YEAR(M$2),Data!$C$2:$C$3664,MONTH(M$2),Data!$J$2:$J$3664,$B35)*-1</f>
        <v>0</v>
      </c>
      <c r="N35" s="5">
        <f>SUMIFS(Data!$M$2:$M$3664,Data!$B$2:$B$3664,YEAR(N$2),Data!$C$2:$C$3664,MONTH(N$2),Data!$J$2:$J$3664,$B35)*-1</f>
        <v>0</v>
      </c>
      <c r="O35" s="5">
        <f>SUMIFS(Data!$M$2:$M$3664,Data!$B$2:$B$3664,YEAR(O$2),Data!$C$2:$C$3664,MONTH(O$2),Data!$J$2:$J$3664,$B35)*-1</f>
        <v>0</v>
      </c>
      <c r="P35" s="38">
        <f>+'6 Other'!N11</f>
        <v>35000</v>
      </c>
      <c r="Q35" s="4"/>
      <c r="R35" s="4">
        <f t="shared" si="26"/>
        <v>63750</v>
      </c>
      <c r="S35" s="4">
        <f t="shared" si="27"/>
        <v>25000</v>
      </c>
      <c r="T35" s="4">
        <f t="shared" si="28"/>
        <v>0</v>
      </c>
      <c r="U35" s="4">
        <f t="shared" si="29"/>
        <v>35000</v>
      </c>
      <c r="V35" s="4"/>
      <c r="W35" s="4">
        <f t="shared" si="30"/>
        <v>123750</v>
      </c>
      <c r="Y35" s="25">
        <f t="shared" si="31"/>
        <v>0</v>
      </c>
      <c r="AA35" s="38">
        <v>35000</v>
      </c>
      <c r="AB35" s="38">
        <f t="shared" si="32"/>
        <v>35000</v>
      </c>
    </row>
    <row r="36" spans="2:28" x14ac:dyDescent="0.2">
      <c r="B36" s="3" t="s">
        <v>21</v>
      </c>
      <c r="D36" s="7" t="s">
        <v>62</v>
      </c>
      <c r="E36" s="5">
        <f>SUMIFS(Data!$M$2:$M$3664,Data!$B$2:$B$3664,YEAR(E$2),Data!$C$2:$C$3664,MONTH(E$2),Data!$J$2:$J$3664,$B36)*-1</f>
        <v>0</v>
      </c>
      <c r="F36" s="5">
        <f>SUMIFS(Data!$M$2:$M$3664,Data!$B$2:$B$3664,YEAR(F$2),Data!$C$2:$C$3664,MONTH(F$2),Data!$J$2:$J$3664,$B36)*-1</f>
        <v>0</v>
      </c>
      <c r="G36" s="5">
        <f>SUMIFS(Data!$M$2:$M$3664,Data!$B$2:$B$3664,YEAR(G$2),Data!$C$2:$C$3664,MONTH(G$2),Data!$J$2:$J$3664,$B36)*-1</f>
        <v>4036</v>
      </c>
      <c r="H36" s="5">
        <f>SUMIFS(Data!$M$2:$M$3664,Data!$B$2:$B$3664,YEAR(H$2),Data!$C$2:$C$3664,MONTH(H$2),Data!$J$2:$J$3664,$B36)*-1</f>
        <v>20</v>
      </c>
      <c r="I36" s="5">
        <f>SUMIFS(Data!$M$2:$M$3664,Data!$B$2:$B$3664,YEAR(I$2),Data!$C$2:$C$3664,MONTH(I$2),Data!$J$2:$J$3664,$B36)*-1</f>
        <v>-326.17</v>
      </c>
      <c r="J36" s="5">
        <f>SUMIFS(Data!$M$2:$M$3664,Data!$B$2:$B$3664,YEAR(J$2),Data!$C$2:$C$3664,MONTH(J$2),Data!$J$2:$J$3664,$B36)*-1</f>
        <v>196</v>
      </c>
      <c r="K36" s="5">
        <f>SUMIFS(Data!$M$2:$M$3664,Data!$B$2:$B$3664,YEAR(K$2),Data!$C$2:$C$3664,MONTH(K$2),Data!$J$2:$J$3664,$B36)*-1</f>
        <v>112.92</v>
      </c>
      <c r="L36" s="5">
        <f>SUMIFS(Data!$M$2:$M$3664,Data!$B$2:$B$3664,YEAR(L$2),Data!$C$2:$C$3664,MONTH(L$2),Data!$J$2:$J$3664,$B36)*-1</f>
        <v>0</v>
      </c>
      <c r="M36" s="5">
        <f>SUMIFS(Data!$M$2:$M$3664,Data!$B$2:$B$3664,YEAR(M$2),Data!$C$2:$C$3664,MONTH(M$2),Data!$J$2:$J$3664,$B36)*-1</f>
        <v>-32</v>
      </c>
      <c r="N36" s="5">
        <f>SUMIFS(Data!$M$2:$M$3664,Data!$B$2:$B$3664,YEAR(N$2),Data!$C$2:$C$3664,MONTH(N$2),Data!$J$2:$J$3664,$B36)*-1</f>
        <v>188.43</v>
      </c>
      <c r="O36" s="5">
        <f>SUMIFS(Data!$M$2:$M$3664,Data!$B$2:$B$3664,YEAR(O$2),Data!$C$2:$C$3664,MONTH(O$2),Data!$J$2:$J$3664,$B36)*-1</f>
        <v>0</v>
      </c>
      <c r="P36" s="38">
        <f>+'6 Other'!N12</f>
        <v>250</v>
      </c>
      <c r="Q36" s="4"/>
      <c r="R36" s="4">
        <f t="shared" si="26"/>
        <v>4036</v>
      </c>
      <c r="S36" s="4">
        <f t="shared" si="27"/>
        <v>-110.17000000000002</v>
      </c>
      <c r="T36" s="4">
        <f t="shared" si="28"/>
        <v>80.92</v>
      </c>
      <c r="U36" s="4">
        <f t="shared" si="29"/>
        <v>438.43</v>
      </c>
      <c r="V36" s="4"/>
      <c r="W36" s="4">
        <f t="shared" si="30"/>
        <v>4445.18</v>
      </c>
      <c r="Y36" s="25">
        <f t="shared" si="31"/>
        <v>0</v>
      </c>
      <c r="AA36" s="38">
        <v>250</v>
      </c>
      <c r="AB36" s="38">
        <f t="shared" si="32"/>
        <v>250</v>
      </c>
    </row>
    <row r="37" spans="2:28" x14ac:dyDescent="0.2">
      <c r="B37" s="3" t="s">
        <v>22</v>
      </c>
      <c r="D37" s="7" t="s">
        <v>22</v>
      </c>
      <c r="E37" s="5">
        <f>SUMIFS(Data!$M$2:$M$3664,Data!$B$2:$B$3664,YEAR(E$2),Data!$C$2:$C$3664,MONTH(E$2),Data!$J$2:$J$3664,$B37)*-1</f>
        <v>24863.58</v>
      </c>
      <c r="F37" s="5">
        <f>SUMIFS(Data!$M$2:$M$3664,Data!$B$2:$B$3664,YEAR(F$2),Data!$C$2:$C$3664,MONTH(F$2),Data!$J$2:$J$3664,$B37)*-1</f>
        <v>829.94</v>
      </c>
      <c r="G37" s="5">
        <f>SUMIFS(Data!$M$2:$M$3664,Data!$B$2:$B$3664,YEAR(G$2),Data!$C$2:$C$3664,MONTH(G$2),Data!$J$2:$J$3664,$B37)*-1</f>
        <v>2230.5</v>
      </c>
      <c r="H37" s="5">
        <f>SUMIFS(Data!$M$2:$M$3664,Data!$B$2:$B$3664,YEAR(H$2),Data!$C$2:$C$3664,MONTH(H$2),Data!$J$2:$J$3664,$B37)*-1</f>
        <v>13849.7</v>
      </c>
      <c r="I37" s="5">
        <f>SUMIFS(Data!$M$2:$M$3664,Data!$B$2:$B$3664,YEAR(I$2),Data!$C$2:$C$3664,MONTH(I$2),Data!$J$2:$J$3664,$B37)*-1</f>
        <v>20024.030000000002</v>
      </c>
      <c r="J37" s="5">
        <f>SUMIFS(Data!$M$2:$M$3664,Data!$B$2:$B$3664,YEAR(J$2),Data!$C$2:$C$3664,MONTH(J$2),Data!$J$2:$J$3664,$B37)*-1</f>
        <v>38178.86000000003</v>
      </c>
      <c r="K37" s="5">
        <f>SUMIFS(Data!$M$2:$M$3664,Data!$B$2:$B$3664,YEAR(K$2),Data!$C$2:$C$3664,MONTH(K$2),Data!$J$2:$J$3664,$B37)*-1</f>
        <v>9684.2199999999993</v>
      </c>
      <c r="L37" s="5">
        <f>SUMIFS(Data!$M$2:$M$3664,Data!$B$2:$B$3664,YEAR(L$2),Data!$C$2:$C$3664,MONTH(L$2),Data!$J$2:$J$3664,$B37)*-1</f>
        <v>21014.370000000003</v>
      </c>
      <c r="M37" s="5">
        <f>SUMIFS(Data!$M$2:$M$3664,Data!$B$2:$B$3664,YEAR(M$2),Data!$C$2:$C$3664,MONTH(M$2),Data!$J$2:$J$3664,$B37)*-1</f>
        <v>32093.19</v>
      </c>
      <c r="N37" s="5">
        <f>SUMIFS(Data!$M$2:$M$3664,Data!$B$2:$B$3664,YEAR(N$2),Data!$C$2:$C$3664,MONTH(N$2),Data!$J$2:$J$3664,$B37)*-1</f>
        <v>21464.5</v>
      </c>
      <c r="O37" s="5">
        <f>SUMIFS(Data!$M$2:$M$3664,Data!$B$2:$B$3664,YEAR(O$2),Data!$C$2:$C$3664,MONTH(O$2),Data!$J$2:$J$3664,$B37)*-1</f>
        <v>12742</v>
      </c>
      <c r="P37" s="38">
        <f>+'6 Other'!N13</f>
        <v>8500</v>
      </c>
      <c r="Q37" s="4"/>
      <c r="R37" s="4">
        <f t="shared" si="26"/>
        <v>27924.02</v>
      </c>
      <c r="S37" s="4">
        <f t="shared" si="27"/>
        <v>72052.590000000026</v>
      </c>
      <c r="T37" s="4">
        <f t="shared" si="28"/>
        <v>62791.78</v>
      </c>
      <c r="U37" s="4">
        <f t="shared" si="29"/>
        <v>42706.5</v>
      </c>
      <c r="V37" s="4"/>
      <c r="W37" s="4">
        <f t="shared" si="30"/>
        <v>205474.89000000004</v>
      </c>
      <c r="Y37" s="25">
        <f t="shared" si="31"/>
        <v>0</v>
      </c>
      <c r="AA37" s="38">
        <v>8500</v>
      </c>
      <c r="AB37" s="38">
        <f t="shared" si="32"/>
        <v>-4242</v>
      </c>
    </row>
    <row r="38" spans="2:28" x14ac:dyDescent="0.2">
      <c r="B38" s="3"/>
      <c r="D38" s="8" t="s">
        <v>97</v>
      </c>
      <c r="E38" s="34">
        <f t="shared" ref="E38:P38" si="39">SUM(E28:E37)</f>
        <v>40041.210000000006</v>
      </c>
      <c r="F38" s="34">
        <f t="shared" si="39"/>
        <v>34960.75</v>
      </c>
      <c r="G38" s="34">
        <f t="shared" si="39"/>
        <v>105065.1</v>
      </c>
      <c r="H38" s="34">
        <f t="shared" si="39"/>
        <v>62654.94</v>
      </c>
      <c r="I38" s="34">
        <f t="shared" si="39"/>
        <v>120431.75000000001</v>
      </c>
      <c r="J38" s="34">
        <f t="shared" si="39"/>
        <v>79925.940000000031</v>
      </c>
      <c r="K38" s="34">
        <f t="shared" si="39"/>
        <v>55152.9</v>
      </c>
      <c r="L38" s="34">
        <f t="shared" si="39"/>
        <v>122333.66</v>
      </c>
      <c r="M38" s="34">
        <f t="shared" si="39"/>
        <v>59310.17</v>
      </c>
      <c r="N38" s="34">
        <f t="shared" si="39"/>
        <v>66673.279999999999</v>
      </c>
      <c r="O38" s="34">
        <f t="shared" si="39"/>
        <v>36954.5</v>
      </c>
      <c r="P38" s="34">
        <f t="shared" si="39"/>
        <v>87800</v>
      </c>
      <c r="Q38" s="34"/>
      <c r="R38" s="34">
        <f>SUM(R28:R37)</f>
        <v>180067.05999999997</v>
      </c>
      <c r="S38" s="34">
        <f>SUM(S28:S37)</f>
        <v>263012.63</v>
      </c>
      <c r="T38" s="34">
        <f>SUM(T28:T37)</f>
        <v>236796.73000000004</v>
      </c>
      <c r="U38" s="34">
        <f>SUM(U28:U37)</f>
        <v>191427.77999999997</v>
      </c>
      <c r="V38" s="34"/>
      <c r="W38" s="34">
        <f>SUM(W28:W37)</f>
        <v>871304.20000000007</v>
      </c>
      <c r="Y38" s="25">
        <f t="shared" si="31"/>
        <v>0</v>
      </c>
      <c r="AA38" s="34">
        <v>89500</v>
      </c>
      <c r="AB38" s="34">
        <f>SUM(AB28:AB37)</f>
        <v>52545.5</v>
      </c>
    </row>
    <row r="39" spans="2:28" x14ac:dyDescent="0.2">
      <c r="B39" s="3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Y39" s="25"/>
      <c r="AA39" s="4"/>
      <c r="AB39" s="4"/>
    </row>
    <row r="40" spans="2:28" x14ac:dyDescent="0.2">
      <c r="B40" s="3"/>
      <c r="D40" s="8" t="s">
        <v>43</v>
      </c>
      <c r="E40" s="34">
        <f>+E21+E26+E38</f>
        <v>495827.25</v>
      </c>
      <c r="F40" s="34">
        <f t="shared" ref="F40:W40" si="40">+F21+F26+F38</f>
        <v>745088.42</v>
      </c>
      <c r="G40" s="34">
        <f t="shared" si="40"/>
        <v>629337.65</v>
      </c>
      <c r="H40" s="34">
        <f t="shared" si="40"/>
        <v>583641.64000000013</v>
      </c>
      <c r="I40" s="34">
        <f t="shared" si="40"/>
        <v>628120.46000000008</v>
      </c>
      <c r="J40" s="34">
        <f t="shared" si="40"/>
        <v>589151.60000000009</v>
      </c>
      <c r="K40" s="34">
        <f t="shared" si="40"/>
        <v>623813.71000000008</v>
      </c>
      <c r="L40" s="34">
        <f t="shared" si="40"/>
        <v>583699.06000000006</v>
      </c>
      <c r="M40" s="34">
        <f t="shared" si="40"/>
        <v>485109.49000000005</v>
      </c>
      <c r="N40" s="34">
        <f t="shared" si="40"/>
        <v>492231.93000000005</v>
      </c>
      <c r="O40" s="34">
        <f t="shared" si="40"/>
        <v>490920.25</v>
      </c>
      <c r="P40" s="34">
        <f t="shared" si="40"/>
        <v>528871.94999999995</v>
      </c>
      <c r="Q40" s="34"/>
      <c r="R40" s="34">
        <f t="shared" si="40"/>
        <v>1870253.3200000003</v>
      </c>
      <c r="S40" s="34">
        <f t="shared" si="40"/>
        <v>1800913.7000000002</v>
      </c>
      <c r="T40" s="34">
        <f t="shared" si="40"/>
        <v>1692622.2600000002</v>
      </c>
      <c r="U40" s="34">
        <f t="shared" si="40"/>
        <v>1512024.1300000001</v>
      </c>
      <c r="V40" s="34"/>
      <c r="W40" s="34">
        <f t="shared" si="40"/>
        <v>6875813.4100000011</v>
      </c>
      <c r="Y40" s="25">
        <f>ROUND(SUM(R40:U40)-W40,2)</f>
        <v>0</v>
      </c>
      <c r="Z40" s="5"/>
      <c r="AA40" s="34">
        <v>546540.92999999993</v>
      </c>
      <c r="AB40" s="34">
        <f>+AB21+AB26+AB38</f>
        <v>55620.680000000037</v>
      </c>
    </row>
    <row r="41" spans="2:28" x14ac:dyDescent="0.2">
      <c r="B41" s="3"/>
      <c r="E41" s="5"/>
      <c r="F41" s="5"/>
      <c r="Y41" s="25"/>
      <c r="Z41" s="5"/>
      <c r="AB41" s="5"/>
    </row>
    <row r="42" spans="2:28" x14ac:dyDescent="0.2">
      <c r="B42" s="6" t="s">
        <v>33</v>
      </c>
      <c r="D42" s="7" t="s">
        <v>33</v>
      </c>
      <c r="E42" s="5">
        <f>SUMIFS(Data!$M$2:$M$3664,Data!$B$2:$B$3664,YEAR(E$2),Data!$C$2:$C$3664,MONTH(E$2),Data!$J$2:$J$3664,$B42)</f>
        <v>0</v>
      </c>
      <c r="F42" s="5">
        <f>SUMIFS(Data!$M$2:$M$3664,Data!$B$2:$B$3664,YEAR(F$2),Data!$C$2:$C$3664,MONTH(F$2),Data!$J$2:$J$3664,$B42)</f>
        <v>0</v>
      </c>
      <c r="G42" s="5">
        <f>SUMIFS(Data!$M$2:$M$3664,Data!$B$2:$B$3664,YEAR(G$2),Data!$C$2:$C$3664,MONTH(G$2),Data!$J$2:$J$3664,$B42)</f>
        <v>0</v>
      </c>
      <c r="H42" s="5">
        <f>SUMIFS(Data!$M$2:$M$3664,Data!$B$2:$B$3664,YEAR(H$2),Data!$C$2:$C$3664,MONTH(H$2),Data!$J$2:$J$3664,$B42)</f>
        <v>0</v>
      </c>
      <c r="I42" s="5">
        <f>SUMIFS(Data!$M$2:$M$3664,Data!$B$2:$B$3664,YEAR(I$2),Data!$C$2:$C$3664,MONTH(I$2),Data!$J$2:$J$3664,$B42)</f>
        <v>0</v>
      </c>
      <c r="J42" s="5">
        <f>SUMIFS(Data!$M$2:$M$3664,Data!$B$2:$B$3664,YEAR(J$2),Data!$C$2:$C$3664,MONTH(J$2),Data!$J$2:$J$3664,$B42)</f>
        <v>0</v>
      </c>
      <c r="K42" s="5">
        <f>SUMIFS(Data!$M$2:$M$3664,Data!$B$2:$B$3664,YEAR(K$2),Data!$C$2:$C$3664,MONTH(K$2),Data!$J$2:$J$3664,$B42)</f>
        <v>0</v>
      </c>
      <c r="L42" s="5">
        <f>SUMIFS(Data!$M$2:$M$3664,Data!$B$2:$B$3664,YEAR(L$2),Data!$C$2:$C$3664,MONTH(L$2),Data!$J$2:$J$3664,$B42)</f>
        <v>0</v>
      </c>
      <c r="M42" s="5">
        <f>SUMIFS(Data!$M$2:$M$3664,Data!$B$2:$B$3664,YEAR(M$2),Data!$C$2:$C$3664,MONTH(M$2),Data!$J$2:$J$3664,$B42)</f>
        <v>0</v>
      </c>
      <c r="N42" s="5">
        <f>SUMIFS(Data!$M$2:$M$3664,Data!$B$2:$B$3664,YEAR(N$2),Data!$C$2:$C$3664,MONTH(N$2),Data!$J$2:$J$3664,$B42)</f>
        <v>0</v>
      </c>
      <c r="O42" s="5">
        <f>SUMIFS(Data!$M$2:$M$3664,Data!$B$2:$B$3664,YEAR(O$2),Data!$C$2:$C$3664,MONTH(O$2),Data!$J$2:$J$3664,$B42)</f>
        <v>0</v>
      </c>
      <c r="P42" s="38">
        <f>+'6 Other'!N18</f>
        <v>0</v>
      </c>
      <c r="Q42" s="4"/>
      <c r="R42" s="4">
        <f>SUM(E42:G42)</f>
        <v>0</v>
      </c>
      <c r="S42" s="4">
        <f>SUM(H42:J42)</f>
        <v>0</v>
      </c>
      <c r="T42" s="4">
        <f>SUM(K42:M42)</f>
        <v>0</v>
      </c>
      <c r="U42" s="4">
        <f>SUM(N42:P42)</f>
        <v>0</v>
      </c>
      <c r="V42" s="4"/>
      <c r="W42" s="4">
        <f>SUM(E42:P42)</f>
        <v>0</v>
      </c>
      <c r="Y42" s="25">
        <f t="shared" ref="Y42:Y48" si="41">ROUND(SUM(R42:U42)-W42,2)</f>
        <v>0</v>
      </c>
    </row>
    <row r="43" spans="2:28" x14ac:dyDescent="0.2">
      <c r="B43" s="3" t="s">
        <v>35</v>
      </c>
      <c r="D43" s="7" t="s">
        <v>35</v>
      </c>
      <c r="E43" s="5">
        <f>SUMIFS(Data!$M$2:$M$3664,Data!$B$2:$B$3664,YEAR(E$2),Data!$C$2:$C$3664,MONTH(E$2),Data!$J$2:$J$3664,$B43)</f>
        <v>0</v>
      </c>
      <c r="F43" s="5">
        <f>SUMIFS(Data!$M$2:$M$3664,Data!$B$2:$B$3664,YEAR(F$2),Data!$C$2:$C$3664,MONTH(F$2),Data!$J$2:$J$3664,$B43)</f>
        <v>0</v>
      </c>
      <c r="G43" s="5">
        <f>SUMIFS(Data!$M$2:$M$3664,Data!$B$2:$B$3664,YEAR(G$2),Data!$C$2:$C$3664,MONTH(G$2),Data!$J$2:$J$3664,$B43)</f>
        <v>0</v>
      </c>
      <c r="H43" s="5">
        <f>SUMIFS(Data!$M$2:$M$3664,Data!$B$2:$B$3664,YEAR(H$2),Data!$C$2:$C$3664,MONTH(H$2),Data!$J$2:$J$3664,$B43)</f>
        <v>0</v>
      </c>
      <c r="I43" s="5">
        <f>SUMIFS(Data!$M$2:$M$3664,Data!$B$2:$B$3664,YEAR(I$2),Data!$C$2:$C$3664,MONTH(I$2),Data!$J$2:$J$3664,$B43)</f>
        <v>0</v>
      </c>
      <c r="J43" s="5">
        <f>SUMIFS(Data!$M$2:$M$3664,Data!$B$2:$B$3664,YEAR(J$2),Data!$C$2:$C$3664,MONTH(J$2),Data!$J$2:$J$3664,$B43)</f>
        <v>0</v>
      </c>
      <c r="K43" s="5">
        <f>SUMIFS(Data!$M$2:$M$3664,Data!$B$2:$B$3664,YEAR(K$2),Data!$C$2:$C$3664,MONTH(K$2),Data!$J$2:$J$3664,$B43)</f>
        <v>0</v>
      </c>
      <c r="L43" s="5">
        <f>SUMIFS(Data!$M$2:$M$3664,Data!$B$2:$B$3664,YEAR(L$2),Data!$C$2:$C$3664,MONTH(L$2),Data!$J$2:$J$3664,$B43)</f>
        <v>0</v>
      </c>
      <c r="M43" s="5">
        <f>SUMIFS(Data!$M$2:$M$3664,Data!$B$2:$B$3664,YEAR(M$2),Data!$C$2:$C$3664,MONTH(M$2),Data!$J$2:$J$3664,$B43)</f>
        <v>0</v>
      </c>
      <c r="N43" s="5">
        <f>SUMIFS(Data!$M$2:$M$3664,Data!$B$2:$B$3664,YEAR(N$2),Data!$C$2:$C$3664,MONTH(N$2),Data!$J$2:$J$3664,$B43)</f>
        <v>0</v>
      </c>
      <c r="O43" s="5">
        <f>SUMIFS(Data!$M$2:$M$3664,Data!$B$2:$B$3664,YEAR(O$2),Data!$C$2:$C$3664,MONTH(O$2),Data!$J$2:$J$3664,$B43)</f>
        <v>0</v>
      </c>
      <c r="P43" s="38">
        <f>+'6 Other'!N19</f>
        <v>0</v>
      </c>
      <c r="Q43" s="4"/>
      <c r="R43" s="4">
        <f t="shared" ref="R43:R47" si="42">SUM(E43:G43)</f>
        <v>0</v>
      </c>
      <c r="S43" s="4">
        <f t="shared" ref="S43:S47" si="43">SUM(H43:J43)</f>
        <v>0</v>
      </c>
      <c r="T43" s="4">
        <f t="shared" ref="T43:T47" si="44">SUM(K43:M43)</f>
        <v>0</v>
      </c>
      <c r="U43" s="4">
        <f t="shared" ref="U43:U47" si="45">SUM(N43:P43)</f>
        <v>0</v>
      </c>
      <c r="V43" s="4"/>
      <c r="W43" s="4">
        <f t="shared" ref="W43:W47" si="46">SUM(E43:P43)</f>
        <v>0</v>
      </c>
      <c r="Y43" s="25">
        <f t="shared" si="41"/>
        <v>0</v>
      </c>
    </row>
    <row r="44" spans="2:28" x14ac:dyDescent="0.2">
      <c r="B44" s="3" t="s">
        <v>16</v>
      </c>
      <c r="D44" s="7" t="s">
        <v>16</v>
      </c>
      <c r="E44" s="5">
        <f>SUMIFS(Data!$M$2:$M$3664,Data!$B$2:$B$3664,YEAR(E$2),Data!$C$2:$C$3664,MONTH(E$2),Data!$J$2:$J$3664,$B44)</f>
        <v>-5043.37</v>
      </c>
      <c r="F44" s="5">
        <f>SUMIFS(Data!$M$2:$M$3664,Data!$B$2:$B$3664,YEAR(F$2),Data!$C$2:$C$3664,MONTH(F$2),Data!$J$2:$J$3664,$B44)</f>
        <v>-5518.34</v>
      </c>
      <c r="G44" s="5">
        <f>SUMIFS(Data!$M$2:$M$3664,Data!$B$2:$B$3664,YEAR(G$2),Data!$C$2:$C$3664,MONTH(G$2),Data!$J$2:$J$3664,$B44)</f>
        <v>-4685.37</v>
      </c>
      <c r="H44" s="5">
        <f>SUMIFS(Data!$M$2:$M$3664,Data!$B$2:$B$3664,YEAR(H$2),Data!$C$2:$C$3664,MONTH(H$2),Data!$J$2:$J$3664,$B44)</f>
        <v>-3686.29</v>
      </c>
      <c r="I44" s="5">
        <f>SUMIFS(Data!$M$2:$M$3664,Data!$B$2:$B$3664,YEAR(I$2),Data!$C$2:$C$3664,MONTH(I$2),Data!$J$2:$J$3664,$B44)</f>
        <v>-2784.15</v>
      </c>
      <c r="J44" s="5">
        <f>SUMIFS(Data!$M$2:$M$3664,Data!$B$2:$B$3664,YEAR(J$2),Data!$C$2:$C$3664,MONTH(J$2),Data!$J$2:$J$3664,$B44)</f>
        <v>-957.06</v>
      </c>
      <c r="K44" s="5">
        <f>SUMIFS(Data!$M$2:$M$3664,Data!$B$2:$B$3664,YEAR(K$2),Data!$C$2:$C$3664,MONTH(K$2),Data!$J$2:$J$3664,$B44)</f>
        <v>-183.94</v>
      </c>
      <c r="L44" s="5">
        <f>SUMIFS(Data!$M$2:$M$3664,Data!$B$2:$B$3664,YEAR(L$2),Data!$C$2:$C$3664,MONTH(L$2),Data!$J$2:$J$3664,$B44)</f>
        <v>0</v>
      </c>
      <c r="M44" s="5">
        <f>SUMIFS(Data!$M$2:$M$3664,Data!$B$2:$B$3664,YEAR(M$2),Data!$C$2:$C$3664,MONTH(M$2),Data!$J$2:$J$3664,$B44)</f>
        <v>0</v>
      </c>
      <c r="N44" s="5">
        <f>SUMIFS(Data!$M$2:$M$3664,Data!$B$2:$B$3664,YEAR(N$2),Data!$C$2:$C$3664,MONTH(N$2),Data!$J$2:$J$3664,$B44)</f>
        <v>0</v>
      </c>
      <c r="O44" s="5">
        <f>SUMIFS(Data!$M$2:$M$3664,Data!$B$2:$B$3664,YEAR(O$2),Data!$C$2:$C$3664,MONTH(O$2),Data!$J$2:$J$3664,$B44)</f>
        <v>0</v>
      </c>
      <c r="P44" s="38">
        <f>+'6 Other'!N20</f>
        <v>0</v>
      </c>
      <c r="Q44" s="4"/>
      <c r="R44" s="4">
        <f t="shared" si="42"/>
        <v>-15247.079999999998</v>
      </c>
      <c r="S44" s="4">
        <f t="shared" si="43"/>
        <v>-7427.5</v>
      </c>
      <c r="T44" s="4">
        <f t="shared" si="44"/>
        <v>-183.94</v>
      </c>
      <c r="U44" s="4">
        <f t="shared" si="45"/>
        <v>0</v>
      </c>
      <c r="V44" s="4"/>
      <c r="W44" s="4">
        <f t="shared" si="46"/>
        <v>-22858.52</v>
      </c>
      <c r="Y44" s="25">
        <f t="shared" si="41"/>
        <v>0</v>
      </c>
    </row>
    <row r="45" spans="2:28" x14ac:dyDescent="0.2">
      <c r="B45" s="3" t="s">
        <v>0</v>
      </c>
      <c r="D45" s="7" t="s">
        <v>0</v>
      </c>
      <c r="E45" s="5">
        <f>SUMIFS(Data!$M$2:$M$3664,Data!$B$2:$B$3664,YEAR(E$2),Data!$C$2:$C$3664,MONTH(E$2),Data!$J$2:$J$3664,$B45)</f>
        <v>0</v>
      </c>
      <c r="F45" s="5">
        <f>SUMIFS(Data!$M$2:$M$3664,Data!$B$2:$B$3664,YEAR(F$2),Data!$C$2:$C$3664,MONTH(F$2),Data!$J$2:$J$3664,$B45)</f>
        <v>-1010.7</v>
      </c>
      <c r="G45" s="5">
        <f>SUMIFS(Data!$M$2:$M$3664,Data!$B$2:$B$3664,YEAR(G$2),Data!$C$2:$C$3664,MONTH(G$2),Data!$J$2:$J$3664,$B45)</f>
        <v>0</v>
      </c>
      <c r="H45" s="5">
        <f>SUMIFS(Data!$M$2:$M$3664,Data!$B$2:$B$3664,YEAR(H$2),Data!$C$2:$C$3664,MONTH(H$2),Data!$J$2:$J$3664,$B45)</f>
        <v>-1222.92</v>
      </c>
      <c r="I45" s="5">
        <f>SUMIFS(Data!$M$2:$M$3664,Data!$B$2:$B$3664,YEAR(I$2),Data!$C$2:$C$3664,MONTH(I$2),Data!$J$2:$J$3664,$B45)</f>
        <v>-2521.11</v>
      </c>
      <c r="J45" s="5">
        <f>SUMIFS(Data!$M$2:$M$3664,Data!$B$2:$B$3664,YEAR(J$2),Data!$C$2:$C$3664,MONTH(J$2),Data!$J$2:$J$3664,$B45)</f>
        <v>-1124.19</v>
      </c>
      <c r="K45" s="5">
        <f>SUMIFS(Data!$M$2:$M$3664,Data!$B$2:$B$3664,YEAR(K$2),Data!$C$2:$C$3664,MONTH(K$2),Data!$J$2:$J$3664,$B45)</f>
        <v>-1126.1100000000001</v>
      </c>
      <c r="L45" s="5">
        <f>SUMIFS(Data!$M$2:$M$3664,Data!$B$2:$B$3664,YEAR(L$2),Data!$C$2:$C$3664,MONTH(L$2),Data!$J$2:$J$3664,$B45)</f>
        <v>-105.74</v>
      </c>
      <c r="M45" s="5">
        <f>SUMIFS(Data!$M$2:$M$3664,Data!$B$2:$B$3664,YEAR(M$2),Data!$C$2:$C$3664,MONTH(M$2),Data!$J$2:$J$3664,$B45)</f>
        <v>0</v>
      </c>
      <c r="N45" s="5">
        <f>SUMIFS(Data!$M$2:$M$3664,Data!$B$2:$B$3664,YEAR(N$2),Data!$C$2:$C$3664,MONTH(N$2),Data!$J$2:$J$3664,$B45)</f>
        <v>0</v>
      </c>
      <c r="O45" s="5">
        <f>SUMIFS(Data!$M$2:$M$3664,Data!$B$2:$B$3664,YEAR(O$2),Data!$C$2:$C$3664,MONTH(O$2),Data!$J$2:$J$3664,$B45)</f>
        <v>0</v>
      </c>
      <c r="P45" s="38">
        <f>+'6 Other'!N21</f>
        <v>0</v>
      </c>
      <c r="Q45" s="4"/>
      <c r="R45" s="4">
        <f t="shared" si="42"/>
        <v>-1010.7</v>
      </c>
      <c r="S45" s="4">
        <f t="shared" si="43"/>
        <v>-4868.22</v>
      </c>
      <c r="T45" s="4">
        <f t="shared" si="44"/>
        <v>-1231.8500000000001</v>
      </c>
      <c r="U45" s="4">
        <f t="shared" si="45"/>
        <v>0</v>
      </c>
      <c r="V45" s="4"/>
      <c r="W45" s="4">
        <f t="shared" si="46"/>
        <v>-7110.77</v>
      </c>
      <c r="Y45" s="25">
        <f t="shared" si="41"/>
        <v>0</v>
      </c>
    </row>
    <row r="46" spans="2:28" x14ac:dyDescent="0.2">
      <c r="B46" s="3" t="s">
        <v>840</v>
      </c>
      <c r="D46" s="7" t="s">
        <v>840</v>
      </c>
      <c r="E46" s="5">
        <f>SUMIFS(Data!$M$2:$M$3664,Data!$B$2:$B$3664,YEAR(E$2),Data!$C$2:$C$3664,MONTH(E$2),Data!$J$2:$J$3664,$B46)</f>
        <v>0</v>
      </c>
      <c r="F46" s="5">
        <f>SUMIFS(Data!$M$2:$M$3664,Data!$B$2:$B$3664,YEAR(F$2),Data!$C$2:$C$3664,MONTH(F$2),Data!$J$2:$J$3664,$B46)</f>
        <v>0</v>
      </c>
      <c r="G46" s="5">
        <f>SUMIFS(Data!$M$2:$M$3664,Data!$B$2:$B$3664,YEAR(G$2),Data!$C$2:$C$3664,MONTH(G$2),Data!$J$2:$J$3664,$B46)</f>
        <v>0</v>
      </c>
      <c r="H46" s="5">
        <f>SUMIFS(Data!$M$2:$M$3664,Data!$B$2:$B$3664,YEAR(H$2),Data!$C$2:$C$3664,MONTH(H$2),Data!$J$2:$J$3664,$B46)</f>
        <v>0</v>
      </c>
      <c r="I46" s="5">
        <f>SUMIFS(Data!$M$2:$M$3664,Data!$B$2:$B$3664,YEAR(I$2),Data!$C$2:$C$3664,MONTH(I$2),Data!$J$2:$J$3664,$B46)</f>
        <v>0</v>
      </c>
      <c r="J46" s="5">
        <f>SUMIFS(Data!$M$2:$M$3664,Data!$B$2:$B$3664,YEAR(J$2),Data!$C$2:$C$3664,MONTH(J$2),Data!$J$2:$J$3664,$B46)</f>
        <v>0</v>
      </c>
      <c r="K46" s="5">
        <f>SUMIFS(Data!$M$2:$M$3664,Data!$B$2:$B$3664,YEAR(K$2),Data!$C$2:$C$3664,MONTH(K$2),Data!$J$2:$J$3664,$B46)</f>
        <v>0</v>
      </c>
      <c r="L46" s="5">
        <f>SUMIFS(Data!$M$2:$M$3664,Data!$B$2:$B$3664,YEAR(L$2),Data!$C$2:$C$3664,MONTH(L$2),Data!$J$2:$J$3664,$B46)</f>
        <v>0</v>
      </c>
      <c r="M46" s="5">
        <f>SUMIFS(Data!$M$2:$M$3664,Data!$B$2:$B$3664,YEAR(M$2),Data!$C$2:$C$3664,MONTH(M$2),Data!$J$2:$J$3664,$B46)</f>
        <v>0</v>
      </c>
      <c r="N46" s="5">
        <f>SUMIFS(Data!$M$2:$M$3664,Data!$B$2:$B$3664,YEAR(N$2),Data!$C$2:$C$3664,MONTH(N$2),Data!$J$2:$J$3664,$B46)</f>
        <v>0</v>
      </c>
      <c r="O46" s="5">
        <f>SUMIFS(Data!$M$2:$M$3664,Data!$B$2:$B$3664,YEAR(O$2),Data!$C$2:$C$3664,MONTH(O$2),Data!$J$2:$J$3664,$B46)</f>
        <v>0</v>
      </c>
      <c r="P46" s="38">
        <f>+'6 Other'!N22</f>
        <v>0</v>
      </c>
      <c r="Q46" s="4"/>
      <c r="R46" s="4">
        <f t="shared" ref="R46" si="47">SUM(E46:G46)</f>
        <v>0</v>
      </c>
      <c r="S46" s="4">
        <f t="shared" ref="S46" si="48">SUM(H46:J46)</f>
        <v>0</v>
      </c>
      <c r="T46" s="4">
        <f t="shared" ref="T46" si="49">SUM(K46:M46)</f>
        <v>0</v>
      </c>
      <c r="U46" s="4">
        <f t="shared" ref="U46" si="50">SUM(N46:P46)</f>
        <v>0</v>
      </c>
      <c r="V46" s="4"/>
      <c r="W46" s="4">
        <f t="shared" ref="W46" si="51">SUM(E46:P46)</f>
        <v>0</v>
      </c>
      <c r="Y46" s="25">
        <f t="shared" ref="Y46" si="52">ROUND(SUM(R46:U46)-W46,2)</f>
        <v>0</v>
      </c>
    </row>
    <row r="47" spans="2:28" x14ac:dyDescent="0.2">
      <c r="B47" s="3" t="s">
        <v>26</v>
      </c>
      <c r="D47" s="7" t="s">
        <v>26</v>
      </c>
      <c r="E47" s="5">
        <f>SUMIFS(Data!$M$2:$M$3664,Data!$B$2:$B$3664,YEAR(E$2),Data!$C$2:$C$3664,MONTH(E$2),Data!$J$2:$J$3664,$B47)</f>
        <v>-246.35</v>
      </c>
      <c r="F47" s="5">
        <f>SUMIFS(Data!$M$2:$M$3664,Data!$B$2:$B$3664,YEAR(F$2),Data!$C$2:$C$3664,MONTH(F$2),Data!$J$2:$J$3664,$B47)</f>
        <v>-433.54</v>
      </c>
      <c r="G47" s="5">
        <f>SUMIFS(Data!$M$2:$M$3664,Data!$B$2:$B$3664,YEAR(G$2),Data!$C$2:$C$3664,MONTH(G$2),Data!$J$2:$J$3664,$B47)</f>
        <v>-471.18</v>
      </c>
      <c r="H47" s="5">
        <f>SUMIFS(Data!$M$2:$M$3664,Data!$B$2:$B$3664,YEAR(H$2),Data!$C$2:$C$3664,MONTH(H$2),Data!$J$2:$J$3664,$B47)</f>
        <v>-346.98</v>
      </c>
      <c r="I47" s="5">
        <f>SUMIFS(Data!$M$2:$M$3664,Data!$B$2:$B$3664,YEAR(I$2),Data!$C$2:$C$3664,MONTH(I$2),Data!$J$2:$J$3664,$B47)</f>
        <v>-328.78999999999996</v>
      </c>
      <c r="J47" s="5">
        <f>SUMIFS(Data!$M$2:$M$3664,Data!$B$2:$B$3664,YEAR(J$2),Data!$C$2:$C$3664,MONTH(J$2),Data!$J$2:$J$3664,$B47)</f>
        <v>-692</v>
      </c>
      <c r="K47" s="5">
        <f>SUMIFS(Data!$M$2:$M$3664,Data!$B$2:$B$3664,YEAR(K$2),Data!$C$2:$C$3664,MONTH(K$2),Data!$J$2:$J$3664,$B47)</f>
        <v>-386.11</v>
      </c>
      <c r="L47" s="5">
        <f>SUMIFS(Data!$M$2:$M$3664,Data!$B$2:$B$3664,YEAR(L$2),Data!$C$2:$C$3664,MONTH(L$2),Data!$J$2:$J$3664,$B47)</f>
        <v>-335.21</v>
      </c>
      <c r="M47" s="5">
        <f>SUMIFS(Data!$M$2:$M$3664,Data!$B$2:$B$3664,YEAR(M$2),Data!$C$2:$C$3664,MONTH(M$2),Data!$J$2:$J$3664,$B47)</f>
        <v>-324.17</v>
      </c>
      <c r="N47" s="5">
        <f>SUMIFS(Data!$M$2:$M$3664,Data!$B$2:$B$3664,YEAR(N$2),Data!$C$2:$C$3664,MONTH(N$2),Data!$J$2:$J$3664,$B47)</f>
        <v>-341.29</v>
      </c>
      <c r="O47" s="5">
        <f>SUMIFS(Data!$M$2:$M$3664,Data!$B$2:$B$3664,YEAR(O$2),Data!$C$2:$C$3664,MONTH(O$2),Data!$J$2:$J$3664,$B47)</f>
        <v>-311.16000000000003</v>
      </c>
      <c r="P47" s="38">
        <f>+'6 Other'!N23</f>
        <v>-400</v>
      </c>
      <c r="Q47" s="4"/>
      <c r="R47" s="4">
        <f t="shared" si="42"/>
        <v>-1151.07</v>
      </c>
      <c r="S47" s="4">
        <f t="shared" si="43"/>
        <v>-1367.77</v>
      </c>
      <c r="T47" s="4">
        <f t="shared" si="44"/>
        <v>-1045.49</v>
      </c>
      <c r="U47" s="4">
        <f t="shared" si="45"/>
        <v>-1052.45</v>
      </c>
      <c r="V47" s="4"/>
      <c r="W47" s="4">
        <f t="shared" si="46"/>
        <v>-4616.7800000000007</v>
      </c>
      <c r="Y47" s="25">
        <f t="shared" si="41"/>
        <v>0</v>
      </c>
    </row>
    <row r="48" spans="2:28" x14ac:dyDescent="0.2">
      <c r="B48" s="3" t="s">
        <v>48</v>
      </c>
      <c r="D48" s="7" t="s">
        <v>48</v>
      </c>
      <c r="E48" s="5">
        <f>SUMIFS(Data!$M$2:$M$3664,Data!$B$2:$B$3664,YEAR(E$2),Data!$C$2:$C$3664,MONTH(E$2),Data!$J$2:$J$3664,$B48)</f>
        <v>7748.71</v>
      </c>
      <c r="F48" s="5">
        <f>SUMIFS(Data!$M$2:$M$3664,Data!$B$2:$B$3664,YEAR(F$2),Data!$C$2:$C$3664,MONTH(F$2),Data!$J$2:$J$3664,$B48)</f>
        <v>8351.2900000000009</v>
      </c>
      <c r="G48" s="5">
        <f>SUMIFS(Data!$M$2:$M$3664,Data!$B$2:$B$3664,YEAR(G$2),Data!$C$2:$C$3664,MONTH(G$2),Data!$J$2:$J$3664,$B48)</f>
        <v>8145.22</v>
      </c>
      <c r="H48" s="5">
        <f>SUMIFS(Data!$M$2:$M$3664,Data!$B$2:$B$3664,YEAR(H$2),Data!$C$2:$C$3664,MONTH(H$2),Data!$J$2:$J$3664,$B48)</f>
        <v>6912.1</v>
      </c>
      <c r="I48" s="5">
        <f>SUMIFS(Data!$M$2:$M$3664,Data!$B$2:$B$3664,YEAR(I$2),Data!$C$2:$C$3664,MONTH(I$2),Data!$J$2:$J$3664,$B48)</f>
        <v>5204.78</v>
      </c>
      <c r="J48" s="5">
        <f>SUMIFS(Data!$M$2:$M$3664,Data!$B$2:$B$3664,YEAR(J$2),Data!$C$2:$C$3664,MONTH(J$2),Data!$J$2:$J$3664,$B48)</f>
        <v>3887.72</v>
      </c>
      <c r="K48" s="5">
        <f>SUMIFS(Data!$M$2:$M$3664,Data!$B$2:$B$3664,YEAR(K$2),Data!$C$2:$C$3664,MONTH(K$2),Data!$J$2:$J$3664,$B48)</f>
        <v>3150.25</v>
      </c>
      <c r="L48" s="5">
        <f>SUMIFS(Data!$M$2:$M$3664,Data!$B$2:$B$3664,YEAR(L$2),Data!$C$2:$C$3664,MONTH(L$2),Data!$J$2:$J$3664,$B48)</f>
        <v>2155.66</v>
      </c>
      <c r="M48" s="5">
        <f>SUMIFS(Data!$M$2:$M$3664,Data!$B$2:$B$3664,YEAR(M$2),Data!$C$2:$C$3664,MONTH(M$2),Data!$J$2:$J$3664,$B48)</f>
        <v>1083.05</v>
      </c>
      <c r="N48" s="5">
        <f>SUMIFS(Data!$M$2:$M$3664,Data!$B$2:$B$3664,YEAR(N$2),Data!$C$2:$C$3664,MONTH(N$2),Data!$J$2:$J$3664,$B48)</f>
        <v>613.20000000000005</v>
      </c>
      <c r="O48" s="5">
        <f>SUMIFS(Data!$M$2:$M$3664,Data!$B$2:$B$3664,YEAR(O$2),Data!$C$2:$C$3664,MONTH(O$2),Data!$J$2:$J$3664,$B48)</f>
        <v>312.41000000000003</v>
      </c>
      <c r="P48" s="38">
        <f>+'6 Other'!N24</f>
        <v>300</v>
      </c>
      <c r="Q48" s="4"/>
      <c r="R48" s="4">
        <f>SUM(E48:G48)</f>
        <v>24245.22</v>
      </c>
      <c r="S48" s="4">
        <f>SUM(H48:J48)</f>
        <v>16004.6</v>
      </c>
      <c r="T48" s="4">
        <f>SUM(K48:M48)</f>
        <v>6388.96</v>
      </c>
      <c r="U48" s="4">
        <f>SUM(N48:P48)</f>
        <v>1225.6100000000001</v>
      </c>
      <c r="V48" s="4"/>
      <c r="W48" s="4">
        <f>SUM(E48:P48)</f>
        <v>47864.39</v>
      </c>
      <c r="Y48" s="25">
        <f t="shared" si="41"/>
        <v>0</v>
      </c>
    </row>
    <row r="49" spans="2:25" x14ac:dyDescent="0.2">
      <c r="B49" s="3"/>
      <c r="E49" s="5"/>
      <c r="F49" s="5"/>
      <c r="Y49" s="25"/>
    </row>
    <row r="50" spans="2:25" x14ac:dyDescent="0.2">
      <c r="B50" s="3"/>
      <c r="D50" s="1" t="s">
        <v>44</v>
      </c>
      <c r="E50" s="35">
        <v>3334341.02</v>
      </c>
      <c r="F50" s="5">
        <f>+E55</f>
        <v>3317111.04</v>
      </c>
      <c r="G50" s="5">
        <f t="shared" ref="G50:P50" si="53">+F55</f>
        <v>3677069.87</v>
      </c>
      <c r="H50" s="5">
        <f t="shared" si="53"/>
        <v>3325973.37</v>
      </c>
      <c r="I50" s="5">
        <f t="shared" si="53"/>
        <v>2956020.34</v>
      </c>
      <c r="J50" s="5">
        <f t="shared" si="53"/>
        <v>2520253.0099999998</v>
      </c>
      <c r="K50" s="5">
        <f t="shared" si="53"/>
        <v>2023283.28</v>
      </c>
      <c r="L50" s="5">
        <f t="shared" si="53"/>
        <v>1726104.66</v>
      </c>
      <c r="M50" s="5">
        <f t="shared" si="53"/>
        <v>1329558.9099999999</v>
      </c>
      <c r="N50" s="5">
        <f t="shared" si="53"/>
        <v>954185.8</v>
      </c>
      <c r="O50" s="5">
        <f t="shared" si="53"/>
        <v>736558.98</v>
      </c>
      <c r="P50" s="5">
        <f t="shared" si="53"/>
        <v>670150.07999999996</v>
      </c>
      <c r="Q50" s="5"/>
      <c r="R50" s="5">
        <f>+E50</f>
        <v>3334341.02</v>
      </c>
      <c r="S50" s="5">
        <f>+R55</f>
        <v>3325973</v>
      </c>
      <c r="T50" s="5">
        <f>+S55</f>
        <v>2023283</v>
      </c>
      <c r="U50" s="5">
        <f>+T55</f>
        <v>954186</v>
      </c>
      <c r="V50" s="5"/>
      <c r="W50" s="5">
        <f>+R50</f>
        <v>3334341.02</v>
      </c>
      <c r="Y50" s="25"/>
    </row>
    <row r="51" spans="2:25" x14ac:dyDescent="0.2">
      <c r="B51" s="3"/>
      <c r="E51" s="5"/>
      <c r="F51" s="5"/>
      <c r="Y51" s="25"/>
    </row>
    <row r="52" spans="2:25" x14ac:dyDescent="0.2">
      <c r="B52" s="3"/>
      <c r="D52" s="7" t="s">
        <v>45</v>
      </c>
      <c r="E52" s="5">
        <f t="shared" ref="E52:P52" si="54">E15-E40+SUM(E42:E48)</f>
        <v>-217229.40000000002</v>
      </c>
      <c r="F52" s="5">
        <f t="shared" si="54"/>
        <v>-390040.61000000004</v>
      </c>
      <c r="G52" s="4">
        <f t="shared" si="54"/>
        <v>-351096.50000000006</v>
      </c>
      <c r="H52" s="4">
        <f t="shared" si="54"/>
        <v>-369953.03000000014</v>
      </c>
      <c r="I52" s="4">
        <f t="shared" si="54"/>
        <v>-435767.33000000007</v>
      </c>
      <c r="J52" s="4">
        <f t="shared" ref="J52" si="55">J15-J40+SUM(J42:J48)</f>
        <v>-471969.7300000001</v>
      </c>
      <c r="K52" s="4">
        <f t="shared" si="54"/>
        <v>-297178.62000000005</v>
      </c>
      <c r="L52" s="4">
        <f>L15-L40+SUM(L42:L48)</f>
        <v>-396545.75000000006</v>
      </c>
      <c r="M52" s="4">
        <f t="shared" si="54"/>
        <v>-375373.11000000004</v>
      </c>
      <c r="N52" s="4">
        <f t="shared" si="54"/>
        <v>-217626.82000000004</v>
      </c>
      <c r="O52" s="4">
        <f t="shared" si="54"/>
        <v>-66408.900000000023</v>
      </c>
      <c r="P52" s="4">
        <f t="shared" si="54"/>
        <v>318960.65000000002</v>
      </c>
      <c r="Q52" s="4"/>
      <c r="R52" s="4">
        <f>SUM(E52:G52)</f>
        <v>-958366.51</v>
      </c>
      <c r="S52" s="4">
        <f>SUM(H52:J52)</f>
        <v>-1277690.0900000003</v>
      </c>
      <c r="T52" s="4">
        <f>SUM(K52:M52)</f>
        <v>-1069097.4800000002</v>
      </c>
      <c r="U52" s="4">
        <f>SUM(N52:P52)</f>
        <v>34924.929999999935</v>
      </c>
      <c r="V52" s="4"/>
      <c r="W52" s="4">
        <f>SUM(E52:P52)</f>
        <v>-3270229.15</v>
      </c>
      <c r="Y52" s="25">
        <f>ROUND(SUM(R52:U52)-W52,2)</f>
        <v>0</v>
      </c>
    </row>
    <row r="53" spans="2:25" x14ac:dyDescent="0.2">
      <c r="B53" s="3" t="s">
        <v>50</v>
      </c>
      <c r="D53" s="7" t="s">
        <v>50</v>
      </c>
      <c r="E53" s="5">
        <f>SUMIFS(Data!$M$2:$M$3664,Data!$B$2:$B$3664,YEAR(E$2),Data!$C$2:$C$3664,MONTH(E$2),Data!$J$2:$J$3664,$B53)</f>
        <v>199999.41999999998</v>
      </c>
      <c r="F53" s="5">
        <f>SUMIFS(Data!$M$2:$M$3664,Data!$B$2:$B$3664,YEAR(F$2),Data!$C$2:$C$3664,MONTH(F$2),Data!$J$2:$J$3664,$B53)</f>
        <v>749999.44</v>
      </c>
      <c r="G53" s="5">
        <f>SUMIFS(Data!$M$2:$M$3664,Data!$B$2:$B$3664,YEAR(G$2),Data!$C$2:$C$3664,MONTH(G$2),Data!$J$2:$J$3664,$B53)</f>
        <v>0</v>
      </c>
      <c r="H53" s="5">
        <f>SUMIFS(Data!$M$2:$M$3664,Data!$B$2:$B$3664,YEAR(H$2),Data!$C$2:$C$3664,MONTH(H$2),Data!$J$2:$J$3664,$B53)</f>
        <v>0</v>
      </c>
      <c r="I53" s="5">
        <f>SUMIFS(Data!$M$2:$M$3664,Data!$B$2:$B$3664,YEAR(I$2),Data!$C$2:$C$3664,MONTH(I$2),Data!$J$2:$J$3664,$B53)</f>
        <v>0</v>
      </c>
      <c r="J53" s="5">
        <f>SUMIFS(Data!$M$2:$M$3664,Data!$B$2:$B$3664,YEAR(J$2),Data!$C$2:$C$3664,MONTH(J$2),Data!$J$2:$J$3664,$B53)</f>
        <v>-25000</v>
      </c>
      <c r="K53" s="5">
        <f>SUMIFS(Data!$M$2:$M$3664,Data!$B$2:$B$3664,YEAR(K$2),Data!$C$2:$C$3664,MONTH(K$2),Data!$J$2:$J$3664,$B53)</f>
        <v>0</v>
      </c>
      <c r="L53" s="5">
        <f>SUMIFS(Data!$M$2:$M$3664,Data!$B$2:$B$3664,YEAR(L$2),Data!$C$2:$C$3664,MONTH(L$2),Data!$J$2:$J$3664,$B53)</f>
        <v>0</v>
      </c>
      <c r="M53" s="5">
        <f>SUMIFS(Data!$M$2:$M$3664,Data!$B$2:$B$3664,YEAR(M$2),Data!$C$2:$C$3664,MONTH(M$2),Data!$J$2:$J$3664,$B53)</f>
        <v>0</v>
      </c>
      <c r="N53" s="5">
        <f>SUMIFS(Data!$M$2:$M$3664,Data!$B$2:$B$3664,YEAR(N$2),Data!$C$2:$C$3664,MONTH(N$2),Data!$J$2:$J$3664,$B53)</f>
        <v>0</v>
      </c>
      <c r="O53" s="5">
        <f>SUMIFS(Data!$M$2:$M$3664,Data!$B$2:$B$3664,YEAR(O$2),Data!$C$2:$C$3664,MONTH(O$2),Data!$J$2:$J$3664,$B53)</f>
        <v>0</v>
      </c>
      <c r="P53" s="38">
        <f>+'6 Other'!N29</f>
        <v>-25000</v>
      </c>
      <c r="Q53" s="4"/>
      <c r="R53" s="4">
        <f t="shared" ref="R53" si="56">SUM(E53:G53)</f>
        <v>949998.85999999987</v>
      </c>
      <c r="S53" s="4">
        <f t="shared" ref="S53" si="57">SUM(H53:J53)</f>
        <v>-25000</v>
      </c>
      <c r="T53" s="4">
        <f t="shared" ref="T53" si="58">SUM(K53:M53)</f>
        <v>0</v>
      </c>
      <c r="U53" s="4">
        <f t="shared" ref="U53" si="59">SUM(N53:P53)</f>
        <v>-25000</v>
      </c>
      <c r="V53" s="4"/>
      <c r="W53" s="4">
        <f t="shared" ref="W53" si="60">SUM(E53:P53)</f>
        <v>899998.85999999987</v>
      </c>
      <c r="Y53" s="25">
        <f t="shared" ref="Y53" si="61">ROUND(SUM(R53:U53)-W53,2)</f>
        <v>0</v>
      </c>
    </row>
    <row r="54" spans="2:25" x14ac:dyDescent="0.2">
      <c r="B54" s="3"/>
      <c r="D54" s="7"/>
      <c r="E54" s="5"/>
      <c r="F54" s="5"/>
      <c r="Y54" s="3"/>
    </row>
    <row r="55" spans="2:25" x14ac:dyDescent="0.2">
      <c r="B55" s="3"/>
      <c r="D55" s="8" t="s">
        <v>46</v>
      </c>
      <c r="E55" s="34">
        <f>ROUND(+E50+E52+E53,2)</f>
        <v>3317111.04</v>
      </c>
      <c r="F55" s="34">
        <f t="shared" ref="F55:P55" si="62">ROUND(+F50+F52+F53,2)</f>
        <v>3677069.87</v>
      </c>
      <c r="G55" s="34">
        <f t="shared" si="62"/>
        <v>3325973.37</v>
      </c>
      <c r="H55" s="34">
        <f t="shared" si="62"/>
        <v>2956020.34</v>
      </c>
      <c r="I55" s="34">
        <f t="shared" si="62"/>
        <v>2520253.0099999998</v>
      </c>
      <c r="J55" s="34">
        <f>ROUND(+J50+J52+J53,2)</f>
        <v>2023283.28</v>
      </c>
      <c r="K55" s="34">
        <f t="shared" si="62"/>
        <v>1726104.66</v>
      </c>
      <c r="L55" s="34">
        <f t="shared" si="62"/>
        <v>1329558.9099999999</v>
      </c>
      <c r="M55" s="34">
        <f t="shared" si="62"/>
        <v>954185.8</v>
      </c>
      <c r="N55" s="34">
        <f t="shared" si="62"/>
        <v>736558.98</v>
      </c>
      <c r="O55" s="34">
        <f t="shared" si="62"/>
        <v>670150.07999999996</v>
      </c>
      <c r="P55" s="34">
        <f t="shared" si="62"/>
        <v>964110.73</v>
      </c>
      <c r="Q55" s="34"/>
      <c r="R55" s="34">
        <f>ROUND(+R50+R52+R53,0)</f>
        <v>3325973</v>
      </c>
      <c r="S55" s="34">
        <f t="shared" ref="S55:U55" si="63">ROUND(+S50+S52+S53,0)</f>
        <v>2023283</v>
      </c>
      <c r="T55" s="34">
        <f t="shared" si="63"/>
        <v>954186</v>
      </c>
      <c r="U55" s="34">
        <f t="shared" si="63"/>
        <v>964111</v>
      </c>
      <c r="V55" s="34"/>
      <c r="W55" s="34">
        <f>ROUND(+W50+W52+W53,0)</f>
        <v>964111</v>
      </c>
      <c r="Y55" s="3"/>
    </row>
    <row r="56" spans="2:25" x14ac:dyDescent="0.2">
      <c r="B56" s="3"/>
      <c r="E56" s="4"/>
      <c r="I56" s="4"/>
      <c r="J56" s="4"/>
      <c r="K56" s="4"/>
    </row>
    <row r="57" spans="2:25" x14ac:dyDescent="0.2">
      <c r="B57" s="3"/>
      <c r="D57" s="7" t="s">
        <v>300</v>
      </c>
      <c r="E57" s="89">
        <v>500000</v>
      </c>
      <c r="F57" s="89">
        <v>500798.3</v>
      </c>
      <c r="G57" s="89">
        <v>500000</v>
      </c>
      <c r="H57" s="89">
        <v>500000</v>
      </c>
      <c r="I57" s="89">
        <v>498031.75</v>
      </c>
      <c r="J57" s="89">
        <v>498031.75</v>
      </c>
      <c r="K57" s="89">
        <v>500000</v>
      </c>
      <c r="L57" s="89">
        <v>500000</v>
      </c>
      <c r="M57" s="89">
        <v>527225</v>
      </c>
      <c r="N57" s="89">
        <v>500000</v>
      </c>
      <c r="O57" s="89">
        <v>503545.63</v>
      </c>
    </row>
    <row r="58" spans="2:25" x14ac:dyDescent="0.2">
      <c r="D58" s="7" t="s">
        <v>440</v>
      </c>
      <c r="E58" s="89">
        <v>2817111.04</v>
      </c>
      <c r="F58" s="89">
        <v>3176271.51</v>
      </c>
      <c r="G58" s="89">
        <v>2825973.37</v>
      </c>
      <c r="H58" s="89">
        <v>2456020.34</v>
      </c>
      <c r="I58" s="89">
        <v>2026357.09</v>
      </c>
      <c r="J58" s="89">
        <v>1534856.65</v>
      </c>
      <c r="K58" s="89">
        <v>1245038.32</v>
      </c>
      <c r="L58" s="89">
        <v>854556</v>
      </c>
      <c r="M58" s="89">
        <v>431341.05</v>
      </c>
      <c r="N58" s="89">
        <v>253130.53</v>
      </c>
      <c r="O58" s="89">
        <v>183353.64</v>
      </c>
    </row>
    <row r="59" spans="2:25" x14ac:dyDescent="0.2">
      <c r="D59" s="7" t="s">
        <v>1048</v>
      </c>
      <c r="E59" s="89">
        <v>0</v>
      </c>
      <c r="F59" s="89">
        <v>0</v>
      </c>
      <c r="G59" s="89">
        <v>0</v>
      </c>
      <c r="H59" s="89">
        <v>0</v>
      </c>
      <c r="I59" s="89">
        <v>-4135.83</v>
      </c>
      <c r="J59" s="89">
        <v>-9605.1200000000008</v>
      </c>
      <c r="K59" s="89">
        <v>-18933.66</v>
      </c>
      <c r="L59" s="89">
        <v>-24997.09</v>
      </c>
      <c r="M59" s="89">
        <v>-4380.25</v>
      </c>
      <c r="N59" s="89">
        <v>-16571.55</v>
      </c>
      <c r="O59" s="89">
        <v>-16749.189999999999</v>
      </c>
    </row>
    <row r="60" spans="2:25" x14ac:dyDescent="0.2"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</row>
    <row r="61" spans="2:25" x14ac:dyDescent="0.2">
      <c r="D61" s="1" t="s">
        <v>13</v>
      </c>
      <c r="E61" s="87">
        <f>ROUND(+E55-SUM(E57:E59),2)</f>
        <v>0</v>
      </c>
      <c r="F61" s="87">
        <f t="shared" ref="F61:K61" si="64">ROUND(+F55-SUM(F57:F59),2)</f>
        <v>0.06</v>
      </c>
      <c r="G61" s="87">
        <f t="shared" si="64"/>
        <v>0</v>
      </c>
      <c r="H61" s="87">
        <f t="shared" si="64"/>
        <v>0</v>
      </c>
      <c r="I61" s="87">
        <f t="shared" si="64"/>
        <v>0</v>
      </c>
      <c r="J61" s="87">
        <f t="shared" si="64"/>
        <v>0</v>
      </c>
      <c r="K61" s="87">
        <f t="shared" si="64"/>
        <v>0</v>
      </c>
      <c r="L61" s="87">
        <f t="shared" ref="L61:M61" si="65">ROUND(+L55-SUM(L57:L59),2)</f>
        <v>0</v>
      </c>
      <c r="M61" s="87">
        <f t="shared" si="65"/>
        <v>0</v>
      </c>
      <c r="N61" s="87">
        <f t="shared" ref="N61:O61" si="66">ROUND(+N55-SUM(N57:N59),2)</f>
        <v>0</v>
      </c>
      <c r="O61" s="87">
        <f t="shared" si="66"/>
        <v>0</v>
      </c>
    </row>
    <row r="62" spans="2:25" x14ac:dyDescent="0.2">
      <c r="E62" s="4"/>
    </row>
    <row r="63" spans="2:25" x14ac:dyDescent="0.2">
      <c r="D63" s="1" t="s">
        <v>522</v>
      </c>
      <c r="E63" s="4"/>
      <c r="F63" s="4"/>
      <c r="G63" s="4"/>
      <c r="H63" s="4">
        <v>205701.85</v>
      </c>
      <c r="I63" s="4">
        <v>228052.44999999995</v>
      </c>
      <c r="J63" s="4">
        <v>200745.4</v>
      </c>
      <c r="K63" s="4">
        <v>270961</v>
      </c>
      <c r="L63" s="4">
        <v>185292</v>
      </c>
      <c r="M63" s="4">
        <v>262233.09999999998</v>
      </c>
      <c r="N63" s="4">
        <v>396421.7</v>
      </c>
      <c r="O63" s="4">
        <v>390971</v>
      </c>
    </row>
    <row r="64" spans="2:25" x14ac:dyDescent="0.2">
      <c r="D64" s="1" t="s">
        <v>53</v>
      </c>
      <c r="E64" s="4"/>
      <c r="F64" s="4"/>
      <c r="G64" s="4"/>
      <c r="H64" s="4">
        <f t="shared" ref="H64:M64" si="67">+H15</f>
        <v>212032.7</v>
      </c>
      <c r="I64" s="4">
        <f t="shared" si="67"/>
        <v>192782.4</v>
      </c>
      <c r="J64" s="4">
        <f t="shared" si="67"/>
        <v>116067.4</v>
      </c>
      <c r="K64" s="4">
        <f t="shared" si="67"/>
        <v>325181</v>
      </c>
      <c r="L64" s="4">
        <f t="shared" si="67"/>
        <v>185438.6</v>
      </c>
      <c r="M64" s="4">
        <f t="shared" si="67"/>
        <v>108977.5</v>
      </c>
      <c r="N64" s="4">
        <f t="shared" ref="N64:O64" si="68">+N15</f>
        <v>274333.2</v>
      </c>
      <c r="O64" s="4">
        <f t="shared" si="68"/>
        <v>424510.1</v>
      </c>
    </row>
    <row r="65" spans="4:15" x14ac:dyDescent="0.2">
      <c r="D65" s="1" t="s">
        <v>523</v>
      </c>
      <c r="E65" s="4"/>
      <c r="F65" s="4"/>
      <c r="G65" s="4"/>
      <c r="H65" s="4">
        <f t="shared" ref="H65:I65" si="69">+H64-H63</f>
        <v>6330.8500000000058</v>
      </c>
      <c r="I65" s="4">
        <f t="shared" si="69"/>
        <v>-35270.049999999959</v>
      </c>
      <c r="J65" s="4">
        <f t="shared" ref="J65:K65" si="70">+J64-J63</f>
        <v>-84678</v>
      </c>
      <c r="K65" s="4">
        <f t="shared" si="70"/>
        <v>54220</v>
      </c>
      <c r="L65" s="4">
        <f t="shared" ref="L65:M65" si="71">+L64-L63</f>
        <v>146.60000000000582</v>
      </c>
      <c r="M65" s="4">
        <f t="shared" si="71"/>
        <v>-153255.59999999998</v>
      </c>
      <c r="N65" s="4">
        <f t="shared" ref="N65:O65" si="72">+N64-N63</f>
        <v>-122088.5</v>
      </c>
      <c r="O65" s="4">
        <f t="shared" si="72"/>
        <v>33539.099999999977</v>
      </c>
    </row>
    <row r="66" spans="4:15" x14ac:dyDescent="0.2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4:15" x14ac:dyDescent="0.2">
      <c r="D67" s="1" t="s">
        <v>524</v>
      </c>
      <c r="E67" s="4"/>
      <c r="F67" s="4"/>
      <c r="G67" s="4"/>
      <c r="H67" s="4">
        <v>565015.375</v>
      </c>
      <c r="I67" s="4">
        <v>603570.59</v>
      </c>
      <c r="J67" s="4">
        <v>615644.08000000007</v>
      </c>
      <c r="K67" s="4">
        <v>621913.87666666659</v>
      </c>
      <c r="L67" s="4">
        <v>547270.40333333332</v>
      </c>
      <c r="M67" s="4">
        <v>502901.66666666669</v>
      </c>
      <c r="N67" s="4">
        <v>472783.85</v>
      </c>
      <c r="O67" s="4">
        <v>546541</v>
      </c>
    </row>
    <row r="68" spans="4:15" x14ac:dyDescent="0.2">
      <c r="D68" s="1" t="s">
        <v>53</v>
      </c>
      <c r="E68" s="4"/>
      <c r="F68" s="4"/>
      <c r="G68" s="4"/>
      <c r="H68" s="4">
        <f t="shared" ref="H68:I68" si="73">+H40</f>
        <v>583641.64000000013</v>
      </c>
      <c r="I68" s="4">
        <f t="shared" si="73"/>
        <v>628120.46000000008</v>
      </c>
      <c r="J68" s="4">
        <f t="shared" ref="J68:K68" si="74">+J40</f>
        <v>589151.60000000009</v>
      </c>
      <c r="K68" s="4">
        <f t="shared" si="74"/>
        <v>623813.71000000008</v>
      </c>
      <c r="L68" s="4">
        <f t="shared" ref="L68:M68" si="75">+L40</f>
        <v>583699.06000000006</v>
      </c>
      <c r="M68" s="4">
        <f t="shared" si="75"/>
        <v>485109.49000000005</v>
      </c>
      <c r="N68" s="4">
        <f>+N40</f>
        <v>492231.93000000005</v>
      </c>
      <c r="O68" s="4">
        <f>+O40</f>
        <v>490920.25</v>
      </c>
    </row>
    <row r="69" spans="4:15" x14ac:dyDescent="0.2">
      <c r="D69" s="1" t="s">
        <v>523</v>
      </c>
      <c r="E69" s="4"/>
      <c r="F69" s="4"/>
      <c r="G69" s="4"/>
      <c r="H69" s="4">
        <f t="shared" ref="H69:I69" si="76">+H67-H68</f>
        <v>-18626.26500000013</v>
      </c>
      <c r="I69" s="4">
        <f t="shared" si="76"/>
        <v>-24549.870000000112</v>
      </c>
      <c r="J69" s="4">
        <f t="shared" ref="J69:K69" si="77">+J67-J68</f>
        <v>26492.479999999981</v>
      </c>
      <c r="K69" s="4">
        <f t="shared" si="77"/>
        <v>-1899.8333333334886</v>
      </c>
      <c r="L69" s="4">
        <f t="shared" ref="L69:M69" si="78">+L67-L68</f>
        <v>-36428.656666666735</v>
      </c>
      <c r="M69" s="4">
        <f t="shared" si="78"/>
        <v>17792.176666666637</v>
      </c>
      <c r="N69" s="4">
        <f t="shared" ref="N69:O69" si="79">+N67-N68</f>
        <v>-19448.080000000075</v>
      </c>
      <c r="O69" s="4">
        <f t="shared" si="79"/>
        <v>55620.75</v>
      </c>
    </row>
    <row r="71" spans="4:15" x14ac:dyDescent="0.2">
      <c r="D71" s="1" t="s">
        <v>525</v>
      </c>
      <c r="E71" s="4"/>
      <c r="F71" s="4"/>
      <c r="G71" s="4"/>
      <c r="H71" s="4">
        <v>2966209.85</v>
      </c>
      <c r="I71" s="4">
        <v>2578152.2000000002</v>
      </c>
      <c r="J71" s="4">
        <v>2108308.41</v>
      </c>
      <c r="K71" s="4">
        <v>1678503.77</v>
      </c>
      <c r="L71" s="4">
        <v>1365426.36</v>
      </c>
      <c r="M71" s="4">
        <v>1090190.3400000001</v>
      </c>
      <c r="N71" s="4">
        <v>878496.07</v>
      </c>
      <c r="O71" s="4">
        <v>580989</v>
      </c>
    </row>
    <row r="72" spans="4:15" x14ac:dyDescent="0.2">
      <c r="D72" s="1" t="s">
        <v>53</v>
      </c>
      <c r="E72" s="4"/>
      <c r="F72" s="4"/>
      <c r="G72" s="4"/>
      <c r="H72" s="4">
        <f t="shared" ref="H72:I72" si="80">+H55</f>
        <v>2956020.34</v>
      </c>
      <c r="I72" s="4">
        <f t="shared" si="80"/>
        <v>2520253.0099999998</v>
      </c>
      <c r="J72" s="4">
        <f t="shared" ref="J72:K72" si="81">+J55</f>
        <v>2023283.28</v>
      </c>
      <c r="K72" s="4">
        <f t="shared" si="81"/>
        <v>1726104.66</v>
      </c>
      <c r="L72" s="4">
        <f t="shared" ref="L72" si="82">+L55</f>
        <v>1329558.9099999999</v>
      </c>
      <c r="M72" s="4">
        <v>954058.22</v>
      </c>
      <c r="N72" s="4">
        <f t="shared" ref="N72:O72" si="83">+N55</f>
        <v>736558.98</v>
      </c>
      <c r="O72" s="4">
        <f t="shared" si="83"/>
        <v>670150.07999999996</v>
      </c>
    </row>
    <row r="73" spans="4:15" x14ac:dyDescent="0.2">
      <c r="D73" s="1" t="s">
        <v>523</v>
      </c>
      <c r="E73" s="4"/>
      <c r="F73" s="4"/>
      <c r="G73" s="4"/>
      <c r="H73" s="4">
        <f t="shared" ref="H73:I73" si="84">+H72-H71</f>
        <v>-10189.510000000242</v>
      </c>
      <c r="I73" s="4">
        <f t="shared" si="84"/>
        <v>-57899.19000000041</v>
      </c>
      <c r="J73" s="4">
        <f t="shared" ref="J73:K73" si="85">+J72-J71</f>
        <v>-85025.130000000121</v>
      </c>
      <c r="K73" s="4">
        <f t="shared" si="85"/>
        <v>47600.889999999898</v>
      </c>
      <c r="L73" s="4">
        <f t="shared" ref="L73:M73" si="86">+L72-L71</f>
        <v>-35867.450000000186</v>
      </c>
      <c r="M73" s="4">
        <f t="shared" si="86"/>
        <v>-136132.12000000011</v>
      </c>
      <c r="N73" s="4">
        <f t="shared" ref="N73:O73" si="87">+N72-N71</f>
        <v>-141937.08999999997</v>
      </c>
      <c r="O73" s="4">
        <f t="shared" si="87"/>
        <v>89161.079999999958</v>
      </c>
    </row>
  </sheetData>
  <pageMargins left="0.25" right="0.25" top="0.75" bottom="0.75" header="0.3" footer="0.3"/>
  <pageSetup scale="5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C7A6-413E-4B7D-A9C9-417B55F8E7C0}">
  <sheetPr>
    <pageSetUpPr fitToPage="1"/>
  </sheetPr>
  <dimension ref="A2:Y42"/>
  <sheetViews>
    <sheetView workbookViewId="0">
      <pane xSplit="4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J42" sqref="J42"/>
    </sheetView>
  </sheetViews>
  <sheetFormatPr baseColWidth="10" defaultColWidth="9.1640625" defaultRowHeight="14" x14ac:dyDescent="0.2"/>
  <cols>
    <col min="1" max="1" width="2.6640625" style="1" hidden="1" customWidth="1"/>
    <col min="2" max="2" width="27.5" style="1" hidden="1" customWidth="1"/>
    <col min="3" max="3" width="2.6640625" style="1" customWidth="1"/>
    <col min="4" max="4" width="30.6640625" style="1" customWidth="1"/>
    <col min="5" max="16" width="10.6640625" style="1" customWidth="1"/>
    <col min="17" max="17" width="2.6640625" style="1" customWidth="1"/>
    <col min="18" max="21" width="10.6640625" style="1" customWidth="1"/>
    <col min="22" max="22" width="2.6640625" style="1" customWidth="1"/>
    <col min="23" max="23" width="10.6640625" style="1" customWidth="1"/>
    <col min="24" max="24" width="2.6640625" style="1" customWidth="1"/>
    <col min="25" max="25" width="6.6640625" style="1" customWidth="1"/>
    <col min="26" max="26" width="9.83203125" style="1" bestFit="1" customWidth="1"/>
    <col min="27" max="16384" width="9.1640625" style="1"/>
  </cols>
  <sheetData>
    <row r="2" spans="2:25" x14ac:dyDescent="0.2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2025</v>
      </c>
      <c r="Y2" s="3" t="s">
        <v>13</v>
      </c>
    </row>
    <row r="3" spans="2:25" x14ac:dyDescent="0.2">
      <c r="D3" s="24" t="str">
        <f>+Version!$C$3</f>
        <v>Y2025 12 v001</v>
      </c>
      <c r="Y3" s="3"/>
    </row>
    <row r="4" spans="2:25" x14ac:dyDescent="0.2">
      <c r="D4" s="24"/>
      <c r="Y4" s="3"/>
    </row>
    <row r="5" spans="2:25" x14ac:dyDescent="0.2">
      <c r="B5" s="3"/>
      <c r="D5" s="7" t="s">
        <v>63</v>
      </c>
      <c r="E5" s="38">
        <f>+'1 Collections Build'!R5*1000</f>
        <v>14700</v>
      </c>
      <c r="F5" s="38">
        <f>+'1 Collections Build'!S5*1000</f>
        <v>0</v>
      </c>
      <c r="G5" s="38">
        <f>+'1 Collections Build'!T5*1000</f>
        <v>8400</v>
      </c>
      <c r="H5" s="38">
        <f>+'1 Collections Build'!U5*1000</f>
        <v>0</v>
      </c>
      <c r="I5" s="38">
        <f>+'1 Collections Build'!V5*1000</f>
        <v>0</v>
      </c>
      <c r="J5" s="38">
        <f>+'1 Collections Build'!W5*1000</f>
        <v>196500</v>
      </c>
      <c r="K5" s="38">
        <f>+'1 Collections Build'!X5*1000</f>
        <v>0</v>
      </c>
      <c r="L5" s="38">
        <f>+'1 Collections Build'!Y5*1000</f>
        <v>100000</v>
      </c>
      <c r="M5" s="38">
        <f>+'1 Collections Build'!Z5*1000</f>
        <v>0</v>
      </c>
      <c r="N5" s="38">
        <f>+'1 Collections Build'!AA5*1000</f>
        <v>0</v>
      </c>
      <c r="O5" s="38">
        <f>+'1 Collections Build'!AB5*1000</f>
        <v>100000</v>
      </c>
      <c r="P5" s="38">
        <f>+'1 Collections Build'!AC5*1000</f>
        <v>0</v>
      </c>
      <c r="Q5" s="4"/>
      <c r="R5" s="4">
        <f>SUM(E5:G5)</f>
        <v>23100</v>
      </c>
      <c r="S5" s="4">
        <f>SUM(H5:J5)</f>
        <v>196500</v>
      </c>
      <c r="T5" s="4">
        <f>SUM(K5:M5)</f>
        <v>100000</v>
      </c>
      <c r="U5" s="4">
        <f>SUM(N5:P5)</f>
        <v>100000</v>
      </c>
      <c r="V5" s="4"/>
      <c r="W5" s="4">
        <f>SUM(E5:P5)</f>
        <v>419600</v>
      </c>
      <c r="Y5" s="25">
        <f>ROUND(SUM(R5:U5)-W5,2)</f>
        <v>0</v>
      </c>
    </row>
    <row r="6" spans="2:25" x14ac:dyDescent="0.2">
      <c r="D6" s="7" t="s">
        <v>87</v>
      </c>
      <c r="E6" s="38">
        <f>+'1 Collections Build'!R21*1000</f>
        <v>840000</v>
      </c>
      <c r="F6" s="38">
        <f>+'1 Collections Build'!S21*1000</f>
        <v>0</v>
      </c>
      <c r="G6" s="38">
        <f>+'1 Collections Build'!T21*1000</f>
        <v>0</v>
      </c>
      <c r="H6" s="38">
        <f>+'1 Collections Build'!U21*1000</f>
        <v>430000</v>
      </c>
      <c r="I6" s="38">
        <f>+'1 Collections Build'!V21*1000</f>
        <v>300000</v>
      </c>
      <c r="J6" s="38">
        <f>+'1 Collections Build'!W21*1000</f>
        <v>0</v>
      </c>
      <c r="K6" s="38">
        <f>+'1 Collections Build'!X21*1000</f>
        <v>127000</v>
      </c>
      <c r="L6" s="38">
        <f>+'1 Collections Build'!Y21*1000</f>
        <v>0</v>
      </c>
      <c r="M6" s="38">
        <f>+'1 Collections Build'!Z21*1000</f>
        <v>0</v>
      </c>
      <c r="N6" s="38">
        <f>+'1 Collections Build'!AA21*1000</f>
        <v>0</v>
      </c>
      <c r="O6" s="38">
        <f>+'1 Collections Build'!AB21*1000</f>
        <v>0</v>
      </c>
      <c r="P6" s="38">
        <f>+'1 Collections Build'!AC21*1000</f>
        <v>0</v>
      </c>
      <c r="Q6" s="4"/>
      <c r="R6" s="4">
        <f>SUM(E6:G6)</f>
        <v>840000</v>
      </c>
      <c r="S6" s="4">
        <f>SUM(H6:J6)</f>
        <v>730000</v>
      </c>
      <c r="T6" s="4">
        <f>SUM(K6:M6)</f>
        <v>127000</v>
      </c>
      <c r="U6" s="4">
        <f>SUM(N6:P6)</f>
        <v>0</v>
      </c>
      <c r="V6" s="4"/>
      <c r="W6" s="4">
        <f>SUM(E6:P6)</f>
        <v>1697000</v>
      </c>
      <c r="Y6" s="25">
        <f>ROUND(SUM(R6:U6)-W6,2)</f>
        <v>0</v>
      </c>
    </row>
    <row r="7" spans="2:25" x14ac:dyDescent="0.2">
      <c r="D7" s="7" t="s">
        <v>549</v>
      </c>
      <c r="E7" s="38">
        <f>+'1 Collections Build'!R38*1000</f>
        <v>0</v>
      </c>
      <c r="F7" s="38">
        <f>+'1 Collections Build'!S38*1000</f>
        <v>3000</v>
      </c>
      <c r="G7" s="38">
        <f>+'1 Collections Build'!T38*1000</f>
        <v>0</v>
      </c>
      <c r="H7" s="38">
        <f>+'1 Collections Build'!U38*1000</f>
        <v>0</v>
      </c>
      <c r="I7" s="38">
        <f>+'1 Collections Build'!V38*1000</f>
        <v>0</v>
      </c>
      <c r="J7" s="38">
        <f>+'1 Collections Build'!W38*1000</f>
        <v>0</v>
      </c>
      <c r="K7" s="38">
        <f>+'1 Collections Build'!X38*1000</f>
        <v>212000</v>
      </c>
      <c r="L7" s="38">
        <f>+'1 Collections Build'!Y38*1000</f>
        <v>0</v>
      </c>
      <c r="M7" s="38">
        <f>+'1 Collections Build'!Z38*1000</f>
        <v>0</v>
      </c>
      <c r="N7" s="38">
        <f>+'1 Collections Build'!AA38*1000</f>
        <v>0</v>
      </c>
      <c r="O7" s="38">
        <f>+'1 Collections Build'!AB38*1000</f>
        <v>0</v>
      </c>
      <c r="P7" s="38">
        <f>+'1 Collections Build'!AC38*1000</f>
        <v>0</v>
      </c>
      <c r="Q7" s="4"/>
      <c r="R7" s="4">
        <f>SUM(E7:G7)</f>
        <v>3000</v>
      </c>
      <c r="S7" s="4">
        <f>SUM(H7:J7)</f>
        <v>0</v>
      </c>
      <c r="T7" s="4">
        <f>SUM(K7:M7)</f>
        <v>212000</v>
      </c>
      <c r="U7" s="4">
        <f>SUM(N7:P7)</f>
        <v>0</v>
      </c>
      <c r="V7" s="4"/>
      <c r="W7" s="4">
        <f>SUM(E7:P7)</f>
        <v>215000</v>
      </c>
      <c r="Y7" s="25">
        <f>ROUND(SUM(R7:U7)-W7,2)</f>
        <v>0</v>
      </c>
    </row>
    <row r="8" spans="2:25" x14ac:dyDescent="0.2">
      <c r="D8" s="8" t="s">
        <v>84</v>
      </c>
      <c r="E8" s="34">
        <f t="shared" ref="E8:P8" si="1">SUM(E5:E7)</f>
        <v>854700</v>
      </c>
      <c r="F8" s="34">
        <f t="shared" si="1"/>
        <v>3000</v>
      </c>
      <c r="G8" s="34">
        <f t="shared" si="1"/>
        <v>8400</v>
      </c>
      <c r="H8" s="34">
        <f t="shared" si="1"/>
        <v>430000</v>
      </c>
      <c r="I8" s="34">
        <f t="shared" si="1"/>
        <v>300000</v>
      </c>
      <c r="J8" s="34">
        <f t="shared" si="1"/>
        <v>196500</v>
      </c>
      <c r="K8" s="34">
        <f t="shared" si="1"/>
        <v>339000</v>
      </c>
      <c r="L8" s="34">
        <f t="shared" si="1"/>
        <v>100000</v>
      </c>
      <c r="M8" s="34">
        <f t="shared" si="1"/>
        <v>0</v>
      </c>
      <c r="N8" s="34">
        <f t="shared" si="1"/>
        <v>0</v>
      </c>
      <c r="O8" s="34">
        <f t="shared" si="1"/>
        <v>100000</v>
      </c>
      <c r="P8" s="34">
        <f t="shared" si="1"/>
        <v>0</v>
      </c>
      <c r="Q8" s="34"/>
      <c r="R8" s="34">
        <f>SUM(R5:R7)</f>
        <v>866100</v>
      </c>
      <c r="S8" s="34">
        <f>SUM(S5:S7)</f>
        <v>926500</v>
      </c>
      <c r="T8" s="34">
        <f>SUM(T5:T7)</f>
        <v>439000</v>
      </c>
      <c r="U8" s="34">
        <f>SUM(U5:U7)</f>
        <v>100000</v>
      </c>
      <c r="V8" s="34"/>
      <c r="W8" s="34">
        <f>SUM(W5:W7)</f>
        <v>2331600</v>
      </c>
      <c r="Y8" s="25">
        <f>ROUND(SUM(R8:U8)-W8,2)</f>
        <v>0</v>
      </c>
    </row>
    <row r="9" spans="2:25" ht="6" customHeight="1" x14ac:dyDescent="0.2">
      <c r="D9" s="24"/>
      <c r="Y9" s="3"/>
    </row>
    <row r="10" spans="2:25" x14ac:dyDescent="0.2">
      <c r="D10" s="7" t="s">
        <v>63</v>
      </c>
      <c r="E10" s="38">
        <f>+'1 Collections Build'!R46*1000</f>
        <v>0</v>
      </c>
      <c r="F10" s="38">
        <f>+'1 Collections Build'!S46*1000</f>
        <v>30000</v>
      </c>
      <c r="G10" s="38">
        <f>+'1 Collections Build'!T46*1000</f>
        <v>0</v>
      </c>
      <c r="H10" s="38">
        <f>+'1 Collections Build'!U46*1000</f>
        <v>0</v>
      </c>
      <c r="I10" s="38">
        <f>+'1 Collections Build'!V46*1000</f>
        <v>0</v>
      </c>
      <c r="J10" s="38">
        <f>+'1 Collections Build'!W46*1000</f>
        <v>165000</v>
      </c>
      <c r="K10" s="38">
        <f>+'1 Collections Build'!X46*1000</f>
        <v>125000</v>
      </c>
      <c r="L10" s="38">
        <f>+'1 Collections Build'!Y46*1000</f>
        <v>75000</v>
      </c>
      <c r="M10" s="38">
        <f>+'1 Collections Build'!Z46*1000</f>
        <v>200000</v>
      </c>
      <c r="N10" s="38">
        <f>+'1 Collections Build'!AA46*1000</f>
        <v>100000</v>
      </c>
      <c r="O10" s="38">
        <f>+'1 Collections Build'!AB46*1000</f>
        <v>150000</v>
      </c>
      <c r="P10" s="38">
        <f>+'1 Collections Build'!AC46*1000</f>
        <v>275000</v>
      </c>
      <c r="Q10" s="4"/>
      <c r="R10" s="4">
        <f>SUM(E10:G10)</f>
        <v>30000</v>
      </c>
      <c r="S10" s="4">
        <f>SUM(H10:J10)</f>
        <v>165000</v>
      </c>
      <c r="T10" s="4">
        <f>SUM(K10:M10)</f>
        <v>400000</v>
      </c>
      <c r="U10" s="4">
        <f>SUM(N10:P10)</f>
        <v>525000</v>
      </c>
      <c r="V10" s="4"/>
      <c r="W10" s="4">
        <f>SUM(E10:P10)</f>
        <v>1120000</v>
      </c>
      <c r="Y10" s="25">
        <f>ROUND(SUM(R10:U10)-W10,2)</f>
        <v>0</v>
      </c>
    </row>
    <row r="11" spans="2:25" x14ac:dyDescent="0.2">
      <c r="D11" s="7" t="s">
        <v>87</v>
      </c>
      <c r="E11" s="38">
        <f>+'1 Collections Build'!R66*1000</f>
        <v>0</v>
      </c>
      <c r="F11" s="38">
        <f>+'1 Collections Build'!S66*1000</f>
        <v>0</v>
      </c>
      <c r="G11" s="38">
        <f>+'1 Collections Build'!T66*1000</f>
        <v>0</v>
      </c>
      <c r="H11" s="38">
        <f>+'1 Collections Build'!U66*1000</f>
        <v>0</v>
      </c>
      <c r="I11" s="38">
        <f>+'1 Collections Build'!V66*1000</f>
        <v>0</v>
      </c>
      <c r="J11" s="38">
        <f>+'1 Collections Build'!W66*1000</f>
        <v>50000</v>
      </c>
      <c r="K11" s="38">
        <f>+'1 Collections Build'!X66*1000</f>
        <v>350000</v>
      </c>
      <c r="L11" s="38">
        <f>+'1 Collections Build'!Y66*1000</f>
        <v>500000</v>
      </c>
      <c r="M11" s="38">
        <f>+'1 Collections Build'!Z66*1000</f>
        <v>250000</v>
      </c>
      <c r="N11" s="38">
        <f>+'1 Collections Build'!AA66*1000</f>
        <v>0</v>
      </c>
      <c r="O11" s="38">
        <f>+'1 Collections Build'!AB66*1000</f>
        <v>250000</v>
      </c>
      <c r="P11" s="38">
        <f>+'1 Collections Build'!AC66*1000</f>
        <v>0</v>
      </c>
      <c r="Q11" s="4"/>
      <c r="R11" s="4">
        <f>SUM(E11:G11)</f>
        <v>0</v>
      </c>
      <c r="S11" s="4">
        <f>SUM(H11:J11)</f>
        <v>50000</v>
      </c>
      <c r="T11" s="4">
        <f>SUM(K11:M11)</f>
        <v>1100000</v>
      </c>
      <c r="U11" s="4">
        <f>SUM(N11:P11)</f>
        <v>250000</v>
      </c>
      <c r="V11" s="4"/>
      <c r="W11" s="4">
        <f>SUM(E11:P11)</f>
        <v>1400000</v>
      </c>
      <c r="Y11" s="25">
        <f>ROUND(SUM(R11:U11)-W11,2)</f>
        <v>0</v>
      </c>
    </row>
    <row r="12" spans="2:25" x14ac:dyDescent="0.2">
      <c r="D12" s="7" t="s">
        <v>549</v>
      </c>
      <c r="E12" s="38">
        <f>+'1 Collections Build'!R78*1000</f>
        <v>0</v>
      </c>
      <c r="F12" s="38">
        <f>+'1 Collections Build'!S78*1000</f>
        <v>50000</v>
      </c>
      <c r="G12" s="38">
        <f>+'1 Collections Build'!T78*1000</f>
        <v>82000</v>
      </c>
      <c r="H12" s="38">
        <f>+'1 Collections Build'!U78*1000</f>
        <v>0</v>
      </c>
      <c r="I12" s="38">
        <f>+'1 Collections Build'!V78*1000</f>
        <v>21000</v>
      </c>
      <c r="J12" s="38">
        <f>+'1 Collections Build'!W78*1000</f>
        <v>50000</v>
      </c>
      <c r="K12" s="38">
        <f>+'1 Collections Build'!X78*1000</f>
        <v>0</v>
      </c>
      <c r="L12" s="38">
        <f>+'1 Collections Build'!Y78*1000</f>
        <v>75000</v>
      </c>
      <c r="M12" s="38">
        <f>+'1 Collections Build'!Z78*1000</f>
        <v>75000</v>
      </c>
      <c r="N12" s="38">
        <f>+'1 Collections Build'!AA78*1000</f>
        <v>75000</v>
      </c>
      <c r="O12" s="38">
        <f>+'1 Collections Build'!AB78*1000</f>
        <v>75000</v>
      </c>
      <c r="P12" s="38">
        <f>+'1 Collections Build'!AC78*1000</f>
        <v>0</v>
      </c>
      <c r="Q12" s="4"/>
      <c r="R12" s="4">
        <f>SUM(E12:G12)</f>
        <v>132000</v>
      </c>
      <c r="S12" s="4">
        <f>SUM(H12:J12)</f>
        <v>71000</v>
      </c>
      <c r="T12" s="4">
        <f>SUM(K12:M12)</f>
        <v>150000</v>
      </c>
      <c r="U12" s="4">
        <f>SUM(N12:P12)</f>
        <v>150000</v>
      </c>
      <c r="V12" s="4"/>
      <c r="W12" s="4">
        <f>SUM(E12:P12)</f>
        <v>503000</v>
      </c>
      <c r="Y12" s="25">
        <f>ROUND(SUM(R12:U12)-W12,2)</f>
        <v>0</v>
      </c>
    </row>
    <row r="13" spans="2:25" x14ac:dyDescent="0.2">
      <c r="D13" s="8" t="s">
        <v>83</v>
      </c>
      <c r="E13" s="34">
        <f t="shared" ref="E13:P13" si="2">SUM(E10:E12)</f>
        <v>0</v>
      </c>
      <c r="F13" s="34">
        <f t="shared" si="2"/>
        <v>80000</v>
      </c>
      <c r="G13" s="34">
        <f t="shared" si="2"/>
        <v>82000</v>
      </c>
      <c r="H13" s="34">
        <f t="shared" si="2"/>
        <v>0</v>
      </c>
      <c r="I13" s="34">
        <f t="shared" si="2"/>
        <v>21000</v>
      </c>
      <c r="J13" s="34">
        <f t="shared" si="2"/>
        <v>265000</v>
      </c>
      <c r="K13" s="34">
        <f t="shared" si="2"/>
        <v>475000</v>
      </c>
      <c r="L13" s="34">
        <f t="shared" si="2"/>
        <v>650000</v>
      </c>
      <c r="M13" s="34">
        <f t="shared" si="2"/>
        <v>525000</v>
      </c>
      <c r="N13" s="34">
        <f t="shared" si="2"/>
        <v>175000</v>
      </c>
      <c r="O13" s="34">
        <f t="shared" si="2"/>
        <v>475000</v>
      </c>
      <c r="P13" s="34">
        <f t="shared" si="2"/>
        <v>275000</v>
      </c>
      <c r="Q13" s="34"/>
      <c r="R13" s="34">
        <f>SUM(R10:R12)</f>
        <v>162000</v>
      </c>
      <c r="S13" s="34">
        <f>SUM(S10:S12)</f>
        <v>286000</v>
      </c>
      <c r="T13" s="34">
        <f>SUM(T10:T12)</f>
        <v>1650000</v>
      </c>
      <c r="U13" s="34">
        <f>SUM(U10:U12)</f>
        <v>925000</v>
      </c>
      <c r="V13" s="34"/>
      <c r="W13" s="34">
        <f>SUM(W10:W12)</f>
        <v>3023000</v>
      </c>
      <c r="Y13" s="25">
        <f>ROUND(SUM(R13:U13)-W13,2)</f>
        <v>0</v>
      </c>
    </row>
    <row r="14" spans="2:25" ht="6" customHeight="1" x14ac:dyDescent="0.2">
      <c r="D14" s="24"/>
      <c r="Y14" s="3"/>
    </row>
    <row r="15" spans="2:25" x14ac:dyDescent="0.2">
      <c r="B15" s="3"/>
      <c r="D15" s="8" t="s">
        <v>278</v>
      </c>
      <c r="E15" s="34">
        <f t="shared" ref="E15:P15" si="3">+E8+E13</f>
        <v>854700</v>
      </c>
      <c r="F15" s="34">
        <f t="shared" si="3"/>
        <v>83000</v>
      </c>
      <c r="G15" s="34">
        <f t="shared" si="3"/>
        <v>90400</v>
      </c>
      <c r="H15" s="34">
        <f t="shared" si="3"/>
        <v>430000</v>
      </c>
      <c r="I15" s="34">
        <f t="shared" si="3"/>
        <v>321000</v>
      </c>
      <c r="J15" s="34">
        <f t="shared" si="3"/>
        <v>461500</v>
      </c>
      <c r="K15" s="34">
        <f t="shared" si="3"/>
        <v>814000</v>
      </c>
      <c r="L15" s="34">
        <f t="shared" si="3"/>
        <v>750000</v>
      </c>
      <c r="M15" s="34">
        <f t="shared" si="3"/>
        <v>525000</v>
      </c>
      <c r="N15" s="34">
        <f t="shared" si="3"/>
        <v>175000</v>
      </c>
      <c r="O15" s="34">
        <f t="shared" si="3"/>
        <v>575000</v>
      </c>
      <c r="P15" s="34">
        <f t="shared" si="3"/>
        <v>275000</v>
      </c>
      <c r="Q15" s="34"/>
      <c r="R15" s="34">
        <f>+R8+R13</f>
        <v>1028100</v>
      </c>
      <c r="S15" s="34">
        <f>+S8+S13</f>
        <v>1212500</v>
      </c>
      <c r="T15" s="34">
        <f>+T8+T13</f>
        <v>2089000</v>
      </c>
      <c r="U15" s="34">
        <f>+U8+U13</f>
        <v>1025000</v>
      </c>
      <c r="V15" s="34"/>
      <c r="W15" s="34">
        <f>+W8+W13</f>
        <v>5354600</v>
      </c>
      <c r="Y15" s="25">
        <f>ROUND(SUM(R15:U15)-W15,2)</f>
        <v>0</v>
      </c>
    </row>
    <row r="16" spans="2:25" x14ac:dyDescent="0.2">
      <c r="H16" s="40"/>
    </row>
    <row r="17" spans="4:25" x14ac:dyDescent="0.2">
      <c r="D17" s="7" t="s">
        <v>63</v>
      </c>
      <c r="E17" s="38">
        <f>+'1 Collections Build'!AJ5*1000</f>
        <v>0</v>
      </c>
      <c r="F17" s="38">
        <f>+'1 Collections Build'!AK5*1000</f>
        <v>0</v>
      </c>
      <c r="G17" s="38">
        <f>+'1 Collections Build'!AL5*1000</f>
        <v>0</v>
      </c>
      <c r="H17" s="38">
        <f>+'1 Collections Build'!AM5*1000</f>
        <v>0</v>
      </c>
      <c r="I17" s="38">
        <f>+'1 Collections Build'!AN5*1000</f>
        <v>0</v>
      </c>
      <c r="J17" s="38">
        <f>+'1 Collections Build'!AO5*1000</f>
        <v>0</v>
      </c>
      <c r="K17" s="38">
        <f>+'1 Collections Build'!AP5*1000</f>
        <v>0</v>
      </c>
      <c r="L17" s="38">
        <f>+'1 Collections Build'!AQ5*1000</f>
        <v>0</v>
      </c>
      <c r="M17" s="38">
        <f>+'1 Collections Build'!AR5*1000</f>
        <v>0</v>
      </c>
      <c r="N17" s="38">
        <f>+'1 Collections Build'!AS5*1000</f>
        <v>0</v>
      </c>
      <c r="O17" s="38">
        <f>+'1 Collections Build'!AT5*1000</f>
        <v>0</v>
      </c>
      <c r="P17" s="38">
        <f>+'1 Collections Build'!AU5*1000</f>
        <v>0</v>
      </c>
      <c r="Q17" s="4"/>
      <c r="R17" s="4">
        <f>SUM(E17:G17)</f>
        <v>0</v>
      </c>
      <c r="S17" s="4">
        <f>SUM(H17:J17)</f>
        <v>0</v>
      </c>
      <c r="T17" s="4">
        <f>SUM(K17:M17)</f>
        <v>0</v>
      </c>
      <c r="U17" s="4">
        <f>SUM(N17:P17)</f>
        <v>0</v>
      </c>
      <c r="V17" s="4"/>
      <c r="W17" s="4">
        <f>SUM(E17:P17)</f>
        <v>0</v>
      </c>
      <c r="Y17" s="25">
        <f>ROUND(SUM(R17:U17)-W17,2)</f>
        <v>0</v>
      </c>
    </row>
    <row r="18" spans="4:25" x14ac:dyDescent="0.2">
      <c r="D18" s="7" t="s">
        <v>87</v>
      </c>
      <c r="E18" s="38">
        <f>+'1 Collections Build'!AJ21*1000</f>
        <v>0</v>
      </c>
      <c r="F18" s="38">
        <f>+'1 Collections Build'!AK21*1000</f>
        <v>0</v>
      </c>
      <c r="G18" s="38">
        <f>+'1 Collections Build'!AL21*1000</f>
        <v>0</v>
      </c>
      <c r="H18" s="38">
        <f>+'1 Collections Build'!AM21*1000</f>
        <v>0</v>
      </c>
      <c r="I18" s="38">
        <f>+'1 Collections Build'!AN21*1000</f>
        <v>0</v>
      </c>
      <c r="J18" s="38">
        <f>+'1 Collections Build'!AO21*1000</f>
        <v>0</v>
      </c>
      <c r="K18" s="38">
        <f>+'1 Collections Build'!AP21*1000</f>
        <v>0</v>
      </c>
      <c r="L18" s="38">
        <f>+'1 Collections Build'!AQ21*1000</f>
        <v>0</v>
      </c>
      <c r="M18" s="38">
        <f>+'1 Collections Build'!AR21*1000</f>
        <v>0</v>
      </c>
      <c r="N18" s="38">
        <f>+'1 Collections Build'!AS21*1000</f>
        <v>0</v>
      </c>
      <c r="O18" s="38">
        <f>+'1 Collections Build'!AT21*1000</f>
        <v>0</v>
      </c>
      <c r="P18" s="38">
        <f>+'1 Collections Build'!AU21*1000</f>
        <v>0</v>
      </c>
      <c r="Q18" s="4"/>
      <c r="R18" s="4">
        <f>SUM(E18:G18)</f>
        <v>0</v>
      </c>
      <c r="S18" s="4">
        <f>SUM(H18:J18)</f>
        <v>0</v>
      </c>
      <c r="T18" s="4">
        <f>SUM(K18:M18)</f>
        <v>0</v>
      </c>
      <c r="U18" s="4">
        <f>SUM(N18:P18)</f>
        <v>0</v>
      </c>
      <c r="V18" s="4"/>
      <c r="W18" s="4">
        <f>SUM(E18:P18)</f>
        <v>0</v>
      </c>
      <c r="Y18" s="25">
        <f>ROUND(SUM(R18:U18)-W18,2)</f>
        <v>0</v>
      </c>
    </row>
    <row r="19" spans="4:25" x14ac:dyDescent="0.2">
      <c r="D19" s="7" t="s">
        <v>549</v>
      </c>
      <c r="E19" s="38">
        <f>+'1 Collections Build'!AJ38*1000</f>
        <v>0</v>
      </c>
      <c r="F19" s="38">
        <f>+'1 Collections Build'!AK38*1000</f>
        <v>0</v>
      </c>
      <c r="G19" s="38">
        <f>+'1 Collections Build'!AL38*1000</f>
        <v>0</v>
      </c>
      <c r="H19" s="38">
        <f>+'1 Collections Build'!AM38*1000</f>
        <v>0</v>
      </c>
      <c r="I19" s="38">
        <f>+'1 Collections Build'!AN38*1000</f>
        <v>0</v>
      </c>
      <c r="J19" s="38">
        <f>+'1 Collections Build'!AO38*1000</f>
        <v>0</v>
      </c>
      <c r="K19" s="38">
        <f>+'1 Collections Build'!AP38*1000</f>
        <v>0</v>
      </c>
      <c r="L19" s="38">
        <f>+'1 Collections Build'!AQ38*1000</f>
        <v>0</v>
      </c>
      <c r="M19" s="38">
        <f>+'1 Collections Build'!AR38*1000</f>
        <v>0</v>
      </c>
      <c r="N19" s="38">
        <f>+'1 Collections Build'!AS38*1000</f>
        <v>0</v>
      </c>
      <c r="O19" s="38">
        <f>+'1 Collections Build'!AT38*1000</f>
        <v>0</v>
      </c>
      <c r="P19" s="38">
        <f>+'1 Collections Build'!AU38*1000</f>
        <v>0</v>
      </c>
      <c r="Q19" s="4"/>
      <c r="R19" s="4">
        <f>SUM(E19:G19)</f>
        <v>0</v>
      </c>
      <c r="S19" s="4">
        <f>SUM(H19:J19)</f>
        <v>0</v>
      </c>
      <c r="T19" s="4">
        <f>SUM(K19:M19)</f>
        <v>0</v>
      </c>
      <c r="U19" s="4">
        <f>SUM(N19:P19)</f>
        <v>0</v>
      </c>
      <c r="V19" s="4"/>
      <c r="W19" s="4">
        <f>SUM(E19:P19)</f>
        <v>0</v>
      </c>
      <c r="Y19" s="25">
        <f>ROUND(SUM(R19:U19)-W19,2)</f>
        <v>0</v>
      </c>
    </row>
    <row r="20" spans="4:25" x14ac:dyDescent="0.2">
      <c r="D20" s="8" t="s">
        <v>84</v>
      </c>
      <c r="E20" s="34">
        <f t="shared" ref="E20:P20" si="4">SUM(E17:E19)</f>
        <v>0</v>
      </c>
      <c r="F20" s="34">
        <f t="shared" si="4"/>
        <v>0</v>
      </c>
      <c r="G20" s="34">
        <f t="shared" si="4"/>
        <v>0</v>
      </c>
      <c r="H20" s="34">
        <f t="shared" si="4"/>
        <v>0</v>
      </c>
      <c r="I20" s="34">
        <f t="shared" si="4"/>
        <v>0</v>
      </c>
      <c r="J20" s="34">
        <f t="shared" si="4"/>
        <v>0</v>
      </c>
      <c r="K20" s="34">
        <f t="shared" si="4"/>
        <v>0</v>
      </c>
      <c r="L20" s="34">
        <f t="shared" si="4"/>
        <v>0</v>
      </c>
      <c r="M20" s="34">
        <f t="shared" si="4"/>
        <v>0</v>
      </c>
      <c r="N20" s="34">
        <f t="shared" si="4"/>
        <v>0</v>
      </c>
      <c r="O20" s="34">
        <f t="shared" si="4"/>
        <v>0</v>
      </c>
      <c r="P20" s="34">
        <f t="shared" si="4"/>
        <v>0</v>
      </c>
      <c r="Q20" s="34"/>
      <c r="R20" s="34">
        <f>SUM(R17:R19)</f>
        <v>0</v>
      </c>
      <c r="S20" s="34">
        <f>SUM(S17:S19)</f>
        <v>0</v>
      </c>
      <c r="T20" s="34">
        <f>SUM(T17:T19)</f>
        <v>0</v>
      </c>
      <c r="U20" s="34">
        <f>SUM(U17:U19)</f>
        <v>0</v>
      </c>
      <c r="V20" s="34"/>
      <c r="W20" s="34">
        <f>SUM(W17:W19)</f>
        <v>0</v>
      </c>
      <c r="Y20" s="25">
        <f>ROUND(SUM(R20:U20)-W20,2)</f>
        <v>0</v>
      </c>
    </row>
    <row r="21" spans="4:25" x14ac:dyDescent="0.2">
      <c r="D21" s="24"/>
      <c r="Y21" s="3"/>
    </row>
    <row r="22" spans="4:25" x14ac:dyDescent="0.2">
      <c r="D22" s="7" t="s">
        <v>63</v>
      </c>
      <c r="E22" s="38">
        <f>+'1 Collections Build'!AJ46*1000</f>
        <v>0</v>
      </c>
      <c r="F22" s="38">
        <f>+'1 Collections Build'!AK46*1000</f>
        <v>0</v>
      </c>
      <c r="G22" s="38">
        <f>+'1 Collections Build'!AL46*1000</f>
        <v>0</v>
      </c>
      <c r="H22" s="38">
        <f>+'1 Collections Build'!AM46*1000</f>
        <v>0</v>
      </c>
      <c r="I22" s="38">
        <f>+'1 Collections Build'!AN46*1000</f>
        <v>0</v>
      </c>
      <c r="J22" s="38">
        <f>+'1 Collections Build'!AO46*1000</f>
        <v>82000</v>
      </c>
      <c r="K22" s="38">
        <f>+'1 Collections Build'!AP46*1000</f>
        <v>130000</v>
      </c>
      <c r="L22" s="38">
        <f>+'1 Collections Build'!AQ46*1000</f>
        <v>50000</v>
      </c>
      <c r="M22" s="38">
        <f>+'1 Collections Build'!AR46*1000</f>
        <v>200000</v>
      </c>
      <c r="N22" s="38">
        <f>+'1 Collections Build'!AS46*1000</f>
        <v>100000</v>
      </c>
      <c r="O22" s="38">
        <f>+'1 Collections Build'!AT46*1000</f>
        <v>100000</v>
      </c>
      <c r="P22" s="38">
        <f>+'1 Collections Build'!AU46*1000</f>
        <v>275000</v>
      </c>
      <c r="Q22" s="4"/>
      <c r="R22" s="4">
        <f>SUM(E22:G22)</f>
        <v>0</v>
      </c>
      <c r="S22" s="4">
        <f>SUM(H22:J22)</f>
        <v>82000</v>
      </c>
      <c r="T22" s="4">
        <f>SUM(K22:M22)</f>
        <v>380000</v>
      </c>
      <c r="U22" s="4">
        <f>SUM(N22:P22)</f>
        <v>475000</v>
      </c>
      <c r="V22" s="4"/>
      <c r="W22" s="4">
        <f>SUM(E22:P22)</f>
        <v>937000</v>
      </c>
      <c r="Y22" s="25">
        <f>ROUND(SUM(R22:U22)-W22,2)</f>
        <v>0</v>
      </c>
    </row>
    <row r="23" spans="4:25" x14ac:dyDescent="0.2">
      <c r="D23" s="7" t="s">
        <v>87</v>
      </c>
      <c r="E23" s="38">
        <f>+'1 Collections Build'!AJ66*1000</f>
        <v>0</v>
      </c>
      <c r="F23" s="38">
        <f>+'1 Collections Build'!AK66*1000</f>
        <v>0</v>
      </c>
      <c r="G23" s="38">
        <f>+'1 Collections Build'!AL66*1000</f>
        <v>0</v>
      </c>
      <c r="H23" s="38">
        <f>+'1 Collections Build'!AM66*1000</f>
        <v>0</v>
      </c>
      <c r="I23" s="38">
        <f>+'1 Collections Build'!AN66*1000</f>
        <v>0</v>
      </c>
      <c r="J23" s="38">
        <f>+'1 Collections Build'!AO66*1000</f>
        <v>0</v>
      </c>
      <c r="K23" s="38">
        <f>+'1 Collections Build'!AP66*1000</f>
        <v>0</v>
      </c>
      <c r="L23" s="38">
        <f>+'1 Collections Build'!AQ66*1000</f>
        <v>200000</v>
      </c>
      <c r="M23" s="38">
        <f>+'1 Collections Build'!AR66*1000</f>
        <v>100000</v>
      </c>
      <c r="N23" s="38">
        <f>+'1 Collections Build'!AS66*1000</f>
        <v>0</v>
      </c>
      <c r="O23" s="38">
        <f>+'1 Collections Build'!AT66*1000</f>
        <v>100000</v>
      </c>
      <c r="P23" s="38">
        <f>+'1 Collections Build'!AU66*1000</f>
        <v>0</v>
      </c>
      <c r="Q23" s="4"/>
      <c r="R23" s="4">
        <f>SUM(E23:G23)</f>
        <v>0</v>
      </c>
      <c r="S23" s="4">
        <f>SUM(H23:J23)</f>
        <v>0</v>
      </c>
      <c r="T23" s="4">
        <f>SUM(K23:M23)</f>
        <v>300000</v>
      </c>
      <c r="U23" s="4">
        <f>SUM(N23:P23)</f>
        <v>100000</v>
      </c>
      <c r="V23" s="4"/>
      <c r="W23" s="4">
        <f>SUM(E23:P23)</f>
        <v>400000</v>
      </c>
      <c r="Y23" s="25">
        <f>ROUND(SUM(R23:U23)-W23,2)</f>
        <v>0</v>
      </c>
    </row>
    <row r="24" spans="4:25" x14ac:dyDescent="0.2">
      <c r="D24" s="7" t="s">
        <v>549</v>
      </c>
      <c r="E24" s="38">
        <f>+'1 Collections Build'!AJ78*1000</f>
        <v>0</v>
      </c>
      <c r="F24" s="38">
        <f>+'1 Collections Build'!AK78*1000</f>
        <v>0</v>
      </c>
      <c r="G24" s="38">
        <f>+'1 Collections Build'!AL78*1000</f>
        <v>144000</v>
      </c>
      <c r="H24" s="38">
        <f>+'1 Collections Build'!AM78*1000</f>
        <v>0</v>
      </c>
      <c r="I24" s="38">
        <f>+'1 Collections Build'!AN78*1000</f>
        <v>36000</v>
      </c>
      <c r="J24" s="38">
        <f>+'1 Collections Build'!AO78*1000</f>
        <v>30000</v>
      </c>
      <c r="K24" s="38">
        <f>+'1 Collections Build'!AP78*1000</f>
        <v>0</v>
      </c>
      <c r="L24" s="38">
        <f>+'1 Collections Build'!AQ78*1000</f>
        <v>50000</v>
      </c>
      <c r="M24" s="38">
        <f>+'1 Collections Build'!AR78*1000</f>
        <v>50000</v>
      </c>
      <c r="N24" s="38">
        <f>+'1 Collections Build'!AS78*1000</f>
        <v>50000</v>
      </c>
      <c r="O24" s="38">
        <f>+'1 Collections Build'!AT78*1000</f>
        <v>50000</v>
      </c>
      <c r="P24" s="38">
        <f>+'1 Collections Build'!AU78*1000</f>
        <v>0</v>
      </c>
      <c r="Q24" s="4"/>
      <c r="R24" s="4">
        <f>SUM(E24:G24)</f>
        <v>144000</v>
      </c>
      <c r="S24" s="4">
        <f>SUM(H24:J24)</f>
        <v>66000</v>
      </c>
      <c r="T24" s="4">
        <f>SUM(K24:M24)</f>
        <v>100000</v>
      </c>
      <c r="U24" s="4">
        <f>SUM(N24:P24)</f>
        <v>100000</v>
      </c>
      <c r="V24" s="4"/>
      <c r="W24" s="4">
        <f>SUM(E24:P24)</f>
        <v>410000</v>
      </c>
      <c r="Y24" s="25">
        <f>ROUND(SUM(R24:U24)-W24,2)</f>
        <v>0</v>
      </c>
    </row>
    <row r="25" spans="4:25" x14ac:dyDescent="0.2">
      <c r="D25" s="8" t="s">
        <v>83</v>
      </c>
      <c r="E25" s="34">
        <f t="shared" ref="E25:P25" si="5">SUM(E22:E24)</f>
        <v>0</v>
      </c>
      <c r="F25" s="34">
        <f t="shared" si="5"/>
        <v>0</v>
      </c>
      <c r="G25" s="34">
        <f t="shared" si="5"/>
        <v>144000</v>
      </c>
      <c r="H25" s="34">
        <f t="shared" si="5"/>
        <v>0</v>
      </c>
      <c r="I25" s="34">
        <f t="shared" si="5"/>
        <v>36000</v>
      </c>
      <c r="J25" s="34">
        <f t="shared" si="5"/>
        <v>112000</v>
      </c>
      <c r="K25" s="34">
        <f t="shared" si="5"/>
        <v>130000</v>
      </c>
      <c r="L25" s="34">
        <f t="shared" si="5"/>
        <v>300000</v>
      </c>
      <c r="M25" s="34">
        <f t="shared" si="5"/>
        <v>350000</v>
      </c>
      <c r="N25" s="34">
        <f t="shared" si="5"/>
        <v>150000</v>
      </c>
      <c r="O25" s="34">
        <f t="shared" si="5"/>
        <v>250000</v>
      </c>
      <c r="P25" s="34">
        <f t="shared" si="5"/>
        <v>275000</v>
      </c>
      <c r="Q25" s="34"/>
      <c r="R25" s="34">
        <f>SUM(R22:R24)</f>
        <v>144000</v>
      </c>
      <c r="S25" s="34">
        <f>SUM(S22:S24)</f>
        <v>148000</v>
      </c>
      <c r="T25" s="34">
        <f>SUM(T22:T24)</f>
        <v>780000</v>
      </c>
      <c r="U25" s="34">
        <f>SUM(U22:U24)</f>
        <v>675000</v>
      </c>
      <c r="V25" s="34"/>
      <c r="W25" s="34">
        <f>SUM(W22:W24)</f>
        <v>1747000</v>
      </c>
      <c r="Y25" s="25">
        <f>ROUND(SUM(R25:U25)-W25,2)</f>
        <v>0</v>
      </c>
    </row>
    <row r="26" spans="4:25" x14ac:dyDescent="0.2">
      <c r="D26" s="24"/>
      <c r="Y26" s="3"/>
    </row>
    <row r="27" spans="4:25" x14ac:dyDescent="0.2">
      <c r="D27" s="8" t="s">
        <v>279</v>
      </c>
      <c r="E27" s="34">
        <f t="shared" ref="E27:P27" si="6">+E20+E25</f>
        <v>0</v>
      </c>
      <c r="F27" s="34">
        <f t="shared" si="6"/>
        <v>0</v>
      </c>
      <c r="G27" s="34">
        <f t="shared" si="6"/>
        <v>144000</v>
      </c>
      <c r="H27" s="34">
        <f t="shared" si="6"/>
        <v>0</v>
      </c>
      <c r="I27" s="34">
        <f t="shared" si="6"/>
        <v>36000</v>
      </c>
      <c r="J27" s="34">
        <f t="shared" si="6"/>
        <v>112000</v>
      </c>
      <c r="K27" s="34">
        <f t="shared" si="6"/>
        <v>130000</v>
      </c>
      <c r="L27" s="34">
        <f t="shared" si="6"/>
        <v>300000</v>
      </c>
      <c r="M27" s="34">
        <f t="shared" si="6"/>
        <v>350000</v>
      </c>
      <c r="N27" s="34">
        <f t="shared" si="6"/>
        <v>150000</v>
      </c>
      <c r="O27" s="34">
        <f t="shared" si="6"/>
        <v>250000</v>
      </c>
      <c r="P27" s="34">
        <f t="shared" si="6"/>
        <v>275000</v>
      </c>
      <c r="Q27" s="34"/>
      <c r="R27" s="34">
        <f>+R20+R25</f>
        <v>144000</v>
      </c>
      <c r="S27" s="34">
        <f>+S20+S25</f>
        <v>148000</v>
      </c>
      <c r="T27" s="34">
        <f>+T20+T25</f>
        <v>780000</v>
      </c>
      <c r="U27" s="34">
        <f>+U20+U25</f>
        <v>675000</v>
      </c>
      <c r="V27" s="34"/>
      <c r="W27" s="34">
        <f>+W20+W25</f>
        <v>1747000</v>
      </c>
      <c r="Y27" s="25">
        <f>ROUND(SUM(R27:U27)-W27,2)</f>
        <v>0</v>
      </c>
    </row>
    <row r="29" spans="4:25" x14ac:dyDescent="0.2">
      <c r="D29" s="7" t="s">
        <v>63</v>
      </c>
      <c r="E29" s="4">
        <f>+E5+E17</f>
        <v>14700</v>
      </c>
      <c r="F29" s="4">
        <f t="shared" ref="F29:P29" si="7">+F5+F17</f>
        <v>0</v>
      </c>
      <c r="G29" s="4">
        <f t="shared" si="7"/>
        <v>8400</v>
      </c>
      <c r="H29" s="4">
        <f t="shared" si="7"/>
        <v>0</v>
      </c>
      <c r="I29" s="4">
        <f t="shared" si="7"/>
        <v>0</v>
      </c>
      <c r="J29" s="4">
        <f t="shared" si="7"/>
        <v>196500</v>
      </c>
      <c r="K29" s="4">
        <f t="shared" si="7"/>
        <v>0</v>
      </c>
      <c r="L29" s="4">
        <f t="shared" si="7"/>
        <v>100000</v>
      </c>
      <c r="M29" s="4">
        <f t="shared" si="7"/>
        <v>0</v>
      </c>
      <c r="N29" s="4">
        <f t="shared" si="7"/>
        <v>0</v>
      </c>
      <c r="O29" s="4">
        <f t="shared" si="7"/>
        <v>100000</v>
      </c>
      <c r="P29" s="4">
        <f t="shared" si="7"/>
        <v>0</v>
      </c>
      <c r="Q29" s="4"/>
      <c r="R29" s="4">
        <f>SUM(E29:G29)</f>
        <v>23100</v>
      </c>
      <c r="S29" s="4">
        <f>SUM(H29:J29)</f>
        <v>196500</v>
      </c>
      <c r="T29" s="4">
        <f>SUM(K29:M29)</f>
        <v>100000</v>
      </c>
      <c r="U29" s="4">
        <f>SUM(N29:P29)</f>
        <v>100000</v>
      </c>
      <c r="V29" s="4"/>
      <c r="W29" s="4">
        <f>SUM(E29:P29)</f>
        <v>419600</v>
      </c>
      <c r="Y29" s="25">
        <f>ROUND(SUM(R29:U29)-W29,2)</f>
        <v>0</v>
      </c>
    </row>
    <row r="30" spans="4:25" x14ac:dyDescent="0.2">
      <c r="D30" s="7" t="s">
        <v>87</v>
      </c>
      <c r="E30" s="4">
        <f t="shared" ref="E30:P30" si="8">+E6+E18</f>
        <v>840000</v>
      </c>
      <c r="F30" s="4">
        <f t="shared" si="8"/>
        <v>0</v>
      </c>
      <c r="G30" s="4">
        <f t="shared" si="8"/>
        <v>0</v>
      </c>
      <c r="H30" s="4">
        <f t="shared" si="8"/>
        <v>430000</v>
      </c>
      <c r="I30" s="4">
        <f t="shared" si="8"/>
        <v>300000</v>
      </c>
      <c r="J30" s="4">
        <f t="shared" si="8"/>
        <v>0</v>
      </c>
      <c r="K30" s="4">
        <f t="shared" si="8"/>
        <v>127000</v>
      </c>
      <c r="L30" s="4">
        <f t="shared" si="8"/>
        <v>0</v>
      </c>
      <c r="M30" s="4">
        <f t="shared" si="8"/>
        <v>0</v>
      </c>
      <c r="N30" s="4">
        <f t="shared" si="8"/>
        <v>0</v>
      </c>
      <c r="O30" s="4">
        <f t="shared" si="8"/>
        <v>0</v>
      </c>
      <c r="P30" s="4">
        <f t="shared" si="8"/>
        <v>0</v>
      </c>
      <c r="Q30" s="4"/>
      <c r="R30" s="4">
        <f>SUM(E30:G30)</f>
        <v>840000</v>
      </c>
      <c r="S30" s="4">
        <f>SUM(H30:J30)</f>
        <v>730000</v>
      </c>
      <c r="T30" s="4">
        <f>SUM(K30:M30)</f>
        <v>127000</v>
      </c>
      <c r="U30" s="4">
        <f>SUM(N30:P30)</f>
        <v>0</v>
      </c>
      <c r="V30" s="4"/>
      <c r="W30" s="4">
        <f>SUM(E30:P30)</f>
        <v>1697000</v>
      </c>
      <c r="Y30" s="25">
        <f>ROUND(SUM(R30:U30)-W30,2)</f>
        <v>0</v>
      </c>
    </row>
    <row r="31" spans="4:25" x14ac:dyDescent="0.2">
      <c r="D31" s="7" t="s">
        <v>549</v>
      </c>
      <c r="E31" s="4">
        <f t="shared" ref="E31:P31" si="9">+E7+E19</f>
        <v>0</v>
      </c>
      <c r="F31" s="4">
        <f t="shared" si="9"/>
        <v>3000</v>
      </c>
      <c r="G31" s="4">
        <f t="shared" si="9"/>
        <v>0</v>
      </c>
      <c r="H31" s="4">
        <f t="shared" si="9"/>
        <v>0</v>
      </c>
      <c r="I31" s="4">
        <f t="shared" si="9"/>
        <v>0</v>
      </c>
      <c r="J31" s="4">
        <f t="shared" si="9"/>
        <v>0</v>
      </c>
      <c r="K31" s="4">
        <f t="shared" si="9"/>
        <v>212000</v>
      </c>
      <c r="L31" s="4">
        <f t="shared" si="9"/>
        <v>0</v>
      </c>
      <c r="M31" s="4">
        <f t="shared" si="9"/>
        <v>0</v>
      </c>
      <c r="N31" s="4">
        <f t="shared" si="9"/>
        <v>0</v>
      </c>
      <c r="O31" s="4">
        <f t="shared" si="9"/>
        <v>0</v>
      </c>
      <c r="P31" s="4">
        <f t="shared" si="9"/>
        <v>0</v>
      </c>
      <c r="Q31" s="4"/>
      <c r="R31" s="4">
        <f>SUM(E31:G31)</f>
        <v>3000</v>
      </c>
      <c r="S31" s="4">
        <f>SUM(H31:J31)</f>
        <v>0</v>
      </c>
      <c r="T31" s="4">
        <f>SUM(K31:M31)</f>
        <v>212000</v>
      </c>
      <c r="U31" s="4">
        <f>SUM(N31:P31)</f>
        <v>0</v>
      </c>
      <c r="V31" s="4"/>
      <c r="W31" s="4">
        <f>SUM(E31:P31)</f>
        <v>215000</v>
      </c>
      <c r="Y31" s="25">
        <f>ROUND(SUM(R31:U31)-W31,2)</f>
        <v>0</v>
      </c>
    </row>
    <row r="32" spans="4:25" x14ac:dyDescent="0.2">
      <c r="D32" s="8" t="s">
        <v>84</v>
      </c>
      <c r="E32" s="34">
        <f t="shared" ref="E32:P32" si="10">SUM(E29:E31)</f>
        <v>854700</v>
      </c>
      <c r="F32" s="34">
        <f t="shared" si="10"/>
        <v>3000</v>
      </c>
      <c r="G32" s="34">
        <f t="shared" si="10"/>
        <v>8400</v>
      </c>
      <c r="H32" s="34">
        <f t="shared" si="10"/>
        <v>430000</v>
      </c>
      <c r="I32" s="34">
        <f t="shared" si="10"/>
        <v>300000</v>
      </c>
      <c r="J32" s="34">
        <f t="shared" si="10"/>
        <v>196500</v>
      </c>
      <c r="K32" s="34">
        <f t="shared" si="10"/>
        <v>339000</v>
      </c>
      <c r="L32" s="34">
        <f t="shared" si="10"/>
        <v>100000</v>
      </c>
      <c r="M32" s="34">
        <f t="shared" si="10"/>
        <v>0</v>
      </c>
      <c r="N32" s="34">
        <f t="shared" si="10"/>
        <v>0</v>
      </c>
      <c r="O32" s="34">
        <f t="shared" si="10"/>
        <v>100000</v>
      </c>
      <c r="P32" s="34">
        <f t="shared" si="10"/>
        <v>0</v>
      </c>
      <c r="Q32" s="34"/>
      <c r="R32" s="34">
        <f>SUM(R29:R31)</f>
        <v>866100</v>
      </c>
      <c r="S32" s="34">
        <f>SUM(S29:S31)</f>
        <v>926500</v>
      </c>
      <c r="T32" s="34">
        <f>SUM(T29:T31)</f>
        <v>439000</v>
      </c>
      <c r="U32" s="34">
        <f>SUM(U29:U31)</f>
        <v>100000</v>
      </c>
      <c r="V32" s="34"/>
      <c r="W32" s="34">
        <f>SUM(W29:W31)</f>
        <v>2331600</v>
      </c>
      <c r="Y32" s="25">
        <f>ROUND(SUM(R32:U32)-W32,2)</f>
        <v>0</v>
      </c>
    </row>
    <row r="33" spans="4:25" x14ac:dyDescent="0.2">
      <c r="D33" s="24"/>
      <c r="Y33" s="3"/>
    </row>
    <row r="34" spans="4:25" x14ac:dyDescent="0.2">
      <c r="D34" s="7" t="s">
        <v>63</v>
      </c>
      <c r="E34" s="4">
        <f>+E10+E22</f>
        <v>0</v>
      </c>
      <c r="F34" s="4">
        <f t="shared" ref="F34:P34" si="11">+F10+F22</f>
        <v>30000</v>
      </c>
      <c r="G34" s="4">
        <f t="shared" si="11"/>
        <v>0</v>
      </c>
      <c r="H34" s="4">
        <f t="shared" si="11"/>
        <v>0</v>
      </c>
      <c r="I34" s="4">
        <f t="shared" si="11"/>
        <v>0</v>
      </c>
      <c r="J34" s="4">
        <f t="shared" si="11"/>
        <v>247000</v>
      </c>
      <c r="K34" s="4">
        <f t="shared" si="11"/>
        <v>255000</v>
      </c>
      <c r="L34" s="4">
        <f t="shared" si="11"/>
        <v>125000</v>
      </c>
      <c r="M34" s="4">
        <f t="shared" si="11"/>
        <v>400000</v>
      </c>
      <c r="N34" s="4">
        <f t="shared" si="11"/>
        <v>200000</v>
      </c>
      <c r="O34" s="4">
        <f t="shared" si="11"/>
        <v>250000</v>
      </c>
      <c r="P34" s="4">
        <f t="shared" si="11"/>
        <v>550000</v>
      </c>
      <c r="Q34" s="4"/>
      <c r="R34" s="4">
        <f>SUM(E34:G34)</f>
        <v>30000</v>
      </c>
      <c r="S34" s="4">
        <f>SUM(H34:J34)</f>
        <v>247000</v>
      </c>
      <c r="T34" s="4">
        <f>SUM(K34:M34)</f>
        <v>780000</v>
      </c>
      <c r="U34" s="4">
        <f>SUM(N34:P34)</f>
        <v>1000000</v>
      </c>
      <c r="V34" s="4"/>
      <c r="W34" s="4">
        <f>SUM(E34:P34)</f>
        <v>2057000</v>
      </c>
      <c r="Y34" s="25">
        <f>ROUND(SUM(R34:U34)-W34,2)</f>
        <v>0</v>
      </c>
    </row>
    <row r="35" spans="4:25" x14ac:dyDescent="0.2">
      <c r="D35" s="7" t="s">
        <v>87</v>
      </c>
      <c r="E35" s="4">
        <f t="shared" ref="E35:P35" si="12">+E11+E23</f>
        <v>0</v>
      </c>
      <c r="F35" s="4">
        <f t="shared" si="12"/>
        <v>0</v>
      </c>
      <c r="G35" s="4">
        <f t="shared" si="12"/>
        <v>0</v>
      </c>
      <c r="H35" s="4">
        <f t="shared" si="12"/>
        <v>0</v>
      </c>
      <c r="I35" s="4">
        <f t="shared" si="12"/>
        <v>0</v>
      </c>
      <c r="J35" s="4">
        <f t="shared" si="12"/>
        <v>50000</v>
      </c>
      <c r="K35" s="4">
        <f t="shared" si="12"/>
        <v>350000</v>
      </c>
      <c r="L35" s="4">
        <f t="shared" si="12"/>
        <v>700000</v>
      </c>
      <c r="M35" s="4">
        <f t="shared" si="12"/>
        <v>350000</v>
      </c>
      <c r="N35" s="4">
        <f t="shared" si="12"/>
        <v>0</v>
      </c>
      <c r="O35" s="4">
        <f t="shared" si="12"/>
        <v>350000</v>
      </c>
      <c r="P35" s="4">
        <f t="shared" si="12"/>
        <v>0</v>
      </c>
      <c r="Q35" s="4"/>
      <c r="R35" s="4">
        <f>SUM(E35:G35)</f>
        <v>0</v>
      </c>
      <c r="S35" s="4">
        <f>SUM(H35:J35)</f>
        <v>50000</v>
      </c>
      <c r="T35" s="4">
        <f>SUM(K35:M35)</f>
        <v>1400000</v>
      </c>
      <c r="U35" s="4">
        <f>SUM(N35:P35)</f>
        <v>350000</v>
      </c>
      <c r="V35" s="4"/>
      <c r="W35" s="4">
        <f>SUM(E35:P35)</f>
        <v>1800000</v>
      </c>
      <c r="Y35" s="25">
        <f>ROUND(SUM(R35:U35)-W35,2)</f>
        <v>0</v>
      </c>
    </row>
    <row r="36" spans="4:25" x14ac:dyDescent="0.2">
      <c r="D36" s="7" t="s">
        <v>549</v>
      </c>
      <c r="E36" s="4">
        <f t="shared" ref="E36:P36" si="13">+E12+E24</f>
        <v>0</v>
      </c>
      <c r="F36" s="4">
        <f t="shared" si="13"/>
        <v>50000</v>
      </c>
      <c r="G36" s="4">
        <f t="shared" si="13"/>
        <v>226000</v>
      </c>
      <c r="H36" s="4">
        <f t="shared" si="13"/>
        <v>0</v>
      </c>
      <c r="I36" s="4">
        <f t="shared" si="13"/>
        <v>57000</v>
      </c>
      <c r="J36" s="4">
        <f t="shared" si="13"/>
        <v>80000</v>
      </c>
      <c r="K36" s="4">
        <f t="shared" si="13"/>
        <v>0</v>
      </c>
      <c r="L36" s="4">
        <f t="shared" si="13"/>
        <v>125000</v>
      </c>
      <c r="M36" s="4">
        <f t="shared" si="13"/>
        <v>125000</v>
      </c>
      <c r="N36" s="4">
        <f t="shared" si="13"/>
        <v>125000</v>
      </c>
      <c r="O36" s="4">
        <f t="shared" si="13"/>
        <v>125000</v>
      </c>
      <c r="P36" s="4">
        <f t="shared" si="13"/>
        <v>0</v>
      </c>
      <c r="Q36" s="4"/>
      <c r="R36" s="4">
        <f>SUM(E36:G36)</f>
        <v>276000</v>
      </c>
      <c r="S36" s="4">
        <f>SUM(H36:J36)</f>
        <v>137000</v>
      </c>
      <c r="T36" s="4">
        <f>SUM(K36:M36)</f>
        <v>250000</v>
      </c>
      <c r="U36" s="4">
        <f>SUM(N36:P36)</f>
        <v>250000</v>
      </c>
      <c r="V36" s="4"/>
      <c r="W36" s="4">
        <f>SUM(E36:P36)</f>
        <v>913000</v>
      </c>
      <c r="Y36" s="25">
        <f>ROUND(SUM(R36:U36)-W36,2)</f>
        <v>0</v>
      </c>
    </row>
    <row r="37" spans="4:25" x14ac:dyDescent="0.2">
      <c r="D37" s="8" t="s">
        <v>83</v>
      </c>
      <c r="E37" s="34">
        <f t="shared" ref="E37:P37" si="14">SUM(E34:E36)</f>
        <v>0</v>
      </c>
      <c r="F37" s="34">
        <f t="shared" si="14"/>
        <v>80000</v>
      </c>
      <c r="G37" s="34">
        <f t="shared" si="14"/>
        <v>226000</v>
      </c>
      <c r="H37" s="34">
        <f t="shared" si="14"/>
        <v>0</v>
      </c>
      <c r="I37" s="34">
        <f t="shared" si="14"/>
        <v>57000</v>
      </c>
      <c r="J37" s="34">
        <f t="shared" si="14"/>
        <v>377000</v>
      </c>
      <c r="K37" s="34">
        <f t="shared" si="14"/>
        <v>605000</v>
      </c>
      <c r="L37" s="34">
        <f t="shared" si="14"/>
        <v>950000</v>
      </c>
      <c r="M37" s="34">
        <f t="shared" si="14"/>
        <v>875000</v>
      </c>
      <c r="N37" s="34">
        <f t="shared" si="14"/>
        <v>325000</v>
      </c>
      <c r="O37" s="34">
        <f t="shared" si="14"/>
        <v>725000</v>
      </c>
      <c r="P37" s="34">
        <f t="shared" si="14"/>
        <v>550000</v>
      </c>
      <c r="Q37" s="34"/>
      <c r="R37" s="34">
        <f>SUM(R34:R36)</f>
        <v>306000</v>
      </c>
      <c r="S37" s="34">
        <f>SUM(S34:S36)</f>
        <v>434000</v>
      </c>
      <c r="T37" s="34">
        <f>SUM(T34:T36)</f>
        <v>2430000</v>
      </c>
      <c r="U37" s="34">
        <f>SUM(U34:U36)</f>
        <v>1600000</v>
      </c>
      <c r="V37" s="34"/>
      <c r="W37" s="34">
        <f>SUM(W34:W36)</f>
        <v>4770000</v>
      </c>
      <c r="Y37" s="25">
        <f>ROUND(SUM(R37:U37)-W37,2)</f>
        <v>0</v>
      </c>
    </row>
    <row r="38" spans="4:25" x14ac:dyDescent="0.2">
      <c r="D38" s="24"/>
      <c r="Y38" s="3"/>
    </row>
    <row r="39" spans="4:25" x14ac:dyDescent="0.2">
      <c r="D39" s="8" t="s">
        <v>205</v>
      </c>
      <c r="E39" s="34">
        <f t="shared" ref="E39:P39" si="15">+E32+E37</f>
        <v>854700</v>
      </c>
      <c r="F39" s="34">
        <f t="shared" si="15"/>
        <v>83000</v>
      </c>
      <c r="G39" s="34">
        <f t="shared" si="15"/>
        <v>234400</v>
      </c>
      <c r="H39" s="34">
        <f t="shared" si="15"/>
        <v>430000</v>
      </c>
      <c r="I39" s="34">
        <f t="shared" si="15"/>
        <v>357000</v>
      </c>
      <c r="J39" s="34">
        <f t="shared" si="15"/>
        <v>573500</v>
      </c>
      <c r="K39" s="34">
        <f t="shared" si="15"/>
        <v>944000</v>
      </c>
      <c r="L39" s="34">
        <f t="shared" si="15"/>
        <v>1050000</v>
      </c>
      <c r="M39" s="34">
        <f t="shared" si="15"/>
        <v>875000</v>
      </c>
      <c r="N39" s="34">
        <f t="shared" si="15"/>
        <v>325000</v>
      </c>
      <c r="O39" s="34">
        <f t="shared" si="15"/>
        <v>825000</v>
      </c>
      <c r="P39" s="34">
        <f t="shared" si="15"/>
        <v>550000</v>
      </c>
      <c r="Q39" s="34"/>
      <c r="R39" s="34">
        <f>+R32+R37</f>
        <v>1172100</v>
      </c>
      <c r="S39" s="34">
        <f>+S32+S37</f>
        <v>1360500</v>
      </c>
      <c r="T39" s="34">
        <f>+T32+T37</f>
        <v>2869000</v>
      </c>
      <c r="U39" s="34">
        <f>+U32+U37</f>
        <v>1700000</v>
      </c>
      <c r="V39" s="34"/>
      <c r="W39" s="34">
        <f>+W32+W37</f>
        <v>7101600</v>
      </c>
      <c r="Y39" s="25">
        <f>ROUND(SUM(R39:U39)-W39,2)</f>
        <v>0</v>
      </c>
    </row>
    <row r="41" spans="4:25" x14ac:dyDescent="0.2">
      <c r="F41" s="1" t="s">
        <v>550</v>
      </c>
      <c r="H41" s="5">
        <v>47000</v>
      </c>
      <c r="I41" s="5">
        <v>237000</v>
      </c>
      <c r="J41" s="5">
        <v>855000</v>
      </c>
      <c r="K41" s="5">
        <v>732000</v>
      </c>
      <c r="L41" s="5">
        <v>1194000</v>
      </c>
      <c r="M41" s="5">
        <v>875000</v>
      </c>
      <c r="N41" s="5">
        <v>325000</v>
      </c>
      <c r="O41" s="5">
        <v>825000</v>
      </c>
      <c r="P41" s="5">
        <v>550000</v>
      </c>
    </row>
    <row r="42" spans="4:25" x14ac:dyDescent="0.2">
      <c r="F42" s="1" t="s">
        <v>551</v>
      </c>
      <c r="H42" s="5">
        <f>+H41-H39</f>
        <v>-383000</v>
      </c>
      <c r="I42" s="5">
        <f t="shared" ref="I42:P42" si="16">+I41-I39</f>
        <v>-120000</v>
      </c>
      <c r="J42" s="5">
        <f t="shared" si="16"/>
        <v>281500</v>
      </c>
      <c r="K42" s="5">
        <f t="shared" si="16"/>
        <v>-212000</v>
      </c>
      <c r="L42" s="5">
        <f t="shared" si="16"/>
        <v>144000</v>
      </c>
      <c r="M42" s="5">
        <f t="shared" si="16"/>
        <v>0</v>
      </c>
      <c r="N42" s="5">
        <f t="shared" si="16"/>
        <v>0</v>
      </c>
      <c r="O42" s="5">
        <f t="shared" si="16"/>
        <v>0</v>
      </c>
      <c r="P42" s="5">
        <f t="shared" si="16"/>
        <v>0</v>
      </c>
    </row>
  </sheetData>
  <pageMargins left="0.25" right="0.25" top="0.75" bottom="0.75" header="0.3" footer="0.3"/>
  <pageSetup scale="5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380F-F098-499B-84E7-4EB2E9FEF95B}">
  <sheetPr>
    <pageSetUpPr fitToPage="1"/>
  </sheetPr>
  <dimension ref="A2:Y44"/>
  <sheetViews>
    <sheetView workbookViewId="0">
      <pane xSplit="4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E42" sqref="E42"/>
    </sheetView>
  </sheetViews>
  <sheetFormatPr baseColWidth="10" defaultColWidth="9.1640625" defaultRowHeight="14" x14ac:dyDescent="0.2"/>
  <cols>
    <col min="1" max="1" width="2.6640625" style="1" hidden="1" customWidth="1"/>
    <col min="2" max="2" width="27.5" style="1" hidden="1" customWidth="1"/>
    <col min="3" max="3" width="2.6640625" style="1" customWidth="1"/>
    <col min="4" max="4" width="30.6640625" style="1" customWidth="1"/>
    <col min="5" max="16" width="10.6640625" style="1" customWidth="1"/>
    <col min="17" max="17" width="2.6640625" style="1" customWidth="1"/>
    <col min="18" max="21" width="10.6640625" style="1" customWidth="1"/>
    <col min="22" max="22" width="2.6640625" style="1" customWidth="1"/>
    <col min="23" max="23" width="10.6640625" style="1" customWidth="1"/>
    <col min="24" max="24" width="2.6640625" style="1" customWidth="1"/>
    <col min="25" max="25" width="6.6640625" style="1" customWidth="1"/>
    <col min="26" max="26" width="9.83203125" style="1" bestFit="1" customWidth="1"/>
    <col min="27" max="16384" width="9.1640625" style="1"/>
  </cols>
  <sheetData>
    <row r="2" spans="2:25" x14ac:dyDescent="0.2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2025</v>
      </c>
      <c r="Y2" s="3" t="s">
        <v>13</v>
      </c>
    </row>
    <row r="3" spans="2:25" x14ac:dyDescent="0.2">
      <c r="D3" s="24" t="str">
        <f>+Version!$C$3</f>
        <v>Y2025 12 v001</v>
      </c>
      <c r="Y3" s="3"/>
    </row>
    <row r="4" spans="2:25" x14ac:dyDescent="0.2">
      <c r="D4" s="24"/>
      <c r="Y4" s="3"/>
    </row>
    <row r="5" spans="2:25" x14ac:dyDescent="0.2">
      <c r="B5" s="3"/>
      <c r="D5" s="7" t="s">
        <v>63</v>
      </c>
      <c r="E5" s="38">
        <f>+'1 Collections Build'!BT5*1000</f>
        <v>38825</v>
      </c>
      <c r="F5" s="38">
        <f>+'1 Collections Build'!BU5*1000</f>
        <v>48275.000000000007</v>
      </c>
      <c r="G5" s="38">
        <f>+'1 Collections Build'!BV5*1000</f>
        <v>28500</v>
      </c>
      <c r="H5" s="38">
        <f>+'1 Collections Build'!BW5*1000</f>
        <v>27450</v>
      </c>
      <c r="I5" s="38">
        <f>+'1 Collections Build'!BX5*1000</f>
        <v>27450</v>
      </c>
      <c r="J5" s="38">
        <f>+'1 Collections Build'!BY5*1000</f>
        <v>8750</v>
      </c>
      <c r="K5" s="38">
        <f>+'1 Collections Build'!BZ5*1000</f>
        <v>19125</v>
      </c>
      <c r="L5" s="38">
        <f>+'1 Collections Build'!CA5*1000</f>
        <v>19125</v>
      </c>
      <c r="M5" s="38">
        <f>+'1 Collections Build'!CB5*1000</f>
        <v>52458.333333333336</v>
      </c>
      <c r="N5" s="38">
        <f>+'1 Collections Build'!CC5*1000</f>
        <v>52458.333333333336</v>
      </c>
      <c r="O5" s="38">
        <f>+'1 Collections Build'!CD5*1000</f>
        <v>48333.333333333336</v>
      </c>
      <c r="P5" s="38">
        <f>+'1 Collections Build'!CE5*1000</f>
        <v>48333.333333333336</v>
      </c>
      <c r="Q5" s="4"/>
      <c r="R5" s="4">
        <f>SUM(E5:G5)</f>
        <v>115600</v>
      </c>
      <c r="S5" s="4">
        <f>SUM(H5:J5)</f>
        <v>63650</v>
      </c>
      <c r="T5" s="4">
        <f>SUM(K5:M5)</f>
        <v>90708.333333333343</v>
      </c>
      <c r="U5" s="4">
        <f>SUM(N5:P5)</f>
        <v>149125</v>
      </c>
      <c r="V5" s="4"/>
      <c r="W5" s="4">
        <f>SUM(E5:P5)</f>
        <v>419083.33333333326</v>
      </c>
      <c r="Y5" s="25">
        <f>ROUND(SUM(R5:U5)-W5,2)</f>
        <v>0</v>
      </c>
    </row>
    <row r="6" spans="2:25" x14ac:dyDescent="0.2">
      <c r="D6" s="7" t="s">
        <v>87</v>
      </c>
      <c r="E6" s="38">
        <f>+'1 Collections Build'!BT21*1000</f>
        <v>69777.600000000006</v>
      </c>
      <c r="F6" s="38">
        <f>+'1 Collections Build'!BU21*1000</f>
        <v>139777.60000000001</v>
      </c>
      <c r="G6" s="38">
        <f>+'1 Collections Build'!BV21*1000</f>
        <v>139777.60000000001</v>
      </c>
      <c r="H6" s="38">
        <f>+'1 Collections Build'!BW21*1000</f>
        <v>94777.600000000006</v>
      </c>
      <c r="I6" s="38">
        <f>+'1 Collections Build'!BX21*1000</f>
        <v>115000</v>
      </c>
      <c r="J6" s="38">
        <f>+'1 Collections Build'!BY21*1000</f>
        <v>140000</v>
      </c>
      <c r="K6" s="38">
        <f>+'1 Collections Build'!BZ21*1000</f>
        <v>105000</v>
      </c>
      <c r="L6" s="38">
        <f>+'1 Collections Build'!CA21*1000</f>
        <v>136750</v>
      </c>
      <c r="M6" s="38">
        <f>+'1 Collections Build'!CB21*1000</f>
        <v>136750</v>
      </c>
      <c r="N6" s="38">
        <f>+'1 Collections Build'!CC21*1000</f>
        <v>136750</v>
      </c>
      <c r="O6" s="38">
        <f>+'1 Collections Build'!CD21*1000</f>
        <v>136750</v>
      </c>
      <c r="P6" s="38">
        <f>+'1 Collections Build'!CE21*1000</f>
        <v>105000</v>
      </c>
      <c r="Q6" s="4"/>
      <c r="R6" s="4">
        <f>SUM(E6:G6)</f>
        <v>349332.80000000005</v>
      </c>
      <c r="S6" s="4">
        <f>SUM(H6:J6)</f>
        <v>349777.6</v>
      </c>
      <c r="T6" s="4">
        <f>SUM(K6:M6)</f>
        <v>378500</v>
      </c>
      <c r="U6" s="4">
        <f>SUM(N6:P6)</f>
        <v>378500</v>
      </c>
      <c r="V6" s="4"/>
      <c r="W6" s="4">
        <f>SUM(E6:P6)</f>
        <v>1456110.4</v>
      </c>
      <c r="Y6" s="25">
        <f>ROUND(SUM(R6:U6)-W6,2)</f>
        <v>0</v>
      </c>
    </row>
    <row r="7" spans="2:25" x14ac:dyDescent="0.2">
      <c r="D7" s="7" t="s">
        <v>64</v>
      </c>
      <c r="E7" s="38">
        <f>+'1 Collections Build'!BT38*1000</f>
        <v>0</v>
      </c>
      <c r="F7" s="38">
        <f>+'1 Collections Build'!BU38*1000</f>
        <v>0</v>
      </c>
      <c r="G7" s="38">
        <f>+'1 Collections Build'!BV38*1000</f>
        <v>1500</v>
      </c>
      <c r="H7" s="38">
        <f>+'1 Collections Build'!BW38*1000</f>
        <v>1500</v>
      </c>
      <c r="I7" s="38">
        <f>+'1 Collections Build'!BX38*1000</f>
        <v>0</v>
      </c>
      <c r="J7" s="38">
        <f>+'1 Collections Build'!BY38*1000</f>
        <v>0</v>
      </c>
      <c r="K7" s="38">
        <f>+'1 Collections Build'!BZ38*1000</f>
        <v>0</v>
      </c>
      <c r="L7" s="38">
        <f>+'1 Collections Build'!CA38*1000</f>
        <v>53000</v>
      </c>
      <c r="M7" s="38">
        <f>+'1 Collections Build'!CB38*1000</f>
        <v>53000</v>
      </c>
      <c r="N7" s="38">
        <f>+'1 Collections Build'!CC38*1000</f>
        <v>53000</v>
      </c>
      <c r="O7" s="38">
        <f>+'1 Collections Build'!CD38*1000</f>
        <v>53000</v>
      </c>
      <c r="P7" s="38">
        <f>+'1 Collections Build'!CE38*1000</f>
        <v>0</v>
      </c>
      <c r="Q7" s="4"/>
      <c r="R7" s="4">
        <f>SUM(E7:G7)</f>
        <v>1500</v>
      </c>
      <c r="S7" s="4">
        <f>SUM(H7:J7)</f>
        <v>1500</v>
      </c>
      <c r="T7" s="4">
        <f>SUM(K7:M7)</f>
        <v>106000</v>
      </c>
      <c r="U7" s="4">
        <f>SUM(N7:P7)</f>
        <v>106000</v>
      </c>
      <c r="V7" s="4"/>
      <c r="W7" s="4">
        <f>SUM(E7:P7)</f>
        <v>215000</v>
      </c>
      <c r="Y7" s="25">
        <f>ROUND(SUM(R7:U7)-W7,2)</f>
        <v>0</v>
      </c>
    </row>
    <row r="8" spans="2:25" x14ac:dyDescent="0.2">
      <c r="D8" s="8" t="s">
        <v>84</v>
      </c>
      <c r="E8" s="34">
        <f t="shared" ref="E8:P8" si="1">SUM(E5:E7)</f>
        <v>108602.6</v>
      </c>
      <c r="F8" s="34">
        <f t="shared" si="1"/>
        <v>188052.6</v>
      </c>
      <c r="G8" s="34">
        <f t="shared" si="1"/>
        <v>169777.6</v>
      </c>
      <c r="H8" s="34">
        <f t="shared" si="1"/>
        <v>123727.6</v>
      </c>
      <c r="I8" s="34">
        <f t="shared" si="1"/>
        <v>142450</v>
      </c>
      <c r="J8" s="34">
        <f t="shared" si="1"/>
        <v>148750</v>
      </c>
      <c r="K8" s="34">
        <f t="shared" si="1"/>
        <v>124125</v>
      </c>
      <c r="L8" s="34">
        <f t="shared" si="1"/>
        <v>208875</v>
      </c>
      <c r="M8" s="34">
        <f t="shared" si="1"/>
        <v>242208.33333333334</v>
      </c>
      <c r="N8" s="34">
        <f t="shared" si="1"/>
        <v>242208.33333333334</v>
      </c>
      <c r="O8" s="34">
        <f t="shared" si="1"/>
        <v>238083.33333333334</v>
      </c>
      <c r="P8" s="34">
        <f t="shared" si="1"/>
        <v>153333.33333333334</v>
      </c>
      <c r="Q8" s="34"/>
      <c r="R8" s="34">
        <f>SUM(R5:R7)</f>
        <v>466432.80000000005</v>
      </c>
      <c r="S8" s="34">
        <f>SUM(S5:S7)</f>
        <v>414927.6</v>
      </c>
      <c r="T8" s="34">
        <f>SUM(T5:T7)</f>
        <v>575208.33333333337</v>
      </c>
      <c r="U8" s="34">
        <f>SUM(U5:U7)</f>
        <v>633625</v>
      </c>
      <c r="V8" s="34"/>
      <c r="W8" s="34">
        <f>SUM(W5:W7)</f>
        <v>2090193.7333333332</v>
      </c>
      <c r="Y8" s="25">
        <f>ROUND(SUM(R8:U8)-W8,2)</f>
        <v>0</v>
      </c>
    </row>
    <row r="9" spans="2:25" ht="6" customHeight="1" x14ac:dyDescent="0.2">
      <c r="D9" s="24"/>
      <c r="Y9" s="3"/>
    </row>
    <row r="10" spans="2:25" x14ac:dyDescent="0.2">
      <c r="D10" s="7" t="s">
        <v>63</v>
      </c>
      <c r="E10" s="38">
        <f>+'1 Collections Build'!BT46*1000</f>
        <v>48666.666666666672</v>
      </c>
      <c r="F10" s="38">
        <f>+'1 Collections Build'!BU46*1000</f>
        <v>48666.666666666672</v>
      </c>
      <c r="G10" s="38">
        <f>+'1 Collections Build'!BV46*1000</f>
        <v>78666.666666666672</v>
      </c>
      <c r="H10" s="38">
        <f>+'1 Collections Build'!BW46*1000</f>
        <v>0</v>
      </c>
      <c r="I10" s="38">
        <f>+'1 Collections Build'!BX46*1000</f>
        <v>0</v>
      </c>
      <c r="J10" s="38">
        <f>+'1 Collections Build'!BY46*1000</f>
        <v>0</v>
      </c>
      <c r="K10" s="38">
        <f>+'1 Collections Build'!BZ46*1000</f>
        <v>65000</v>
      </c>
      <c r="L10" s="38">
        <f>+'1 Collections Build'!CA46*1000</f>
        <v>95833.333333333343</v>
      </c>
      <c r="M10" s="38">
        <f>+'1 Collections Build'!CB46*1000</f>
        <v>133333.33333333334</v>
      </c>
      <c r="N10" s="38">
        <f>+'1 Collections Build'!CC46*1000</f>
        <v>137500</v>
      </c>
      <c r="O10" s="38">
        <f>+'1 Collections Build'!CD46*1000</f>
        <v>100000</v>
      </c>
      <c r="P10" s="38">
        <f>+'1 Collections Build'!CE46*1000</f>
        <v>150000</v>
      </c>
      <c r="Q10" s="4"/>
      <c r="R10" s="4">
        <f>SUM(E10:G10)</f>
        <v>176000</v>
      </c>
      <c r="S10" s="4">
        <f>SUM(H10:J10)</f>
        <v>0</v>
      </c>
      <c r="T10" s="4">
        <f>SUM(K10:M10)</f>
        <v>294166.66666666669</v>
      </c>
      <c r="U10" s="4">
        <f>SUM(N10:P10)</f>
        <v>387500</v>
      </c>
      <c r="V10" s="4"/>
      <c r="W10" s="4">
        <f>SUM(E10:P10)</f>
        <v>857666.66666666674</v>
      </c>
      <c r="Y10" s="25">
        <f>ROUND(SUM(R10:U10)-W10,2)</f>
        <v>0</v>
      </c>
    </row>
    <row r="11" spans="2:25" x14ac:dyDescent="0.2">
      <c r="D11" s="7" t="s">
        <v>87</v>
      </c>
      <c r="E11" s="38">
        <f>+'1 Collections Build'!BT66*1000</f>
        <v>0</v>
      </c>
      <c r="F11" s="38">
        <f>+'1 Collections Build'!BU66*1000</f>
        <v>0</v>
      </c>
      <c r="G11" s="38">
        <f>+'1 Collections Build'!BV66*1000</f>
        <v>0</v>
      </c>
      <c r="H11" s="38">
        <f>+'1 Collections Build'!BW66*1000</f>
        <v>0</v>
      </c>
      <c r="I11" s="38">
        <f>+'1 Collections Build'!BX66*1000</f>
        <v>0</v>
      </c>
      <c r="J11" s="38">
        <f>+'1 Collections Build'!BY66*1000</f>
        <v>0</v>
      </c>
      <c r="K11" s="38">
        <f>+'1 Collections Build'!BZ66*1000</f>
        <v>50000</v>
      </c>
      <c r="L11" s="38">
        <f>+'1 Collections Build'!CA66*1000</f>
        <v>125000</v>
      </c>
      <c r="M11" s="38">
        <f>+'1 Collections Build'!CB66*1000</f>
        <v>158333.33333333331</v>
      </c>
      <c r="N11" s="38">
        <f>+'1 Collections Build'!CC66*1000</f>
        <v>220833.33333333331</v>
      </c>
      <c r="O11" s="38">
        <f>+'1 Collections Build'!CD66*1000</f>
        <v>220833.33333333331</v>
      </c>
      <c r="P11" s="38">
        <f>+'1 Collections Build'!CE66*1000</f>
        <v>208333.33333333331</v>
      </c>
      <c r="Q11" s="4"/>
      <c r="R11" s="4">
        <f>SUM(E11:G11)</f>
        <v>0</v>
      </c>
      <c r="S11" s="4">
        <f>SUM(H11:J11)</f>
        <v>0</v>
      </c>
      <c r="T11" s="4">
        <f>SUM(K11:M11)</f>
        <v>333333.33333333331</v>
      </c>
      <c r="U11" s="4">
        <f>SUM(N11:P11)</f>
        <v>650000</v>
      </c>
      <c r="V11" s="4"/>
      <c r="W11" s="4">
        <f>SUM(E11:P11)</f>
        <v>983333.33333333326</v>
      </c>
      <c r="Y11" s="25">
        <f>ROUND(SUM(R11:U11)-W11,2)</f>
        <v>0</v>
      </c>
    </row>
    <row r="12" spans="2:25" x14ac:dyDescent="0.2">
      <c r="D12" s="7" t="s">
        <v>64</v>
      </c>
      <c r="E12" s="38">
        <f>+'1 Collections Build'!BT78*1000</f>
        <v>495</v>
      </c>
      <c r="F12" s="38">
        <f>+'1 Collections Build'!BU78*1000</f>
        <v>0</v>
      </c>
      <c r="G12" s="38">
        <f>+'1 Collections Build'!BV78*1000</f>
        <v>16666.666666666668</v>
      </c>
      <c r="H12" s="38">
        <f>+'1 Collections Build'!BW78*1000</f>
        <v>57666.666666666672</v>
      </c>
      <c r="I12" s="38">
        <f>+'1 Collections Build'!BX78*1000</f>
        <v>57666.666666666672</v>
      </c>
      <c r="J12" s="38">
        <f>+'1 Collections Build'!BY78*1000</f>
        <v>10500</v>
      </c>
      <c r="K12" s="38">
        <f>+'1 Collections Build'!BZ78*1000</f>
        <v>35500</v>
      </c>
      <c r="L12" s="38">
        <f>+'1 Collections Build'!CA78*1000</f>
        <v>25000</v>
      </c>
      <c r="M12" s="38">
        <f>+'1 Collections Build'!CB78*1000</f>
        <v>25000</v>
      </c>
      <c r="N12" s="38">
        <f>+'1 Collections Build'!CC78*1000</f>
        <v>50000</v>
      </c>
      <c r="O12" s="38">
        <f>+'1 Collections Build'!CD78*1000</f>
        <v>75000</v>
      </c>
      <c r="P12" s="38">
        <f>+'1 Collections Build'!CE78*1000</f>
        <v>75000</v>
      </c>
      <c r="Q12" s="4"/>
      <c r="R12" s="4">
        <f>SUM(E12:G12)</f>
        <v>17161.666666666668</v>
      </c>
      <c r="S12" s="4">
        <f>SUM(H12:J12)</f>
        <v>125833.33333333334</v>
      </c>
      <c r="T12" s="4">
        <f>SUM(K12:M12)</f>
        <v>85500</v>
      </c>
      <c r="U12" s="4">
        <f>SUM(N12:P12)</f>
        <v>200000</v>
      </c>
      <c r="V12" s="4"/>
      <c r="W12" s="4">
        <f>SUM(E12:P12)</f>
        <v>428495</v>
      </c>
      <c r="Y12" s="25">
        <f>ROUND(SUM(R12:U12)-W12,2)</f>
        <v>0</v>
      </c>
    </row>
    <row r="13" spans="2:25" x14ac:dyDescent="0.2">
      <c r="D13" s="8" t="s">
        <v>83</v>
      </c>
      <c r="E13" s="34">
        <f t="shared" ref="E13:P13" si="2">SUM(E10:E12)</f>
        <v>49161.666666666672</v>
      </c>
      <c r="F13" s="34">
        <f t="shared" si="2"/>
        <v>48666.666666666672</v>
      </c>
      <c r="G13" s="34">
        <f t="shared" si="2"/>
        <v>95333.333333333343</v>
      </c>
      <c r="H13" s="34">
        <f t="shared" si="2"/>
        <v>57666.666666666672</v>
      </c>
      <c r="I13" s="34">
        <f t="shared" si="2"/>
        <v>57666.666666666672</v>
      </c>
      <c r="J13" s="34">
        <f t="shared" si="2"/>
        <v>10500</v>
      </c>
      <c r="K13" s="34">
        <f t="shared" si="2"/>
        <v>150500</v>
      </c>
      <c r="L13" s="34">
        <f t="shared" si="2"/>
        <v>245833.33333333334</v>
      </c>
      <c r="M13" s="34">
        <f t="shared" si="2"/>
        <v>316666.66666666663</v>
      </c>
      <c r="N13" s="34">
        <f t="shared" si="2"/>
        <v>408333.33333333331</v>
      </c>
      <c r="O13" s="34">
        <f t="shared" si="2"/>
        <v>395833.33333333331</v>
      </c>
      <c r="P13" s="34">
        <f t="shared" si="2"/>
        <v>433333.33333333331</v>
      </c>
      <c r="Q13" s="34"/>
      <c r="R13" s="34">
        <f>SUM(R10:R12)</f>
        <v>193161.66666666666</v>
      </c>
      <c r="S13" s="34">
        <f>SUM(S10:S12)</f>
        <v>125833.33333333334</v>
      </c>
      <c r="T13" s="34">
        <f>SUM(T10:T12)</f>
        <v>713000</v>
      </c>
      <c r="U13" s="34">
        <f>SUM(U10:U12)</f>
        <v>1237500</v>
      </c>
      <c r="V13" s="34"/>
      <c r="W13" s="34">
        <f>SUM(W10:W12)</f>
        <v>2269495</v>
      </c>
      <c r="Y13" s="25">
        <f>ROUND(SUM(R13:U13)-W13,2)</f>
        <v>0</v>
      </c>
    </row>
    <row r="14" spans="2:25" ht="6" customHeight="1" x14ac:dyDescent="0.2">
      <c r="D14" s="24"/>
      <c r="Y14" s="3"/>
    </row>
    <row r="15" spans="2:25" x14ac:dyDescent="0.2">
      <c r="B15" s="3"/>
      <c r="D15" s="8" t="s">
        <v>276</v>
      </c>
      <c r="E15" s="34">
        <f t="shared" ref="E15:P15" si="3">+E8+E13</f>
        <v>157764.26666666666</v>
      </c>
      <c r="F15" s="34">
        <f t="shared" si="3"/>
        <v>236719.26666666666</v>
      </c>
      <c r="G15" s="34">
        <f t="shared" si="3"/>
        <v>265110.93333333335</v>
      </c>
      <c r="H15" s="34">
        <f t="shared" si="3"/>
        <v>181394.26666666666</v>
      </c>
      <c r="I15" s="34">
        <f t="shared" si="3"/>
        <v>200116.66666666669</v>
      </c>
      <c r="J15" s="34">
        <f t="shared" si="3"/>
        <v>159250</v>
      </c>
      <c r="K15" s="34">
        <f t="shared" si="3"/>
        <v>274625</v>
      </c>
      <c r="L15" s="34">
        <f t="shared" si="3"/>
        <v>454708.33333333337</v>
      </c>
      <c r="M15" s="34">
        <f t="shared" si="3"/>
        <v>558875</v>
      </c>
      <c r="N15" s="34">
        <f t="shared" si="3"/>
        <v>650541.66666666663</v>
      </c>
      <c r="O15" s="34">
        <f t="shared" si="3"/>
        <v>633916.66666666663</v>
      </c>
      <c r="P15" s="34">
        <f t="shared" si="3"/>
        <v>586666.66666666663</v>
      </c>
      <c r="Q15" s="34"/>
      <c r="R15" s="34">
        <f>+R8+R13</f>
        <v>659594.46666666667</v>
      </c>
      <c r="S15" s="34">
        <f>+S8+S13</f>
        <v>540760.93333333335</v>
      </c>
      <c r="T15" s="34">
        <f>+T8+T13</f>
        <v>1288208.3333333335</v>
      </c>
      <c r="U15" s="34">
        <f>+U8+U13</f>
        <v>1871125</v>
      </c>
      <c r="V15" s="34"/>
      <c r="W15" s="34">
        <f>+W8+W13</f>
        <v>4359688.7333333334</v>
      </c>
      <c r="Y15" s="25">
        <f>ROUND(SUM(R15:U15)-W15,2)</f>
        <v>0</v>
      </c>
    </row>
    <row r="16" spans="2:25" x14ac:dyDescent="0.2">
      <c r="H16" s="40"/>
    </row>
    <row r="17" spans="4:25" x14ac:dyDescent="0.2">
      <c r="D17" s="7" t="s">
        <v>63</v>
      </c>
      <c r="E17" s="38">
        <f>+'1 Collections Build'!CL5*1000</f>
        <v>0</v>
      </c>
      <c r="F17" s="38">
        <f>+'1 Collections Build'!CM5*1000</f>
        <v>0</v>
      </c>
      <c r="G17" s="38">
        <f>+'1 Collections Build'!CN5*1000</f>
        <v>0</v>
      </c>
      <c r="H17" s="38">
        <f>+'1 Collections Build'!CO5*1000</f>
        <v>0</v>
      </c>
      <c r="I17" s="38">
        <f>+'1 Collections Build'!CP5*1000</f>
        <v>0</v>
      </c>
      <c r="J17" s="38">
        <f>+'1 Collections Build'!CQ5*1000</f>
        <v>0</v>
      </c>
      <c r="K17" s="38">
        <f>+'1 Collections Build'!CR5*1000</f>
        <v>0</v>
      </c>
      <c r="L17" s="38">
        <f>+'1 Collections Build'!CS5*1000</f>
        <v>0</v>
      </c>
      <c r="M17" s="38">
        <f>+'1 Collections Build'!CT5*1000</f>
        <v>0</v>
      </c>
      <c r="N17" s="38">
        <f>+'1 Collections Build'!CU5*1000</f>
        <v>0</v>
      </c>
      <c r="O17" s="38">
        <f>+'1 Collections Build'!CV5*1000</f>
        <v>0</v>
      </c>
      <c r="P17" s="38">
        <f>+'1 Collections Build'!CW5*1000</f>
        <v>0</v>
      </c>
      <c r="Q17" s="4"/>
      <c r="R17" s="4">
        <f>SUM(E17:G17)</f>
        <v>0</v>
      </c>
      <c r="S17" s="4">
        <f>SUM(H17:J17)</f>
        <v>0</v>
      </c>
      <c r="T17" s="4">
        <f>SUM(K17:M17)</f>
        <v>0</v>
      </c>
      <c r="U17" s="4">
        <f>SUM(N17:P17)</f>
        <v>0</v>
      </c>
      <c r="V17" s="4"/>
      <c r="W17" s="4">
        <f>SUM(E17:P17)</f>
        <v>0</v>
      </c>
      <c r="Y17" s="25">
        <f>ROUND(SUM(R17:U17)-W17,2)</f>
        <v>0</v>
      </c>
    </row>
    <row r="18" spans="4:25" x14ac:dyDescent="0.2">
      <c r="D18" s="7" t="s">
        <v>87</v>
      </c>
      <c r="E18" s="38">
        <f>+'1 Collections Build'!CL21*1000</f>
        <v>0</v>
      </c>
      <c r="F18" s="38">
        <f>+'1 Collections Build'!CM21*1000</f>
        <v>0</v>
      </c>
      <c r="G18" s="38">
        <f>+'1 Collections Build'!CN21*1000</f>
        <v>0</v>
      </c>
      <c r="H18" s="38">
        <f>+'1 Collections Build'!CO21*1000</f>
        <v>0</v>
      </c>
      <c r="I18" s="38">
        <f>+'1 Collections Build'!CP21*1000</f>
        <v>0</v>
      </c>
      <c r="J18" s="38">
        <f>+'1 Collections Build'!CQ21*1000</f>
        <v>0</v>
      </c>
      <c r="K18" s="38">
        <f>+'1 Collections Build'!CR21*1000</f>
        <v>0</v>
      </c>
      <c r="L18" s="38">
        <f>+'1 Collections Build'!CS21*1000</f>
        <v>0</v>
      </c>
      <c r="M18" s="38">
        <f>+'1 Collections Build'!CT21*1000</f>
        <v>0</v>
      </c>
      <c r="N18" s="38">
        <f>+'1 Collections Build'!CU21*1000</f>
        <v>0</v>
      </c>
      <c r="O18" s="38">
        <f>+'1 Collections Build'!CV21*1000</f>
        <v>0</v>
      </c>
      <c r="P18" s="38">
        <f>+'1 Collections Build'!CW21*1000</f>
        <v>0</v>
      </c>
      <c r="Q18" s="4"/>
      <c r="R18" s="4">
        <f>SUM(E18:G18)</f>
        <v>0</v>
      </c>
      <c r="S18" s="4">
        <f>SUM(H18:J18)</f>
        <v>0</v>
      </c>
      <c r="T18" s="4">
        <f>SUM(K18:M18)</f>
        <v>0</v>
      </c>
      <c r="U18" s="4">
        <f>SUM(N18:P18)</f>
        <v>0</v>
      </c>
      <c r="V18" s="4"/>
      <c r="W18" s="4">
        <f>SUM(E18:P18)</f>
        <v>0</v>
      </c>
      <c r="Y18" s="25">
        <f>ROUND(SUM(R18:U18)-W18,2)</f>
        <v>0</v>
      </c>
    </row>
    <row r="19" spans="4:25" x14ac:dyDescent="0.2">
      <c r="D19" s="7" t="s">
        <v>64</v>
      </c>
      <c r="E19" s="38">
        <f>+'1 Collections Build'!CL38*1000</f>
        <v>0</v>
      </c>
      <c r="F19" s="38">
        <f>+'1 Collections Build'!CM38*1000</f>
        <v>0</v>
      </c>
      <c r="G19" s="38">
        <f>+'1 Collections Build'!CN38*1000</f>
        <v>0</v>
      </c>
      <c r="H19" s="38">
        <f>+'1 Collections Build'!CO38*1000</f>
        <v>0</v>
      </c>
      <c r="I19" s="38">
        <f>+'1 Collections Build'!CP38*1000</f>
        <v>0</v>
      </c>
      <c r="J19" s="38">
        <f>+'1 Collections Build'!CQ38*1000</f>
        <v>0</v>
      </c>
      <c r="K19" s="38">
        <f>+'1 Collections Build'!CR38*1000</f>
        <v>0</v>
      </c>
      <c r="L19" s="38">
        <f>+'1 Collections Build'!CS38*1000</f>
        <v>0</v>
      </c>
      <c r="M19" s="38">
        <f>+'1 Collections Build'!CT38*1000</f>
        <v>0</v>
      </c>
      <c r="N19" s="38">
        <f>+'1 Collections Build'!CU38*1000</f>
        <v>0</v>
      </c>
      <c r="O19" s="38">
        <f>+'1 Collections Build'!CV38*1000</f>
        <v>0</v>
      </c>
      <c r="P19" s="38">
        <f>+'1 Collections Build'!CW38*1000</f>
        <v>0</v>
      </c>
      <c r="Q19" s="4"/>
      <c r="R19" s="4">
        <f>SUM(E19:G19)</f>
        <v>0</v>
      </c>
      <c r="S19" s="4">
        <f>SUM(H19:J19)</f>
        <v>0</v>
      </c>
      <c r="T19" s="4">
        <f>SUM(K19:M19)</f>
        <v>0</v>
      </c>
      <c r="U19" s="4">
        <f>SUM(N19:P19)</f>
        <v>0</v>
      </c>
      <c r="V19" s="4"/>
      <c r="W19" s="4">
        <f>SUM(E19:P19)</f>
        <v>0</v>
      </c>
      <c r="Y19" s="25">
        <f>ROUND(SUM(R19:U19)-W19,2)</f>
        <v>0</v>
      </c>
    </row>
    <row r="20" spans="4:25" x14ac:dyDescent="0.2">
      <c r="D20" s="8" t="s">
        <v>84</v>
      </c>
      <c r="E20" s="34">
        <f t="shared" ref="E20:P20" si="4">SUM(E17:E19)</f>
        <v>0</v>
      </c>
      <c r="F20" s="34">
        <f t="shared" si="4"/>
        <v>0</v>
      </c>
      <c r="G20" s="34">
        <f t="shared" si="4"/>
        <v>0</v>
      </c>
      <c r="H20" s="34">
        <f t="shared" si="4"/>
        <v>0</v>
      </c>
      <c r="I20" s="34">
        <f t="shared" si="4"/>
        <v>0</v>
      </c>
      <c r="J20" s="34">
        <f t="shared" si="4"/>
        <v>0</v>
      </c>
      <c r="K20" s="34">
        <f t="shared" si="4"/>
        <v>0</v>
      </c>
      <c r="L20" s="34">
        <f t="shared" si="4"/>
        <v>0</v>
      </c>
      <c r="M20" s="34">
        <f t="shared" si="4"/>
        <v>0</v>
      </c>
      <c r="N20" s="34">
        <f t="shared" si="4"/>
        <v>0</v>
      </c>
      <c r="O20" s="34">
        <f t="shared" si="4"/>
        <v>0</v>
      </c>
      <c r="P20" s="34">
        <f t="shared" si="4"/>
        <v>0</v>
      </c>
      <c r="Q20" s="34"/>
      <c r="R20" s="34">
        <f>SUM(R17:R19)</f>
        <v>0</v>
      </c>
      <c r="S20" s="34">
        <f>SUM(S17:S19)</f>
        <v>0</v>
      </c>
      <c r="T20" s="34">
        <f>SUM(T17:T19)</f>
        <v>0</v>
      </c>
      <c r="U20" s="34">
        <f>SUM(U17:U19)</f>
        <v>0</v>
      </c>
      <c r="V20" s="34"/>
      <c r="W20" s="34">
        <f>SUM(W17:W19)</f>
        <v>0</v>
      </c>
      <c r="Y20" s="25">
        <f>ROUND(SUM(R20:U20)-W20,2)</f>
        <v>0</v>
      </c>
    </row>
    <row r="21" spans="4:25" x14ac:dyDescent="0.2">
      <c r="D21" s="24"/>
      <c r="Y21" s="3"/>
    </row>
    <row r="22" spans="4:25" x14ac:dyDescent="0.2">
      <c r="D22" s="7" t="s">
        <v>63</v>
      </c>
      <c r="E22" s="38">
        <f>+'1 Collections Build'!CL46*1000</f>
        <v>0</v>
      </c>
      <c r="F22" s="38">
        <f>+'1 Collections Build'!CM46*1000</f>
        <v>0</v>
      </c>
      <c r="G22" s="38">
        <f>+'1 Collections Build'!CN46*1000</f>
        <v>0</v>
      </c>
      <c r="H22" s="38">
        <f>+'1 Collections Build'!CO46*1000</f>
        <v>3000</v>
      </c>
      <c r="I22" s="38">
        <f>+'1 Collections Build'!CP46*1000</f>
        <v>3000</v>
      </c>
      <c r="J22" s="38">
        <f>+'1 Collections Build'!CQ46*1000</f>
        <v>3000</v>
      </c>
      <c r="K22" s="38">
        <f>+'1 Collections Build'!CR46*1000</f>
        <v>3000</v>
      </c>
      <c r="L22" s="38">
        <f>+'1 Collections Build'!CS46*1000</f>
        <v>5666.6666666666661</v>
      </c>
      <c r="M22" s="38">
        <f>+'1 Collections Build'!CT46*1000</f>
        <v>5666.6666666666661</v>
      </c>
      <c r="N22" s="38">
        <f>+'1 Collections Build'!CU46*1000</f>
        <v>9333.3333333333321</v>
      </c>
      <c r="O22" s="38">
        <f>+'1 Collections Build'!CV46*1000</f>
        <v>21833.333333333336</v>
      </c>
      <c r="P22" s="38">
        <f>+'1 Collections Build'!CW46*1000</f>
        <v>21833.333333333336</v>
      </c>
      <c r="Q22" s="4"/>
      <c r="R22" s="4">
        <f>SUM(E22:G22)</f>
        <v>0</v>
      </c>
      <c r="S22" s="4">
        <f>SUM(H22:J22)</f>
        <v>9000</v>
      </c>
      <c r="T22" s="4">
        <f>SUM(K22:M22)</f>
        <v>14333.333333333332</v>
      </c>
      <c r="U22" s="4">
        <f>SUM(N22:P22)</f>
        <v>53000</v>
      </c>
      <c r="V22" s="4"/>
      <c r="W22" s="4">
        <f>SUM(E22:P22)</f>
        <v>76333.333333333343</v>
      </c>
      <c r="Y22" s="25">
        <f>ROUND(SUM(R22:U22)-W22,2)</f>
        <v>0</v>
      </c>
    </row>
    <row r="23" spans="4:25" x14ac:dyDescent="0.2">
      <c r="D23" s="7" t="s">
        <v>87</v>
      </c>
      <c r="E23" s="38">
        <f>+'1 Collections Build'!CL66*1000</f>
        <v>0</v>
      </c>
      <c r="F23" s="38">
        <f>+'1 Collections Build'!CM66*1000</f>
        <v>0</v>
      </c>
      <c r="G23" s="38">
        <f>+'1 Collections Build'!CN66*1000</f>
        <v>0</v>
      </c>
      <c r="H23" s="38">
        <f>+'1 Collections Build'!CO66*1000</f>
        <v>0</v>
      </c>
      <c r="I23" s="38">
        <f>+'1 Collections Build'!CP66*1000</f>
        <v>0</v>
      </c>
      <c r="J23" s="38">
        <f>+'1 Collections Build'!CQ66*1000</f>
        <v>0</v>
      </c>
      <c r="K23" s="38">
        <f>+'1 Collections Build'!CR66*1000</f>
        <v>0</v>
      </c>
      <c r="L23" s="38">
        <f>+'1 Collections Build'!CS66*1000</f>
        <v>0</v>
      </c>
      <c r="M23" s="38">
        <f>+'1 Collections Build'!CT66*1000</f>
        <v>0</v>
      </c>
      <c r="N23" s="38">
        <f>+'1 Collections Build'!CU66*1000</f>
        <v>0</v>
      </c>
      <c r="O23" s="38">
        <f>+'1 Collections Build'!CV66*1000</f>
        <v>0</v>
      </c>
      <c r="P23" s="38">
        <f>+'1 Collections Build'!CW66*1000</f>
        <v>0</v>
      </c>
      <c r="Q23" s="4"/>
      <c r="R23" s="4">
        <f>SUM(E23:G23)</f>
        <v>0</v>
      </c>
      <c r="S23" s="4">
        <f>SUM(H23:J23)</f>
        <v>0</v>
      </c>
      <c r="T23" s="4">
        <f>SUM(K23:M23)</f>
        <v>0</v>
      </c>
      <c r="U23" s="4">
        <f>SUM(N23:P23)</f>
        <v>0</v>
      </c>
      <c r="V23" s="4"/>
      <c r="W23" s="4">
        <f>SUM(E23:P23)</f>
        <v>0</v>
      </c>
      <c r="Y23" s="25">
        <f>ROUND(SUM(R23:U23)-W23,2)</f>
        <v>0</v>
      </c>
    </row>
    <row r="24" spans="4:25" x14ac:dyDescent="0.2">
      <c r="D24" s="7" t="s">
        <v>64</v>
      </c>
      <c r="E24" s="38">
        <f>+'1 Collections Build'!CL78*1000</f>
        <v>0</v>
      </c>
      <c r="F24" s="38">
        <f>+'1 Collections Build'!CM78*1000</f>
        <v>0</v>
      </c>
      <c r="G24" s="38">
        <f>+'1 Collections Build'!CN78*1000</f>
        <v>0</v>
      </c>
      <c r="H24" s="38">
        <f>+'1 Collections Build'!CO78*1000</f>
        <v>0</v>
      </c>
      <c r="I24" s="38">
        <f>+'1 Collections Build'!CP78*1000</f>
        <v>0</v>
      </c>
      <c r="J24" s="38">
        <f>+'1 Collections Build'!CQ78*1000</f>
        <v>12000</v>
      </c>
      <c r="K24" s="38">
        <f>+'1 Collections Build'!CR78*1000</f>
        <v>12000</v>
      </c>
      <c r="L24" s="38">
        <f>+'1 Collections Build'!CS78*1000</f>
        <v>15000</v>
      </c>
      <c r="M24" s="38">
        <f>+'1 Collections Build'!CT78*1000</f>
        <v>17500</v>
      </c>
      <c r="N24" s="38">
        <f>+'1 Collections Build'!CU78*1000</f>
        <v>17500</v>
      </c>
      <c r="O24" s="38">
        <f>+'1 Collections Build'!CV78*1000</f>
        <v>17500</v>
      </c>
      <c r="P24" s="38">
        <f>+'1 Collections Build'!CW78*1000</f>
        <v>21666.666666666668</v>
      </c>
      <c r="Q24" s="4"/>
      <c r="R24" s="4">
        <f>SUM(E24:G24)</f>
        <v>0</v>
      </c>
      <c r="S24" s="4">
        <f>SUM(H24:J24)</f>
        <v>12000</v>
      </c>
      <c r="T24" s="4">
        <f>SUM(K24:M24)</f>
        <v>44500</v>
      </c>
      <c r="U24" s="4">
        <f>SUM(N24:P24)</f>
        <v>56666.666666666672</v>
      </c>
      <c r="V24" s="4"/>
      <c r="W24" s="4">
        <f>SUM(E24:P24)</f>
        <v>113166.66666666667</v>
      </c>
      <c r="Y24" s="25">
        <f>ROUND(SUM(R24:U24)-W24,2)</f>
        <v>0</v>
      </c>
    </row>
    <row r="25" spans="4:25" x14ac:dyDescent="0.2">
      <c r="D25" s="8" t="s">
        <v>83</v>
      </c>
      <c r="E25" s="34">
        <f t="shared" ref="E25:P25" si="5">SUM(E22:E24)</f>
        <v>0</v>
      </c>
      <c r="F25" s="34">
        <f t="shared" si="5"/>
        <v>0</v>
      </c>
      <c r="G25" s="34">
        <f t="shared" si="5"/>
        <v>0</v>
      </c>
      <c r="H25" s="34">
        <f t="shared" si="5"/>
        <v>3000</v>
      </c>
      <c r="I25" s="34">
        <f t="shared" si="5"/>
        <v>3000</v>
      </c>
      <c r="J25" s="34">
        <f t="shared" si="5"/>
        <v>15000</v>
      </c>
      <c r="K25" s="34">
        <f t="shared" si="5"/>
        <v>15000</v>
      </c>
      <c r="L25" s="34">
        <f t="shared" si="5"/>
        <v>20666.666666666664</v>
      </c>
      <c r="M25" s="34">
        <f t="shared" si="5"/>
        <v>23166.666666666664</v>
      </c>
      <c r="N25" s="34">
        <f t="shared" si="5"/>
        <v>26833.333333333332</v>
      </c>
      <c r="O25" s="34">
        <f t="shared" si="5"/>
        <v>39333.333333333336</v>
      </c>
      <c r="P25" s="34">
        <f t="shared" si="5"/>
        <v>43500</v>
      </c>
      <c r="Q25" s="34"/>
      <c r="R25" s="34">
        <f>SUM(R22:R24)</f>
        <v>0</v>
      </c>
      <c r="S25" s="34">
        <f>SUM(S22:S24)</f>
        <v>21000</v>
      </c>
      <c r="T25" s="34">
        <f>SUM(T22:T24)</f>
        <v>58833.333333333328</v>
      </c>
      <c r="U25" s="34">
        <f>SUM(U22:U24)</f>
        <v>109666.66666666667</v>
      </c>
      <c r="V25" s="34"/>
      <c r="W25" s="34">
        <f>SUM(W22:W24)</f>
        <v>189500</v>
      </c>
      <c r="Y25" s="25">
        <f>ROUND(SUM(R25:U25)-W25,2)</f>
        <v>0</v>
      </c>
    </row>
    <row r="26" spans="4:25" x14ac:dyDescent="0.2">
      <c r="D26" s="24"/>
      <c r="Y26" s="3"/>
    </row>
    <row r="27" spans="4:25" x14ac:dyDescent="0.2">
      <c r="D27" s="8" t="s">
        <v>277</v>
      </c>
      <c r="E27" s="34">
        <f t="shared" ref="E27:P27" si="6">+E20+E25</f>
        <v>0</v>
      </c>
      <c r="F27" s="34">
        <f t="shared" si="6"/>
        <v>0</v>
      </c>
      <c r="G27" s="34">
        <f t="shared" si="6"/>
        <v>0</v>
      </c>
      <c r="H27" s="34">
        <f t="shared" si="6"/>
        <v>3000</v>
      </c>
      <c r="I27" s="34">
        <f t="shared" si="6"/>
        <v>3000</v>
      </c>
      <c r="J27" s="34">
        <f t="shared" si="6"/>
        <v>15000</v>
      </c>
      <c r="K27" s="34">
        <f t="shared" si="6"/>
        <v>15000</v>
      </c>
      <c r="L27" s="34">
        <f t="shared" si="6"/>
        <v>20666.666666666664</v>
      </c>
      <c r="M27" s="34">
        <f t="shared" si="6"/>
        <v>23166.666666666664</v>
      </c>
      <c r="N27" s="34">
        <f t="shared" si="6"/>
        <v>26833.333333333332</v>
      </c>
      <c r="O27" s="34">
        <f t="shared" si="6"/>
        <v>39333.333333333336</v>
      </c>
      <c r="P27" s="34">
        <f t="shared" si="6"/>
        <v>43500</v>
      </c>
      <c r="Q27" s="34"/>
      <c r="R27" s="34">
        <f>+R20+R25</f>
        <v>0</v>
      </c>
      <c r="S27" s="34">
        <f>+S20+S25</f>
        <v>21000</v>
      </c>
      <c r="T27" s="34">
        <f>+T20+T25</f>
        <v>58833.333333333328</v>
      </c>
      <c r="U27" s="34">
        <f>+U20+U25</f>
        <v>109666.66666666667</v>
      </c>
      <c r="V27" s="34"/>
      <c r="W27" s="34">
        <f>+W20+W25</f>
        <v>189500</v>
      </c>
      <c r="Y27" s="25">
        <f>ROUND(SUM(R27:U27)-W27,2)</f>
        <v>0</v>
      </c>
    </row>
    <row r="29" spans="4:25" x14ac:dyDescent="0.2">
      <c r="D29" s="7" t="s">
        <v>63</v>
      </c>
      <c r="E29" s="4">
        <f>+E5+E17</f>
        <v>38825</v>
      </c>
      <c r="F29" s="4">
        <f t="shared" ref="F29:P29" si="7">+F5+F17</f>
        <v>48275.000000000007</v>
      </c>
      <c r="G29" s="4">
        <f t="shared" si="7"/>
        <v>28500</v>
      </c>
      <c r="H29" s="4">
        <f t="shared" si="7"/>
        <v>27450</v>
      </c>
      <c r="I29" s="4">
        <f t="shared" si="7"/>
        <v>27450</v>
      </c>
      <c r="J29" s="4">
        <f t="shared" si="7"/>
        <v>8750</v>
      </c>
      <c r="K29" s="4">
        <f t="shared" si="7"/>
        <v>19125</v>
      </c>
      <c r="L29" s="4">
        <f t="shared" si="7"/>
        <v>19125</v>
      </c>
      <c r="M29" s="4">
        <f t="shared" si="7"/>
        <v>52458.333333333336</v>
      </c>
      <c r="N29" s="4">
        <f t="shared" si="7"/>
        <v>52458.333333333336</v>
      </c>
      <c r="O29" s="4">
        <f t="shared" si="7"/>
        <v>48333.333333333336</v>
      </c>
      <c r="P29" s="4">
        <f t="shared" si="7"/>
        <v>48333.333333333336</v>
      </c>
      <c r="Q29" s="4"/>
      <c r="R29" s="4">
        <f>SUM(E29:G29)</f>
        <v>115600</v>
      </c>
      <c r="S29" s="4">
        <f>SUM(H29:J29)</f>
        <v>63650</v>
      </c>
      <c r="T29" s="4">
        <f>SUM(K29:M29)</f>
        <v>90708.333333333343</v>
      </c>
      <c r="U29" s="4">
        <f>SUM(N29:P29)</f>
        <v>149125</v>
      </c>
      <c r="V29" s="4"/>
      <c r="W29" s="4">
        <f>SUM(E29:P29)</f>
        <v>419083.33333333326</v>
      </c>
      <c r="Y29" s="25">
        <f>ROUND(SUM(R29:U29)-W29,2)</f>
        <v>0</v>
      </c>
    </row>
    <row r="30" spans="4:25" x14ac:dyDescent="0.2">
      <c r="D30" s="7" t="s">
        <v>87</v>
      </c>
      <c r="E30" s="4">
        <f t="shared" ref="E30:P31" si="8">+E6+E18</f>
        <v>69777.600000000006</v>
      </c>
      <c r="F30" s="4">
        <f t="shared" si="8"/>
        <v>139777.60000000001</v>
      </c>
      <c r="G30" s="4">
        <f t="shared" si="8"/>
        <v>139777.60000000001</v>
      </c>
      <c r="H30" s="4">
        <f t="shared" si="8"/>
        <v>94777.600000000006</v>
      </c>
      <c r="I30" s="4">
        <f t="shared" si="8"/>
        <v>115000</v>
      </c>
      <c r="J30" s="4">
        <f t="shared" si="8"/>
        <v>140000</v>
      </c>
      <c r="K30" s="4">
        <f t="shared" si="8"/>
        <v>105000</v>
      </c>
      <c r="L30" s="4">
        <f t="shared" si="8"/>
        <v>136750</v>
      </c>
      <c r="M30" s="4">
        <f t="shared" si="8"/>
        <v>136750</v>
      </c>
      <c r="N30" s="4">
        <f t="shared" si="8"/>
        <v>136750</v>
      </c>
      <c r="O30" s="4">
        <f t="shared" si="8"/>
        <v>136750</v>
      </c>
      <c r="P30" s="4">
        <f t="shared" si="8"/>
        <v>105000</v>
      </c>
      <c r="Q30" s="4"/>
      <c r="R30" s="4">
        <f>SUM(E30:G30)</f>
        <v>349332.80000000005</v>
      </c>
      <c r="S30" s="4">
        <f>SUM(H30:J30)</f>
        <v>349777.6</v>
      </c>
      <c r="T30" s="4">
        <f>SUM(K30:M30)</f>
        <v>378500</v>
      </c>
      <c r="U30" s="4">
        <f>SUM(N30:P30)</f>
        <v>378500</v>
      </c>
      <c r="V30" s="4"/>
      <c r="W30" s="4">
        <f>SUM(E30:P30)</f>
        <v>1456110.4</v>
      </c>
      <c r="Y30" s="25">
        <f>ROUND(SUM(R30:U30)-W30,2)</f>
        <v>0</v>
      </c>
    </row>
    <row r="31" spans="4:25" x14ac:dyDescent="0.2">
      <c r="D31" s="7" t="s">
        <v>64</v>
      </c>
      <c r="E31" s="4">
        <f t="shared" si="8"/>
        <v>0</v>
      </c>
      <c r="F31" s="4">
        <f t="shared" si="8"/>
        <v>0</v>
      </c>
      <c r="G31" s="4">
        <f t="shared" si="8"/>
        <v>1500</v>
      </c>
      <c r="H31" s="4">
        <f t="shared" si="8"/>
        <v>1500</v>
      </c>
      <c r="I31" s="4">
        <f t="shared" si="8"/>
        <v>0</v>
      </c>
      <c r="J31" s="4">
        <f t="shared" si="8"/>
        <v>0</v>
      </c>
      <c r="K31" s="4">
        <f t="shared" si="8"/>
        <v>0</v>
      </c>
      <c r="L31" s="4">
        <f t="shared" si="8"/>
        <v>53000</v>
      </c>
      <c r="M31" s="4">
        <f t="shared" si="8"/>
        <v>53000</v>
      </c>
      <c r="N31" s="4">
        <f t="shared" si="8"/>
        <v>53000</v>
      </c>
      <c r="O31" s="4">
        <f t="shared" si="8"/>
        <v>53000</v>
      </c>
      <c r="P31" s="4">
        <f t="shared" si="8"/>
        <v>0</v>
      </c>
      <c r="Q31" s="4"/>
      <c r="R31" s="4">
        <f>SUM(E31:G31)</f>
        <v>1500</v>
      </c>
      <c r="S31" s="4">
        <f>SUM(H31:J31)</f>
        <v>1500</v>
      </c>
      <c r="T31" s="4">
        <f>SUM(K31:M31)</f>
        <v>106000</v>
      </c>
      <c r="U31" s="4">
        <f>SUM(N31:P31)</f>
        <v>106000</v>
      </c>
      <c r="V31" s="4"/>
      <c r="W31" s="4">
        <f>SUM(E31:P31)</f>
        <v>215000</v>
      </c>
      <c r="Y31" s="25">
        <f>ROUND(SUM(R31:U31)-W31,2)</f>
        <v>0</v>
      </c>
    </row>
    <row r="32" spans="4:25" x14ac:dyDescent="0.2">
      <c r="D32" s="8" t="s">
        <v>84</v>
      </c>
      <c r="E32" s="34">
        <f t="shared" ref="E32:P32" si="9">SUM(E29:E31)</f>
        <v>108602.6</v>
      </c>
      <c r="F32" s="34">
        <f t="shared" si="9"/>
        <v>188052.6</v>
      </c>
      <c r="G32" s="34">
        <f t="shared" si="9"/>
        <v>169777.6</v>
      </c>
      <c r="H32" s="34">
        <f t="shared" si="9"/>
        <v>123727.6</v>
      </c>
      <c r="I32" s="34">
        <f t="shared" si="9"/>
        <v>142450</v>
      </c>
      <c r="J32" s="34">
        <f t="shared" si="9"/>
        <v>148750</v>
      </c>
      <c r="K32" s="34">
        <f t="shared" si="9"/>
        <v>124125</v>
      </c>
      <c r="L32" s="34">
        <f t="shared" si="9"/>
        <v>208875</v>
      </c>
      <c r="M32" s="34">
        <f t="shared" si="9"/>
        <v>242208.33333333334</v>
      </c>
      <c r="N32" s="34">
        <f t="shared" si="9"/>
        <v>242208.33333333334</v>
      </c>
      <c r="O32" s="34">
        <f t="shared" si="9"/>
        <v>238083.33333333334</v>
      </c>
      <c r="P32" s="34">
        <f t="shared" si="9"/>
        <v>153333.33333333334</v>
      </c>
      <c r="Q32" s="34"/>
      <c r="R32" s="34">
        <f>SUM(R29:R31)</f>
        <v>466432.80000000005</v>
      </c>
      <c r="S32" s="34">
        <f>SUM(S29:S31)</f>
        <v>414927.6</v>
      </c>
      <c r="T32" s="34">
        <f>SUM(T29:T31)</f>
        <v>575208.33333333337</v>
      </c>
      <c r="U32" s="34">
        <f>SUM(U29:U31)</f>
        <v>633625</v>
      </c>
      <c r="V32" s="34"/>
      <c r="W32" s="34">
        <f>SUM(W29:W31)</f>
        <v>2090193.7333333332</v>
      </c>
      <c r="Y32" s="25">
        <f>ROUND(SUM(R32:U32)-W32,2)</f>
        <v>0</v>
      </c>
    </row>
    <row r="33" spans="4:25" x14ac:dyDescent="0.2">
      <c r="D33" s="24"/>
      <c r="Y33" s="3"/>
    </row>
    <row r="34" spans="4:25" x14ac:dyDescent="0.2">
      <c r="D34" s="7" t="s">
        <v>63</v>
      </c>
      <c r="E34" s="4">
        <f>+E10+E22</f>
        <v>48666.666666666672</v>
      </c>
      <c r="F34" s="4">
        <f t="shared" ref="F34:P34" si="10">+F10+F22</f>
        <v>48666.666666666672</v>
      </c>
      <c r="G34" s="4">
        <f t="shared" si="10"/>
        <v>78666.666666666672</v>
      </c>
      <c r="H34" s="4">
        <f t="shared" si="10"/>
        <v>3000</v>
      </c>
      <c r="I34" s="4">
        <f t="shared" si="10"/>
        <v>3000</v>
      </c>
      <c r="J34" s="4">
        <f t="shared" si="10"/>
        <v>3000</v>
      </c>
      <c r="K34" s="4">
        <f t="shared" si="10"/>
        <v>68000</v>
      </c>
      <c r="L34" s="4">
        <f t="shared" si="10"/>
        <v>101500.00000000001</v>
      </c>
      <c r="M34" s="4">
        <f t="shared" si="10"/>
        <v>139000</v>
      </c>
      <c r="N34" s="4">
        <f t="shared" si="10"/>
        <v>146833.33333333334</v>
      </c>
      <c r="O34" s="4">
        <f t="shared" si="10"/>
        <v>121833.33333333334</v>
      </c>
      <c r="P34" s="4">
        <f t="shared" si="10"/>
        <v>171833.33333333334</v>
      </c>
      <c r="Q34" s="4"/>
      <c r="R34" s="4">
        <f>SUM(E34:G34)</f>
        <v>176000</v>
      </c>
      <c r="S34" s="4">
        <f>SUM(H34:J34)</f>
        <v>9000</v>
      </c>
      <c r="T34" s="4">
        <f>SUM(K34:M34)</f>
        <v>308500</v>
      </c>
      <c r="U34" s="4">
        <f>SUM(N34:P34)</f>
        <v>440500</v>
      </c>
      <c r="V34" s="4"/>
      <c r="W34" s="4">
        <f>SUM(E34:P34)</f>
        <v>934000.00000000012</v>
      </c>
      <c r="Y34" s="25">
        <f>ROUND(SUM(R34:U34)-W34,2)</f>
        <v>0</v>
      </c>
    </row>
    <row r="35" spans="4:25" x14ac:dyDescent="0.2">
      <c r="D35" s="7" t="s">
        <v>87</v>
      </c>
      <c r="E35" s="4">
        <f t="shared" ref="E35:P36" si="11">+E11+E23</f>
        <v>0</v>
      </c>
      <c r="F35" s="4">
        <f t="shared" si="11"/>
        <v>0</v>
      </c>
      <c r="G35" s="4">
        <f t="shared" si="11"/>
        <v>0</v>
      </c>
      <c r="H35" s="4">
        <f t="shared" si="11"/>
        <v>0</v>
      </c>
      <c r="I35" s="4">
        <f t="shared" si="11"/>
        <v>0</v>
      </c>
      <c r="J35" s="4">
        <f t="shared" si="11"/>
        <v>0</v>
      </c>
      <c r="K35" s="4">
        <f t="shared" si="11"/>
        <v>50000</v>
      </c>
      <c r="L35" s="4">
        <f t="shared" si="11"/>
        <v>125000</v>
      </c>
      <c r="M35" s="4">
        <f t="shared" si="11"/>
        <v>158333.33333333331</v>
      </c>
      <c r="N35" s="4">
        <f t="shared" si="11"/>
        <v>220833.33333333331</v>
      </c>
      <c r="O35" s="4">
        <f t="shared" si="11"/>
        <v>220833.33333333331</v>
      </c>
      <c r="P35" s="4">
        <f t="shared" si="11"/>
        <v>208333.33333333331</v>
      </c>
      <c r="Q35" s="4"/>
      <c r="R35" s="4">
        <f>SUM(E35:G35)</f>
        <v>0</v>
      </c>
      <c r="S35" s="4">
        <f>SUM(H35:J35)</f>
        <v>0</v>
      </c>
      <c r="T35" s="4">
        <f>SUM(K35:M35)</f>
        <v>333333.33333333331</v>
      </c>
      <c r="U35" s="4">
        <f>SUM(N35:P35)</f>
        <v>650000</v>
      </c>
      <c r="V35" s="4"/>
      <c r="W35" s="4">
        <f>SUM(E35:P35)</f>
        <v>983333.33333333326</v>
      </c>
      <c r="Y35" s="25">
        <f>ROUND(SUM(R35:U35)-W35,2)</f>
        <v>0</v>
      </c>
    </row>
    <row r="36" spans="4:25" x14ac:dyDescent="0.2">
      <c r="D36" s="7" t="s">
        <v>64</v>
      </c>
      <c r="E36" s="4">
        <f t="shared" si="11"/>
        <v>495</v>
      </c>
      <c r="F36" s="4">
        <f t="shared" si="11"/>
        <v>0</v>
      </c>
      <c r="G36" s="4">
        <f t="shared" si="11"/>
        <v>16666.666666666668</v>
      </c>
      <c r="H36" s="4">
        <f t="shared" si="11"/>
        <v>57666.666666666672</v>
      </c>
      <c r="I36" s="4">
        <f t="shared" si="11"/>
        <v>57666.666666666672</v>
      </c>
      <c r="J36" s="4">
        <f t="shared" si="11"/>
        <v>22500</v>
      </c>
      <c r="K36" s="4">
        <f t="shared" si="11"/>
        <v>47500</v>
      </c>
      <c r="L36" s="4">
        <f t="shared" si="11"/>
        <v>40000</v>
      </c>
      <c r="M36" s="4">
        <f t="shared" si="11"/>
        <v>42500</v>
      </c>
      <c r="N36" s="4">
        <f t="shared" si="11"/>
        <v>67500</v>
      </c>
      <c r="O36" s="4">
        <f t="shared" si="11"/>
        <v>92500</v>
      </c>
      <c r="P36" s="4">
        <f t="shared" si="11"/>
        <v>96666.666666666672</v>
      </c>
      <c r="Q36" s="4"/>
      <c r="R36" s="4">
        <f>SUM(E36:G36)</f>
        <v>17161.666666666668</v>
      </c>
      <c r="S36" s="4">
        <f>SUM(H36:J36)</f>
        <v>137833.33333333334</v>
      </c>
      <c r="T36" s="4">
        <f>SUM(K36:M36)</f>
        <v>130000</v>
      </c>
      <c r="U36" s="4">
        <f>SUM(N36:P36)</f>
        <v>256666.66666666669</v>
      </c>
      <c r="V36" s="4"/>
      <c r="W36" s="4">
        <f>SUM(E36:P36)</f>
        <v>541661.66666666663</v>
      </c>
      <c r="Y36" s="25">
        <f>ROUND(SUM(R36:U36)-W36,2)</f>
        <v>0</v>
      </c>
    </row>
    <row r="37" spans="4:25" x14ac:dyDescent="0.2">
      <c r="D37" s="8" t="s">
        <v>83</v>
      </c>
      <c r="E37" s="34">
        <f t="shared" ref="E37:P37" si="12">SUM(E34:E36)</f>
        <v>49161.666666666672</v>
      </c>
      <c r="F37" s="34">
        <f t="shared" si="12"/>
        <v>48666.666666666672</v>
      </c>
      <c r="G37" s="34">
        <f t="shared" si="12"/>
        <v>95333.333333333343</v>
      </c>
      <c r="H37" s="34">
        <f t="shared" si="12"/>
        <v>60666.666666666672</v>
      </c>
      <c r="I37" s="34">
        <f t="shared" si="12"/>
        <v>60666.666666666672</v>
      </c>
      <c r="J37" s="34">
        <f t="shared" si="12"/>
        <v>25500</v>
      </c>
      <c r="K37" s="34">
        <f t="shared" si="12"/>
        <v>165500</v>
      </c>
      <c r="L37" s="34">
        <f t="shared" si="12"/>
        <v>266500</v>
      </c>
      <c r="M37" s="34">
        <f t="shared" si="12"/>
        <v>339833.33333333331</v>
      </c>
      <c r="N37" s="34">
        <f t="shared" si="12"/>
        <v>435166.66666666663</v>
      </c>
      <c r="O37" s="34">
        <f t="shared" si="12"/>
        <v>435166.66666666663</v>
      </c>
      <c r="P37" s="34">
        <f t="shared" si="12"/>
        <v>476833.33333333331</v>
      </c>
      <c r="Q37" s="34"/>
      <c r="R37" s="34">
        <f>SUM(R34:R36)</f>
        <v>193161.66666666666</v>
      </c>
      <c r="S37" s="34">
        <f>SUM(S34:S36)</f>
        <v>146833.33333333334</v>
      </c>
      <c r="T37" s="34">
        <f>SUM(T34:T36)</f>
        <v>771833.33333333326</v>
      </c>
      <c r="U37" s="34">
        <f>SUM(U34:U36)</f>
        <v>1347166.6666666667</v>
      </c>
      <c r="V37" s="34"/>
      <c r="W37" s="34">
        <f>SUM(W34:W36)</f>
        <v>2458995</v>
      </c>
      <c r="Y37" s="25">
        <f>ROUND(SUM(R37:U37)-W37,2)</f>
        <v>0</v>
      </c>
    </row>
    <row r="38" spans="4:25" x14ac:dyDescent="0.2">
      <c r="D38" s="24"/>
      <c r="Y38" s="3"/>
    </row>
    <row r="39" spans="4:25" x14ac:dyDescent="0.2">
      <c r="D39" s="8" t="s">
        <v>243</v>
      </c>
      <c r="E39" s="34">
        <f t="shared" ref="E39:P39" si="13">+E32+E37</f>
        <v>157764.26666666666</v>
      </c>
      <c r="F39" s="34">
        <f t="shared" si="13"/>
        <v>236719.26666666666</v>
      </c>
      <c r="G39" s="34">
        <f t="shared" si="13"/>
        <v>265110.93333333335</v>
      </c>
      <c r="H39" s="34">
        <f t="shared" si="13"/>
        <v>184394.26666666666</v>
      </c>
      <c r="I39" s="34">
        <f t="shared" si="13"/>
        <v>203116.66666666669</v>
      </c>
      <c r="J39" s="34">
        <f t="shared" si="13"/>
        <v>174250</v>
      </c>
      <c r="K39" s="34">
        <f t="shared" si="13"/>
        <v>289625</v>
      </c>
      <c r="L39" s="34">
        <f t="shared" si="13"/>
        <v>475375</v>
      </c>
      <c r="M39" s="34">
        <f t="shared" si="13"/>
        <v>582041.66666666663</v>
      </c>
      <c r="N39" s="34">
        <f t="shared" si="13"/>
        <v>677375</v>
      </c>
      <c r="O39" s="34">
        <f t="shared" si="13"/>
        <v>673250</v>
      </c>
      <c r="P39" s="34">
        <f t="shared" si="13"/>
        <v>630166.66666666663</v>
      </c>
      <c r="Q39" s="34"/>
      <c r="R39" s="34">
        <f>+R32+R37</f>
        <v>659594.46666666667</v>
      </c>
      <c r="S39" s="34">
        <f>+S32+S37</f>
        <v>561760.93333333335</v>
      </c>
      <c r="T39" s="34">
        <f>+T32+T37</f>
        <v>1347041.6666666665</v>
      </c>
      <c r="U39" s="34">
        <f>+U32+U37</f>
        <v>1980791.6666666667</v>
      </c>
      <c r="V39" s="34"/>
      <c r="W39" s="34">
        <f>+W32+W37</f>
        <v>4549188.7333333334</v>
      </c>
      <c r="Y39" s="25">
        <f>ROUND(SUM(R39:U39)-W39,2)</f>
        <v>0</v>
      </c>
    </row>
    <row r="44" spans="4:25" x14ac:dyDescent="0.2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</sheetData>
  <pageMargins left="0.25" right="0.25" top="0.75" bottom="0.75" header="0.3" footer="0.3"/>
  <pageSetup scale="5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993F-B0A6-4157-AAAA-C0586167657C}">
  <sheetPr>
    <pageSetUpPr fitToPage="1"/>
  </sheetPr>
  <dimension ref="B2:Z56"/>
  <sheetViews>
    <sheetView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C56" sqref="C56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14" width="10.6640625" style="1" customWidth="1"/>
    <col min="15" max="15" width="2.6640625" style="1" customWidth="1"/>
    <col min="16" max="19" width="10.6640625" style="1" customWidth="1"/>
    <col min="20" max="20" width="2.6640625" style="1" customWidth="1"/>
    <col min="21" max="21" width="10.6640625" style="1" customWidth="1"/>
    <col min="22" max="22" width="2.6640625" style="1" customWidth="1"/>
    <col min="23" max="23" width="6.6640625" style="1" customWidth="1"/>
    <col min="24" max="24" width="9.1640625" style="1"/>
    <col min="25" max="25" width="18.1640625" style="1" customWidth="1"/>
    <col min="26" max="16384" width="9.1640625" style="1"/>
  </cols>
  <sheetData>
    <row r="2" spans="2:26" x14ac:dyDescent="0.2">
      <c r="B2" s="8" t="s">
        <v>47</v>
      </c>
      <c r="C2" s="9">
        <v>46023</v>
      </c>
      <c r="D2" s="9">
        <f>EDATE(C2,1)</f>
        <v>46054</v>
      </c>
      <c r="E2" s="9">
        <f t="shared" ref="E2:N2" si="0">EDATE(D2,1)</f>
        <v>46082</v>
      </c>
      <c r="F2" s="9">
        <f t="shared" si="0"/>
        <v>46113</v>
      </c>
      <c r="G2" s="9">
        <f t="shared" si="0"/>
        <v>46143</v>
      </c>
      <c r="H2" s="9">
        <f t="shared" si="0"/>
        <v>46174</v>
      </c>
      <c r="I2" s="9">
        <f t="shared" si="0"/>
        <v>46204</v>
      </c>
      <c r="J2" s="9">
        <f t="shared" si="0"/>
        <v>46235</v>
      </c>
      <c r="K2" s="9">
        <f t="shared" si="0"/>
        <v>46266</v>
      </c>
      <c r="L2" s="9">
        <f t="shared" si="0"/>
        <v>46296</v>
      </c>
      <c r="M2" s="9">
        <f t="shared" si="0"/>
        <v>46327</v>
      </c>
      <c r="N2" s="9">
        <f t="shared" si="0"/>
        <v>46357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2026</v>
      </c>
      <c r="W2" s="3" t="s">
        <v>13</v>
      </c>
    </row>
    <row r="3" spans="2:26" x14ac:dyDescent="0.2">
      <c r="B3" s="24" t="str">
        <f>+Version!$C$3</f>
        <v>Y2025 12 v001</v>
      </c>
      <c r="W3" s="3"/>
    </row>
    <row r="4" spans="2:26" x14ac:dyDescent="0.2">
      <c r="B4" s="24"/>
      <c r="W4" s="3"/>
    </row>
    <row r="5" spans="2:26" x14ac:dyDescent="0.2">
      <c r="B5" s="7" t="s">
        <v>138</v>
      </c>
      <c r="C5" s="38">
        <f>+'2026 Detail'!C8</f>
        <v>126737</v>
      </c>
      <c r="D5" s="38">
        <f>+'2026 Detail'!D8</f>
        <v>270160</v>
      </c>
      <c r="E5" s="38">
        <f>+'2026 Detail'!E8</f>
        <v>223350</v>
      </c>
      <c r="F5" s="38">
        <f>+'2026 Detail'!F8</f>
        <v>197930</v>
      </c>
      <c r="G5" s="38">
        <f>+'2026 Detail'!G8</f>
        <v>151930</v>
      </c>
      <c r="H5" s="38">
        <f>+'2026 Detail'!H8</f>
        <v>151930</v>
      </c>
      <c r="I5" s="38">
        <f>+'2026 Detail'!I8</f>
        <v>146930</v>
      </c>
      <c r="J5" s="38">
        <f>+'2026 Detail'!J8</f>
        <v>145000</v>
      </c>
      <c r="K5" s="38">
        <f>+'2026 Detail'!K8</f>
        <v>145000</v>
      </c>
      <c r="L5" s="38">
        <f>+'2026 Detail'!L8</f>
        <v>140000</v>
      </c>
      <c r="M5" s="38">
        <f>+'2026 Detail'!M8</f>
        <v>140000</v>
      </c>
      <c r="N5" s="38">
        <f>+'2026 Detail'!N8</f>
        <v>130000</v>
      </c>
      <c r="O5" s="4"/>
      <c r="P5" s="4">
        <f>SUM(C5:E5)</f>
        <v>620247</v>
      </c>
      <c r="Q5" s="4">
        <f>SUM(F5:H5)</f>
        <v>501790</v>
      </c>
      <c r="R5" s="4">
        <f>SUM(I5:K5)</f>
        <v>436930</v>
      </c>
      <c r="S5" s="4">
        <f>SUM(L5:N5)</f>
        <v>410000</v>
      </c>
      <c r="T5" s="4"/>
      <c r="U5" s="4">
        <f>SUM(C5:N5)</f>
        <v>1968967</v>
      </c>
      <c r="W5" s="25">
        <f>ROUND(SUM(P5:S5)-U5,2)</f>
        <v>0</v>
      </c>
    </row>
    <row r="6" spans="2:26" x14ac:dyDescent="0.2">
      <c r="B6" s="7" t="s">
        <v>139</v>
      </c>
      <c r="C6" s="38">
        <f>+'2026 Detail'!C13</f>
        <v>163027.6</v>
      </c>
      <c r="D6" s="38">
        <f>+'2026 Detail'!D13</f>
        <v>123027.6</v>
      </c>
      <c r="E6" s="38">
        <f>+'2026 Detail'!E13</f>
        <v>366527.6</v>
      </c>
      <c r="F6" s="38">
        <f>+'2026 Detail'!F13</f>
        <v>386527.6</v>
      </c>
      <c r="G6" s="38">
        <f>+'2026 Detail'!G13</f>
        <v>268277.59999999998</v>
      </c>
      <c r="H6" s="38">
        <f>+'2026 Detail'!H13</f>
        <v>268277.59999999998</v>
      </c>
      <c r="I6" s="38">
        <f>+'2026 Detail'!I13</f>
        <v>403277.6</v>
      </c>
      <c r="J6" s="38">
        <f>+'2026 Detail'!J13</f>
        <v>390500</v>
      </c>
      <c r="K6" s="38">
        <f>+'2026 Detail'!K13</f>
        <v>286000</v>
      </c>
      <c r="L6" s="38">
        <f>+'2026 Detail'!L13</f>
        <v>431000</v>
      </c>
      <c r="M6" s="38">
        <f>+'2026 Detail'!M13</f>
        <v>506000</v>
      </c>
      <c r="N6" s="38">
        <f>+'2026 Detail'!N13</f>
        <v>550000</v>
      </c>
      <c r="O6" s="4"/>
      <c r="P6" s="4">
        <f>SUM(C6:E6)</f>
        <v>652582.80000000005</v>
      </c>
      <c r="Q6" s="4">
        <f>SUM(F6:H6)</f>
        <v>923082.79999999993</v>
      </c>
      <c r="R6" s="4">
        <f>SUM(I6:K6)</f>
        <v>1079777.6000000001</v>
      </c>
      <c r="S6" s="4">
        <f>SUM(L6:N6)</f>
        <v>1487000</v>
      </c>
      <c r="T6" s="4"/>
      <c r="U6" s="4">
        <f>SUM(C6:N6)</f>
        <v>4142443.2</v>
      </c>
      <c r="W6" s="25">
        <f>ROUND(SUM(P6:S6)-U6,2)</f>
        <v>0</v>
      </c>
    </row>
    <row r="7" spans="2:26" ht="6" customHeight="1" x14ac:dyDescent="0.2">
      <c r="B7" s="24"/>
      <c r="W7" s="3"/>
    </row>
    <row r="8" spans="2:26" x14ac:dyDescent="0.2">
      <c r="B8" s="8" t="s">
        <v>42</v>
      </c>
      <c r="C8" s="34">
        <f>SUM(C5:C6)</f>
        <v>289764.59999999998</v>
      </c>
      <c r="D8" s="34">
        <f t="shared" ref="D8:U8" si="1">SUM(D5:D6)</f>
        <v>393187.6</v>
      </c>
      <c r="E8" s="34">
        <f t="shared" si="1"/>
        <v>589877.6</v>
      </c>
      <c r="F8" s="34">
        <f t="shared" si="1"/>
        <v>584457.6</v>
      </c>
      <c r="G8" s="34">
        <f t="shared" si="1"/>
        <v>420207.6</v>
      </c>
      <c r="H8" s="34">
        <f t="shared" si="1"/>
        <v>420207.6</v>
      </c>
      <c r="I8" s="34">
        <f t="shared" si="1"/>
        <v>550207.6</v>
      </c>
      <c r="J8" s="34">
        <f t="shared" si="1"/>
        <v>535500</v>
      </c>
      <c r="K8" s="34">
        <f t="shared" si="1"/>
        <v>431000</v>
      </c>
      <c r="L8" s="34">
        <f t="shared" si="1"/>
        <v>571000</v>
      </c>
      <c r="M8" s="34">
        <f t="shared" si="1"/>
        <v>646000</v>
      </c>
      <c r="N8" s="34">
        <f t="shared" si="1"/>
        <v>680000</v>
      </c>
      <c r="O8" s="34"/>
      <c r="P8" s="34">
        <f t="shared" si="1"/>
        <v>1272829.8</v>
      </c>
      <c r="Q8" s="34">
        <f t="shared" si="1"/>
        <v>1424872.7999999998</v>
      </c>
      <c r="R8" s="34">
        <f t="shared" si="1"/>
        <v>1516707.6</v>
      </c>
      <c r="S8" s="34">
        <f t="shared" si="1"/>
        <v>1897000</v>
      </c>
      <c r="T8" s="34"/>
      <c r="U8" s="34">
        <f t="shared" si="1"/>
        <v>6111410.2000000002</v>
      </c>
      <c r="W8" s="25">
        <f>ROUND(SUM(P8:S8)-U8,2)</f>
        <v>0</v>
      </c>
      <c r="Z8" s="4"/>
    </row>
    <row r="9" spans="2:26" x14ac:dyDescent="0.2">
      <c r="B9" s="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25"/>
      <c r="Z9" s="4"/>
    </row>
    <row r="10" spans="2:26" x14ac:dyDescent="0.2">
      <c r="B10" s="7" t="s">
        <v>82</v>
      </c>
      <c r="C10" s="38">
        <f>+'2026 Detail'!C17+'2026 Detail'!C18</f>
        <v>184080</v>
      </c>
      <c r="D10" s="38">
        <f>+'2026 Detail'!D17+'2026 Detail'!D18</f>
        <v>358933.04911199998</v>
      </c>
      <c r="E10" s="38">
        <f>+'2026 Detail'!E17+'2026 Detail'!E18</f>
        <v>187171.8</v>
      </c>
      <c r="F10" s="38">
        <f>+'2026 Detail'!F17+'2026 Detail'!F18</f>
        <v>181171.8</v>
      </c>
      <c r="G10" s="38">
        <f>+'2026 Detail'!G17+'2026 Detail'!G18</f>
        <v>181171.8</v>
      </c>
      <c r="H10" s="38">
        <f>+'2026 Detail'!H17+'2026 Detail'!H18</f>
        <v>181171.8</v>
      </c>
      <c r="I10" s="38">
        <f>+'2026 Detail'!I17+'2026 Detail'!I18</f>
        <v>174671.8</v>
      </c>
      <c r="J10" s="38">
        <f>+'2026 Detail'!J17+'2026 Detail'!J18</f>
        <v>174671.8</v>
      </c>
      <c r="K10" s="38">
        <f>+'2026 Detail'!K17+'2026 Detail'!K18</f>
        <v>174671.8</v>
      </c>
      <c r="L10" s="38">
        <f>+'2026 Detail'!L17+'2026 Detail'!L18</f>
        <v>170171.8</v>
      </c>
      <c r="M10" s="38">
        <f>+'2026 Detail'!M17+'2026 Detail'!M18</f>
        <v>170171.8</v>
      </c>
      <c r="N10" s="38">
        <f>+'2026 Detail'!N17+'2026 Detail'!N18</f>
        <v>170171.8</v>
      </c>
      <c r="O10" s="4"/>
      <c r="P10" s="4">
        <f>SUM(C10:E10)</f>
        <v>730184.84911200008</v>
      </c>
      <c r="Q10" s="4">
        <f>SUM(F10:H10)</f>
        <v>543515.39999999991</v>
      </c>
      <c r="R10" s="4">
        <f>SUM(I10:K10)</f>
        <v>524015.39999999997</v>
      </c>
      <c r="S10" s="4">
        <f>SUM(L10:N10)</f>
        <v>510515.39999999997</v>
      </c>
      <c r="T10" s="4"/>
      <c r="U10" s="4">
        <f>SUM(C10:N10)</f>
        <v>2308231.049112</v>
      </c>
      <c r="W10" s="25">
        <f t="shared" ref="W10:W12" si="2">ROUND(SUM(P10:S10)-U10,2)</f>
        <v>0</v>
      </c>
      <c r="Z10" s="4"/>
    </row>
    <row r="11" spans="2:26" x14ac:dyDescent="0.2">
      <c r="B11" s="7" t="s">
        <v>99</v>
      </c>
      <c r="C11" s="38">
        <f>+'2026 Detail'!C19+'2026 Detail'!C20</f>
        <v>40630</v>
      </c>
      <c r="D11" s="38">
        <f>+'2026 Detail'!D19+'2026 Detail'!D20</f>
        <v>103559.487628</v>
      </c>
      <c r="E11" s="38">
        <f>+'2026 Detail'!E19+'2026 Detail'!E20</f>
        <v>41546.5</v>
      </c>
      <c r="F11" s="38">
        <f>+'2026 Detail'!F19+'2026 Detail'!F20</f>
        <v>41546.5</v>
      </c>
      <c r="G11" s="38">
        <f>+'2026 Detail'!G19+'2026 Detail'!G20</f>
        <v>41546.5</v>
      </c>
      <c r="H11" s="38">
        <f>+'2026 Detail'!H19+'2026 Detail'!H20</f>
        <v>41546.5</v>
      </c>
      <c r="I11" s="38">
        <f>+'2026 Detail'!I19+'2026 Detail'!I20</f>
        <v>41546.5</v>
      </c>
      <c r="J11" s="38">
        <f>+'2026 Detail'!J19+'2026 Detail'!J20</f>
        <v>41546.5</v>
      </c>
      <c r="K11" s="38">
        <f>+'2026 Detail'!K19+'2026 Detail'!K20</f>
        <v>41546.5</v>
      </c>
      <c r="L11" s="38">
        <f>+'2026 Detail'!L19+'2026 Detail'!L20</f>
        <v>41546.5</v>
      </c>
      <c r="M11" s="38">
        <f>+'2026 Detail'!M19+'2026 Detail'!M20</f>
        <v>41546.5</v>
      </c>
      <c r="N11" s="38">
        <f>+'2026 Detail'!N19+'2026 Detail'!N20</f>
        <v>41546.5</v>
      </c>
      <c r="O11" s="4"/>
      <c r="P11" s="4">
        <f>SUM(C11:E11)</f>
        <v>185735.987628</v>
      </c>
      <c r="Q11" s="4">
        <f>SUM(F11:H11)</f>
        <v>124639.5</v>
      </c>
      <c r="R11" s="4">
        <f>SUM(I11:K11)</f>
        <v>124639.5</v>
      </c>
      <c r="S11" s="4">
        <f>SUM(L11:N11)</f>
        <v>124639.5</v>
      </c>
      <c r="T11" s="4"/>
      <c r="U11" s="4">
        <f>SUM(C11:N11)</f>
        <v>559654.48762799997</v>
      </c>
      <c r="W11" s="25">
        <f t="shared" si="2"/>
        <v>0</v>
      </c>
    </row>
    <row r="12" spans="2:26" x14ac:dyDescent="0.2">
      <c r="B12" s="8" t="s">
        <v>88</v>
      </c>
      <c r="C12" s="34">
        <f t="shared" ref="C12:N12" si="3">SUM(C10:C11)</f>
        <v>224710</v>
      </c>
      <c r="D12" s="34">
        <f t="shared" si="3"/>
        <v>462492.53674000001</v>
      </c>
      <c r="E12" s="34">
        <f t="shared" si="3"/>
        <v>228718.3</v>
      </c>
      <c r="F12" s="34">
        <f t="shared" si="3"/>
        <v>222718.3</v>
      </c>
      <c r="G12" s="34">
        <f t="shared" si="3"/>
        <v>222718.3</v>
      </c>
      <c r="H12" s="34">
        <f t="shared" si="3"/>
        <v>222718.3</v>
      </c>
      <c r="I12" s="34">
        <f t="shared" si="3"/>
        <v>216218.3</v>
      </c>
      <c r="J12" s="34">
        <f t="shared" si="3"/>
        <v>216218.3</v>
      </c>
      <c r="K12" s="34">
        <f t="shared" si="3"/>
        <v>216218.3</v>
      </c>
      <c r="L12" s="34">
        <f t="shared" si="3"/>
        <v>211718.3</v>
      </c>
      <c r="M12" s="34">
        <f t="shared" si="3"/>
        <v>211718.3</v>
      </c>
      <c r="N12" s="34">
        <f t="shared" si="3"/>
        <v>211718.3</v>
      </c>
      <c r="O12" s="34"/>
      <c r="P12" s="34">
        <f>SUM(P10:P11)</f>
        <v>915920.83674000006</v>
      </c>
      <c r="Q12" s="34">
        <f>SUM(Q10:Q11)</f>
        <v>668154.89999999991</v>
      </c>
      <c r="R12" s="34">
        <f>SUM(R10:R11)</f>
        <v>648654.89999999991</v>
      </c>
      <c r="S12" s="34">
        <f>SUM(S10:S11)</f>
        <v>635154.89999999991</v>
      </c>
      <c r="T12" s="34"/>
      <c r="U12" s="34">
        <f>SUM(U10:U11)</f>
        <v>2867885.5367399999</v>
      </c>
      <c r="W12" s="25">
        <f t="shared" si="2"/>
        <v>0</v>
      </c>
      <c r="Z12" s="40"/>
    </row>
    <row r="13" spans="2:26" x14ac:dyDescent="0.2"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W13" s="25"/>
    </row>
    <row r="14" spans="2:26" x14ac:dyDescent="0.2">
      <c r="B14" s="7" t="s">
        <v>82</v>
      </c>
      <c r="C14" s="38">
        <f>+'2026 Detail'!C23+'2026 Detail'!C24</f>
        <v>10600</v>
      </c>
      <c r="D14" s="38">
        <f>+'2026 Detail'!D23+'2026 Detail'!D24</f>
        <v>10600</v>
      </c>
      <c r="E14" s="38">
        <f>+'2026 Detail'!E23+'2026 Detail'!E24</f>
        <v>10600</v>
      </c>
      <c r="F14" s="38">
        <f>+'2026 Detail'!F23+'2026 Detail'!F24</f>
        <v>10600</v>
      </c>
      <c r="G14" s="38">
        <f>+'2026 Detail'!G23+'2026 Detail'!G24</f>
        <v>10600</v>
      </c>
      <c r="H14" s="38">
        <f>+'2026 Detail'!H23+'2026 Detail'!H24</f>
        <v>10600</v>
      </c>
      <c r="I14" s="38">
        <f>+'2026 Detail'!I23+'2026 Detail'!I24</f>
        <v>10600</v>
      </c>
      <c r="J14" s="38">
        <f>+'2026 Detail'!J23+'2026 Detail'!J24</f>
        <v>10600</v>
      </c>
      <c r="K14" s="38">
        <f>+'2026 Detail'!K23+'2026 Detail'!K24</f>
        <v>10600</v>
      </c>
      <c r="L14" s="38">
        <f>+'2026 Detail'!L23+'2026 Detail'!L24</f>
        <v>10600</v>
      </c>
      <c r="M14" s="38">
        <f>+'2026 Detail'!M23+'2026 Detail'!M24</f>
        <v>10600</v>
      </c>
      <c r="N14" s="38">
        <f>+'2026 Detail'!N23+'2026 Detail'!N24</f>
        <v>10600</v>
      </c>
      <c r="O14" s="4"/>
      <c r="P14" s="4">
        <f t="shared" ref="P14:P16" si="4">SUM(C14:E14)</f>
        <v>31800</v>
      </c>
      <c r="Q14" s="4">
        <f t="shared" ref="Q14:Q16" si="5">SUM(F14:H14)</f>
        <v>31800</v>
      </c>
      <c r="R14" s="4">
        <f t="shared" ref="R14:R16" si="6">SUM(I14:K14)</f>
        <v>31800</v>
      </c>
      <c r="S14" s="4">
        <f t="shared" ref="S14:S16" si="7">SUM(L14:N14)</f>
        <v>31800</v>
      </c>
      <c r="T14" s="4"/>
      <c r="U14" s="4">
        <f t="shared" ref="U14:U16" si="8">SUM(C14:N14)</f>
        <v>127200</v>
      </c>
      <c r="W14" s="25">
        <f t="shared" ref="W14:W17" si="9">ROUND(SUM(P14:S14)-U14,2)</f>
        <v>0</v>
      </c>
      <c r="Z14" s="4"/>
    </row>
    <row r="15" spans="2:26" x14ac:dyDescent="0.2">
      <c r="B15" s="7" t="s">
        <v>99</v>
      </c>
      <c r="C15" s="38">
        <f>+'2026 Detail'!C25+'2026 Detail'!C26</f>
        <v>47260</v>
      </c>
      <c r="D15" s="38">
        <f>+'2026 Detail'!D25+'2026 Detail'!D26</f>
        <v>47260</v>
      </c>
      <c r="E15" s="38">
        <f>+'2026 Detail'!E25+'2026 Detail'!E26</f>
        <v>47734</v>
      </c>
      <c r="F15" s="38">
        <f>+'2026 Detail'!F25+'2026 Detail'!F26</f>
        <v>34734</v>
      </c>
      <c r="G15" s="38">
        <f>+'2026 Detail'!G25+'2026 Detail'!G26</f>
        <v>34734</v>
      </c>
      <c r="H15" s="38">
        <f>+'2026 Detail'!H25+'2026 Detail'!H26</f>
        <v>34734</v>
      </c>
      <c r="I15" s="38">
        <f>+'2026 Detail'!I25+'2026 Detail'!I26</f>
        <v>34734</v>
      </c>
      <c r="J15" s="38">
        <f>+'2026 Detail'!J25+'2026 Detail'!J26</f>
        <v>34734</v>
      </c>
      <c r="K15" s="38">
        <f>+'2026 Detail'!K25+'2026 Detail'!K26</f>
        <v>34734</v>
      </c>
      <c r="L15" s="38">
        <f>+'2026 Detail'!L25+'2026 Detail'!L26</f>
        <v>34734</v>
      </c>
      <c r="M15" s="38">
        <f>+'2026 Detail'!M25+'2026 Detail'!M26</f>
        <v>34734</v>
      </c>
      <c r="N15" s="38">
        <f>+'2026 Detail'!N25+'2026 Detail'!N26</f>
        <v>34734</v>
      </c>
      <c r="O15" s="4"/>
      <c r="P15" s="4">
        <f t="shared" si="4"/>
        <v>142254</v>
      </c>
      <c r="Q15" s="4">
        <f t="shared" si="5"/>
        <v>104202</v>
      </c>
      <c r="R15" s="4">
        <f t="shared" si="6"/>
        <v>104202</v>
      </c>
      <c r="S15" s="4">
        <f t="shared" si="7"/>
        <v>104202</v>
      </c>
      <c r="T15" s="4"/>
      <c r="U15" s="4">
        <f t="shared" si="8"/>
        <v>454860</v>
      </c>
      <c r="W15" s="25">
        <f t="shared" si="9"/>
        <v>0</v>
      </c>
      <c r="Z15" s="4"/>
    </row>
    <row r="16" spans="2:26" x14ac:dyDescent="0.2">
      <c r="B16" s="7" t="s">
        <v>140</v>
      </c>
      <c r="C16" s="38">
        <f>+'2026 Detail'!C27+'2026 Detail'!C28</f>
        <v>74520</v>
      </c>
      <c r="D16" s="38">
        <f>+'2026 Detail'!D27+'2026 Detail'!D28</f>
        <v>99357.75</v>
      </c>
      <c r="E16" s="38">
        <f>+'2026 Detail'!E27+'2026 Detail'!E28</f>
        <v>75498</v>
      </c>
      <c r="F16" s="38">
        <f>+'2026 Detail'!F27+'2026 Detail'!F28</f>
        <v>75498</v>
      </c>
      <c r="G16" s="38">
        <f>+'2026 Detail'!G27+'2026 Detail'!G28</f>
        <v>75498</v>
      </c>
      <c r="H16" s="38">
        <f>+'2026 Detail'!H27+'2026 Detail'!H28</f>
        <v>75498</v>
      </c>
      <c r="I16" s="38">
        <f>+'2026 Detail'!I27+'2026 Detail'!I28</f>
        <v>75498</v>
      </c>
      <c r="J16" s="38">
        <f>+'2026 Detail'!J27+'2026 Detail'!J28</f>
        <v>75498</v>
      </c>
      <c r="K16" s="38">
        <f>+'2026 Detail'!K27+'2026 Detail'!K28</f>
        <v>75498</v>
      </c>
      <c r="L16" s="38">
        <f>+'2026 Detail'!L27+'2026 Detail'!L28</f>
        <v>75498</v>
      </c>
      <c r="M16" s="38">
        <f>+'2026 Detail'!M27+'2026 Detail'!M28</f>
        <v>75498</v>
      </c>
      <c r="N16" s="38">
        <f>+'2026 Detail'!N27+'2026 Detail'!N28</f>
        <v>75498</v>
      </c>
      <c r="O16" s="4"/>
      <c r="P16" s="4">
        <f t="shared" si="4"/>
        <v>249375.75</v>
      </c>
      <c r="Q16" s="4">
        <f t="shared" si="5"/>
        <v>226494</v>
      </c>
      <c r="R16" s="4">
        <f t="shared" si="6"/>
        <v>226494</v>
      </c>
      <c r="S16" s="4">
        <f t="shared" si="7"/>
        <v>226494</v>
      </c>
      <c r="T16" s="4"/>
      <c r="U16" s="4">
        <f t="shared" si="8"/>
        <v>928857.75</v>
      </c>
      <c r="W16" s="25">
        <f t="shared" si="9"/>
        <v>0</v>
      </c>
      <c r="Z16" s="4"/>
    </row>
    <row r="17" spans="2:26" x14ac:dyDescent="0.2">
      <c r="B17" s="8" t="s">
        <v>93</v>
      </c>
      <c r="C17" s="34">
        <f t="shared" ref="C17:N17" si="10">SUM(C14:C16)</f>
        <v>132380</v>
      </c>
      <c r="D17" s="34">
        <f t="shared" si="10"/>
        <v>157217.75</v>
      </c>
      <c r="E17" s="34">
        <f t="shared" si="10"/>
        <v>133832</v>
      </c>
      <c r="F17" s="34">
        <f t="shared" si="10"/>
        <v>120832</v>
      </c>
      <c r="G17" s="34">
        <f t="shared" si="10"/>
        <v>120832</v>
      </c>
      <c r="H17" s="34">
        <f t="shared" si="10"/>
        <v>120832</v>
      </c>
      <c r="I17" s="34">
        <f t="shared" si="10"/>
        <v>120832</v>
      </c>
      <c r="J17" s="34">
        <f t="shared" si="10"/>
        <v>120832</v>
      </c>
      <c r="K17" s="34">
        <f t="shared" si="10"/>
        <v>120832</v>
      </c>
      <c r="L17" s="34">
        <f t="shared" si="10"/>
        <v>120832</v>
      </c>
      <c r="M17" s="34">
        <f t="shared" si="10"/>
        <v>120832</v>
      </c>
      <c r="N17" s="34">
        <f t="shared" si="10"/>
        <v>120832</v>
      </c>
      <c r="O17" s="34"/>
      <c r="P17" s="34">
        <f>SUM(P14:P16)</f>
        <v>423429.75</v>
      </c>
      <c r="Q17" s="34">
        <f>SUM(Q14:Q16)</f>
        <v>362496</v>
      </c>
      <c r="R17" s="34">
        <f>SUM(R14:R16)</f>
        <v>362496</v>
      </c>
      <c r="S17" s="34">
        <f>SUM(S14:S16)</f>
        <v>362496</v>
      </c>
      <c r="T17" s="34"/>
      <c r="U17" s="34">
        <f>SUM(U14:U16)</f>
        <v>1510917.75</v>
      </c>
      <c r="W17" s="25">
        <f t="shared" si="9"/>
        <v>0</v>
      </c>
      <c r="Z17" s="4"/>
    </row>
    <row r="18" spans="2:26" x14ac:dyDescent="0.2"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W18" s="25"/>
      <c r="Z18" s="4"/>
    </row>
    <row r="19" spans="2:26" x14ac:dyDescent="0.2">
      <c r="B19" s="7" t="s">
        <v>103</v>
      </c>
      <c r="C19" s="38">
        <f>+'2026 Detail'!C33</f>
        <v>67260</v>
      </c>
      <c r="D19" s="38">
        <f>+'2026 Detail'!D33</f>
        <v>218460</v>
      </c>
      <c r="E19" s="38">
        <f>+'2026 Detail'!E33</f>
        <v>67260</v>
      </c>
      <c r="F19" s="38">
        <f>+'2026 Detail'!F33</f>
        <v>65760</v>
      </c>
      <c r="G19" s="38">
        <f>+'2026 Detail'!G33</f>
        <v>65760</v>
      </c>
      <c r="H19" s="38">
        <f>+'2026 Detail'!H33</f>
        <v>65760</v>
      </c>
      <c r="I19" s="38">
        <f>+'2026 Detail'!I33</f>
        <v>65260</v>
      </c>
      <c r="J19" s="38">
        <f>+'2026 Detail'!J33</f>
        <v>65260</v>
      </c>
      <c r="K19" s="38">
        <f>+'2026 Detail'!K33</f>
        <v>65260</v>
      </c>
      <c r="L19" s="38">
        <f>+'2026 Detail'!L33</f>
        <v>65260</v>
      </c>
      <c r="M19" s="38">
        <f>+'2026 Detail'!M33</f>
        <v>65260</v>
      </c>
      <c r="N19" s="38">
        <f>+'2026 Detail'!N33</f>
        <v>65260</v>
      </c>
      <c r="O19" s="4"/>
      <c r="P19" s="4">
        <f>SUM(C19:E19)</f>
        <v>352980</v>
      </c>
      <c r="Q19" s="4">
        <f>SUM(F19:H19)</f>
        <v>197280</v>
      </c>
      <c r="R19" s="4">
        <f>SUM(I19:K19)</f>
        <v>195780</v>
      </c>
      <c r="S19" s="4">
        <f>SUM(L19:N19)</f>
        <v>195780</v>
      </c>
      <c r="T19" s="4"/>
      <c r="U19" s="4">
        <f>SUM(C19:N19)</f>
        <v>941820</v>
      </c>
      <c r="W19" s="25">
        <f t="shared" ref="W19:W20" si="11">ROUND(SUM(P19:S19)-U19,2)</f>
        <v>0</v>
      </c>
      <c r="Z19" s="4"/>
    </row>
    <row r="20" spans="2:26" x14ac:dyDescent="0.2">
      <c r="B20" s="8" t="s">
        <v>96</v>
      </c>
      <c r="C20" s="34">
        <f t="shared" ref="C20:N20" si="12">SUM(C19:C19)</f>
        <v>67260</v>
      </c>
      <c r="D20" s="34">
        <f t="shared" si="12"/>
        <v>218460</v>
      </c>
      <c r="E20" s="34">
        <f t="shared" si="12"/>
        <v>67260</v>
      </c>
      <c r="F20" s="34">
        <f t="shared" si="12"/>
        <v>65760</v>
      </c>
      <c r="G20" s="34">
        <f t="shared" si="12"/>
        <v>65760</v>
      </c>
      <c r="H20" s="34">
        <f t="shared" si="12"/>
        <v>65760</v>
      </c>
      <c r="I20" s="34">
        <f t="shared" si="12"/>
        <v>65260</v>
      </c>
      <c r="J20" s="34">
        <f t="shared" si="12"/>
        <v>65260</v>
      </c>
      <c r="K20" s="34">
        <f t="shared" si="12"/>
        <v>65260</v>
      </c>
      <c r="L20" s="34">
        <f t="shared" si="12"/>
        <v>65260</v>
      </c>
      <c r="M20" s="34">
        <f t="shared" si="12"/>
        <v>65260</v>
      </c>
      <c r="N20" s="34">
        <f t="shared" si="12"/>
        <v>65260</v>
      </c>
      <c r="O20" s="34"/>
      <c r="P20" s="34">
        <f>SUM(P19:P19)</f>
        <v>352980</v>
      </c>
      <c r="Q20" s="34">
        <f>SUM(Q19:Q19)</f>
        <v>197280</v>
      </c>
      <c r="R20" s="34">
        <f>SUM(R19:R19)</f>
        <v>195780</v>
      </c>
      <c r="S20" s="34">
        <f>SUM(S19:S19)</f>
        <v>195780</v>
      </c>
      <c r="T20" s="34"/>
      <c r="U20" s="34">
        <f>SUM(U19:U19)</f>
        <v>941820</v>
      </c>
      <c r="W20" s="25">
        <f t="shared" si="11"/>
        <v>0</v>
      </c>
    </row>
    <row r="21" spans="2:26" x14ac:dyDescent="0.2"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W21" s="25"/>
      <c r="Z21" s="4"/>
    </row>
    <row r="22" spans="2:26" x14ac:dyDescent="0.2">
      <c r="B22" s="7" t="s">
        <v>34</v>
      </c>
      <c r="C22" s="38">
        <f>+'2026 Detail'!C35</f>
        <v>3550</v>
      </c>
      <c r="D22" s="38">
        <f>+'2026 Detail'!D35</f>
        <v>3550</v>
      </c>
      <c r="E22" s="38">
        <f>+'2026 Detail'!E35</f>
        <v>3550</v>
      </c>
      <c r="F22" s="38">
        <f>+'2026 Detail'!F35</f>
        <v>3550</v>
      </c>
      <c r="G22" s="38">
        <f>+'2026 Detail'!G35</f>
        <v>3550</v>
      </c>
      <c r="H22" s="38">
        <f>+'2026 Detail'!H35</f>
        <v>3550</v>
      </c>
      <c r="I22" s="38">
        <f>+'2026 Detail'!I35</f>
        <v>3550</v>
      </c>
      <c r="J22" s="38">
        <f>+'2026 Detail'!J35</f>
        <v>3550</v>
      </c>
      <c r="K22" s="38">
        <f>+'2026 Detail'!K35</f>
        <v>3550</v>
      </c>
      <c r="L22" s="38">
        <f>+'2026 Detail'!L35</f>
        <v>3550</v>
      </c>
      <c r="M22" s="38">
        <f>+'2026 Detail'!M35</f>
        <v>3550</v>
      </c>
      <c r="N22" s="38">
        <f>+'2026 Detail'!N35</f>
        <v>3550</v>
      </c>
      <c r="O22" s="4"/>
      <c r="P22" s="4">
        <f t="shared" ref="P22:P30" si="13">SUM(C22:E22)</f>
        <v>10650</v>
      </c>
      <c r="Q22" s="4">
        <f t="shared" ref="Q22:Q30" si="14">SUM(F22:H22)</f>
        <v>10650</v>
      </c>
      <c r="R22" s="4">
        <f t="shared" ref="R22:R30" si="15">SUM(I22:K22)</f>
        <v>10650</v>
      </c>
      <c r="S22" s="4">
        <f t="shared" ref="S22:S30" si="16">SUM(L22:N22)</f>
        <v>10650</v>
      </c>
      <c r="T22" s="4"/>
      <c r="U22" s="4">
        <f t="shared" ref="U22:U30" si="17">SUM(C22:N22)</f>
        <v>42600</v>
      </c>
      <c r="W22" s="25">
        <f t="shared" ref="W22:W31" si="18">ROUND(SUM(P22:S22)-U22,2)</f>
        <v>0</v>
      </c>
      <c r="Z22" s="4"/>
    </row>
    <row r="23" spans="2:26" x14ac:dyDescent="0.2">
      <c r="B23" s="7" t="s">
        <v>17</v>
      </c>
      <c r="C23" s="38">
        <f>+'2026 Detail'!C36</f>
        <v>4060.2450000000003</v>
      </c>
      <c r="D23" s="38">
        <f>+'2026 Detail'!D36</f>
        <v>4804.6949999999997</v>
      </c>
      <c r="E23" s="38">
        <f>+'2026 Detail'!E36</f>
        <v>13162.9575</v>
      </c>
      <c r="F23" s="38">
        <f>+'2026 Detail'!F36</f>
        <v>11670.067500000001</v>
      </c>
      <c r="G23" s="38">
        <f>+'2026 Detail'!G36</f>
        <v>26012.721000000005</v>
      </c>
      <c r="H23" s="38">
        <f>+'2026 Detail'!H36</f>
        <v>24274.236000000001</v>
      </c>
      <c r="I23" s="38">
        <f>+'2026 Detail'!I36</f>
        <v>23138.230500000001</v>
      </c>
      <c r="J23" s="38">
        <f>+'2026 Detail'!J36</f>
        <v>96432.766499999998</v>
      </c>
      <c r="K23" s="38">
        <f>+'2026 Detail'!K36</f>
        <v>10803.943499999998</v>
      </c>
      <c r="L23" s="38">
        <f>+'2026 Detail'!L36</f>
        <v>25464.211500000001</v>
      </c>
      <c r="M23" s="38">
        <f>+'2026 Detail'!M36</f>
        <v>12659.041499999999</v>
      </c>
      <c r="N23" s="38">
        <f>+'2026 Detail'!N36</f>
        <v>12600</v>
      </c>
      <c r="O23" s="4"/>
      <c r="P23" s="4">
        <f t="shared" si="13"/>
        <v>22027.897499999999</v>
      </c>
      <c r="Q23" s="4">
        <f t="shared" si="14"/>
        <v>61957.024500000014</v>
      </c>
      <c r="R23" s="4">
        <f t="shared" si="15"/>
        <v>130374.9405</v>
      </c>
      <c r="S23" s="4">
        <f t="shared" si="16"/>
        <v>50723.252999999997</v>
      </c>
      <c r="T23" s="4"/>
      <c r="U23" s="4">
        <f t="shared" si="17"/>
        <v>265083.11549999996</v>
      </c>
      <c r="W23" s="25">
        <f t="shared" si="18"/>
        <v>0</v>
      </c>
      <c r="Z23" s="4"/>
    </row>
    <row r="24" spans="2:26" x14ac:dyDescent="0.2">
      <c r="B24" s="7" t="s">
        <v>28</v>
      </c>
      <c r="C24" s="38">
        <f>+'2026 Detail'!C37</f>
        <v>750</v>
      </c>
      <c r="D24" s="38">
        <f>+'2026 Detail'!D37</f>
        <v>750</v>
      </c>
      <c r="E24" s="38">
        <f>+'2026 Detail'!E37</f>
        <v>750</v>
      </c>
      <c r="F24" s="38">
        <f>+'2026 Detail'!F37</f>
        <v>750</v>
      </c>
      <c r="G24" s="38">
        <f>+'2026 Detail'!G37</f>
        <v>750</v>
      </c>
      <c r="H24" s="38">
        <f>+'2026 Detail'!H37</f>
        <v>750</v>
      </c>
      <c r="I24" s="38">
        <f>+'2026 Detail'!I37</f>
        <v>750</v>
      </c>
      <c r="J24" s="38">
        <f>+'2026 Detail'!J37</f>
        <v>750</v>
      </c>
      <c r="K24" s="38">
        <f>+'2026 Detail'!K37</f>
        <v>750</v>
      </c>
      <c r="L24" s="38">
        <f>+'2026 Detail'!L37</f>
        <v>750</v>
      </c>
      <c r="M24" s="38">
        <f>+'2026 Detail'!M37</f>
        <v>750</v>
      </c>
      <c r="N24" s="38">
        <f>+'2026 Detail'!N37</f>
        <v>750</v>
      </c>
      <c r="O24" s="4"/>
      <c r="P24" s="4">
        <f t="shared" si="13"/>
        <v>2250</v>
      </c>
      <c r="Q24" s="4">
        <f t="shared" si="14"/>
        <v>2250</v>
      </c>
      <c r="R24" s="4">
        <f t="shared" si="15"/>
        <v>2250</v>
      </c>
      <c r="S24" s="4">
        <f t="shared" si="16"/>
        <v>2250</v>
      </c>
      <c r="T24" s="4"/>
      <c r="U24" s="4">
        <f t="shared" si="17"/>
        <v>9000</v>
      </c>
      <c r="W24" s="25">
        <f t="shared" si="18"/>
        <v>0</v>
      </c>
    </row>
    <row r="25" spans="2:26" x14ac:dyDescent="0.2">
      <c r="B25" s="7" t="s">
        <v>18</v>
      </c>
      <c r="C25" s="38">
        <f>+'2026 Detail'!C38</f>
        <v>511.87910000000005</v>
      </c>
      <c r="D25" s="38">
        <f>+'2026 Detail'!D38</f>
        <v>8528.5853999999999</v>
      </c>
      <c r="E25" s="38">
        <f>+'2026 Detail'!E38</f>
        <v>3182.5867000000003</v>
      </c>
      <c r="F25" s="38">
        <f>+'2026 Detail'!F38</f>
        <v>9254.4367000000002</v>
      </c>
      <c r="G25" s="38">
        <f>+'2026 Detail'!G38</f>
        <v>1593.9765000000002</v>
      </c>
      <c r="H25" s="38">
        <f>+'2026 Detail'!H38</f>
        <v>3130.6747</v>
      </c>
      <c r="I25" s="38">
        <f>+'2026 Detail'!I38</f>
        <v>5747.6472000000012</v>
      </c>
      <c r="J25" s="38">
        <f>+'2026 Detail'!J38</f>
        <v>1836.7372000000003</v>
      </c>
      <c r="K25" s="38">
        <f>+'2026 Detail'!K38</f>
        <v>3130.6747</v>
      </c>
      <c r="L25" s="38">
        <f>+'2026 Detail'!L38</f>
        <v>5992.3340000000007</v>
      </c>
      <c r="M25" s="38">
        <f>+'2026 Detail'!M38</f>
        <v>1836.7372000000003</v>
      </c>
      <c r="N25" s="38">
        <f>+'2026 Detail'!N38</f>
        <v>2575</v>
      </c>
      <c r="O25" s="4"/>
      <c r="P25" s="4">
        <f t="shared" si="13"/>
        <v>12223.0512</v>
      </c>
      <c r="Q25" s="4">
        <f t="shared" si="14"/>
        <v>13979.0879</v>
      </c>
      <c r="R25" s="4">
        <f t="shared" si="15"/>
        <v>10715.059100000002</v>
      </c>
      <c r="S25" s="4">
        <f t="shared" si="16"/>
        <v>10404.071200000002</v>
      </c>
      <c r="T25" s="4"/>
      <c r="U25" s="4">
        <f t="shared" si="17"/>
        <v>47321.269400000012</v>
      </c>
      <c r="W25" s="25">
        <f t="shared" si="18"/>
        <v>0</v>
      </c>
    </row>
    <row r="26" spans="2:26" x14ac:dyDescent="0.2">
      <c r="B26" s="7" t="s">
        <v>29</v>
      </c>
      <c r="C26" s="38">
        <f>+'2026 Detail'!C39</f>
        <v>12500</v>
      </c>
      <c r="D26" s="38">
        <f>+'2026 Detail'!D39</f>
        <v>12500</v>
      </c>
      <c r="E26" s="38">
        <f>+'2026 Detail'!E39</f>
        <v>12500</v>
      </c>
      <c r="F26" s="38">
        <f>+'2026 Detail'!F39</f>
        <v>10000</v>
      </c>
      <c r="G26" s="38">
        <f>+'2026 Detail'!G39</f>
        <v>10000</v>
      </c>
      <c r="H26" s="38">
        <f>+'2026 Detail'!H39</f>
        <v>10000</v>
      </c>
      <c r="I26" s="38">
        <f>+'2026 Detail'!I39</f>
        <v>8000</v>
      </c>
      <c r="J26" s="38">
        <f>+'2026 Detail'!J39</f>
        <v>8000</v>
      </c>
      <c r="K26" s="38">
        <f>+'2026 Detail'!K39</f>
        <v>8000</v>
      </c>
      <c r="L26" s="38">
        <f>+'2026 Detail'!L39</f>
        <v>8000</v>
      </c>
      <c r="M26" s="38">
        <f>+'2026 Detail'!M39</f>
        <v>8000</v>
      </c>
      <c r="N26" s="38">
        <f>+'2026 Detail'!N39</f>
        <v>8000</v>
      </c>
      <c r="O26" s="4"/>
      <c r="P26" s="4">
        <f t="shared" si="13"/>
        <v>37500</v>
      </c>
      <c r="Q26" s="4">
        <f t="shared" si="14"/>
        <v>30000</v>
      </c>
      <c r="R26" s="4">
        <f t="shared" si="15"/>
        <v>24000</v>
      </c>
      <c r="S26" s="4">
        <f t="shared" si="16"/>
        <v>24000</v>
      </c>
      <c r="T26" s="4"/>
      <c r="U26" s="4">
        <f t="shared" si="17"/>
        <v>115500</v>
      </c>
      <c r="W26" s="25">
        <f t="shared" si="18"/>
        <v>0</v>
      </c>
    </row>
    <row r="27" spans="2:26" x14ac:dyDescent="0.2">
      <c r="B27" s="7" t="s">
        <v>32</v>
      </c>
      <c r="C27" s="38">
        <f>+'2026 Detail'!C40</f>
        <v>2500</v>
      </c>
      <c r="D27" s="38">
        <f>+'2026 Detail'!D40</f>
        <v>1500</v>
      </c>
      <c r="E27" s="38">
        <f>+'2026 Detail'!E40</f>
        <v>2000</v>
      </c>
      <c r="F27" s="38">
        <f>+'2026 Detail'!F40</f>
        <v>1500</v>
      </c>
      <c r="G27" s="38">
        <f>+'2026 Detail'!G40</f>
        <v>1500</v>
      </c>
      <c r="H27" s="38">
        <f>+'2026 Detail'!H40</f>
        <v>2000</v>
      </c>
      <c r="I27" s="38">
        <f>+'2026 Detail'!I40</f>
        <v>1500</v>
      </c>
      <c r="J27" s="38">
        <f>+'2026 Detail'!J40</f>
        <v>1500</v>
      </c>
      <c r="K27" s="38">
        <f>+'2026 Detail'!K40</f>
        <v>2000</v>
      </c>
      <c r="L27" s="38">
        <f>+'2026 Detail'!L40</f>
        <v>1500</v>
      </c>
      <c r="M27" s="38">
        <f>+'2026 Detail'!M40</f>
        <v>1500</v>
      </c>
      <c r="N27" s="38">
        <f>+'2026 Detail'!N40</f>
        <v>2000</v>
      </c>
      <c r="O27" s="4"/>
      <c r="P27" s="4">
        <f t="shared" si="13"/>
        <v>6000</v>
      </c>
      <c r="Q27" s="4">
        <f t="shared" si="14"/>
        <v>5000</v>
      </c>
      <c r="R27" s="4">
        <f t="shared" si="15"/>
        <v>5000</v>
      </c>
      <c r="S27" s="4">
        <f t="shared" si="16"/>
        <v>5000</v>
      </c>
      <c r="T27" s="4"/>
      <c r="U27" s="4">
        <f t="shared" si="17"/>
        <v>21000</v>
      </c>
      <c r="W27" s="25">
        <f t="shared" si="18"/>
        <v>0</v>
      </c>
    </row>
    <row r="28" spans="2:26" x14ac:dyDescent="0.2">
      <c r="B28" s="7" t="s">
        <v>31</v>
      </c>
      <c r="C28" s="38">
        <f>+'2026 Detail'!C41</f>
        <v>5000</v>
      </c>
      <c r="D28" s="38">
        <f>+'2026 Detail'!D41</f>
        <v>5000</v>
      </c>
      <c r="E28" s="38">
        <f>+'2026 Detail'!E41</f>
        <v>5000</v>
      </c>
      <c r="F28" s="38">
        <f>+'2026 Detail'!F41</f>
        <v>5000</v>
      </c>
      <c r="G28" s="38">
        <f>+'2026 Detail'!G41</f>
        <v>5000</v>
      </c>
      <c r="H28" s="38">
        <f>+'2026 Detail'!H41</f>
        <v>5000</v>
      </c>
      <c r="I28" s="38">
        <f>+'2026 Detail'!I41</f>
        <v>5000</v>
      </c>
      <c r="J28" s="38">
        <f>+'2026 Detail'!J41</f>
        <v>5000</v>
      </c>
      <c r="K28" s="38">
        <f>+'2026 Detail'!K41</f>
        <v>5000</v>
      </c>
      <c r="L28" s="38">
        <f>+'2026 Detail'!L41</f>
        <v>5000</v>
      </c>
      <c r="M28" s="38">
        <f>+'2026 Detail'!M41</f>
        <v>5000</v>
      </c>
      <c r="N28" s="38">
        <f>+'2026 Detail'!N41</f>
        <v>5000</v>
      </c>
      <c r="O28" s="4"/>
      <c r="P28" s="4">
        <f t="shared" si="13"/>
        <v>15000</v>
      </c>
      <c r="Q28" s="4">
        <f t="shared" si="14"/>
        <v>15000</v>
      </c>
      <c r="R28" s="4">
        <f t="shared" si="15"/>
        <v>15000</v>
      </c>
      <c r="S28" s="4">
        <f t="shared" si="16"/>
        <v>15000</v>
      </c>
      <c r="T28" s="4"/>
      <c r="U28" s="4">
        <f t="shared" si="17"/>
        <v>60000</v>
      </c>
      <c r="W28" s="25">
        <f t="shared" si="18"/>
        <v>0</v>
      </c>
    </row>
    <row r="29" spans="2:26" x14ac:dyDescent="0.2">
      <c r="B29" s="7" t="s">
        <v>62</v>
      </c>
      <c r="C29" s="38">
        <f>+'2026 Detail'!C42</f>
        <v>250</v>
      </c>
      <c r="D29" s="38">
        <f>+'2026 Detail'!D42</f>
        <v>250</v>
      </c>
      <c r="E29" s="38">
        <f>+'2026 Detail'!E42</f>
        <v>250</v>
      </c>
      <c r="F29" s="38">
        <f>+'2026 Detail'!F42</f>
        <v>250</v>
      </c>
      <c r="G29" s="38">
        <f>+'2026 Detail'!G42</f>
        <v>250</v>
      </c>
      <c r="H29" s="38">
        <f>+'2026 Detail'!H42</f>
        <v>250</v>
      </c>
      <c r="I29" s="38">
        <f>+'2026 Detail'!I42</f>
        <v>250</v>
      </c>
      <c r="J29" s="38">
        <f>+'2026 Detail'!J42</f>
        <v>250</v>
      </c>
      <c r="K29" s="38">
        <f>+'2026 Detail'!K42</f>
        <v>250</v>
      </c>
      <c r="L29" s="38">
        <f>+'2026 Detail'!L42</f>
        <v>250</v>
      </c>
      <c r="M29" s="38">
        <f>+'2026 Detail'!M42</f>
        <v>250</v>
      </c>
      <c r="N29" s="38">
        <f>+'2026 Detail'!N42</f>
        <v>250</v>
      </c>
      <c r="O29" s="4"/>
      <c r="P29" s="4">
        <f t="shared" si="13"/>
        <v>750</v>
      </c>
      <c r="Q29" s="4">
        <f t="shared" si="14"/>
        <v>750</v>
      </c>
      <c r="R29" s="4">
        <f t="shared" si="15"/>
        <v>750</v>
      </c>
      <c r="S29" s="4">
        <f t="shared" si="16"/>
        <v>750</v>
      </c>
      <c r="T29" s="4"/>
      <c r="U29" s="4">
        <f t="shared" si="17"/>
        <v>3000</v>
      </c>
      <c r="W29" s="25">
        <f t="shared" si="18"/>
        <v>0</v>
      </c>
    </row>
    <row r="30" spans="2:26" x14ac:dyDescent="0.2">
      <c r="B30" s="7" t="s">
        <v>22</v>
      </c>
      <c r="C30" s="38">
        <f>+'2026 Detail'!C43</f>
        <v>15000</v>
      </c>
      <c r="D30" s="38">
        <f>+'2026 Detail'!D43</f>
        <v>15000</v>
      </c>
      <c r="E30" s="38">
        <f>+'2026 Detail'!E43</f>
        <v>15000</v>
      </c>
      <c r="F30" s="38">
        <f>+'2026 Detail'!F43</f>
        <v>15000</v>
      </c>
      <c r="G30" s="38">
        <f>+'2026 Detail'!G43</f>
        <v>15000</v>
      </c>
      <c r="H30" s="38">
        <f>+'2026 Detail'!H43</f>
        <v>15000</v>
      </c>
      <c r="I30" s="38">
        <f>+'2026 Detail'!I43</f>
        <v>15000</v>
      </c>
      <c r="J30" s="38">
        <f>+'2026 Detail'!J43</f>
        <v>15000</v>
      </c>
      <c r="K30" s="38">
        <f>+'2026 Detail'!K43</f>
        <v>15000</v>
      </c>
      <c r="L30" s="38">
        <f>+'2026 Detail'!L43</f>
        <v>15000</v>
      </c>
      <c r="M30" s="38">
        <f>+'2026 Detail'!M43</f>
        <v>15000</v>
      </c>
      <c r="N30" s="38">
        <f>+'2026 Detail'!N43</f>
        <v>15000</v>
      </c>
      <c r="O30" s="4"/>
      <c r="P30" s="4">
        <f t="shared" si="13"/>
        <v>45000</v>
      </c>
      <c r="Q30" s="4">
        <f t="shared" si="14"/>
        <v>45000</v>
      </c>
      <c r="R30" s="4">
        <f t="shared" si="15"/>
        <v>45000</v>
      </c>
      <c r="S30" s="4">
        <f t="shared" si="16"/>
        <v>45000</v>
      </c>
      <c r="T30" s="4"/>
      <c r="U30" s="4">
        <f t="shared" si="17"/>
        <v>180000</v>
      </c>
      <c r="W30" s="25">
        <f t="shared" si="18"/>
        <v>0</v>
      </c>
    </row>
    <row r="31" spans="2:26" x14ac:dyDescent="0.2">
      <c r="B31" s="8" t="s">
        <v>97</v>
      </c>
      <c r="C31" s="34">
        <f t="shared" ref="C31:N31" si="19">SUM(C22:C30)</f>
        <v>44122.124100000001</v>
      </c>
      <c r="D31" s="34">
        <f t="shared" si="19"/>
        <v>51883.280400000003</v>
      </c>
      <c r="E31" s="34">
        <f t="shared" si="19"/>
        <v>55395.544200000004</v>
      </c>
      <c r="F31" s="34">
        <f t="shared" si="19"/>
        <v>56974.504200000003</v>
      </c>
      <c r="G31" s="34">
        <f t="shared" si="19"/>
        <v>63656.697500000009</v>
      </c>
      <c r="H31" s="34">
        <f t="shared" si="19"/>
        <v>63954.9107</v>
      </c>
      <c r="I31" s="34">
        <f t="shared" si="19"/>
        <v>62935.877700000005</v>
      </c>
      <c r="J31" s="34">
        <f t="shared" si="19"/>
        <v>132319.5037</v>
      </c>
      <c r="K31" s="34">
        <f t="shared" si="19"/>
        <v>48484.618199999997</v>
      </c>
      <c r="L31" s="34">
        <f t="shared" si="19"/>
        <v>65506.5455</v>
      </c>
      <c r="M31" s="34">
        <f t="shared" si="19"/>
        <v>48545.778699999995</v>
      </c>
      <c r="N31" s="34">
        <f t="shared" si="19"/>
        <v>49725</v>
      </c>
      <c r="O31" s="34"/>
      <c r="P31" s="34">
        <f>SUM(P22:P30)</f>
        <v>151400.94870000001</v>
      </c>
      <c r="Q31" s="34">
        <f>SUM(Q22:Q30)</f>
        <v>184586.11240000001</v>
      </c>
      <c r="R31" s="34">
        <f>SUM(R22:R30)</f>
        <v>243739.99960000001</v>
      </c>
      <c r="S31" s="34">
        <f>SUM(S22:S30)</f>
        <v>163777.3242</v>
      </c>
      <c r="T31" s="34"/>
      <c r="U31" s="34">
        <f>SUM(U22:U30)</f>
        <v>743504.38489999995</v>
      </c>
      <c r="W31" s="25">
        <f t="shared" si="18"/>
        <v>0</v>
      </c>
    </row>
    <row r="32" spans="2:26" x14ac:dyDescent="0.2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W32" s="25"/>
    </row>
    <row r="33" spans="2:26" x14ac:dyDescent="0.2">
      <c r="B33" s="8" t="s">
        <v>43</v>
      </c>
      <c r="C33" s="34">
        <f t="shared" ref="C33:N33" si="20">+C12+C17+C20+C31</f>
        <v>468472.12410000002</v>
      </c>
      <c r="D33" s="34">
        <f t="shared" si="20"/>
        <v>890053.56714000006</v>
      </c>
      <c r="E33" s="34">
        <f t="shared" si="20"/>
        <v>485205.84419999999</v>
      </c>
      <c r="F33" s="34">
        <f t="shared" si="20"/>
        <v>466284.80420000001</v>
      </c>
      <c r="G33" s="34">
        <f t="shared" si="20"/>
        <v>472966.9975</v>
      </c>
      <c r="H33" s="34">
        <f t="shared" si="20"/>
        <v>473265.2107</v>
      </c>
      <c r="I33" s="34">
        <f t="shared" si="20"/>
        <v>465246.1777</v>
      </c>
      <c r="J33" s="34">
        <f t="shared" si="20"/>
        <v>534629.80370000005</v>
      </c>
      <c r="K33" s="34">
        <f t="shared" si="20"/>
        <v>450794.91819999996</v>
      </c>
      <c r="L33" s="34">
        <f t="shared" si="20"/>
        <v>463316.8455</v>
      </c>
      <c r="M33" s="34">
        <f t="shared" si="20"/>
        <v>446356.07869999995</v>
      </c>
      <c r="N33" s="34">
        <f t="shared" si="20"/>
        <v>447535.3</v>
      </c>
      <c r="O33" s="34"/>
      <c r="P33" s="34">
        <f>+P12+P17+P20+P31</f>
        <v>1843731.5354400002</v>
      </c>
      <c r="Q33" s="34">
        <f>+Q12+Q17+Q20+Q31</f>
        <v>1412517.0123999999</v>
      </c>
      <c r="R33" s="34">
        <f>+R12+R17+R20+R31</f>
        <v>1450670.8995999999</v>
      </c>
      <c r="S33" s="34">
        <f>+S12+S17+S20+S31</f>
        <v>1357208.2241999998</v>
      </c>
      <c r="T33" s="34"/>
      <c r="U33" s="34">
        <f>+U12+U17+U20+U31</f>
        <v>6064127.6716399994</v>
      </c>
      <c r="W33" s="25">
        <f>ROUND(SUM(P33:S33)-U33,2)</f>
        <v>0</v>
      </c>
      <c r="Z33" s="4"/>
    </row>
    <row r="34" spans="2:26" x14ac:dyDescent="0.2">
      <c r="W34" s="25"/>
      <c r="Z34" s="4"/>
    </row>
    <row r="35" spans="2:26" x14ac:dyDescent="0.2">
      <c r="B35" s="7" t="s">
        <v>33</v>
      </c>
      <c r="C35" s="38">
        <f>+'2026 Detail'!C48</f>
        <v>0</v>
      </c>
      <c r="D35" s="38">
        <f>+'2026 Detail'!D48</f>
        <v>0</v>
      </c>
      <c r="E35" s="38">
        <f>+'2026 Detail'!E48</f>
        <v>0</v>
      </c>
      <c r="F35" s="38">
        <f>+'2026 Detail'!F48</f>
        <v>0</v>
      </c>
      <c r="G35" s="38">
        <f>+'2026 Detail'!G48</f>
        <v>0</v>
      </c>
      <c r="H35" s="38">
        <f>+'2026 Detail'!H48</f>
        <v>0</v>
      </c>
      <c r="I35" s="38">
        <f>+'2026 Detail'!I48</f>
        <v>0</v>
      </c>
      <c r="J35" s="38">
        <f>+'2026 Detail'!J48</f>
        <v>0</v>
      </c>
      <c r="K35" s="38">
        <f>+'2026 Detail'!K48</f>
        <v>0</v>
      </c>
      <c r="L35" s="38">
        <f>+'2026 Detail'!L48</f>
        <v>0</v>
      </c>
      <c r="M35" s="38">
        <f>+'2026 Detail'!M48</f>
        <v>0</v>
      </c>
      <c r="N35" s="38">
        <f>+'2026 Detail'!N48</f>
        <v>0</v>
      </c>
      <c r="O35" s="4"/>
      <c r="P35" s="4">
        <f>SUM(C35:E35)</f>
        <v>0</v>
      </c>
      <c r="Q35" s="4">
        <f>SUM(F35:H35)</f>
        <v>0</v>
      </c>
      <c r="R35" s="4">
        <f>SUM(I35:K35)</f>
        <v>0</v>
      </c>
      <c r="S35" s="4">
        <f>SUM(L35:N35)</f>
        <v>0</v>
      </c>
      <c r="T35" s="4"/>
      <c r="U35" s="4">
        <f>SUM(C35:N35)</f>
        <v>0</v>
      </c>
      <c r="W35" s="25">
        <f t="shared" ref="W35:W41" si="21">ROUND(SUM(P35:S35)-U35,2)</f>
        <v>0</v>
      </c>
      <c r="Z35" s="4"/>
    </row>
    <row r="36" spans="2:26" x14ac:dyDescent="0.2">
      <c r="B36" s="7" t="s">
        <v>35</v>
      </c>
      <c r="C36" s="38">
        <f>+'2026 Detail'!C49</f>
        <v>0</v>
      </c>
      <c r="D36" s="38">
        <f>+'2026 Detail'!D49</f>
        <v>0</v>
      </c>
      <c r="E36" s="38">
        <f>+'2026 Detail'!E49</f>
        <v>0</v>
      </c>
      <c r="F36" s="38">
        <f>+'2026 Detail'!F49</f>
        <v>0</v>
      </c>
      <c r="G36" s="38">
        <f>+'2026 Detail'!G49</f>
        <v>0</v>
      </c>
      <c r="H36" s="38">
        <f>+'2026 Detail'!H49</f>
        <v>0</v>
      </c>
      <c r="I36" s="38">
        <f>+'2026 Detail'!I49</f>
        <v>0</v>
      </c>
      <c r="J36" s="38">
        <f>+'2026 Detail'!J49</f>
        <v>0</v>
      </c>
      <c r="K36" s="38">
        <f>+'2026 Detail'!K49</f>
        <v>0</v>
      </c>
      <c r="L36" s="38">
        <f>+'2026 Detail'!L49</f>
        <v>0</v>
      </c>
      <c r="M36" s="38">
        <f>+'2026 Detail'!M49</f>
        <v>0</v>
      </c>
      <c r="N36" s="38">
        <f>+'2026 Detail'!N49</f>
        <v>0</v>
      </c>
      <c r="O36" s="4"/>
      <c r="P36" s="4">
        <f t="shared" ref="P36:P40" si="22">SUM(C36:E36)</f>
        <v>0</v>
      </c>
      <c r="Q36" s="4">
        <f t="shared" ref="Q36:Q40" si="23">SUM(F36:H36)</f>
        <v>0</v>
      </c>
      <c r="R36" s="4">
        <f t="shared" ref="R36:R40" si="24">SUM(I36:K36)</f>
        <v>0</v>
      </c>
      <c r="S36" s="4">
        <f t="shared" ref="S36:S40" si="25">SUM(L36:N36)</f>
        <v>0</v>
      </c>
      <c r="T36" s="4"/>
      <c r="U36" s="4">
        <f t="shared" ref="U36:U40" si="26">SUM(C36:N36)</f>
        <v>0</v>
      </c>
      <c r="W36" s="25">
        <f t="shared" si="21"/>
        <v>0</v>
      </c>
    </row>
    <row r="37" spans="2:26" x14ac:dyDescent="0.2">
      <c r="B37" s="7" t="s">
        <v>16</v>
      </c>
      <c r="C37" s="38">
        <f>+'2026 Detail'!C50</f>
        <v>0</v>
      </c>
      <c r="D37" s="38">
        <f>+'2026 Detail'!D50</f>
        <v>0</v>
      </c>
      <c r="E37" s="38">
        <f>+'2026 Detail'!E50</f>
        <v>0</v>
      </c>
      <c r="F37" s="38">
        <f>+'2026 Detail'!F50</f>
        <v>0</v>
      </c>
      <c r="G37" s="38">
        <f>+'2026 Detail'!G50</f>
        <v>0</v>
      </c>
      <c r="H37" s="38">
        <f>+'2026 Detail'!H50</f>
        <v>0</v>
      </c>
      <c r="I37" s="38">
        <f>+'2026 Detail'!I50</f>
        <v>0</v>
      </c>
      <c r="J37" s="38">
        <f>+'2026 Detail'!J50</f>
        <v>0</v>
      </c>
      <c r="K37" s="38">
        <f>+'2026 Detail'!K50</f>
        <v>0</v>
      </c>
      <c r="L37" s="38">
        <f>+'2026 Detail'!L50</f>
        <v>0</v>
      </c>
      <c r="M37" s="38">
        <f>+'2026 Detail'!M50</f>
        <v>0</v>
      </c>
      <c r="N37" s="38">
        <f>+'2026 Detail'!N50</f>
        <v>0</v>
      </c>
      <c r="O37" s="4"/>
      <c r="P37" s="4">
        <f t="shared" si="22"/>
        <v>0</v>
      </c>
      <c r="Q37" s="4">
        <f t="shared" si="23"/>
        <v>0</v>
      </c>
      <c r="R37" s="4">
        <f t="shared" si="24"/>
        <v>0</v>
      </c>
      <c r="S37" s="4">
        <f t="shared" si="25"/>
        <v>0</v>
      </c>
      <c r="T37" s="4"/>
      <c r="U37" s="4">
        <f t="shared" si="26"/>
        <v>0</v>
      </c>
      <c r="W37" s="25">
        <f t="shared" si="21"/>
        <v>0</v>
      </c>
      <c r="Z37" s="4"/>
    </row>
    <row r="38" spans="2:26" x14ac:dyDescent="0.2">
      <c r="B38" s="7" t="s">
        <v>0</v>
      </c>
      <c r="C38" s="38">
        <f>+'2026 Detail'!C51</f>
        <v>0</v>
      </c>
      <c r="D38" s="38">
        <f>+'2026 Detail'!D51</f>
        <v>0</v>
      </c>
      <c r="E38" s="38">
        <f>+'2026 Detail'!E51</f>
        <v>0</v>
      </c>
      <c r="F38" s="38">
        <f>+'2026 Detail'!F51</f>
        <v>0</v>
      </c>
      <c r="G38" s="38">
        <f>+'2026 Detail'!G51</f>
        <v>0</v>
      </c>
      <c r="H38" s="38">
        <f>+'2026 Detail'!H51</f>
        <v>0</v>
      </c>
      <c r="I38" s="38">
        <f>+'2026 Detail'!I51</f>
        <v>0</v>
      </c>
      <c r="J38" s="38">
        <f>+'2026 Detail'!J51</f>
        <v>0</v>
      </c>
      <c r="K38" s="38">
        <f>+'2026 Detail'!K51</f>
        <v>0</v>
      </c>
      <c r="L38" s="38">
        <f>+'2026 Detail'!L51</f>
        <v>0</v>
      </c>
      <c r="M38" s="38">
        <f>+'2026 Detail'!M51</f>
        <v>0</v>
      </c>
      <c r="N38" s="38">
        <f>+'2026 Detail'!N51</f>
        <v>0</v>
      </c>
      <c r="O38" s="4"/>
      <c r="P38" s="4">
        <f t="shared" si="22"/>
        <v>0</v>
      </c>
      <c r="Q38" s="4">
        <f t="shared" si="23"/>
        <v>0</v>
      </c>
      <c r="R38" s="4">
        <f t="shared" si="24"/>
        <v>0</v>
      </c>
      <c r="S38" s="4">
        <f t="shared" si="25"/>
        <v>0</v>
      </c>
      <c r="T38" s="4"/>
      <c r="U38" s="4">
        <f t="shared" si="26"/>
        <v>0</v>
      </c>
      <c r="W38" s="25">
        <f t="shared" si="21"/>
        <v>0</v>
      </c>
    </row>
    <row r="39" spans="2:26" x14ac:dyDescent="0.2">
      <c r="B39" s="7" t="s">
        <v>840</v>
      </c>
      <c r="C39" s="38">
        <f>+'2026 Detail'!C52</f>
        <v>0</v>
      </c>
      <c r="D39" s="38">
        <f>+'2026 Detail'!D52</f>
        <v>0</v>
      </c>
      <c r="E39" s="38">
        <f>+'2026 Detail'!E52</f>
        <v>0</v>
      </c>
      <c r="F39" s="38">
        <f>+'2026 Detail'!F52</f>
        <v>0</v>
      </c>
      <c r="G39" s="38">
        <f>+'2026 Detail'!G52</f>
        <v>0</v>
      </c>
      <c r="H39" s="38">
        <f>+'2026 Detail'!H52</f>
        <v>0</v>
      </c>
      <c r="I39" s="38">
        <f>+'2026 Detail'!I52</f>
        <v>0</v>
      </c>
      <c r="J39" s="38">
        <f>+'2026 Detail'!J52</f>
        <v>0</v>
      </c>
      <c r="K39" s="38">
        <f>+'2026 Detail'!K52</f>
        <v>0</v>
      </c>
      <c r="L39" s="38">
        <f>+'2026 Detail'!L52</f>
        <v>0</v>
      </c>
      <c r="M39" s="38">
        <f>+'2026 Detail'!M52</f>
        <v>0</v>
      </c>
      <c r="N39" s="38">
        <f>+'2026 Detail'!N52</f>
        <v>0</v>
      </c>
      <c r="O39" s="4"/>
      <c r="P39" s="4">
        <f t="shared" ref="P39" si="27">SUM(C39:E39)</f>
        <v>0</v>
      </c>
      <c r="Q39" s="4">
        <f t="shared" si="23"/>
        <v>0</v>
      </c>
      <c r="R39" s="4">
        <f t="shared" si="24"/>
        <v>0</v>
      </c>
      <c r="S39" s="4">
        <f t="shared" si="25"/>
        <v>0</v>
      </c>
      <c r="T39" s="4"/>
      <c r="U39" s="4">
        <f t="shared" si="26"/>
        <v>0</v>
      </c>
      <c r="W39" s="25">
        <f t="shared" ref="W39" si="28">ROUND(SUM(P39:S39)-U39,2)</f>
        <v>0</v>
      </c>
    </row>
    <row r="40" spans="2:26" x14ac:dyDescent="0.2">
      <c r="B40" s="7" t="s">
        <v>26</v>
      </c>
      <c r="C40" s="38">
        <f>+'2026 Detail'!C53</f>
        <v>-400</v>
      </c>
      <c r="D40" s="38">
        <f>+'2026 Detail'!D53</f>
        <v>-400</v>
      </c>
      <c r="E40" s="38">
        <f>+'2026 Detail'!E53</f>
        <v>-400</v>
      </c>
      <c r="F40" s="38">
        <f>+'2026 Detail'!F53</f>
        <v>-400</v>
      </c>
      <c r="G40" s="38">
        <f>+'2026 Detail'!G53</f>
        <v>-400</v>
      </c>
      <c r="H40" s="38">
        <f>+'2026 Detail'!H53</f>
        <v>-400</v>
      </c>
      <c r="I40" s="38">
        <f>+'2026 Detail'!I53</f>
        <v>-400</v>
      </c>
      <c r="J40" s="38">
        <f>+'2026 Detail'!J53</f>
        <v>-400</v>
      </c>
      <c r="K40" s="38">
        <f>+'2026 Detail'!K53</f>
        <v>-400</v>
      </c>
      <c r="L40" s="38">
        <f>+'2026 Detail'!L53</f>
        <v>-400</v>
      </c>
      <c r="M40" s="38">
        <f>+'2026 Detail'!M53</f>
        <v>-400</v>
      </c>
      <c r="N40" s="38">
        <f>+'2026 Detail'!N53</f>
        <v>-400</v>
      </c>
      <c r="O40" s="4"/>
      <c r="P40" s="4">
        <f t="shared" si="22"/>
        <v>-1200</v>
      </c>
      <c r="Q40" s="4">
        <f t="shared" si="23"/>
        <v>-1200</v>
      </c>
      <c r="R40" s="4">
        <f t="shared" si="24"/>
        <v>-1200</v>
      </c>
      <c r="S40" s="4">
        <f t="shared" si="25"/>
        <v>-1200</v>
      </c>
      <c r="T40" s="4"/>
      <c r="U40" s="4">
        <f t="shared" si="26"/>
        <v>-4800</v>
      </c>
      <c r="W40" s="25">
        <f t="shared" si="21"/>
        <v>0</v>
      </c>
    </row>
    <row r="41" spans="2:26" x14ac:dyDescent="0.2">
      <c r="B41" s="7" t="s">
        <v>48</v>
      </c>
      <c r="C41" s="38">
        <f>+'2026 Detail'!C54</f>
        <v>500</v>
      </c>
      <c r="D41" s="38">
        <f>+'2026 Detail'!D54</f>
        <v>400</v>
      </c>
      <c r="E41" s="38">
        <f>+'2026 Detail'!E54</f>
        <v>100</v>
      </c>
      <c r="F41" s="38">
        <f>+'2026 Detail'!F54</f>
        <v>200</v>
      </c>
      <c r="G41" s="38">
        <f>+'2026 Detail'!G54</f>
        <v>300</v>
      </c>
      <c r="H41" s="38">
        <f>+'2026 Detail'!H54</f>
        <v>200</v>
      </c>
      <c r="I41" s="38">
        <f>+'2026 Detail'!I54</f>
        <v>200</v>
      </c>
      <c r="J41" s="38">
        <f>+'2026 Detail'!J54</f>
        <v>200</v>
      </c>
      <c r="K41" s="38">
        <f>+'2026 Detail'!K54</f>
        <v>200</v>
      </c>
      <c r="L41" s="38">
        <f>+'2026 Detail'!L54</f>
        <v>200</v>
      </c>
      <c r="M41" s="38">
        <f>+'2026 Detail'!M54</f>
        <v>300</v>
      </c>
      <c r="N41" s="38">
        <f>+'2026 Detail'!N54</f>
        <v>400</v>
      </c>
      <c r="O41" s="4"/>
      <c r="P41" s="4">
        <f>SUM(C41:E41)</f>
        <v>1000</v>
      </c>
      <c r="Q41" s="4">
        <f>SUM(F41:H41)</f>
        <v>700</v>
      </c>
      <c r="R41" s="4">
        <f>SUM(I41:K41)</f>
        <v>600</v>
      </c>
      <c r="S41" s="4">
        <f>SUM(L41:N41)</f>
        <v>900</v>
      </c>
      <c r="T41" s="4"/>
      <c r="U41" s="4">
        <f>SUM(C41:N41)</f>
        <v>3200</v>
      </c>
      <c r="W41" s="25">
        <f t="shared" si="21"/>
        <v>0</v>
      </c>
    </row>
    <row r="42" spans="2:26" x14ac:dyDescent="0.2">
      <c r="W42" s="25"/>
    </row>
    <row r="43" spans="2:26" x14ac:dyDescent="0.2">
      <c r="B43" s="1" t="s">
        <v>44</v>
      </c>
      <c r="C43" s="5">
        <f>+'2026 Detail'!C56</f>
        <v>964110.73</v>
      </c>
      <c r="D43" s="5">
        <f>+C48</f>
        <v>785503.21</v>
      </c>
      <c r="E43" s="5">
        <f t="shared" ref="E43:N43" si="29">+D48</f>
        <v>288637.24</v>
      </c>
      <c r="F43" s="5">
        <f t="shared" si="29"/>
        <v>393009</v>
      </c>
      <c r="G43" s="5">
        <f t="shared" si="29"/>
        <v>510981.8</v>
      </c>
      <c r="H43" s="5">
        <f t="shared" si="29"/>
        <v>458122.4</v>
      </c>
      <c r="I43" s="5">
        <f t="shared" si="29"/>
        <v>404864.79</v>
      </c>
      <c r="J43" s="5">
        <f t="shared" si="29"/>
        <v>489626.21</v>
      </c>
      <c r="K43" s="5">
        <f t="shared" si="29"/>
        <v>490296.41</v>
      </c>
      <c r="L43" s="5">
        <f t="shared" si="29"/>
        <v>470301.49</v>
      </c>
      <c r="M43" s="5">
        <f t="shared" si="29"/>
        <v>577784.64</v>
      </c>
      <c r="N43" s="5">
        <f t="shared" si="29"/>
        <v>777328.56</v>
      </c>
      <c r="O43" s="5"/>
      <c r="P43" s="5">
        <f>+C43</f>
        <v>964110.73</v>
      </c>
      <c r="Q43" s="5">
        <f>+P48</f>
        <v>393009</v>
      </c>
      <c r="R43" s="5">
        <f>+Q48</f>
        <v>404865</v>
      </c>
      <c r="S43" s="5">
        <f>+R48</f>
        <v>470302</v>
      </c>
      <c r="T43" s="5"/>
      <c r="U43" s="5">
        <f>+P43</f>
        <v>964110.73</v>
      </c>
      <c r="W43" s="25"/>
    </row>
    <row r="44" spans="2:26" x14ac:dyDescent="0.2">
      <c r="W44" s="25"/>
    </row>
    <row r="45" spans="2:26" x14ac:dyDescent="0.2">
      <c r="B45" s="7" t="s">
        <v>45</v>
      </c>
      <c r="C45" s="38">
        <f t="shared" ref="C45" si="30">C8-C33+SUM(C35:C41)</f>
        <v>-178607.52410000004</v>
      </c>
      <c r="D45" s="38">
        <f t="shared" ref="D45:N45" si="31">D8-D33+SUM(D35:D41)</f>
        <v>-496865.96714000008</v>
      </c>
      <c r="E45" s="38">
        <f t="shared" si="31"/>
        <v>104371.75579999998</v>
      </c>
      <c r="F45" s="38">
        <f t="shared" si="31"/>
        <v>117972.79579999996</v>
      </c>
      <c r="G45" s="38">
        <f t="shared" si="31"/>
        <v>-52859.397500000021</v>
      </c>
      <c r="H45" s="38">
        <f t="shared" si="31"/>
        <v>-53257.610700000019</v>
      </c>
      <c r="I45" s="38">
        <f t="shared" si="31"/>
        <v>84761.422299999977</v>
      </c>
      <c r="J45" s="38">
        <f t="shared" si="31"/>
        <v>670.19629999995232</v>
      </c>
      <c r="K45" s="38">
        <f t="shared" si="31"/>
        <v>-19994.918199999956</v>
      </c>
      <c r="L45" s="38">
        <f t="shared" si="31"/>
        <v>107483.1545</v>
      </c>
      <c r="M45" s="38">
        <f t="shared" si="31"/>
        <v>199543.92130000005</v>
      </c>
      <c r="N45" s="38">
        <f t="shared" si="31"/>
        <v>232464.7</v>
      </c>
      <c r="O45" s="4"/>
      <c r="P45" s="4">
        <f>SUM(C45:E45)</f>
        <v>-571101.73544000019</v>
      </c>
      <c r="Q45" s="4">
        <f>SUM(F45:H45)</f>
        <v>11855.787599999923</v>
      </c>
      <c r="R45" s="4">
        <f>SUM(I45:K45)</f>
        <v>65436.700399999972</v>
      </c>
      <c r="S45" s="4">
        <f>SUM(L45:N45)</f>
        <v>539491.77580000006</v>
      </c>
      <c r="T45" s="4"/>
      <c r="U45" s="4">
        <f>SUM(C45:N45)</f>
        <v>45682.528359999764</v>
      </c>
      <c r="W45" s="25">
        <f>ROUND(SUM(P45:S45)-U45,2)</f>
        <v>0</v>
      </c>
    </row>
    <row r="46" spans="2:26" x14ac:dyDescent="0.2">
      <c r="B46" s="7" t="s">
        <v>50</v>
      </c>
      <c r="C46" s="38">
        <f>+'2026 Detail'!C59</f>
        <v>0</v>
      </c>
      <c r="D46" s="38">
        <f>+'2026 Detail'!D59</f>
        <v>0</v>
      </c>
      <c r="E46" s="38">
        <f>+'2026 Detail'!E59</f>
        <v>0</v>
      </c>
      <c r="F46" s="38">
        <f>+'2026 Detail'!F59</f>
        <v>0</v>
      </c>
      <c r="G46" s="38">
        <f>+'2026 Detail'!G59</f>
        <v>0</v>
      </c>
      <c r="H46" s="38">
        <f>+'2026 Detail'!H59</f>
        <v>0</v>
      </c>
      <c r="I46" s="38">
        <f>+'2026 Detail'!I59</f>
        <v>0</v>
      </c>
      <c r="J46" s="38">
        <f>+'2026 Detail'!J59</f>
        <v>0</v>
      </c>
      <c r="K46" s="38">
        <f>+'2026 Detail'!K59</f>
        <v>0</v>
      </c>
      <c r="L46" s="38">
        <f>+'2026 Detail'!L59</f>
        <v>0</v>
      </c>
      <c r="M46" s="38">
        <f>+'2026 Detail'!M59</f>
        <v>0</v>
      </c>
      <c r="N46" s="38">
        <f>+'2026 Detail'!N59</f>
        <v>0</v>
      </c>
      <c r="O46" s="4"/>
      <c r="P46" s="4">
        <f>SUM(C46:E46)</f>
        <v>0</v>
      </c>
      <c r="Q46" s="4">
        <f>SUM(F46:H46)</f>
        <v>0</v>
      </c>
      <c r="R46" s="4">
        <f>SUM(I46:K46)</f>
        <v>0</v>
      </c>
      <c r="S46" s="4">
        <f>SUM(L46:N46)</f>
        <v>0</v>
      </c>
      <c r="T46" s="4"/>
      <c r="U46" s="4">
        <f>SUM(C46:N46)</f>
        <v>0</v>
      </c>
      <c r="W46" s="25">
        <f>ROUND(SUM(P46:S46)-U46,2)</f>
        <v>0</v>
      </c>
    </row>
    <row r="47" spans="2:26" x14ac:dyDescent="0.2">
      <c r="B47" s="7"/>
      <c r="W47" s="3"/>
    </row>
    <row r="48" spans="2:26" x14ac:dyDescent="0.2">
      <c r="B48" s="8" t="s">
        <v>46</v>
      </c>
      <c r="C48" s="34">
        <f>ROUND(+C43+C45+C46,2)</f>
        <v>785503.21</v>
      </c>
      <c r="D48" s="34">
        <f t="shared" ref="D48:N48" si="32">ROUND(+D43+D45+D46,2)</f>
        <v>288637.24</v>
      </c>
      <c r="E48" s="34">
        <f t="shared" si="32"/>
        <v>393009</v>
      </c>
      <c r="F48" s="34">
        <f t="shared" si="32"/>
        <v>510981.8</v>
      </c>
      <c r="G48" s="34">
        <f t="shared" si="32"/>
        <v>458122.4</v>
      </c>
      <c r="H48" s="34">
        <f t="shared" si="32"/>
        <v>404864.79</v>
      </c>
      <c r="I48" s="34">
        <f t="shared" si="32"/>
        <v>489626.21</v>
      </c>
      <c r="J48" s="34">
        <f t="shared" si="32"/>
        <v>490296.41</v>
      </c>
      <c r="K48" s="34">
        <f t="shared" si="32"/>
        <v>470301.49</v>
      </c>
      <c r="L48" s="34">
        <f t="shared" si="32"/>
        <v>577784.64</v>
      </c>
      <c r="M48" s="34">
        <f t="shared" si="32"/>
        <v>777328.56</v>
      </c>
      <c r="N48" s="34">
        <f t="shared" si="32"/>
        <v>1009793.26</v>
      </c>
      <c r="O48" s="34"/>
      <c r="P48" s="34">
        <f t="shared" ref="P48:U48" si="33">ROUND(+P43+P45+P46,0)</f>
        <v>393009</v>
      </c>
      <c r="Q48" s="34">
        <f t="shared" si="33"/>
        <v>404865</v>
      </c>
      <c r="R48" s="34">
        <f t="shared" si="33"/>
        <v>470302</v>
      </c>
      <c r="S48" s="34">
        <f t="shared" si="33"/>
        <v>1009794</v>
      </c>
      <c r="T48" s="34"/>
      <c r="U48" s="34">
        <f t="shared" si="33"/>
        <v>1009793</v>
      </c>
      <c r="W48" s="3"/>
      <c r="Y48" s="4"/>
    </row>
    <row r="49" spans="2:26" x14ac:dyDescent="0.2">
      <c r="G49" s="4"/>
      <c r="H49" s="4"/>
      <c r="I49" s="4"/>
      <c r="J49" s="4"/>
      <c r="Y49" s="4"/>
      <c r="Z49" s="4"/>
    </row>
    <row r="50" spans="2:26" x14ac:dyDescent="0.2">
      <c r="B50" s="1" t="s">
        <v>192</v>
      </c>
      <c r="C50" s="4">
        <f t="shared" ref="C50:N50" si="34">+C8</f>
        <v>289764.59999999998</v>
      </c>
      <c r="D50" s="4">
        <f t="shared" si="34"/>
        <v>393187.6</v>
      </c>
      <c r="E50" s="4">
        <f t="shared" si="34"/>
        <v>589877.6</v>
      </c>
      <c r="F50" s="4">
        <f t="shared" si="34"/>
        <v>584457.6</v>
      </c>
      <c r="G50" s="4">
        <f t="shared" si="34"/>
        <v>420207.6</v>
      </c>
      <c r="H50" s="4">
        <f t="shared" si="34"/>
        <v>420207.6</v>
      </c>
      <c r="I50" s="4">
        <f t="shared" si="34"/>
        <v>550207.6</v>
      </c>
      <c r="J50" s="4">
        <f t="shared" si="34"/>
        <v>535500</v>
      </c>
      <c r="K50" s="4">
        <f t="shared" si="34"/>
        <v>431000</v>
      </c>
      <c r="L50" s="4">
        <f t="shared" si="34"/>
        <v>571000</v>
      </c>
      <c r="M50" s="4">
        <f t="shared" si="34"/>
        <v>646000</v>
      </c>
      <c r="N50" s="4">
        <f t="shared" si="34"/>
        <v>680000</v>
      </c>
      <c r="P50" s="4">
        <f>+P8</f>
        <v>1272829.8</v>
      </c>
      <c r="Q50" s="4">
        <f>+Q8</f>
        <v>1424872.7999999998</v>
      </c>
      <c r="R50" s="4">
        <f>+R8</f>
        <v>1516707.6</v>
      </c>
      <c r="S50" s="4">
        <f>+S8</f>
        <v>1897000</v>
      </c>
      <c r="U50" s="4">
        <f>+U8</f>
        <v>6111410.2000000002</v>
      </c>
      <c r="Y50" s="4"/>
      <c r="Z50" s="4"/>
    </row>
    <row r="51" spans="2:26" x14ac:dyDescent="0.2">
      <c r="B51" s="1" t="s">
        <v>193</v>
      </c>
      <c r="C51" s="4">
        <f t="shared" ref="C51:N51" si="35">+C10+C14</f>
        <v>194680</v>
      </c>
      <c r="D51" s="4">
        <f t="shared" si="35"/>
        <v>369533.04911199998</v>
      </c>
      <c r="E51" s="4">
        <f t="shared" si="35"/>
        <v>197771.8</v>
      </c>
      <c r="F51" s="4">
        <f t="shared" si="35"/>
        <v>191771.8</v>
      </c>
      <c r="G51" s="4">
        <f t="shared" si="35"/>
        <v>191771.8</v>
      </c>
      <c r="H51" s="4">
        <f t="shared" si="35"/>
        <v>191771.8</v>
      </c>
      <c r="I51" s="4">
        <f t="shared" si="35"/>
        <v>185271.8</v>
      </c>
      <c r="J51" s="4">
        <f t="shared" si="35"/>
        <v>185271.8</v>
      </c>
      <c r="K51" s="4">
        <f t="shared" si="35"/>
        <v>185271.8</v>
      </c>
      <c r="L51" s="4">
        <f t="shared" si="35"/>
        <v>180771.8</v>
      </c>
      <c r="M51" s="4">
        <f t="shared" si="35"/>
        <v>180771.8</v>
      </c>
      <c r="N51" s="4">
        <f t="shared" si="35"/>
        <v>180771.8</v>
      </c>
      <c r="P51" s="4">
        <f>+P10+P14</f>
        <v>761984.84911200008</v>
      </c>
      <c r="Q51" s="4">
        <f>+Q10+Q14</f>
        <v>575315.39999999991</v>
      </c>
      <c r="R51" s="4">
        <f>+R10+R14</f>
        <v>555815.39999999991</v>
      </c>
      <c r="S51" s="4">
        <f>+S10+S14</f>
        <v>542315.39999999991</v>
      </c>
      <c r="U51" s="4">
        <f>+U10+U14</f>
        <v>2435431.049112</v>
      </c>
    </row>
    <row r="52" spans="2:26" x14ac:dyDescent="0.2">
      <c r="B52" s="1" t="s">
        <v>194</v>
      </c>
      <c r="C52" s="4">
        <f>+C50-C51</f>
        <v>95084.599999999977</v>
      </c>
      <c r="D52" s="4">
        <f t="shared" ref="D52:N52" si="36">+D50-D51</f>
        <v>23654.550887999998</v>
      </c>
      <c r="E52" s="4">
        <f t="shared" si="36"/>
        <v>392105.8</v>
      </c>
      <c r="F52" s="4">
        <f t="shared" si="36"/>
        <v>392685.8</v>
      </c>
      <c r="G52" s="4">
        <f t="shared" si="36"/>
        <v>228435.8</v>
      </c>
      <c r="H52" s="4">
        <f t="shared" si="36"/>
        <v>228435.8</v>
      </c>
      <c r="I52" s="4">
        <f t="shared" si="36"/>
        <v>364935.8</v>
      </c>
      <c r="J52" s="4">
        <f t="shared" si="36"/>
        <v>350228.2</v>
      </c>
      <c r="K52" s="4">
        <f t="shared" si="36"/>
        <v>245728.2</v>
      </c>
      <c r="L52" s="4">
        <f t="shared" si="36"/>
        <v>390228.2</v>
      </c>
      <c r="M52" s="4">
        <f t="shared" si="36"/>
        <v>465228.2</v>
      </c>
      <c r="N52" s="4">
        <f t="shared" si="36"/>
        <v>499228.2</v>
      </c>
      <c r="P52" s="4">
        <f t="shared" ref="P52:S52" si="37">+P50-P51</f>
        <v>510844.95088799996</v>
      </c>
      <c r="Q52" s="4">
        <f t="shared" si="37"/>
        <v>849557.39999999991</v>
      </c>
      <c r="R52" s="4">
        <f t="shared" si="37"/>
        <v>960892.20000000019</v>
      </c>
      <c r="S52" s="4">
        <f t="shared" si="37"/>
        <v>1354684.6</v>
      </c>
      <c r="U52" s="4">
        <f t="shared" ref="U52" si="38">+U50-U51</f>
        <v>3675979.1508880001</v>
      </c>
      <c r="Y52" s="40"/>
    </row>
    <row r="53" spans="2:26" x14ac:dyDescent="0.2">
      <c r="B53" s="1" t="s">
        <v>195</v>
      </c>
      <c r="C53" s="40">
        <f>+C52/C50</f>
        <v>0.32814429367838577</v>
      </c>
      <c r="D53" s="40">
        <f t="shared" ref="D53:N53" si="39">+D52/D50</f>
        <v>6.0160978850808108E-2</v>
      </c>
      <c r="E53" s="40">
        <f t="shared" si="39"/>
        <v>0.66472400375942398</v>
      </c>
      <c r="F53" s="40">
        <f t="shared" si="39"/>
        <v>0.67188073181014329</v>
      </c>
      <c r="G53" s="40">
        <f t="shared" si="39"/>
        <v>0.54362605531170782</v>
      </c>
      <c r="H53" s="40">
        <f t="shared" si="39"/>
        <v>0.54362605531170782</v>
      </c>
      <c r="I53" s="40">
        <f t="shared" si="39"/>
        <v>0.66326928235814986</v>
      </c>
      <c r="J53" s="40">
        <f t="shared" si="39"/>
        <v>0.65402091503267978</v>
      </c>
      <c r="K53" s="40">
        <f t="shared" si="39"/>
        <v>0.57013503480278427</v>
      </c>
      <c r="L53" s="40">
        <f t="shared" si="39"/>
        <v>0.68341190893169879</v>
      </c>
      <c r="M53" s="40">
        <f t="shared" si="39"/>
        <v>0.72016749226006194</v>
      </c>
      <c r="N53" s="40">
        <f t="shared" si="39"/>
        <v>0.73415911764705888</v>
      </c>
      <c r="P53" s="40">
        <f t="shared" ref="P53:S53" si="40">+P52/P50</f>
        <v>0.40134584442318993</v>
      </c>
      <c r="Q53" s="40">
        <f t="shared" si="40"/>
        <v>0.59623385329553624</v>
      </c>
      <c r="R53" s="40">
        <f t="shared" si="40"/>
        <v>0.63353819813390544</v>
      </c>
      <c r="S53" s="40">
        <f t="shared" si="40"/>
        <v>0.71411945176594627</v>
      </c>
      <c r="U53" s="40">
        <f t="shared" ref="U53" si="41">+U52/U50</f>
        <v>0.60149442282372079</v>
      </c>
    </row>
    <row r="54" spans="2:26" x14ac:dyDescent="0.2">
      <c r="G54" s="4"/>
      <c r="H54" s="4"/>
      <c r="I54" s="4"/>
      <c r="J54" s="4"/>
    </row>
    <row r="55" spans="2:26" x14ac:dyDescent="0.2">
      <c r="B55" s="7" t="s">
        <v>13</v>
      </c>
      <c r="C55" s="4">
        <f>+C48-'2026 Detail'!C61</f>
        <v>0</v>
      </c>
      <c r="D55" s="4">
        <f>+D48-'2026 Detail'!D61</f>
        <v>0</v>
      </c>
      <c r="E55" s="4">
        <f>+E48-'2026 Detail'!E61</f>
        <v>0</v>
      </c>
      <c r="F55" s="4">
        <f>+F48-'2026 Detail'!F61</f>
        <v>0</v>
      </c>
      <c r="G55" s="4">
        <f>+G48-'2026 Detail'!G61</f>
        <v>0</v>
      </c>
      <c r="H55" s="4">
        <f>+H48-'2026 Detail'!H61</f>
        <v>0</v>
      </c>
      <c r="I55" s="4">
        <f>+I48-'2026 Detail'!I61</f>
        <v>0</v>
      </c>
      <c r="J55" s="4">
        <f>+J48-'2026 Detail'!J61</f>
        <v>0</v>
      </c>
      <c r="K55" s="4">
        <f>+K48-'2026 Detail'!K61</f>
        <v>0</v>
      </c>
      <c r="L55" s="4">
        <f>+L48-'2026 Detail'!L61</f>
        <v>0</v>
      </c>
      <c r="M55" s="4">
        <f>+M48-'2026 Detail'!M61</f>
        <v>0</v>
      </c>
      <c r="N55" s="4">
        <f>+N48-'2026 Detail'!N61</f>
        <v>0</v>
      </c>
      <c r="P55" s="4"/>
      <c r="Q55" s="4"/>
      <c r="R55" s="4"/>
      <c r="S55" s="4"/>
      <c r="U55" s="4"/>
    </row>
    <row r="56" spans="2:26" x14ac:dyDescent="0.2">
      <c r="G56" s="4"/>
    </row>
  </sheetData>
  <pageMargins left="0.25" right="0.25" top="0.75" bottom="0.75" header="0.3" footer="0.3"/>
  <pageSetup scale="71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25EC-7777-4C62-9499-ABB84F8C1E27}">
  <sheetPr>
    <pageSetUpPr fitToPage="1"/>
  </sheetPr>
  <dimension ref="B2:X82"/>
  <sheetViews>
    <sheetView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C70" sqref="C70"/>
    </sheetView>
  </sheetViews>
  <sheetFormatPr baseColWidth="10" defaultColWidth="9.1640625" defaultRowHeight="14" x14ac:dyDescent="0.2"/>
  <cols>
    <col min="1" max="1" width="2.6640625" style="1" customWidth="1"/>
    <col min="2" max="2" width="30.6640625" style="1" customWidth="1"/>
    <col min="3" max="14" width="10.6640625" style="1" customWidth="1"/>
    <col min="15" max="15" width="2.6640625" style="1" customWidth="1"/>
    <col min="16" max="19" width="10.6640625" style="1" customWidth="1"/>
    <col min="20" max="20" width="2.6640625" style="1" customWidth="1"/>
    <col min="21" max="21" width="10.6640625" style="1" customWidth="1"/>
    <col min="22" max="22" width="2.6640625" style="1" customWidth="1"/>
    <col min="23" max="23" width="6.6640625" style="1" customWidth="1"/>
    <col min="24" max="24" width="9.83203125" style="1" bestFit="1" customWidth="1"/>
    <col min="25" max="16384" width="9.1640625" style="1"/>
  </cols>
  <sheetData>
    <row r="2" spans="2:23" x14ac:dyDescent="0.2">
      <c r="B2" s="8" t="s">
        <v>47</v>
      </c>
      <c r="C2" s="9">
        <v>46023</v>
      </c>
      <c r="D2" s="9">
        <f>EDATE(C2,1)</f>
        <v>46054</v>
      </c>
      <c r="E2" s="9">
        <f t="shared" ref="E2:N2" si="0">EDATE(D2,1)</f>
        <v>46082</v>
      </c>
      <c r="F2" s="9">
        <f t="shared" si="0"/>
        <v>46113</v>
      </c>
      <c r="G2" s="9">
        <f t="shared" si="0"/>
        <v>46143</v>
      </c>
      <c r="H2" s="9">
        <f t="shared" si="0"/>
        <v>46174</v>
      </c>
      <c r="I2" s="9">
        <f t="shared" si="0"/>
        <v>46204</v>
      </c>
      <c r="J2" s="9">
        <f t="shared" si="0"/>
        <v>46235</v>
      </c>
      <c r="K2" s="9">
        <f t="shared" si="0"/>
        <v>46266</v>
      </c>
      <c r="L2" s="9">
        <f t="shared" si="0"/>
        <v>46296</v>
      </c>
      <c r="M2" s="9">
        <f t="shared" si="0"/>
        <v>46327</v>
      </c>
      <c r="N2" s="9">
        <f t="shared" si="0"/>
        <v>46357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2026</v>
      </c>
      <c r="W2" s="3" t="s">
        <v>13</v>
      </c>
    </row>
    <row r="3" spans="2:23" x14ac:dyDescent="0.2">
      <c r="B3" s="24" t="str">
        <f>+Version!$C$3</f>
        <v>Y2025 12 v001</v>
      </c>
      <c r="W3" s="3"/>
    </row>
    <row r="4" spans="2:23" x14ac:dyDescent="0.2">
      <c r="B4" s="24"/>
      <c r="W4" s="3"/>
    </row>
    <row r="5" spans="2:23" x14ac:dyDescent="0.2">
      <c r="B5" s="7" t="s">
        <v>63</v>
      </c>
      <c r="C5" s="38">
        <f>+'1 Collections'!R29</f>
        <v>1930</v>
      </c>
      <c r="D5" s="38">
        <f>+'1 Collections'!S29</f>
        <v>1930</v>
      </c>
      <c r="E5" s="38">
        <f>+'1 Collections'!T29</f>
        <v>1930</v>
      </c>
      <c r="F5" s="38">
        <f>+'1 Collections'!U29</f>
        <v>1930</v>
      </c>
      <c r="G5" s="38">
        <f>+'1 Collections'!V29</f>
        <v>1930</v>
      </c>
      <c r="H5" s="38">
        <f>+'1 Collections'!W29</f>
        <v>1930</v>
      </c>
      <c r="I5" s="38">
        <f>+'1 Collections'!X29</f>
        <v>1930</v>
      </c>
      <c r="J5" s="38">
        <f>+'1 Collections'!Y29</f>
        <v>0</v>
      </c>
      <c r="K5" s="38">
        <f>+'1 Collections'!Z29</f>
        <v>0</v>
      </c>
      <c r="L5" s="38">
        <f>+'1 Collections'!AA29</f>
        <v>0</v>
      </c>
      <c r="M5" s="38">
        <f>+'1 Collections'!AB29</f>
        <v>0</v>
      </c>
      <c r="N5" s="38">
        <f>+'1 Collections'!AC29</f>
        <v>0</v>
      </c>
      <c r="O5" s="4"/>
      <c r="P5" s="4">
        <f>SUM(C5:E5)</f>
        <v>5790</v>
      </c>
      <c r="Q5" s="4">
        <f>SUM(F5:H5)</f>
        <v>5790</v>
      </c>
      <c r="R5" s="4">
        <f>SUM(I5:K5)</f>
        <v>1930</v>
      </c>
      <c r="S5" s="4">
        <f>SUM(L5:N5)</f>
        <v>0</v>
      </c>
      <c r="T5" s="4"/>
      <c r="U5" s="4">
        <f>SUM(C5:N5)</f>
        <v>13510</v>
      </c>
      <c r="W5" s="25">
        <f>ROUND(SUM(P5:S5)-U5,2)</f>
        <v>0</v>
      </c>
    </row>
    <row r="6" spans="2:23" x14ac:dyDescent="0.2">
      <c r="B6" s="7" t="s">
        <v>87</v>
      </c>
      <c r="C6" s="38">
        <f>+'1 Collections'!R30</f>
        <v>122607</v>
      </c>
      <c r="D6" s="38">
        <f>+'1 Collections'!S30</f>
        <v>216000</v>
      </c>
      <c r="E6" s="38">
        <f>+'1 Collections'!T30</f>
        <v>156000</v>
      </c>
      <c r="F6" s="38">
        <f>+'1 Collections'!U30</f>
        <v>156000</v>
      </c>
      <c r="G6" s="38">
        <f>+'1 Collections'!V30</f>
        <v>110000</v>
      </c>
      <c r="H6" s="38">
        <f>+'1 Collections'!W30</f>
        <v>110000</v>
      </c>
      <c r="I6" s="38">
        <f>+'1 Collections'!X30</f>
        <v>110000</v>
      </c>
      <c r="J6" s="38">
        <f>+'1 Collections'!Y30</f>
        <v>110000</v>
      </c>
      <c r="K6" s="38">
        <f>+'1 Collections'!Z30</f>
        <v>110000</v>
      </c>
      <c r="L6" s="38">
        <f>+'1 Collections'!AA30</f>
        <v>110000</v>
      </c>
      <c r="M6" s="38">
        <f>+'1 Collections'!AB30</f>
        <v>110000</v>
      </c>
      <c r="N6" s="38">
        <f>+'1 Collections'!AC30</f>
        <v>100000</v>
      </c>
      <c r="O6" s="4"/>
      <c r="P6" s="4">
        <f>SUM(C6:E6)</f>
        <v>494607</v>
      </c>
      <c r="Q6" s="4">
        <f>SUM(F6:H6)</f>
        <v>376000</v>
      </c>
      <c r="R6" s="4">
        <f>SUM(I6:K6)</f>
        <v>330000</v>
      </c>
      <c r="S6" s="4">
        <f>SUM(L6:N6)</f>
        <v>320000</v>
      </c>
      <c r="T6" s="4"/>
      <c r="U6" s="4">
        <f>SUM(C6:N6)</f>
        <v>1520607</v>
      </c>
      <c r="W6" s="25">
        <f>ROUND(SUM(P6:S6)-U6,2)</f>
        <v>0</v>
      </c>
    </row>
    <row r="7" spans="2:23" x14ac:dyDescent="0.2">
      <c r="B7" s="7" t="s">
        <v>549</v>
      </c>
      <c r="C7" s="38">
        <f>+'1 Collections'!R31</f>
        <v>2200</v>
      </c>
      <c r="D7" s="38">
        <f>+'1 Collections'!S31</f>
        <v>52230</v>
      </c>
      <c r="E7" s="38">
        <f>+'1 Collections'!T31</f>
        <v>65420</v>
      </c>
      <c r="F7" s="38">
        <f>+'1 Collections'!U31</f>
        <v>40000</v>
      </c>
      <c r="G7" s="38">
        <f>+'1 Collections'!V31</f>
        <v>40000</v>
      </c>
      <c r="H7" s="38">
        <f>+'1 Collections'!W31</f>
        <v>40000</v>
      </c>
      <c r="I7" s="38">
        <f>+'1 Collections'!X31</f>
        <v>35000</v>
      </c>
      <c r="J7" s="38">
        <f>+'1 Collections'!Y31</f>
        <v>35000</v>
      </c>
      <c r="K7" s="38">
        <f>+'1 Collections'!Z31</f>
        <v>35000</v>
      </c>
      <c r="L7" s="38">
        <f>+'1 Collections'!AA31</f>
        <v>30000</v>
      </c>
      <c r="M7" s="38">
        <f>+'1 Collections'!AB31</f>
        <v>30000</v>
      </c>
      <c r="N7" s="38">
        <f>+'1 Collections'!AC31</f>
        <v>30000</v>
      </c>
      <c r="O7" s="4"/>
      <c r="P7" s="4">
        <f>SUM(C7:E7)</f>
        <v>119850</v>
      </c>
      <c r="Q7" s="4">
        <f>SUM(F7:H7)</f>
        <v>120000</v>
      </c>
      <c r="R7" s="4">
        <f>SUM(I7:K7)</f>
        <v>105000</v>
      </c>
      <c r="S7" s="4">
        <f>SUM(L7:N7)</f>
        <v>90000</v>
      </c>
      <c r="T7" s="4"/>
      <c r="U7" s="4">
        <f>SUM(C7:N7)</f>
        <v>434850</v>
      </c>
      <c r="W7" s="25">
        <f>ROUND(SUM(P7:S7)-U7,2)</f>
        <v>0</v>
      </c>
    </row>
    <row r="8" spans="2:23" x14ac:dyDescent="0.2">
      <c r="B8" s="8" t="s">
        <v>84</v>
      </c>
      <c r="C8" s="34">
        <f t="shared" ref="C8:N8" si="1">SUM(C5:C7)</f>
        <v>126737</v>
      </c>
      <c r="D8" s="34">
        <f t="shared" si="1"/>
        <v>270160</v>
      </c>
      <c r="E8" s="34">
        <f t="shared" si="1"/>
        <v>223350</v>
      </c>
      <c r="F8" s="34">
        <f t="shared" si="1"/>
        <v>197930</v>
      </c>
      <c r="G8" s="34">
        <f t="shared" si="1"/>
        <v>151930</v>
      </c>
      <c r="H8" s="34">
        <f t="shared" si="1"/>
        <v>151930</v>
      </c>
      <c r="I8" s="34">
        <f t="shared" si="1"/>
        <v>146930</v>
      </c>
      <c r="J8" s="34">
        <f t="shared" si="1"/>
        <v>145000</v>
      </c>
      <c r="K8" s="34">
        <f t="shared" si="1"/>
        <v>145000</v>
      </c>
      <c r="L8" s="34">
        <f t="shared" si="1"/>
        <v>140000</v>
      </c>
      <c r="M8" s="34">
        <f t="shared" si="1"/>
        <v>140000</v>
      </c>
      <c r="N8" s="34">
        <f t="shared" si="1"/>
        <v>130000</v>
      </c>
      <c r="O8" s="34"/>
      <c r="P8" s="34">
        <f>SUM(P5:P7)</f>
        <v>620247</v>
      </c>
      <c r="Q8" s="34">
        <f>SUM(Q5:Q7)</f>
        <v>501790</v>
      </c>
      <c r="R8" s="34">
        <f>SUM(R5:R7)</f>
        <v>436930</v>
      </c>
      <c r="S8" s="34">
        <f>SUM(S5:S7)</f>
        <v>410000</v>
      </c>
      <c r="T8" s="34"/>
      <c r="U8" s="34">
        <f>SUM(U5:U7)</f>
        <v>1968967</v>
      </c>
      <c r="W8" s="25">
        <f>ROUND(SUM(P8:S8)-U8,2)</f>
        <v>0</v>
      </c>
    </row>
    <row r="9" spans="2:23" ht="6" customHeight="1" x14ac:dyDescent="0.2">
      <c r="B9" s="24"/>
      <c r="C9" s="5"/>
      <c r="D9" s="5"/>
      <c r="W9" s="3"/>
    </row>
    <row r="10" spans="2:23" x14ac:dyDescent="0.2">
      <c r="B10" s="7" t="s">
        <v>63</v>
      </c>
      <c r="C10" s="38">
        <f>+'1 Collections'!R34</f>
        <v>43250</v>
      </c>
      <c r="D10" s="38">
        <f>+'1 Collections'!S34</f>
        <v>3250</v>
      </c>
      <c r="E10" s="38">
        <f>+'1 Collections'!T34</f>
        <v>144250</v>
      </c>
      <c r="F10" s="38">
        <f>+'1 Collections'!U34</f>
        <v>154250</v>
      </c>
      <c r="G10" s="38">
        <f>+'1 Collections'!V34</f>
        <v>91000</v>
      </c>
      <c r="H10" s="38">
        <f>+'1 Collections'!W34</f>
        <v>91000</v>
      </c>
      <c r="I10" s="38">
        <f>+'1 Collections'!X34</f>
        <v>166000</v>
      </c>
      <c r="J10" s="38">
        <f>+'1 Collections'!Y34</f>
        <v>190000</v>
      </c>
      <c r="K10" s="38">
        <f>+'1 Collections'!Z34</f>
        <v>100000</v>
      </c>
      <c r="L10" s="38">
        <f>+'1 Collections'!AA34</f>
        <v>125000</v>
      </c>
      <c r="M10" s="38">
        <f>+'1 Collections'!AB34</f>
        <v>200000</v>
      </c>
      <c r="N10" s="38">
        <f>+'1 Collections'!AC34</f>
        <v>225000</v>
      </c>
      <c r="O10" s="4"/>
      <c r="P10" s="4">
        <f>SUM(C10:E10)</f>
        <v>190750</v>
      </c>
      <c r="Q10" s="4">
        <f>SUM(F10:H10)</f>
        <v>336250</v>
      </c>
      <c r="R10" s="4">
        <f>SUM(I10:K10)</f>
        <v>456000</v>
      </c>
      <c r="S10" s="4">
        <f>SUM(L10:N10)</f>
        <v>550000</v>
      </c>
      <c r="T10" s="4"/>
      <c r="U10" s="4">
        <f>SUM(C10:N10)</f>
        <v>1533000</v>
      </c>
      <c r="W10" s="25">
        <f>ROUND(SUM(P10:S10)-U10,2)</f>
        <v>0</v>
      </c>
    </row>
    <row r="11" spans="2:23" x14ac:dyDescent="0.2">
      <c r="B11" s="7" t="s">
        <v>87</v>
      </c>
      <c r="C11" s="38">
        <f>+'1 Collections'!R35</f>
        <v>89277.6</v>
      </c>
      <c r="D11" s="38">
        <f>+'1 Collections'!S35</f>
        <v>89277.6</v>
      </c>
      <c r="E11" s="38">
        <f>+'1 Collections'!T35</f>
        <v>189277.6</v>
      </c>
      <c r="F11" s="38">
        <f>+'1 Collections'!U35</f>
        <v>194277.6</v>
      </c>
      <c r="G11" s="38">
        <f>+'1 Collections'!V35</f>
        <v>139277.6</v>
      </c>
      <c r="H11" s="38">
        <f>+'1 Collections'!W35</f>
        <v>139277.6</v>
      </c>
      <c r="I11" s="38">
        <f>+'1 Collections'!X35</f>
        <v>189277.6</v>
      </c>
      <c r="J11" s="38">
        <f>+'1 Collections'!Y35</f>
        <v>164500</v>
      </c>
      <c r="K11" s="38">
        <f>+'1 Collections'!Z35</f>
        <v>150000</v>
      </c>
      <c r="L11" s="38">
        <f>+'1 Collections'!AA35</f>
        <v>250000</v>
      </c>
      <c r="M11" s="38">
        <f>+'1 Collections'!AB35</f>
        <v>250000</v>
      </c>
      <c r="N11" s="38">
        <f>+'1 Collections'!AC35</f>
        <v>250000</v>
      </c>
      <c r="O11" s="4"/>
      <c r="P11" s="4">
        <f>SUM(C11:E11)</f>
        <v>367832.80000000005</v>
      </c>
      <c r="Q11" s="4">
        <f>SUM(F11:H11)</f>
        <v>472832.80000000005</v>
      </c>
      <c r="R11" s="4">
        <f>SUM(I11:K11)</f>
        <v>503777.6</v>
      </c>
      <c r="S11" s="4">
        <f>SUM(L11:N11)</f>
        <v>750000</v>
      </c>
      <c r="T11" s="4"/>
      <c r="U11" s="4">
        <f>SUM(C11:N11)</f>
        <v>2094443.2</v>
      </c>
      <c r="W11" s="25">
        <f>ROUND(SUM(P11:S11)-U11,2)</f>
        <v>0</v>
      </c>
    </row>
    <row r="12" spans="2:23" x14ac:dyDescent="0.2">
      <c r="B12" s="7" t="s">
        <v>549</v>
      </c>
      <c r="C12" s="38">
        <f>+'1 Collections'!R36</f>
        <v>30500</v>
      </c>
      <c r="D12" s="38">
        <f>+'1 Collections'!S36</f>
        <v>30500</v>
      </c>
      <c r="E12" s="38">
        <f>+'1 Collections'!T36</f>
        <v>33000</v>
      </c>
      <c r="F12" s="38">
        <f>+'1 Collections'!U36</f>
        <v>38000</v>
      </c>
      <c r="G12" s="38">
        <f>+'1 Collections'!V36</f>
        <v>38000</v>
      </c>
      <c r="H12" s="38">
        <f>+'1 Collections'!W36</f>
        <v>38000</v>
      </c>
      <c r="I12" s="38">
        <f>+'1 Collections'!X36</f>
        <v>48000</v>
      </c>
      <c r="J12" s="38">
        <f>+'1 Collections'!Y36</f>
        <v>36000</v>
      </c>
      <c r="K12" s="38">
        <f>+'1 Collections'!Z36</f>
        <v>36000</v>
      </c>
      <c r="L12" s="38">
        <f>+'1 Collections'!AA36</f>
        <v>56000</v>
      </c>
      <c r="M12" s="38">
        <f>+'1 Collections'!AB36</f>
        <v>56000</v>
      </c>
      <c r="N12" s="38">
        <f>+'1 Collections'!AC36</f>
        <v>75000</v>
      </c>
      <c r="O12" s="4"/>
      <c r="P12" s="4">
        <f>SUM(C12:E12)</f>
        <v>94000</v>
      </c>
      <c r="Q12" s="4">
        <f>SUM(F12:H12)</f>
        <v>114000</v>
      </c>
      <c r="R12" s="4">
        <f>SUM(I12:K12)</f>
        <v>120000</v>
      </c>
      <c r="S12" s="4">
        <f>SUM(L12:N12)</f>
        <v>187000</v>
      </c>
      <c r="T12" s="4"/>
      <c r="U12" s="4">
        <f>SUM(C12:N12)</f>
        <v>515000</v>
      </c>
      <c r="W12" s="25">
        <f>ROUND(SUM(P12:S12)-U12,2)</f>
        <v>0</v>
      </c>
    </row>
    <row r="13" spans="2:23" x14ac:dyDescent="0.2">
      <c r="B13" s="8" t="s">
        <v>83</v>
      </c>
      <c r="C13" s="34">
        <f t="shared" ref="C13:N13" si="2">SUM(C10:C12)</f>
        <v>163027.6</v>
      </c>
      <c r="D13" s="34">
        <f t="shared" si="2"/>
        <v>123027.6</v>
      </c>
      <c r="E13" s="34">
        <f t="shared" si="2"/>
        <v>366527.6</v>
      </c>
      <c r="F13" s="34">
        <f t="shared" si="2"/>
        <v>386527.6</v>
      </c>
      <c r="G13" s="34">
        <f t="shared" si="2"/>
        <v>268277.59999999998</v>
      </c>
      <c r="H13" s="34">
        <f t="shared" si="2"/>
        <v>268277.59999999998</v>
      </c>
      <c r="I13" s="34">
        <f t="shared" si="2"/>
        <v>403277.6</v>
      </c>
      <c r="J13" s="34">
        <f t="shared" si="2"/>
        <v>390500</v>
      </c>
      <c r="K13" s="34">
        <f t="shared" si="2"/>
        <v>286000</v>
      </c>
      <c r="L13" s="34">
        <f t="shared" si="2"/>
        <v>431000</v>
      </c>
      <c r="M13" s="34">
        <f t="shared" si="2"/>
        <v>506000</v>
      </c>
      <c r="N13" s="34">
        <f t="shared" si="2"/>
        <v>550000</v>
      </c>
      <c r="O13" s="34"/>
      <c r="P13" s="34">
        <f>SUM(P10:P12)</f>
        <v>652582.80000000005</v>
      </c>
      <c r="Q13" s="34">
        <f>SUM(Q10:Q12)</f>
        <v>923082.8</v>
      </c>
      <c r="R13" s="34">
        <f>SUM(R10:R12)</f>
        <v>1079777.6000000001</v>
      </c>
      <c r="S13" s="34">
        <f>SUM(S10:S12)</f>
        <v>1487000</v>
      </c>
      <c r="T13" s="34"/>
      <c r="U13" s="34">
        <f>SUM(U10:U12)</f>
        <v>4142443.2</v>
      </c>
      <c r="W13" s="25">
        <f>ROUND(SUM(P13:S13)-U13,2)</f>
        <v>0</v>
      </c>
    </row>
    <row r="14" spans="2:23" ht="6" customHeight="1" x14ac:dyDescent="0.2">
      <c r="B14" s="24"/>
      <c r="C14" s="5"/>
      <c r="D14" s="5"/>
      <c r="W14" s="3"/>
    </row>
    <row r="15" spans="2:23" x14ac:dyDescent="0.2">
      <c r="B15" s="8" t="s">
        <v>42</v>
      </c>
      <c r="C15" s="34">
        <f t="shared" ref="C15:N15" si="3">+C8+C13</f>
        <v>289764.59999999998</v>
      </c>
      <c r="D15" s="34">
        <f t="shared" si="3"/>
        <v>393187.6</v>
      </c>
      <c r="E15" s="34">
        <f t="shared" si="3"/>
        <v>589877.6</v>
      </c>
      <c r="F15" s="34">
        <f t="shared" si="3"/>
        <v>584457.6</v>
      </c>
      <c r="G15" s="34">
        <f t="shared" si="3"/>
        <v>420207.6</v>
      </c>
      <c r="H15" s="34">
        <f t="shared" si="3"/>
        <v>420207.6</v>
      </c>
      <c r="I15" s="34">
        <f t="shared" si="3"/>
        <v>550207.6</v>
      </c>
      <c r="J15" s="34">
        <f t="shared" si="3"/>
        <v>535500</v>
      </c>
      <c r="K15" s="34">
        <f t="shared" si="3"/>
        <v>431000</v>
      </c>
      <c r="L15" s="34">
        <f t="shared" si="3"/>
        <v>571000</v>
      </c>
      <c r="M15" s="34">
        <f t="shared" si="3"/>
        <v>646000</v>
      </c>
      <c r="N15" s="34">
        <f t="shared" si="3"/>
        <v>680000</v>
      </c>
      <c r="O15" s="34"/>
      <c r="P15" s="34">
        <f>+P8+P13</f>
        <v>1272829.8</v>
      </c>
      <c r="Q15" s="34">
        <f>+Q8+Q13</f>
        <v>1424872.8</v>
      </c>
      <c r="R15" s="34">
        <f>+R8+R13</f>
        <v>1516707.6</v>
      </c>
      <c r="S15" s="34">
        <f>+S8+S13</f>
        <v>1897000</v>
      </c>
      <c r="T15" s="34"/>
      <c r="U15" s="34">
        <f>+U8+U13</f>
        <v>6111410.2000000002</v>
      </c>
      <c r="W15" s="25">
        <f>ROUND(SUM(P15:S15)-U15,2)</f>
        <v>0</v>
      </c>
    </row>
    <row r="16" spans="2:23" x14ac:dyDescent="0.2">
      <c r="B16" s="8"/>
      <c r="C16" s="34"/>
      <c r="D16" s="34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W16" s="25"/>
    </row>
    <row r="17" spans="2:23" x14ac:dyDescent="0.2">
      <c r="B17" s="7" t="s">
        <v>89</v>
      </c>
      <c r="C17" s="38">
        <f>+'2 Employees'!P80+'3 Benefits'!P104</f>
        <v>126580</v>
      </c>
      <c r="D17" s="38">
        <f>+'2 Employees'!Q80+'3 Benefits'!Q104</f>
        <v>301433.04911199998</v>
      </c>
      <c r="E17" s="38">
        <f>+'2 Employees'!R80+'3 Benefits'!R104</f>
        <v>129671.8</v>
      </c>
      <c r="F17" s="38">
        <f>+'2 Employees'!S80+'3 Benefits'!S104</f>
        <v>129671.8</v>
      </c>
      <c r="G17" s="38">
        <f>+'2 Employees'!T80+'3 Benefits'!T104</f>
        <v>129671.8</v>
      </c>
      <c r="H17" s="38">
        <f>+'2 Employees'!U80+'3 Benefits'!U104</f>
        <v>129671.8</v>
      </c>
      <c r="I17" s="38">
        <f>+'2 Employees'!V80+'3 Benefits'!V104</f>
        <v>129671.8</v>
      </c>
      <c r="J17" s="38">
        <f>+'2 Employees'!W80+'3 Benefits'!W104</f>
        <v>129671.8</v>
      </c>
      <c r="K17" s="38">
        <f>+'2 Employees'!X80+'3 Benefits'!X104</f>
        <v>129671.8</v>
      </c>
      <c r="L17" s="38">
        <f>+'2 Employees'!Y80+'3 Benefits'!Y104</f>
        <v>129671.8</v>
      </c>
      <c r="M17" s="38">
        <f>+'2 Employees'!Z80+'3 Benefits'!Z104</f>
        <v>129671.8</v>
      </c>
      <c r="N17" s="38">
        <f>+'2 Employees'!AA80+'3 Benefits'!AA104</f>
        <v>129671.8</v>
      </c>
      <c r="O17" s="4"/>
      <c r="P17" s="4">
        <f>SUM(C17:E17)</f>
        <v>557684.84911199997</v>
      </c>
      <c r="Q17" s="4">
        <f>SUM(F17:H17)</f>
        <v>389015.4</v>
      </c>
      <c r="R17" s="4">
        <f>SUM(I17:K17)</f>
        <v>389015.4</v>
      </c>
      <c r="S17" s="4">
        <f>SUM(L17:N17)</f>
        <v>389015.4</v>
      </c>
      <c r="T17" s="4"/>
      <c r="U17" s="4">
        <f>SUM(C17:N17)</f>
        <v>1724731.0491120003</v>
      </c>
      <c r="W17" s="25">
        <f t="shared" ref="W17:W21" si="4">ROUND(SUM(P17:S17)-U17,2)</f>
        <v>0</v>
      </c>
    </row>
    <row r="18" spans="2:23" x14ac:dyDescent="0.2">
      <c r="B18" s="7" t="s">
        <v>90</v>
      </c>
      <c r="C18" s="38">
        <f>+'4 Contractors'!P29+'4 Contractors'!P142</f>
        <v>57500</v>
      </c>
      <c r="D18" s="38">
        <f>+'4 Contractors'!Q29+'4 Contractors'!Q142</f>
        <v>57500</v>
      </c>
      <c r="E18" s="38">
        <f>+'4 Contractors'!R29+'4 Contractors'!R142</f>
        <v>57500</v>
      </c>
      <c r="F18" s="38">
        <f>+'4 Contractors'!S29+'4 Contractors'!S142</f>
        <v>51500</v>
      </c>
      <c r="G18" s="38">
        <f>+'4 Contractors'!T29+'4 Contractors'!T142</f>
        <v>51500</v>
      </c>
      <c r="H18" s="38">
        <f>+'4 Contractors'!U29+'4 Contractors'!U142</f>
        <v>51500</v>
      </c>
      <c r="I18" s="38">
        <f>+'4 Contractors'!V29+'4 Contractors'!V142</f>
        <v>45000</v>
      </c>
      <c r="J18" s="38">
        <f>+'4 Contractors'!W29+'4 Contractors'!W142</f>
        <v>45000</v>
      </c>
      <c r="K18" s="38">
        <f>+'4 Contractors'!X29+'4 Contractors'!X142</f>
        <v>45000</v>
      </c>
      <c r="L18" s="38">
        <f>+'4 Contractors'!Y29+'4 Contractors'!Y142</f>
        <v>40500</v>
      </c>
      <c r="M18" s="38">
        <f>+'4 Contractors'!Z29+'4 Contractors'!Z142</f>
        <v>40500</v>
      </c>
      <c r="N18" s="38">
        <f>+'4 Contractors'!AA29+'4 Contractors'!AA142</f>
        <v>40500</v>
      </c>
      <c r="O18" s="4"/>
      <c r="P18" s="4">
        <f>SUM(C18:E18)</f>
        <v>172500</v>
      </c>
      <c r="Q18" s="4">
        <f>SUM(F18:H18)</f>
        <v>154500</v>
      </c>
      <c r="R18" s="4">
        <f>SUM(I18:K18)</f>
        <v>135000</v>
      </c>
      <c r="S18" s="4">
        <f>SUM(L18:N18)</f>
        <v>121500</v>
      </c>
      <c r="T18" s="4"/>
      <c r="U18" s="4">
        <f>SUM(C18:N18)</f>
        <v>583500</v>
      </c>
      <c r="W18" s="25">
        <f t="shared" si="4"/>
        <v>0</v>
      </c>
    </row>
    <row r="19" spans="2:23" x14ac:dyDescent="0.2">
      <c r="B19" s="7" t="s">
        <v>91</v>
      </c>
      <c r="C19" s="38">
        <f>+'2 Employees'!P123+'3 Benefits'!P105</f>
        <v>40630</v>
      </c>
      <c r="D19" s="38">
        <f>+'2 Employees'!Q123+'3 Benefits'!Q105</f>
        <v>103559.487628</v>
      </c>
      <c r="E19" s="38">
        <f>+'2 Employees'!R123+'3 Benefits'!R105</f>
        <v>41546.5</v>
      </c>
      <c r="F19" s="38">
        <f>+'2 Employees'!S123+'3 Benefits'!S105</f>
        <v>41546.5</v>
      </c>
      <c r="G19" s="38">
        <f>+'2 Employees'!T123+'3 Benefits'!T105</f>
        <v>41546.5</v>
      </c>
      <c r="H19" s="38">
        <f>+'2 Employees'!U123+'3 Benefits'!U105</f>
        <v>41546.5</v>
      </c>
      <c r="I19" s="38">
        <f>+'2 Employees'!V123+'3 Benefits'!V105</f>
        <v>41546.5</v>
      </c>
      <c r="J19" s="38">
        <f>+'2 Employees'!W123+'3 Benefits'!W105</f>
        <v>41546.5</v>
      </c>
      <c r="K19" s="38">
        <f>+'2 Employees'!X123+'3 Benefits'!X105</f>
        <v>41546.5</v>
      </c>
      <c r="L19" s="38">
        <f>+'2 Employees'!Y123+'3 Benefits'!Y105</f>
        <v>41546.5</v>
      </c>
      <c r="M19" s="38">
        <f>+'2 Employees'!Z123+'3 Benefits'!Z105</f>
        <v>41546.5</v>
      </c>
      <c r="N19" s="38">
        <f>+'2 Employees'!AA123+'3 Benefits'!AA105</f>
        <v>41546.5</v>
      </c>
      <c r="O19" s="4"/>
      <c r="P19" s="4">
        <f>SUM(C19:E19)</f>
        <v>185735.987628</v>
      </c>
      <c r="Q19" s="4">
        <f>SUM(F19:H19)</f>
        <v>124639.5</v>
      </c>
      <c r="R19" s="4">
        <f>SUM(I19:K19)</f>
        <v>124639.5</v>
      </c>
      <c r="S19" s="4">
        <f>SUM(L19:N19)</f>
        <v>124639.5</v>
      </c>
      <c r="T19" s="4"/>
      <c r="U19" s="4">
        <f>SUM(C19:N19)</f>
        <v>559654.48762799997</v>
      </c>
      <c r="W19" s="25">
        <f t="shared" si="4"/>
        <v>0</v>
      </c>
    </row>
    <row r="20" spans="2:23" x14ac:dyDescent="0.2">
      <c r="B20" s="7" t="s">
        <v>92</v>
      </c>
      <c r="C20" s="38">
        <f>+'4 Contractors'!P46</f>
        <v>0</v>
      </c>
      <c r="D20" s="38">
        <f>+'4 Contractors'!Q46</f>
        <v>0</v>
      </c>
      <c r="E20" s="38">
        <f>+'4 Contractors'!R46</f>
        <v>0</v>
      </c>
      <c r="F20" s="38">
        <f>+'4 Contractors'!S46</f>
        <v>0</v>
      </c>
      <c r="G20" s="38">
        <f>+'4 Contractors'!T46</f>
        <v>0</v>
      </c>
      <c r="H20" s="38">
        <f>+'4 Contractors'!U46</f>
        <v>0</v>
      </c>
      <c r="I20" s="38">
        <f>+'4 Contractors'!V46</f>
        <v>0</v>
      </c>
      <c r="J20" s="38">
        <f>+'4 Contractors'!W46</f>
        <v>0</v>
      </c>
      <c r="K20" s="38">
        <f>+'4 Contractors'!X46</f>
        <v>0</v>
      </c>
      <c r="L20" s="38">
        <f>+'4 Contractors'!Y46</f>
        <v>0</v>
      </c>
      <c r="M20" s="38">
        <f>+'4 Contractors'!Z46</f>
        <v>0</v>
      </c>
      <c r="N20" s="38">
        <f>+'4 Contractors'!AA46</f>
        <v>0</v>
      </c>
      <c r="O20" s="4"/>
      <c r="P20" s="4">
        <f>SUM(C20:E20)</f>
        <v>0</v>
      </c>
      <c r="Q20" s="4">
        <f>SUM(F20:H20)</f>
        <v>0</v>
      </c>
      <c r="R20" s="4">
        <f>SUM(I20:K20)</f>
        <v>0</v>
      </c>
      <c r="S20" s="4">
        <f>SUM(L20:N20)</f>
        <v>0</v>
      </c>
      <c r="T20" s="4"/>
      <c r="U20" s="4">
        <f>SUM(C20:N20)</f>
        <v>0</v>
      </c>
      <c r="W20" s="25">
        <f t="shared" si="4"/>
        <v>0</v>
      </c>
    </row>
    <row r="21" spans="2:23" x14ac:dyDescent="0.2">
      <c r="B21" s="8" t="s">
        <v>88</v>
      </c>
      <c r="C21" s="34">
        <f t="shared" ref="C21:N21" si="5">SUM(C17:C20)</f>
        <v>224710</v>
      </c>
      <c r="D21" s="34">
        <f t="shared" si="5"/>
        <v>462492.53674000001</v>
      </c>
      <c r="E21" s="34">
        <f t="shared" si="5"/>
        <v>228718.3</v>
      </c>
      <c r="F21" s="34">
        <f t="shared" si="5"/>
        <v>222718.3</v>
      </c>
      <c r="G21" s="34">
        <f t="shared" si="5"/>
        <v>222718.3</v>
      </c>
      <c r="H21" s="34">
        <f t="shared" si="5"/>
        <v>222718.3</v>
      </c>
      <c r="I21" s="34">
        <f t="shared" si="5"/>
        <v>216218.3</v>
      </c>
      <c r="J21" s="34">
        <f t="shared" si="5"/>
        <v>216218.3</v>
      </c>
      <c r="K21" s="34">
        <f t="shared" si="5"/>
        <v>216218.3</v>
      </c>
      <c r="L21" s="34">
        <f t="shared" si="5"/>
        <v>211718.3</v>
      </c>
      <c r="M21" s="34">
        <f t="shared" si="5"/>
        <v>211718.3</v>
      </c>
      <c r="N21" s="34">
        <f t="shared" si="5"/>
        <v>211718.3</v>
      </c>
      <c r="O21" s="34"/>
      <c r="P21" s="34">
        <f>SUM(P17:P20)</f>
        <v>915920.83673999994</v>
      </c>
      <c r="Q21" s="34">
        <f>SUM(Q17:Q20)</f>
        <v>668154.9</v>
      </c>
      <c r="R21" s="34">
        <f>SUM(R17:R20)</f>
        <v>648654.9</v>
      </c>
      <c r="S21" s="34">
        <f>SUM(S17:S20)</f>
        <v>635154.9</v>
      </c>
      <c r="T21" s="34"/>
      <c r="U21" s="34">
        <f>SUM(U17:U20)</f>
        <v>2867885.5367400004</v>
      </c>
      <c r="W21" s="25">
        <f t="shared" si="4"/>
        <v>0</v>
      </c>
    </row>
    <row r="22" spans="2:23" x14ac:dyDescent="0.2">
      <c r="B22" s="8"/>
      <c r="C22" s="5"/>
      <c r="D22" s="34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W22" s="25"/>
    </row>
    <row r="23" spans="2:23" x14ac:dyDescent="0.2">
      <c r="B23" s="7" t="s">
        <v>89</v>
      </c>
      <c r="C23" s="38">
        <f>+'2 Employees'!P156+'3 Benefits'!P108</f>
        <v>0</v>
      </c>
      <c r="D23" s="38">
        <f>+'2 Employees'!Q156+'3 Benefits'!Q108</f>
        <v>0</v>
      </c>
      <c r="E23" s="38">
        <f>+'2 Employees'!R156+'3 Benefits'!R108</f>
        <v>0</v>
      </c>
      <c r="F23" s="38">
        <f>+'2 Employees'!S156+'3 Benefits'!S108</f>
        <v>0</v>
      </c>
      <c r="G23" s="38">
        <f>+'2 Employees'!T156+'3 Benefits'!T108</f>
        <v>0</v>
      </c>
      <c r="H23" s="38">
        <f>+'2 Employees'!U156+'3 Benefits'!U108</f>
        <v>0</v>
      </c>
      <c r="I23" s="38">
        <f>+'2 Employees'!V156+'3 Benefits'!V108</f>
        <v>0</v>
      </c>
      <c r="J23" s="38">
        <f>+'2 Employees'!W156+'3 Benefits'!W108</f>
        <v>0</v>
      </c>
      <c r="K23" s="38">
        <f>+'2 Employees'!X156+'3 Benefits'!X108</f>
        <v>0</v>
      </c>
      <c r="L23" s="38">
        <f>+'2 Employees'!Y156+'3 Benefits'!Y108</f>
        <v>0</v>
      </c>
      <c r="M23" s="38">
        <f>+'2 Employees'!Z156+'3 Benefits'!Z108</f>
        <v>0</v>
      </c>
      <c r="N23" s="38">
        <f>+'2 Employees'!AA156+'3 Benefits'!AA108</f>
        <v>0</v>
      </c>
      <c r="O23" s="4"/>
      <c r="P23" s="4">
        <f t="shared" ref="P23:P28" si="6">SUM(C23:E23)</f>
        <v>0</v>
      </c>
      <c r="Q23" s="4">
        <f t="shared" ref="Q23:Q28" si="7">SUM(F23:H23)</f>
        <v>0</v>
      </c>
      <c r="R23" s="4">
        <f t="shared" ref="R23:R28" si="8">SUM(I23:K23)</f>
        <v>0</v>
      </c>
      <c r="S23" s="4">
        <f t="shared" ref="S23:S28" si="9">SUM(L23:N23)</f>
        <v>0</v>
      </c>
      <c r="T23" s="4"/>
      <c r="U23" s="4">
        <f t="shared" ref="U23:U28" si="10">SUM(C23:N23)</f>
        <v>0</v>
      </c>
      <c r="W23" s="25">
        <f t="shared" ref="W23:W29" si="11">ROUND(SUM(P23:S23)-U23,2)</f>
        <v>0</v>
      </c>
    </row>
    <row r="24" spans="2:23" x14ac:dyDescent="0.2">
      <c r="B24" s="7" t="s">
        <v>90</v>
      </c>
      <c r="C24" s="38">
        <f>+'4 Contractors'!P63</f>
        <v>10600</v>
      </c>
      <c r="D24" s="38">
        <f>+'4 Contractors'!Q63</f>
        <v>10600</v>
      </c>
      <c r="E24" s="38">
        <f>+'4 Contractors'!R63</f>
        <v>10600</v>
      </c>
      <c r="F24" s="38">
        <f>+'4 Contractors'!S63</f>
        <v>10600</v>
      </c>
      <c r="G24" s="38">
        <f>+'4 Contractors'!T63</f>
        <v>10600</v>
      </c>
      <c r="H24" s="38">
        <f>+'4 Contractors'!U63</f>
        <v>10600</v>
      </c>
      <c r="I24" s="38">
        <f>+'4 Contractors'!V63</f>
        <v>10600</v>
      </c>
      <c r="J24" s="38">
        <f>+'4 Contractors'!W63</f>
        <v>10600</v>
      </c>
      <c r="K24" s="38">
        <f>+'4 Contractors'!X63</f>
        <v>10600</v>
      </c>
      <c r="L24" s="38">
        <f>+'4 Contractors'!Y63</f>
        <v>10600</v>
      </c>
      <c r="M24" s="38">
        <f>+'4 Contractors'!Z63</f>
        <v>10600</v>
      </c>
      <c r="N24" s="38">
        <f>+'4 Contractors'!AA63</f>
        <v>10600</v>
      </c>
      <c r="O24" s="4"/>
      <c r="P24" s="4">
        <f t="shared" si="6"/>
        <v>31800</v>
      </c>
      <c r="Q24" s="4">
        <f t="shared" si="7"/>
        <v>31800</v>
      </c>
      <c r="R24" s="4">
        <f t="shared" si="8"/>
        <v>31800</v>
      </c>
      <c r="S24" s="4">
        <f t="shared" si="9"/>
        <v>31800</v>
      </c>
      <c r="T24" s="4"/>
      <c r="U24" s="4">
        <f t="shared" si="10"/>
        <v>127200</v>
      </c>
      <c r="W24" s="25">
        <f t="shared" si="11"/>
        <v>0</v>
      </c>
    </row>
    <row r="25" spans="2:23" x14ac:dyDescent="0.2">
      <c r="B25" s="7" t="s">
        <v>91</v>
      </c>
      <c r="C25" s="38">
        <f>+'2 Employees'!P189+'3 Benefits'!P109</f>
        <v>24060</v>
      </c>
      <c r="D25" s="38">
        <f>+'2 Employees'!Q189+'3 Benefits'!Q109</f>
        <v>24060</v>
      </c>
      <c r="E25" s="38">
        <f>+'2 Employees'!R189+'3 Benefits'!R109</f>
        <v>24534</v>
      </c>
      <c r="F25" s="38">
        <f>+'2 Employees'!S189+'3 Benefits'!S109</f>
        <v>24534</v>
      </c>
      <c r="G25" s="38">
        <f>+'2 Employees'!T189+'3 Benefits'!T109</f>
        <v>24534</v>
      </c>
      <c r="H25" s="38">
        <f>+'2 Employees'!U189+'3 Benefits'!U109</f>
        <v>24534</v>
      </c>
      <c r="I25" s="38">
        <f>+'2 Employees'!V189+'3 Benefits'!V109</f>
        <v>24534</v>
      </c>
      <c r="J25" s="38">
        <f>+'2 Employees'!W189+'3 Benefits'!W109</f>
        <v>24534</v>
      </c>
      <c r="K25" s="38">
        <f>+'2 Employees'!X189+'3 Benefits'!X109</f>
        <v>24534</v>
      </c>
      <c r="L25" s="38">
        <f>+'2 Employees'!Y189+'3 Benefits'!Y109</f>
        <v>24534</v>
      </c>
      <c r="M25" s="38">
        <f>+'2 Employees'!Z189+'3 Benefits'!Z109</f>
        <v>24534</v>
      </c>
      <c r="N25" s="38">
        <f>+'2 Employees'!AA189+'3 Benefits'!AA109</f>
        <v>24534</v>
      </c>
      <c r="O25" s="4"/>
      <c r="P25" s="4">
        <f t="shared" si="6"/>
        <v>72654</v>
      </c>
      <c r="Q25" s="4">
        <f t="shared" si="7"/>
        <v>73602</v>
      </c>
      <c r="R25" s="4">
        <f t="shared" si="8"/>
        <v>73602</v>
      </c>
      <c r="S25" s="4">
        <f t="shared" si="9"/>
        <v>73602</v>
      </c>
      <c r="T25" s="4"/>
      <c r="U25" s="4">
        <f t="shared" si="10"/>
        <v>293460</v>
      </c>
      <c r="W25" s="25">
        <f t="shared" si="11"/>
        <v>0</v>
      </c>
    </row>
    <row r="26" spans="2:23" x14ac:dyDescent="0.2">
      <c r="B26" s="7" t="s">
        <v>92</v>
      </c>
      <c r="C26" s="38">
        <f>+'4 Contractors'!P89</f>
        <v>23200</v>
      </c>
      <c r="D26" s="38">
        <f>+'4 Contractors'!Q89</f>
        <v>23200</v>
      </c>
      <c r="E26" s="38">
        <f>+'4 Contractors'!R89</f>
        <v>23200</v>
      </c>
      <c r="F26" s="38">
        <f>+'4 Contractors'!S89</f>
        <v>10200</v>
      </c>
      <c r="G26" s="38">
        <f>+'4 Contractors'!T89</f>
        <v>10200</v>
      </c>
      <c r="H26" s="38">
        <f>+'4 Contractors'!U89</f>
        <v>10200</v>
      </c>
      <c r="I26" s="38">
        <f>+'4 Contractors'!V89</f>
        <v>10200</v>
      </c>
      <c r="J26" s="38">
        <f>+'4 Contractors'!W89</f>
        <v>10200</v>
      </c>
      <c r="K26" s="38">
        <f>+'4 Contractors'!X89</f>
        <v>10200</v>
      </c>
      <c r="L26" s="38">
        <f>+'4 Contractors'!Y89</f>
        <v>10200</v>
      </c>
      <c r="M26" s="38">
        <f>+'4 Contractors'!Z89</f>
        <v>10200</v>
      </c>
      <c r="N26" s="38">
        <f>+'4 Contractors'!AA89</f>
        <v>10200</v>
      </c>
      <c r="O26" s="4"/>
      <c r="P26" s="4">
        <f t="shared" si="6"/>
        <v>69600</v>
      </c>
      <c r="Q26" s="4">
        <f t="shared" si="7"/>
        <v>30600</v>
      </c>
      <c r="R26" s="4">
        <f t="shared" si="8"/>
        <v>30600</v>
      </c>
      <c r="S26" s="4">
        <f t="shared" si="9"/>
        <v>30600</v>
      </c>
      <c r="T26" s="4"/>
      <c r="U26" s="4">
        <f t="shared" si="10"/>
        <v>161400</v>
      </c>
      <c r="W26" s="25">
        <f t="shared" si="11"/>
        <v>0</v>
      </c>
    </row>
    <row r="27" spans="2:23" x14ac:dyDescent="0.2">
      <c r="B27" s="7" t="s">
        <v>106</v>
      </c>
      <c r="C27" s="38">
        <f>+'2 Employees'!P227+'3 Benefits'!P110</f>
        <v>39320</v>
      </c>
      <c r="D27" s="38">
        <f>+'2 Employees'!Q227+'3 Benefits'!Q110</f>
        <v>64157.75</v>
      </c>
      <c r="E27" s="38">
        <f>+'2 Employees'!R227+'3 Benefits'!R110</f>
        <v>40298</v>
      </c>
      <c r="F27" s="38">
        <f>+'2 Employees'!S227+'3 Benefits'!S110</f>
        <v>40298</v>
      </c>
      <c r="G27" s="38">
        <f>+'2 Employees'!T227+'3 Benefits'!T110</f>
        <v>40298</v>
      </c>
      <c r="H27" s="38">
        <f>+'2 Employees'!U227+'3 Benefits'!U110</f>
        <v>40298</v>
      </c>
      <c r="I27" s="38">
        <f>+'2 Employees'!V227+'3 Benefits'!V110</f>
        <v>40298</v>
      </c>
      <c r="J27" s="38">
        <f>+'2 Employees'!W227+'3 Benefits'!W110</f>
        <v>40298</v>
      </c>
      <c r="K27" s="38">
        <f>+'2 Employees'!X227+'3 Benefits'!X110</f>
        <v>40298</v>
      </c>
      <c r="L27" s="38">
        <f>+'2 Employees'!Y227+'3 Benefits'!Y110</f>
        <v>40298</v>
      </c>
      <c r="M27" s="38">
        <f>+'2 Employees'!Z227+'3 Benefits'!Z110</f>
        <v>40298</v>
      </c>
      <c r="N27" s="38">
        <f>+'2 Employees'!AA227+'3 Benefits'!AA110</f>
        <v>40298</v>
      </c>
      <c r="O27" s="4"/>
      <c r="P27" s="4">
        <f t="shared" si="6"/>
        <v>143775.75</v>
      </c>
      <c r="Q27" s="4">
        <f t="shared" si="7"/>
        <v>120894</v>
      </c>
      <c r="R27" s="4">
        <f t="shared" si="8"/>
        <v>120894</v>
      </c>
      <c r="S27" s="4">
        <f t="shared" si="9"/>
        <v>120894</v>
      </c>
      <c r="T27" s="4"/>
      <c r="U27" s="4">
        <f t="shared" si="10"/>
        <v>506457.75</v>
      </c>
      <c r="W27" s="25">
        <f t="shared" si="11"/>
        <v>0</v>
      </c>
    </row>
    <row r="28" spans="2:23" x14ac:dyDescent="0.2">
      <c r="B28" s="7" t="s">
        <v>107</v>
      </c>
      <c r="C28" s="38">
        <f>+'4 Contractors'!P111</f>
        <v>35200</v>
      </c>
      <c r="D28" s="38">
        <f>+'4 Contractors'!Q111</f>
        <v>35200</v>
      </c>
      <c r="E28" s="38">
        <f>+'4 Contractors'!R111</f>
        <v>35200</v>
      </c>
      <c r="F28" s="38">
        <f>+'4 Contractors'!S111</f>
        <v>35200</v>
      </c>
      <c r="G28" s="38">
        <f>+'4 Contractors'!T111</f>
        <v>35200</v>
      </c>
      <c r="H28" s="38">
        <f>+'4 Contractors'!U111</f>
        <v>35200</v>
      </c>
      <c r="I28" s="38">
        <f>+'4 Contractors'!V111</f>
        <v>35200</v>
      </c>
      <c r="J28" s="38">
        <f>+'4 Contractors'!W111</f>
        <v>35200</v>
      </c>
      <c r="K28" s="38">
        <f>+'4 Contractors'!X111</f>
        <v>35200</v>
      </c>
      <c r="L28" s="38">
        <f>+'4 Contractors'!Y111</f>
        <v>35200</v>
      </c>
      <c r="M28" s="38">
        <f>+'4 Contractors'!Z111</f>
        <v>35200</v>
      </c>
      <c r="N28" s="38">
        <f>+'4 Contractors'!AA111</f>
        <v>35200</v>
      </c>
      <c r="O28" s="4"/>
      <c r="P28" s="4">
        <f t="shared" si="6"/>
        <v>105600</v>
      </c>
      <c r="Q28" s="4">
        <f t="shared" si="7"/>
        <v>105600</v>
      </c>
      <c r="R28" s="4">
        <f t="shared" si="8"/>
        <v>105600</v>
      </c>
      <c r="S28" s="4">
        <f t="shared" si="9"/>
        <v>105600</v>
      </c>
      <c r="T28" s="4"/>
      <c r="U28" s="4">
        <f t="shared" si="10"/>
        <v>422400</v>
      </c>
      <c r="W28" s="25">
        <f t="shared" si="11"/>
        <v>0</v>
      </c>
    </row>
    <row r="29" spans="2:23" x14ac:dyDescent="0.2">
      <c r="B29" s="8" t="s">
        <v>93</v>
      </c>
      <c r="C29" s="34">
        <f t="shared" ref="C29:N29" si="12">SUM(C23:C28)</f>
        <v>132380</v>
      </c>
      <c r="D29" s="34">
        <f t="shared" si="12"/>
        <v>157217.75</v>
      </c>
      <c r="E29" s="34">
        <f t="shared" si="12"/>
        <v>133832</v>
      </c>
      <c r="F29" s="34">
        <f t="shared" si="12"/>
        <v>120832</v>
      </c>
      <c r="G29" s="34">
        <f t="shared" si="12"/>
        <v>120832</v>
      </c>
      <c r="H29" s="34">
        <f t="shared" si="12"/>
        <v>120832</v>
      </c>
      <c r="I29" s="34">
        <f t="shared" si="12"/>
        <v>120832</v>
      </c>
      <c r="J29" s="34">
        <f t="shared" si="12"/>
        <v>120832</v>
      </c>
      <c r="K29" s="34">
        <f t="shared" si="12"/>
        <v>120832</v>
      </c>
      <c r="L29" s="34">
        <f t="shared" si="12"/>
        <v>120832</v>
      </c>
      <c r="M29" s="34">
        <f t="shared" si="12"/>
        <v>120832</v>
      </c>
      <c r="N29" s="34">
        <f t="shared" si="12"/>
        <v>120832</v>
      </c>
      <c r="O29" s="34"/>
      <c r="P29" s="34">
        <f>SUM(P23:P28)</f>
        <v>423429.75</v>
      </c>
      <c r="Q29" s="34">
        <f>SUM(Q23:Q28)</f>
        <v>362496</v>
      </c>
      <c r="R29" s="34">
        <f>SUM(R23:R28)</f>
        <v>362496</v>
      </c>
      <c r="S29" s="34">
        <f>SUM(S23:S28)</f>
        <v>362496</v>
      </c>
      <c r="T29" s="34"/>
      <c r="U29" s="34">
        <f>SUM(U23:U28)</f>
        <v>1510917.75</v>
      </c>
      <c r="W29" s="25">
        <f t="shared" si="11"/>
        <v>0</v>
      </c>
    </row>
    <row r="30" spans="2:23" x14ac:dyDescent="0.2">
      <c r="B30" s="8"/>
      <c r="C30" s="34"/>
      <c r="D30" s="34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W30" s="25"/>
    </row>
    <row r="31" spans="2:23" x14ac:dyDescent="0.2">
      <c r="B31" s="7" t="s">
        <v>94</v>
      </c>
      <c r="C31" s="38">
        <f>+'2 Employees'!P280+'3 Benefits'!P113</f>
        <v>41160</v>
      </c>
      <c r="D31" s="38">
        <f>+'2 Employees'!Q280+'3 Benefits'!Q113</f>
        <v>192360</v>
      </c>
      <c r="E31" s="38">
        <f>+'2 Employees'!R280+'3 Benefits'!R113</f>
        <v>41160</v>
      </c>
      <c r="F31" s="38">
        <f>+'2 Employees'!S280+'3 Benefits'!S113</f>
        <v>41160</v>
      </c>
      <c r="G31" s="38">
        <f>+'2 Employees'!T280+'3 Benefits'!T113</f>
        <v>41160</v>
      </c>
      <c r="H31" s="38">
        <f>+'2 Employees'!U280+'3 Benefits'!U113</f>
        <v>41160</v>
      </c>
      <c r="I31" s="38">
        <f>+'2 Employees'!V280+'3 Benefits'!V113</f>
        <v>41160</v>
      </c>
      <c r="J31" s="38">
        <f>+'2 Employees'!W280+'3 Benefits'!W113</f>
        <v>41160</v>
      </c>
      <c r="K31" s="38">
        <f>+'2 Employees'!X280+'3 Benefits'!X113</f>
        <v>41160</v>
      </c>
      <c r="L31" s="38">
        <f>+'2 Employees'!Y280+'3 Benefits'!Y113</f>
        <v>41160</v>
      </c>
      <c r="M31" s="38">
        <f>+'2 Employees'!Z280+'3 Benefits'!Z113</f>
        <v>41160</v>
      </c>
      <c r="N31" s="38">
        <f>+'2 Employees'!AA280+'3 Benefits'!AA113</f>
        <v>41160</v>
      </c>
      <c r="O31" s="4"/>
      <c r="P31" s="4">
        <f>SUM(C31:E31)</f>
        <v>274680</v>
      </c>
      <c r="Q31" s="4">
        <f>SUM(F31:H31)</f>
        <v>123480</v>
      </c>
      <c r="R31" s="4">
        <f>SUM(I31:K31)</f>
        <v>123480</v>
      </c>
      <c r="S31" s="4">
        <f>SUM(L31:N31)</f>
        <v>123480</v>
      </c>
      <c r="T31" s="4"/>
      <c r="U31" s="4">
        <f>SUM(C31:N31)</f>
        <v>645120</v>
      </c>
      <c r="W31" s="25">
        <f t="shared" ref="W31:W33" si="13">ROUND(SUM(P31:S31)-U31,2)</f>
        <v>0</v>
      </c>
    </row>
    <row r="32" spans="2:23" x14ac:dyDescent="0.2">
      <c r="B32" s="7" t="s">
        <v>95</v>
      </c>
      <c r="C32" s="38">
        <f>+'4 Contractors'!P129</f>
        <v>26100</v>
      </c>
      <c r="D32" s="38">
        <f>+'4 Contractors'!Q129</f>
        <v>26100</v>
      </c>
      <c r="E32" s="38">
        <f>+'4 Contractors'!R129</f>
        <v>26100</v>
      </c>
      <c r="F32" s="38">
        <f>+'4 Contractors'!S129</f>
        <v>24600</v>
      </c>
      <c r="G32" s="38">
        <f>+'4 Contractors'!T129</f>
        <v>24600</v>
      </c>
      <c r="H32" s="38">
        <f>+'4 Contractors'!U129</f>
        <v>24600</v>
      </c>
      <c r="I32" s="38">
        <f>+'4 Contractors'!V129</f>
        <v>24100</v>
      </c>
      <c r="J32" s="38">
        <f>+'4 Contractors'!W129</f>
        <v>24100</v>
      </c>
      <c r="K32" s="38">
        <f>+'4 Contractors'!X129</f>
        <v>24100</v>
      </c>
      <c r="L32" s="38">
        <f>+'4 Contractors'!Y129</f>
        <v>24100</v>
      </c>
      <c r="M32" s="38">
        <f>+'4 Contractors'!Z129</f>
        <v>24100</v>
      </c>
      <c r="N32" s="38">
        <f>+'4 Contractors'!AA129</f>
        <v>24100</v>
      </c>
      <c r="O32" s="4"/>
      <c r="P32" s="4">
        <f>SUM(C32:E32)</f>
        <v>78300</v>
      </c>
      <c r="Q32" s="4">
        <f>SUM(F32:H32)</f>
        <v>73800</v>
      </c>
      <c r="R32" s="4">
        <f>SUM(I32:K32)</f>
        <v>72300</v>
      </c>
      <c r="S32" s="4">
        <f>SUM(L32:N32)</f>
        <v>72300</v>
      </c>
      <c r="T32" s="4"/>
      <c r="U32" s="4">
        <f>SUM(C32:N32)</f>
        <v>296700</v>
      </c>
      <c r="W32" s="25">
        <f t="shared" si="13"/>
        <v>0</v>
      </c>
    </row>
    <row r="33" spans="2:24" x14ac:dyDescent="0.2">
      <c r="B33" s="8" t="s">
        <v>96</v>
      </c>
      <c r="C33" s="34">
        <f t="shared" ref="C33:N33" si="14">SUM(C31:C32)</f>
        <v>67260</v>
      </c>
      <c r="D33" s="34">
        <f t="shared" si="14"/>
        <v>218460</v>
      </c>
      <c r="E33" s="34">
        <f t="shared" si="14"/>
        <v>67260</v>
      </c>
      <c r="F33" s="34">
        <f t="shared" si="14"/>
        <v>65760</v>
      </c>
      <c r="G33" s="34">
        <f t="shared" si="14"/>
        <v>65760</v>
      </c>
      <c r="H33" s="34">
        <f t="shared" si="14"/>
        <v>65760</v>
      </c>
      <c r="I33" s="34">
        <f t="shared" si="14"/>
        <v>65260</v>
      </c>
      <c r="J33" s="34">
        <f t="shared" si="14"/>
        <v>65260</v>
      </c>
      <c r="K33" s="34">
        <f t="shared" si="14"/>
        <v>65260</v>
      </c>
      <c r="L33" s="34">
        <f t="shared" si="14"/>
        <v>65260</v>
      </c>
      <c r="M33" s="34">
        <f t="shared" si="14"/>
        <v>65260</v>
      </c>
      <c r="N33" s="34">
        <f t="shared" si="14"/>
        <v>65260</v>
      </c>
      <c r="O33" s="34"/>
      <c r="P33" s="34">
        <f>SUM(P31:P32)</f>
        <v>352980</v>
      </c>
      <c r="Q33" s="34">
        <f>SUM(Q31:Q32)</f>
        <v>197280</v>
      </c>
      <c r="R33" s="34">
        <f>SUM(R31:R32)</f>
        <v>195780</v>
      </c>
      <c r="S33" s="34">
        <f>SUM(S31:S32)</f>
        <v>195780</v>
      </c>
      <c r="T33" s="34"/>
      <c r="U33" s="34">
        <f>SUM(U31:U32)</f>
        <v>941820</v>
      </c>
      <c r="W33" s="25">
        <f t="shared" si="13"/>
        <v>0</v>
      </c>
    </row>
    <row r="34" spans="2:24" x14ac:dyDescent="0.2">
      <c r="B34" s="8"/>
      <c r="C34" s="34"/>
      <c r="D34" s="34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W34" s="25"/>
    </row>
    <row r="35" spans="2:24" x14ac:dyDescent="0.2">
      <c r="B35" s="7" t="s">
        <v>34</v>
      </c>
      <c r="C35" s="38">
        <f>+'6 Other'!P5</f>
        <v>3550</v>
      </c>
      <c r="D35" s="38">
        <f>+'6 Other'!Q5</f>
        <v>3550</v>
      </c>
      <c r="E35" s="38">
        <f>+'6 Other'!R5</f>
        <v>3550</v>
      </c>
      <c r="F35" s="38">
        <f>+'6 Other'!S5</f>
        <v>3550</v>
      </c>
      <c r="G35" s="38">
        <f>+'6 Other'!T5</f>
        <v>3550</v>
      </c>
      <c r="H35" s="38">
        <f>+'6 Other'!U5</f>
        <v>3550</v>
      </c>
      <c r="I35" s="38">
        <f>+'6 Other'!V5</f>
        <v>3550</v>
      </c>
      <c r="J35" s="38">
        <f>+'6 Other'!W5</f>
        <v>3550</v>
      </c>
      <c r="K35" s="38">
        <f>+'6 Other'!X5</f>
        <v>3550</v>
      </c>
      <c r="L35" s="38">
        <f>+'6 Other'!Y5</f>
        <v>3550</v>
      </c>
      <c r="M35" s="38">
        <f>+'6 Other'!Z5</f>
        <v>3550</v>
      </c>
      <c r="N35" s="38">
        <f>+'6 Other'!AA5</f>
        <v>3550</v>
      </c>
      <c r="O35" s="4"/>
      <c r="P35" s="4">
        <f t="shared" ref="P35:P43" si="15">SUM(C35:E35)</f>
        <v>10650</v>
      </c>
      <c r="Q35" s="4">
        <f t="shared" ref="Q35:Q43" si="16">SUM(F35:H35)</f>
        <v>10650</v>
      </c>
      <c r="R35" s="4">
        <f t="shared" ref="R35:R43" si="17">SUM(I35:K35)</f>
        <v>10650</v>
      </c>
      <c r="S35" s="4">
        <f t="shared" ref="S35:S43" si="18">SUM(L35:N35)</f>
        <v>10650</v>
      </c>
      <c r="T35" s="4"/>
      <c r="U35" s="4">
        <f t="shared" ref="U35:U43" si="19">SUM(C35:N35)</f>
        <v>42600</v>
      </c>
      <c r="W35" s="25">
        <f t="shared" ref="W35:W44" si="20">ROUND(SUM(P35:S35)-U35,2)</f>
        <v>0</v>
      </c>
    </row>
    <row r="36" spans="2:24" x14ac:dyDescent="0.2">
      <c r="B36" s="7" t="s">
        <v>17</v>
      </c>
      <c r="C36" s="38">
        <f>+'6 Other'!P6</f>
        <v>4060.2450000000003</v>
      </c>
      <c r="D36" s="38">
        <f>+'6 Other'!Q6</f>
        <v>4804.6949999999997</v>
      </c>
      <c r="E36" s="38">
        <f>+'6 Other'!R6</f>
        <v>13162.9575</v>
      </c>
      <c r="F36" s="38">
        <f>+'6 Other'!S6</f>
        <v>11670.067500000001</v>
      </c>
      <c r="G36" s="38">
        <f>+'6 Other'!T6</f>
        <v>26012.721000000005</v>
      </c>
      <c r="H36" s="38">
        <f>+'6 Other'!U6</f>
        <v>24274.236000000001</v>
      </c>
      <c r="I36" s="38">
        <f>+'6 Other'!V6</f>
        <v>23138.230500000001</v>
      </c>
      <c r="J36" s="38">
        <f>+'6 Other'!W6</f>
        <v>96432.766499999998</v>
      </c>
      <c r="K36" s="38">
        <f>+'6 Other'!X6</f>
        <v>10803.943499999998</v>
      </c>
      <c r="L36" s="38">
        <f>+'6 Other'!Y6</f>
        <v>25464.211500000001</v>
      </c>
      <c r="M36" s="38">
        <f>+'6 Other'!Z6</f>
        <v>12659.041499999999</v>
      </c>
      <c r="N36" s="38">
        <f>+'6 Other'!AA6</f>
        <v>12600</v>
      </c>
      <c r="O36" s="4"/>
      <c r="P36" s="4">
        <f t="shared" si="15"/>
        <v>22027.897499999999</v>
      </c>
      <c r="Q36" s="4">
        <f t="shared" si="16"/>
        <v>61957.024500000014</v>
      </c>
      <c r="R36" s="4">
        <f t="shared" si="17"/>
        <v>130374.9405</v>
      </c>
      <c r="S36" s="4">
        <f t="shared" si="18"/>
        <v>50723.252999999997</v>
      </c>
      <c r="T36" s="4"/>
      <c r="U36" s="4">
        <f t="shared" si="19"/>
        <v>265083.11549999996</v>
      </c>
      <c r="W36" s="25">
        <f t="shared" si="20"/>
        <v>0</v>
      </c>
    </row>
    <row r="37" spans="2:24" x14ac:dyDescent="0.2">
      <c r="B37" s="7" t="s">
        <v>28</v>
      </c>
      <c r="C37" s="38">
        <f>+'6 Other'!P7</f>
        <v>750</v>
      </c>
      <c r="D37" s="38">
        <f>+'6 Other'!Q7</f>
        <v>750</v>
      </c>
      <c r="E37" s="38">
        <f>+'6 Other'!R7</f>
        <v>750</v>
      </c>
      <c r="F37" s="38">
        <f>+'6 Other'!S7</f>
        <v>750</v>
      </c>
      <c r="G37" s="38">
        <f>+'6 Other'!T7</f>
        <v>750</v>
      </c>
      <c r="H37" s="38">
        <f>+'6 Other'!U7</f>
        <v>750</v>
      </c>
      <c r="I37" s="38">
        <f>+'6 Other'!V7</f>
        <v>750</v>
      </c>
      <c r="J37" s="38">
        <f>+'6 Other'!W7</f>
        <v>750</v>
      </c>
      <c r="K37" s="38">
        <f>+'6 Other'!X7</f>
        <v>750</v>
      </c>
      <c r="L37" s="38">
        <f>+'6 Other'!Y7</f>
        <v>750</v>
      </c>
      <c r="M37" s="38">
        <f>+'6 Other'!Z7</f>
        <v>750</v>
      </c>
      <c r="N37" s="38">
        <f>+'6 Other'!AA7</f>
        <v>750</v>
      </c>
      <c r="O37" s="4"/>
      <c r="P37" s="4">
        <f t="shared" si="15"/>
        <v>2250</v>
      </c>
      <c r="Q37" s="4">
        <f t="shared" si="16"/>
        <v>2250</v>
      </c>
      <c r="R37" s="4">
        <f t="shared" si="17"/>
        <v>2250</v>
      </c>
      <c r="S37" s="4">
        <f t="shared" si="18"/>
        <v>2250</v>
      </c>
      <c r="T37" s="4"/>
      <c r="U37" s="4">
        <f t="shared" si="19"/>
        <v>9000</v>
      </c>
      <c r="W37" s="25">
        <f t="shared" si="20"/>
        <v>0</v>
      </c>
    </row>
    <row r="38" spans="2:24" x14ac:dyDescent="0.2">
      <c r="B38" s="7" t="s">
        <v>18</v>
      </c>
      <c r="C38" s="38">
        <f>+'6 Other'!P8</f>
        <v>511.87910000000005</v>
      </c>
      <c r="D38" s="38">
        <f>+'6 Other'!Q8</f>
        <v>8528.5853999999999</v>
      </c>
      <c r="E38" s="38">
        <f>+'6 Other'!R8</f>
        <v>3182.5867000000003</v>
      </c>
      <c r="F38" s="38">
        <f>+'6 Other'!S8</f>
        <v>9254.4367000000002</v>
      </c>
      <c r="G38" s="38">
        <f>+'6 Other'!T8</f>
        <v>1593.9765000000002</v>
      </c>
      <c r="H38" s="38">
        <f>+'6 Other'!U8</f>
        <v>3130.6747</v>
      </c>
      <c r="I38" s="38">
        <f>+'6 Other'!V8</f>
        <v>5747.6472000000012</v>
      </c>
      <c r="J38" s="38">
        <f>+'6 Other'!W8</f>
        <v>1836.7372000000003</v>
      </c>
      <c r="K38" s="38">
        <f>+'6 Other'!X8</f>
        <v>3130.6747</v>
      </c>
      <c r="L38" s="38">
        <f>+'6 Other'!Y8</f>
        <v>5992.3340000000007</v>
      </c>
      <c r="M38" s="38">
        <f>+'6 Other'!Z8</f>
        <v>1836.7372000000003</v>
      </c>
      <c r="N38" s="38">
        <f>+'6 Other'!AA8</f>
        <v>2575</v>
      </c>
      <c r="O38" s="4"/>
      <c r="P38" s="4">
        <f t="shared" si="15"/>
        <v>12223.0512</v>
      </c>
      <c r="Q38" s="4">
        <f t="shared" si="16"/>
        <v>13979.0879</v>
      </c>
      <c r="R38" s="4">
        <f t="shared" si="17"/>
        <v>10715.059100000002</v>
      </c>
      <c r="S38" s="4">
        <f t="shared" si="18"/>
        <v>10404.071200000002</v>
      </c>
      <c r="T38" s="4"/>
      <c r="U38" s="4">
        <f t="shared" si="19"/>
        <v>47321.269400000012</v>
      </c>
      <c r="W38" s="25">
        <f t="shared" si="20"/>
        <v>0</v>
      </c>
    </row>
    <row r="39" spans="2:24" x14ac:dyDescent="0.2">
      <c r="B39" s="7" t="s">
        <v>29</v>
      </c>
      <c r="C39" s="38">
        <f>+'6 Other'!P9</f>
        <v>12500</v>
      </c>
      <c r="D39" s="38">
        <f>+'6 Other'!Q9</f>
        <v>12500</v>
      </c>
      <c r="E39" s="38">
        <f>+'6 Other'!R9</f>
        <v>12500</v>
      </c>
      <c r="F39" s="38">
        <f>+'6 Other'!S9</f>
        <v>10000</v>
      </c>
      <c r="G39" s="38">
        <f>+'6 Other'!T9</f>
        <v>10000</v>
      </c>
      <c r="H39" s="38">
        <f>+'6 Other'!U9</f>
        <v>10000</v>
      </c>
      <c r="I39" s="38">
        <f>+'6 Other'!V9</f>
        <v>8000</v>
      </c>
      <c r="J39" s="38">
        <f>+'6 Other'!W9</f>
        <v>8000</v>
      </c>
      <c r="K39" s="38">
        <f>+'6 Other'!X9</f>
        <v>8000</v>
      </c>
      <c r="L39" s="38">
        <f>+'6 Other'!Y9</f>
        <v>8000</v>
      </c>
      <c r="M39" s="38">
        <f>+'6 Other'!Z9</f>
        <v>8000</v>
      </c>
      <c r="N39" s="38">
        <f>+'6 Other'!AA9</f>
        <v>8000</v>
      </c>
      <c r="O39" s="4"/>
      <c r="P39" s="4">
        <f t="shared" si="15"/>
        <v>37500</v>
      </c>
      <c r="Q39" s="4">
        <f t="shared" si="16"/>
        <v>30000</v>
      </c>
      <c r="R39" s="4">
        <f t="shared" si="17"/>
        <v>24000</v>
      </c>
      <c r="S39" s="4">
        <f t="shared" si="18"/>
        <v>24000</v>
      </c>
      <c r="T39" s="4"/>
      <c r="U39" s="4">
        <f t="shared" si="19"/>
        <v>115500</v>
      </c>
      <c r="W39" s="25">
        <f t="shared" si="20"/>
        <v>0</v>
      </c>
    </row>
    <row r="40" spans="2:24" x14ac:dyDescent="0.2">
      <c r="B40" s="7" t="s">
        <v>32</v>
      </c>
      <c r="C40" s="38">
        <f>+'6 Other'!P10</f>
        <v>2500</v>
      </c>
      <c r="D40" s="38">
        <f>+'6 Other'!Q10</f>
        <v>1500</v>
      </c>
      <c r="E40" s="38">
        <f>+'6 Other'!R10</f>
        <v>2000</v>
      </c>
      <c r="F40" s="38">
        <f>+'6 Other'!S10</f>
        <v>1500</v>
      </c>
      <c r="G40" s="38">
        <f>+'6 Other'!T10</f>
        <v>1500</v>
      </c>
      <c r="H40" s="38">
        <f>+'6 Other'!U10</f>
        <v>2000</v>
      </c>
      <c r="I40" s="38">
        <f>+'6 Other'!V10</f>
        <v>1500</v>
      </c>
      <c r="J40" s="38">
        <f>+'6 Other'!W10</f>
        <v>1500</v>
      </c>
      <c r="K40" s="38">
        <f>+'6 Other'!X10</f>
        <v>2000</v>
      </c>
      <c r="L40" s="38">
        <f>+'6 Other'!Y10</f>
        <v>1500</v>
      </c>
      <c r="M40" s="38">
        <f>+'6 Other'!Z10</f>
        <v>1500</v>
      </c>
      <c r="N40" s="38">
        <f>+'6 Other'!AA10</f>
        <v>2000</v>
      </c>
      <c r="O40" s="4"/>
      <c r="P40" s="4">
        <f t="shared" si="15"/>
        <v>6000</v>
      </c>
      <c r="Q40" s="4">
        <f t="shared" si="16"/>
        <v>5000</v>
      </c>
      <c r="R40" s="4">
        <f t="shared" si="17"/>
        <v>5000</v>
      </c>
      <c r="S40" s="4">
        <f t="shared" si="18"/>
        <v>5000</v>
      </c>
      <c r="T40" s="4"/>
      <c r="U40" s="4">
        <f t="shared" si="19"/>
        <v>21000</v>
      </c>
      <c r="W40" s="25">
        <f t="shared" si="20"/>
        <v>0</v>
      </c>
    </row>
    <row r="41" spans="2:24" x14ac:dyDescent="0.2">
      <c r="B41" s="7" t="s">
        <v>31</v>
      </c>
      <c r="C41" s="38">
        <f>+'6 Other'!P11</f>
        <v>5000</v>
      </c>
      <c r="D41" s="38">
        <f>+'6 Other'!Q11</f>
        <v>5000</v>
      </c>
      <c r="E41" s="38">
        <f>+'6 Other'!R11</f>
        <v>5000</v>
      </c>
      <c r="F41" s="38">
        <f>+'6 Other'!S11</f>
        <v>5000</v>
      </c>
      <c r="G41" s="38">
        <f>+'6 Other'!T11</f>
        <v>5000</v>
      </c>
      <c r="H41" s="38">
        <f>+'6 Other'!U11</f>
        <v>5000</v>
      </c>
      <c r="I41" s="38">
        <f>+'6 Other'!V11</f>
        <v>5000</v>
      </c>
      <c r="J41" s="38">
        <f>+'6 Other'!W11</f>
        <v>5000</v>
      </c>
      <c r="K41" s="38">
        <f>+'6 Other'!X11</f>
        <v>5000</v>
      </c>
      <c r="L41" s="38">
        <f>+'6 Other'!Y11</f>
        <v>5000</v>
      </c>
      <c r="M41" s="38">
        <f>+'6 Other'!Z11</f>
        <v>5000</v>
      </c>
      <c r="N41" s="38">
        <f>+'6 Other'!AA11</f>
        <v>5000</v>
      </c>
      <c r="O41" s="4"/>
      <c r="P41" s="4">
        <f t="shared" si="15"/>
        <v>15000</v>
      </c>
      <c r="Q41" s="4">
        <f t="shared" si="16"/>
        <v>15000</v>
      </c>
      <c r="R41" s="4">
        <f t="shared" si="17"/>
        <v>15000</v>
      </c>
      <c r="S41" s="4">
        <f t="shared" si="18"/>
        <v>15000</v>
      </c>
      <c r="T41" s="4"/>
      <c r="U41" s="4">
        <f t="shared" si="19"/>
        <v>60000</v>
      </c>
      <c r="W41" s="25">
        <f t="shared" si="20"/>
        <v>0</v>
      </c>
    </row>
    <row r="42" spans="2:24" x14ac:dyDescent="0.2">
      <c r="B42" s="7" t="s">
        <v>62</v>
      </c>
      <c r="C42" s="38">
        <f>+'6 Other'!P12</f>
        <v>250</v>
      </c>
      <c r="D42" s="38">
        <f>+'6 Other'!Q12</f>
        <v>250</v>
      </c>
      <c r="E42" s="38">
        <f>+'6 Other'!R12</f>
        <v>250</v>
      </c>
      <c r="F42" s="38">
        <f>+'6 Other'!S12</f>
        <v>250</v>
      </c>
      <c r="G42" s="38">
        <f>+'6 Other'!T12</f>
        <v>250</v>
      </c>
      <c r="H42" s="38">
        <f>+'6 Other'!U12</f>
        <v>250</v>
      </c>
      <c r="I42" s="38">
        <f>+'6 Other'!V12</f>
        <v>250</v>
      </c>
      <c r="J42" s="38">
        <f>+'6 Other'!W12</f>
        <v>250</v>
      </c>
      <c r="K42" s="38">
        <f>+'6 Other'!X12</f>
        <v>250</v>
      </c>
      <c r="L42" s="38">
        <f>+'6 Other'!Y12</f>
        <v>250</v>
      </c>
      <c r="M42" s="38">
        <f>+'6 Other'!Z12</f>
        <v>250</v>
      </c>
      <c r="N42" s="38">
        <f>+'6 Other'!AA12</f>
        <v>250</v>
      </c>
      <c r="O42" s="4"/>
      <c r="P42" s="4">
        <f t="shared" si="15"/>
        <v>750</v>
      </c>
      <c r="Q42" s="4">
        <f t="shared" si="16"/>
        <v>750</v>
      </c>
      <c r="R42" s="4">
        <f t="shared" si="17"/>
        <v>750</v>
      </c>
      <c r="S42" s="4">
        <f t="shared" si="18"/>
        <v>750</v>
      </c>
      <c r="T42" s="4"/>
      <c r="U42" s="4">
        <f t="shared" si="19"/>
        <v>3000</v>
      </c>
      <c r="W42" s="25">
        <f t="shared" si="20"/>
        <v>0</v>
      </c>
    </row>
    <row r="43" spans="2:24" x14ac:dyDescent="0.2">
      <c r="B43" s="7" t="s">
        <v>22</v>
      </c>
      <c r="C43" s="38">
        <f>+'6 Other'!P13</f>
        <v>15000</v>
      </c>
      <c r="D43" s="38">
        <f>+'6 Other'!Q13</f>
        <v>15000</v>
      </c>
      <c r="E43" s="38">
        <f>+'6 Other'!R13</f>
        <v>15000</v>
      </c>
      <c r="F43" s="38">
        <f>+'6 Other'!S13</f>
        <v>15000</v>
      </c>
      <c r="G43" s="38">
        <f>+'6 Other'!T13</f>
        <v>15000</v>
      </c>
      <c r="H43" s="38">
        <f>+'6 Other'!U13</f>
        <v>15000</v>
      </c>
      <c r="I43" s="38">
        <f>+'6 Other'!V13</f>
        <v>15000</v>
      </c>
      <c r="J43" s="38">
        <f>+'6 Other'!W13</f>
        <v>15000</v>
      </c>
      <c r="K43" s="38">
        <f>+'6 Other'!X13</f>
        <v>15000</v>
      </c>
      <c r="L43" s="38">
        <f>+'6 Other'!Y13</f>
        <v>15000</v>
      </c>
      <c r="M43" s="38">
        <f>+'6 Other'!Z13</f>
        <v>15000</v>
      </c>
      <c r="N43" s="38">
        <f>+'6 Other'!AA13</f>
        <v>15000</v>
      </c>
      <c r="O43" s="4"/>
      <c r="P43" s="4">
        <f t="shared" si="15"/>
        <v>45000</v>
      </c>
      <c r="Q43" s="4">
        <f t="shared" si="16"/>
        <v>45000</v>
      </c>
      <c r="R43" s="4">
        <f t="shared" si="17"/>
        <v>45000</v>
      </c>
      <c r="S43" s="4">
        <f t="shared" si="18"/>
        <v>45000</v>
      </c>
      <c r="T43" s="4"/>
      <c r="U43" s="4">
        <f t="shared" si="19"/>
        <v>180000</v>
      </c>
      <c r="W43" s="25">
        <f t="shared" si="20"/>
        <v>0</v>
      </c>
    </row>
    <row r="44" spans="2:24" x14ac:dyDescent="0.2">
      <c r="B44" s="8" t="s">
        <v>97</v>
      </c>
      <c r="C44" s="34">
        <f t="shared" ref="C44:N44" si="21">SUM(C35:C43)</f>
        <v>44122.124100000001</v>
      </c>
      <c r="D44" s="34">
        <f t="shared" si="21"/>
        <v>51883.280400000003</v>
      </c>
      <c r="E44" s="34">
        <f t="shared" si="21"/>
        <v>55395.544200000004</v>
      </c>
      <c r="F44" s="34">
        <f t="shared" si="21"/>
        <v>56974.504200000003</v>
      </c>
      <c r="G44" s="34">
        <f t="shared" si="21"/>
        <v>63656.697500000009</v>
      </c>
      <c r="H44" s="34">
        <f t="shared" si="21"/>
        <v>63954.9107</v>
      </c>
      <c r="I44" s="34">
        <f t="shared" si="21"/>
        <v>62935.877700000005</v>
      </c>
      <c r="J44" s="34">
        <f t="shared" si="21"/>
        <v>132319.5037</v>
      </c>
      <c r="K44" s="34">
        <f t="shared" si="21"/>
        <v>48484.618199999997</v>
      </c>
      <c r="L44" s="34">
        <f t="shared" si="21"/>
        <v>65506.5455</v>
      </c>
      <c r="M44" s="34">
        <f t="shared" si="21"/>
        <v>48545.778699999995</v>
      </c>
      <c r="N44" s="34">
        <f t="shared" si="21"/>
        <v>49725</v>
      </c>
      <c r="O44" s="34"/>
      <c r="P44" s="34">
        <f>SUM(P35:P43)</f>
        <v>151400.94870000001</v>
      </c>
      <c r="Q44" s="34">
        <f>SUM(Q35:Q43)</f>
        <v>184586.11240000001</v>
      </c>
      <c r="R44" s="34">
        <f>SUM(R35:R43)</f>
        <v>243739.99960000001</v>
      </c>
      <c r="S44" s="34">
        <f>SUM(S35:S43)</f>
        <v>163777.3242</v>
      </c>
      <c r="T44" s="34"/>
      <c r="U44" s="34">
        <f>SUM(U35:U43)</f>
        <v>743504.38489999995</v>
      </c>
      <c r="W44" s="25">
        <f t="shared" si="20"/>
        <v>0</v>
      </c>
    </row>
    <row r="45" spans="2:24" x14ac:dyDescent="0.2">
      <c r="C45" s="5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W45" s="25"/>
    </row>
    <row r="46" spans="2:24" x14ac:dyDescent="0.2">
      <c r="B46" s="8" t="s">
        <v>43</v>
      </c>
      <c r="C46" s="34">
        <f t="shared" ref="C46:N46" si="22">+C21+C29+C33+C44</f>
        <v>468472.12410000002</v>
      </c>
      <c r="D46" s="34">
        <f t="shared" si="22"/>
        <v>890053.56714000006</v>
      </c>
      <c r="E46" s="34">
        <f t="shared" si="22"/>
        <v>485205.84419999999</v>
      </c>
      <c r="F46" s="34">
        <f t="shared" si="22"/>
        <v>466284.80420000001</v>
      </c>
      <c r="G46" s="34">
        <f t="shared" si="22"/>
        <v>472966.9975</v>
      </c>
      <c r="H46" s="34">
        <f t="shared" si="22"/>
        <v>473265.2107</v>
      </c>
      <c r="I46" s="34">
        <f t="shared" si="22"/>
        <v>465246.1777</v>
      </c>
      <c r="J46" s="34">
        <f t="shared" si="22"/>
        <v>534629.80370000005</v>
      </c>
      <c r="K46" s="34">
        <f t="shared" si="22"/>
        <v>450794.91819999996</v>
      </c>
      <c r="L46" s="34">
        <f t="shared" si="22"/>
        <v>463316.8455</v>
      </c>
      <c r="M46" s="34">
        <f t="shared" si="22"/>
        <v>446356.07869999995</v>
      </c>
      <c r="N46" s="34">
        <f t="shared" si="22"/>
        <v>447535.3</v>
      </c>
      <c r="O46" s="34"/>
      <c r="P46" s="34">
        <f>+P21+P29+P33+P44</f>
        <v>1843731.53544</v>
      </c>
      <c r="Q46" s="34">
        <f>+Q21+Q29+Q33+Q44</f>
        <v>1412517.0123999999</v>
      </c>
      <c r="R46" s="34">
        <f>+R21+R29+R33+R44</f>
        <v>1450670.8995999999</v>
      </c>
      <c r="S46" s="34">
        <f>+S21+S29+S33+S44</f>
        <v>1357208.2241999998</v>
      </c>
      <c r="T46" s="34"/>
      <c r="U46" s="34">
        <f>+U21+U29+U33+U44</f>
        <v>6064127.6716400003</v>
      </c>
      <c r="W46" s="25">
        <f>ROUND(SUM(P46:S46)-U46,2)</f>
        <v>0</v>
      </c>
      <c r="X46" s="5"/>
    </row>
    <row r="47" spans="2:24" x14ac:dyDescent="0.2">
      <c r="C47" s="5"/>
      <c r="D47" s="5"/>
      <c r="W47" s="25"/>
      <c r="X47" s="5"/>
    </row>
    <row r="48" spans="2:24" x14ac:dyDescent="0.2">
      <c r="B48" s="7" t="s">
        <v>33</v>
      </c>
      <c r="C48" s="38">
        <f>+'6 Other'!P18</f>
        <v>0</v>
      </c>
      <c r="D48" s="38">
        <f>+'6 Other'!Q18</f>
        <v>0</v>
      </c>
      <c r="E48" s="38">
        <f>+'6 Other'!R18</f>
        <v>0</v>
      </c>
      <c r="F48" s="38">
        <f>+'6 Other'!S18</f>
        <v>0</v>
      </c>
      <c r="G48" s="38">
        <f>+'6 Other'!T18</f>
        <v>0</v>
      </c>
      <c r="H48" s="38">
        <f>+'6 Other'!U18</f>
        <v>0</v>
      </c>
      <c r="I48" s="38">
        <f>+'6 Other'!V18</f>
        <v>0</v>
      </c>
      <c r="J48" s="38">
        <f>+'6 Other'!W18</f>
        <v>0</v>
      </c>
      <c r="K48" s="38">
        <f>+'6 Other'!X18</f>
        <v>0</v>
      </c>
      <c r="L48" s="38">
        <f>+'6 Other'!Y18</f>
        <v>0</v>
      </c>
      <c r="M48" s="38">
        <f>+'6 Other'!Z18</f>
        <v>0</v>
      </c>
      <c r="N48" s="38">
        <f>+'6 Other'!AA18</f>
        <v>0</v>
      </c>
      <c r="O48" s="4"/>
      <c r="P48" s="4">
        <f>SUM(C48:E48)</f>
        <v>0</v>
      </c>
      <c r="Q48" s="4">
        <f>SUM(F48:H48)</f>
        <v>0</v>
      </c>
      <c r="R48" s="4">
        <f>SUM(I48:K48)</f>
        <v>0</v>
      </c>
      <c r="S48" s="4">
        <f>SUM(L48:N48)</f>
        <v>0</v>
      </c>
      <c r="T48" s="4"/>
      <c r="U48" s="4">
        <f>SUM(C48:N48)</f>
        <v>0</v>
      </c>
      <c r="W48" s="25">
        <f t="shared" ref="W48:W54" si="23">ROUND(SUM(P48:S48)-U48,2)</f>
        <v>0</v>
      </c>
    </row>
    <row r="49" spans="2:23" x14ac:dyDescent="0.2">
      <c r="B49" s="7" t="s">
        <v>35</v>
      </c>
      <c r="C49" s="38">
        <f>+'6 Other'!P19</f>
        <v>0</v>
      </c>
      <c r="D49" s="38">
        <f>+'6 Other'!Q19</f>
        <v>0</v>
      </c>
      <c r="E49" s="38">
        <f>+'6 Other'!R19</f>
        <v>0</v>
      </c>
      <c r="F49" s="38">
        <f>+'6 Other'!S19</f>
        <v>0</v>
      </c>
      <c r="G49" s="38">
        <f>+'6 Other'!T19</f>
        <v>0</v>
      </c>
      <c r="H49" s="38">
        <f>+'6 Other'!U19</f>
        <v>0</v>
      </c>
      <c r="I49" s="38">
        <f>+'6 Other'!V19</f>
        <v>0</v>
      </c>
      <c r="J49" s="38">
        <f>+'6 Other'!W19</f>
        <v>0</v>
      </c>
      <c r="K49" s="38">
        <f>+'6 Other'!X19</f>
        <v>0</v>
      </c>
      <c r="L49" s="38">
        <f>+'6 Other'!Y19</f>
        <v>0</v>
      </c>
      <c r="M49" s="38">
        <f>+'6 Other'!Z19</f>
        <v>0</v>
      </c>
      <c r="N49" s="38">
        <f>+'6 Other'!AA19</f>
        <v>0</v>
      </c>
      <c r="O49" s="4"/>
      <c r="P49" s="4">
        <f t="shared" ref="P49:P53" si="24">SUM(C49:E49)</f>
        <v>0</v>
      </c>
      <c r="Q49" s="4">
        <f t="shared" ref="Q49:Q53" si="25">SUM(F49:H49)</f>
        <v>0</v>
      </c>
      <c r="R49" s="4">
        <f t="shared" ref="R49:R53" si="26">SUM(I49:K49)</f>
        <v>0</v>
      </c>
      <c r="S49" s="4">
        <f t="shared" ref="S49:S53" si="27">SUM(L49:N49)</f>
        <v>0</v>
      </c>
      <c r="T49" s="4"/>
      <c r="U49" s="4">
        <f t="shared" ref="U49:U53" si="28">SUM(C49:N49)</f>
        <v>0</v>
      </c>
      <c r="W49" s="25">
        <f t="shared" si="23"/>
        <v>0</v>
      </c>
    </row>
    <row r="50" spans="2:23" x14ac:dyDescent="0.2">
      <c r="B50" s="7" t="s">
        <v>16</v>
      </c>
      <c r="C50" s="38">
        <f>+'6 Other'!P20</f>
        <v>0</v>
      </c>
      <c r="D50" s="38">
        <f>+'6 Other'!Q20</f>
        <v>0</v>
      </c>
      <c r="E50" s="38">
        <f>+'6 Other'!R20</f>
        <v>0</v>
      </c>
      <c r="F50" s="38">
        <f>+'6 Other'!S20</f>
        <v>0</v>
      </c>
      <c r="G50" s="38">
        <f>+'6 Other'!T20</f>
        <v>0</v>
      </c>
      <c r="H50" s="38">
        <f>+'6 Other'!U20</f>
        <v>0</v>
      </c>
      <c r="I50" s="38">
        <f>+'6 Other'!V20</f>
        <v>0</v>
      </c>
      <c r="J50" s="38">
        <f>+'6 Other'!W20</f>
        <v>0</v>
      </c>
      <c r="K50" s="38">
        <f>+'6 Other'!X20</f>
        <v>0</v>
      </c>
      <c r="L50" s="38">
        <f>+'6 Other'!Y20</f>
        <v>0</v>
      </c>
      <c r="M50" s="38">
        <f>+'6 Other'!Z20</f>
        <v>0</v>
      </c>
      <c r="N50" s="38">
        <f>+'6 Other'!AA20</f>
        <v>0</v>
      </c>
      <c r="O50" s="4"/>
      <c r="P50" s="4">
        <f t="shared" si="24"/>
        <v>0</v>
      </c>
      <c r="Q50" s="4">
        <f t="shared" si="25"/>
        <v>0</v>
      </c>
      <c r="R50" s="4">
        <f t="shared" si="26"/>
        <v>0</v>
      </c>
      <c r="S50" s="4">
        <f t="shared" si="27"/>
        <v>0</v>
      </c>
      <c r="T50" s="4"/>
      <c r="U50" s="4">
        <f t="shared" si="28"/>
        <v>0</v>
      </c>
      <c r="W50" s="25">
        <f t="shared" si="23"/>
        <v>0</v>
      </c>
    </row>
    <row r="51" spans="2:23" x14ac:dyDescent="0.2">
      <c r="B51" s="7" t="s">
        <v>0</v>
      </c>
      <c r="C51" s="38">
        <f>+'6 Other'!P21</f>
        <v>0</v>
      </c>
      <c r="D51" s="38">
        <f>+'6 Other'!Q21</f>
        <v>0</v>
      </c>
      <c r="E51" s="38">
        <f>+'6 Other'!R21</f>
        <v>0</v>
      </c>
      <c r="F51" s="38">
        <f>+'6 Other'!S21</f>
        <v>0</v>
      </c>
      <c r="G51" s="38">
        <f>+'6 Other'!T21</f>
        <v>0</v>
      </c>
      <c r="H51" s="38">
        <f>+'6 Other'!U21</f>
        <v>0</v>
      </c>
      <c r="I51" s="38">
        <f>+'6 Other'!V21</f>
        <v>0</v>
      </c>
      <c r="J51" s="38">
        <f>+'6 Other'!W21</f>
        <v>0</v>
      </c>
      <c r="K51" s="38">
        <f>+'6 Other'!X21</f>
        <v>0</v>
      </c>
      <c r="L51" s="38">
        <f>+'6 Other'!Y21</f>
        <v>0</v>
      </c>
      <c r="M51" s="38">
        <f>+'6 Other'!Z21</f>
        <v>0</v>
      </c>
      <c r="N51" s="38">
        <f>+'6 Other'!AA21</f>
        <v>0</v>
      </c>
      <c r="O51" s="4"/>
      <c r="P51" s="4">
        <f t="shared" si="24"/>
        <v>0</v>
      </c>
      <c r="Q51" s="4">
        <f t="shared" si="25"/>
        <v>0</v>
      </c>
      <c r="R51" s="4">
        <f t="shared" si="26"/>
        <v>0</v>
      </c>
      <c r="S51" s="4">
        <f t="shared" si="27"/>
        <v>0</v>
      </c>
      <c r="T51" s="4"/>
      <c r="U51" s="4">
        <f t="shared" si="28"/>
        <v>0</v>
      </c>
      <c r="W51" s="25">
        <f t="shared" si="23"/>
        <v>0</v>
      </c>
    </row>
    <row r="52" spans="2:23" x14ac:dyDescent="0.2">
      <c r="B52" s="7" t="s">
        <v>840</v>
      </c>
      <c r="C52" s="38">
        <f>+'6 Other'!P22</f>
        <v>0</v>
      </c>
      <c r="D52" s="38">
        <f>+'6 Other'!Q22</f>
        <v>0</v>
      </c>
      <c r="E52" s="38">
        <f>+'6 Other'!R22</f>
        <v>0</v>
      </c>
      <c r="F52" s="38">
        <f>+'6 Other'!S22</f>
        <v>0</v>
      </c>
      <c r="G52" s="38">
        <f>+'6 Other'!T22</f>
        <v>0</v>
      </c>
      <c r="H52" s="38">
        <f>+'6 Other'!U22</f>
        <v>0</v>
      </c>
      <c r="I52" s="38">
        <f>+'6 Other'!V22</f>
        <v>0</v>
      </c>
      <c r="J52" s="38">
        <f>+'6 Other'!W22</f>
        <v>0</v>
      </c>
      <c r="K52" s="38">
        <f>+'6 Other'!X22</f>
        <v>0</v>
      </c>
      <c r="L52" s="38">
        <f>+'6 Other'!Y22</f>
        <v>0</v>
      </c>
      <c r="M52" s="38">
        <f>+'6 Other'!Z22</f>
        <v>0</v>
      </c>
      <c r="N52" s="38">
        <f>+'6 Other'!AA22</f>
        <v>0</v>
      </c>
      <c r="O52" s="4"/>
      <c r="P52" s="4">
        <f t="shared" ref="P52" si="29">SUM(C52:E52)</f>
        <v>0</v>
      </c>
      <c r="Q52" s="4">
        <f t="shared" si="25"/>
        <v>0</v>
      </c>
      <c r="R52" s="4">
        <f t="shared" si="26"/>
        <v>0</v>
      </c>
      <c r="S52" s="4">
        <f t="shared" si="27"/>
        <v>0</v>
      </c>
      <c r="T52" s="4"/>
      <c r="U52" s="4">
        <f t="shared" si="28"/>
        <v>0</v>
      </c>
      <c r="W52" s="25">
        <f t="shared" ref="W52" si="30">ROUND(SUM(P52:S52)-U52,2)</f>
        <v>0</v>
      </c>
    </row>
    <row r="53" spans="2:23" x14ac:dyDescent="0.2">
      <c r="B53" s="7" t="s">
        <v>26</v>
      </c>
      <c r="C53" s="38">
        <f>+'6 Other'!P23</f>
        <v>-400</v>
      </c>
      <c r="D53" s="38">
        <f>+'6 Other'!Q23</f>
        <v>-400</v>
      </c>
      <c r="E53" s="38">
        <f>+'6 Other'!R23</f>
        <v>-400</v>
      </c>
      <c r="F53" s="38">
        <f>+'6 Other'!S23</f>
        <v>-400</v>
      </c>
      <c r="G53" s="38">
        <f>+'6 Other'!T23</f>
        <v>-400</v>
      </c>
      <c r="H53" s="38">
        <f>+'6 Other'!U23</f>
        <v>-400</v>
      </c>
      <c r="I53" s="38">
        <f>+'6 Other'!V23</f>
        <v>-400</v>
      </c>
      <c r="J53" s="38">
        <f>+'6 Other'!W23</f>
        <v>-400</v>
      </c>
      <c r="K53" s="38">
        <f>+'6 Other'!X23</f>
        <v>-400</v>
      </c>
      <c r="L53" s="38">
        <f>+'6 Other'!Y23</f>
        <v>-400</v>
      </c>
      <c r="M53" s="38">
        <f>+'6 Other'!Z23</f>
        <v>-400</v>
      </c>
      <c r="N53" s="38">
        <f>+'6 Other'!AA23</f>
        <v>-400</v>
      </c>
      <c r="O53" s="4"/>
      <c r="P53" s="4">
        <f t="shared" si="24"/>
        <v>-1200</v>
      </c>
      <c r="Q53" s="4">
        <f t="shared" si="25"/>
        <v>-1200</v>
      </c>
      <c r="R53" s="4">
        <f t="shared" si="26"/>
        <v>-1200</v>
      </c>
      <c r="S53" s="4">
        <f t="shared" si="27"/>
        <v>-1200</v>
      </c>
      <c r="T53" s="4"/>
      <c r="U53" s="4">
        <f t="shared" si="28"/>
        <v>-4800</v>
      </c>
      <c r="W53" s="25">
        <f t="shared" si="23"/>
        <v>0</v>
      </c>
    </row>
    <row r="54" spans="2:23" x14ac:dyDescent="0.2">
      <c r="B54" s="7" t="s">
        <v>48</v>
      </c>
      <c r="C54" s="38">
        <f>+'6 Other'!P24</f>
        <v>500</v>
      </c>
      <c r="D54" s="38">
        <f>+'6 Other'!Q24</f>
        <v>400</v>
      </c>
      <c r="E54" s="38">
        <f>+'6 Other'!R24</f>
        <v>100</v>
      </c>
      <c r="F54" s="38">
        <f>+'6 Other'!S24</f>
        <v>200</v>
      </c>
      <c r="G54" s="38">
        <f>+'6 Other'!T24</f>
        <v>300</v>
      </c>
      <c r="H54" s="38">
        <f>+'6 Other'!U24</f>
        <v>200</v>
      </c>
      <c r="I54" s="38">
        <f>+'6 Other'!V24</f>
        <v>200</v>
      </c>
      <c r="J54" s="38">
        <f>+'6 Other'!W24</f>
        <v>200</v>
      </c>
      <c r="K54" s="38">
        <f>+'6 Other'!X24</f>
        <v>200</v>
      </c>
      <c r="L54" s="38">
        <f>+'6 Other'!Y24</f>
        <v>200</v>
      </c>
      <c r="M54" s="38">
        <f>+'6 Other'!Z24</f>
        <v>300</v>
      </c>
      <c r="N54" s="38">
        <f>+'6 Other'!AA24</f>
        <v>400</v>
      </c>
      <c r="O54" s="4"/>
      <c r="P54" s="4">
        <f>SUM(C54:E54)</f>
        <v>1000</v>
      </c>
      <c r="Q54" s="4">
        <f>SUM(F54:H54)</f>
        <v>700</v>
      </c>
      <c r="R54" s="4">
        <f>SUM(I54:K54)</f>
        <v>600</v>
      </c>
      <c r="S54" s="4">
        <f>SUM(L54:N54)</f>
        <v>900</v>
      </c>
      <c r="T54" s="4"/>
      <c r="U54" s="4">
        <f>SUM(C54:N54)</f>
        <v>3200</v>
      </c>
      <c r="W54" s="25">
        <f t="shared" si="23"/>
        <v>0</v>
      </c>
    </row>
    <row r="55" spans="2:23" x14ac:dyDescent="0.2">
      <c r="C55" s="5"/>
      <c r="D55" s="5"/>
      <c r="W55" s="25"/>
    </row>
    <row r="56" spans="2:23" x14ac:dyDescent="0.2">
      <c r="B56" s="1" t="s">
        <v>44</v>
      </c>
      <c r="C56" s="5">
        <f>+'2025 Detail'!N61</f>
        <v>964110.73</v>
      </c>
      <c r="D56" s="5">
        <f>+C61</f>
        <v>785503.21</v>
      </c>
      <c r="E56" s="5">
        <f t="shared" ref="E56:N56" si="31">+D61</f>
        <v>288637.24</v>
      </c>
      <c r="F56" s="5">
        <f t="shared" si="31"/>
        <v>393009</v>
      </c>
      <c r="G56" s="5">
        <f t="shared" si="31"/>
        <v>510981.8</v>
      </c>
      <c r="H56" s="5">
        <f t="shared" si="31"/>
        <v>458122.4</v>
      </c>
      <c r="I56" s="5">
        <f t="shared" si="31"/>
        <v>404864.79</v>
      </c>
      <c r="J56" s="5">
        <f t="shared" si="31"/>
        <v>489626.21</v>
      </c>
      <c r="K56" s="5">
        <f t="shared" si="31"/>
        <v>490296.41</v>
      </c>
      <c r="L56" s="5">
        <f t="shared" si="31"/>
        <v>470301.49</v>
      </c>
      <c r="M56" s="5">
        <f t="shared" si="31"/>
        <v>577784.64</v>
      </c>
      <c r="N56" s="5">
        <f t="shared" si="31"/>
        <v>777328.56</v>
      </c>
      <c r="O56" s="5"/>
      <c r="P56" s="5">
        <f>+C56</f>
        <v>964110.73</v>
      </c>
      <c r="Q56" s="5">
        <f>+P61</f>
        <v>393009</v>
      </c>
      <c r="R56" s="5">
        <f>+Q61</f>
        <v>404865</v>
      </c>
      <c r="S56" s="5">
        <f>+R61</f>
        <v>470302</v>
      </c>
      <c r="T56" s="5"/>
      <c r="U56" s="5">
        <f>+P56</f>
        <v>964110.73</v>
      </c>
      <c r="W56" s="25"/>
    </row>
    <row r="57" spans="2:23" x14ac:dyDescent="0.2">
      <c r="C57" s="5"/>
      <c r="D57" s="5"/>
      <c r="W57" s="25"/>
    </row>
    <row r="58" spans="2:23" x14ac:dyDescent="0.2">
      <c r="B58" s="7" t="s">
        <v>45</v>
      </c>
      <c r="C58" s="5">
        <f>C15-C46+SUM(C48:C54)</f>
        <v>-178607.52410000004</v>
      </c>
      <c r="D58" s="5">
        <f t="shared" ref="D58:N58" si="32">D15-D46+SUM(D48:D54)</f>
        <v>-496865.96714000008</v>
      </c>
      <c r="E58" s="4">
        <f t="shared" si="32"/>
        <v>104371.75579999998</v>
      </c>
      <c r="F58" s="4">
        <f t="shared" si="32"/>
        <v>117972.79579999996</v>
      </c>
      <c r="G58" s="4">
        <f t="shared" si="32"/>
        <v>-52859.397500000021</v>
      </c>
      <c r="H58" s="4">
        <f>H15-H46+SUM(H48:H54)</f>
        <v>-53257.610700000019</v>
      </c>
      <c r="I58" s="4">
        <f>I15-I46+SUM(I48:I54)</f>
        <v>84761.422299999977</v>
      </c>
      <c r="J58" s="4">
        <f t="shared" si="32"/>
        <v>670.19629999995232</v>
      </c>
      <c r="K58" s="4">
        <f t="shared" si="32"/>
        <v>-19994.918199999956</v>
      </c>
      <c r="L58" s="4">
        <f t="shared" si="32"/>
        <v>107483.1545</v>
      </c>
      <c r="M58" s="4">
        <f t="shared" si="32"/>
        <v>199543.92130000005</v>
      </c>
      <c r="N58" s="4">
        <f t="shared" si="32"/>
        <v>232464.7</v>
      </c>
      <c r="O58" s="4"/>
      <c r="P58" s="4">
        <f>SUM(C58:E58)</f>
        <v>-571101.73544000019</v>
      </c>
      <c r="Q58" s="4">
        <f>SUM(F58:H58)</f>
        <v>11855.787599999923</v>
      </c>
      <c r="R58" s="4">
        <f>SUM(I58:K58)</f>
        <v>65436.700399999972</v>
      </c>
      <c r="S58" s="4">
        <f>SUM(L58:N58)</f>
        <v>539491.77580000006</v>
      </c>
      <c r="T58" s="4"/>
      <c r="U58" s="4">
        <f>SUM(C58:N58)</f>
        <v>45682.528359999764</v>
      </c>
      <c r="W58" s="25">
        <f>ROUND(SUM(P58:S58)-U58,2)</f>
        <v>0</v>
      </c>
    </row>
    <row r="59" spans="2:23" x14ac:dyDescent="0.2">
      <c r="B59" s="7" t="s">
        <v>50</v>
      </c>
      <c r="C59" s="38">
        <f>+'6 Other'!P29</f>
        <v>0</v>
      </c>
      <c r="D59" s="38">
        <f>+'6 Other'!Q29</f>
        <v>0</v>
      </c>
      <c r="E59" s="38">
        <f>+'6 Other'!R29</f>
        <v>0</v>
      </c>
      <c r="F59" s="38">
        <f>+'6 Other'!S29</f>
        <v>0</v>
      </c>
      <c r="G59" s="38">
        <f>+'6 Other'!T29</f>
        <v>0</v>
      </c>
      <c r="H59" s="38">
        <f>+'6 Other'!U29</f>
        <v>0</v>
      </c>
      <c r="I59" s="38">
        <f>+'6 Other'!V29</f>
        <v>0</v>
      </c>
      <c r="J59" s="38">
        <f>+'6 Other'!W29</f>
        <v>0</v>
      </c>
      <c r="K59" s="38">
        <f>+'6 Other'!X29</f>
        <v>0</v>
      </c>
      <c r="L59" s="38">
        <f>+'6 Other'!Y29</f>
        <v>0</v>
      </c>
      <c r="M59" s="38">
        <f>+'6 Other'!Z29</f>
        <v>0</v>
      </c>
      <c r="N59" s="38">
        <f>+'6 Other'!AA29</f>
        <v>0</v>
      </c>
      <c r="O59" s="4"/>
      <c r="P59" s="4">
        <f t="shared" ref="P59" si="33">SUM(C59:E59)</f>
        <v>0</v>
      </c>
      <c r="Q59" s="4">
        <f t="shared" ref="Q59" si="34">SUM(F59:H59)</f>
        <v>0</v>
      </c>
      <c r="R59" s="4">
        <f t="shared" ref="R59" si="35">SUM(I59:K59)</f>
        <v>0</v>
      </c>
      <c r="S59" s="4">
        <f t="shared" ref="S59" si="36">SUM(L59:N59)</f>
        <v>0</v>
      </c>
      <c r="T59" s="4"/>
      <c r="U59" s="4">
        <f t="shared" ref="U59" si="37">SUM(C59:N59)</f>
        <v>0</v>
      </c>
      <c r="W59" s="25">
        <f t="shared" ref="W59" si="38">ROUND(SUM(P59:S59)-U59,2)</f>
        <v>0</v>
      </c>
    </row>
    <row r="60" spans="2:23" x14ac:dyDescent="0.2">
      <c r="B60" s="7"/>
      <c r="C60" s="5"/>
      <c r="D60" s="5"/>
      <c r="W60" s="3"/>
    </row>
    <row r="61" spans="2:23" x14ac:dyDescent="0.2">
      <c r="B61" s="8" t="s">
        <v>46</v>
      </c>
      <c r="C61" s="34">
        <f>ROUND(+C56+C58+C59,2)</f>
        <v>785503.21</v>
      </c>
      <c r="D61" s="34">
        <f t="shared" ref="D61:M61" si="39">ROUND(+D56+D58+D59,2)</f>
        <v>288637.24</v>
      </c>
      <c r="E61" s="34">
        <f t="shared" si="39"/>
        <v>393009</v>
      </c>
      <c r="F61" s="34">
        <f t="shared" si="39"/>
        <v>510981.8</v>
      </c>
      <c r="G61" s="34">
        <f t="shared" si="39"/>
        <v>458122.4</v>
      </c>
      <c r="H61" s="34">
        <f t="shared" si="39"/>
        <v>404864.79</v>
      </c>
      <c r="I61" s="34">
        <f>ROUND(+I56+I58+I59,2)</f>
        <v>489626.21</v>
      </c>
      <c r="J61" s="34">
        <f t="shared" si="39"/>
        <v>490296.41</v>
      </c>
      <c r="K61" s="34">
        <f t="shared" si="39"/>
        <v>470301.49</v>
      </c>
      <c r="L61" s="34">
        <f t="shared" si="39"/>
        <v>577784.64</v>
      </c>
      <c r="M61" s="34">
        <f t="shared" si="39"/>
        <v>777328.56</v>
      </c>
      <c r="N61" s="34">
        <f>ROUND(+N56+N58+N59,2)</f>
        <v>1009793.26</v>
      </c>
      <c r="O61" s="34"/>
      <c r="P61" s="34">
        <f>ROUND(+P56+P58+P59,0)</f>
        <v>393009</v>
      </c>
      <c r="Q61" s="34">
        <f t="shared" ref="Q61:S61" si="40">ROUND(+Q56+Q58+Q59,0)</f>
        <v>404865</v>
      </c>
      <c r="R61" s="34">
        <f t="shared" si="40"/>
        <v>470302</v>
      </c>
      <c r="S61" s="34">
        <f t="shared" si="40"/>
        <v>1009794</v>
      </c>
      <c r="T61" s="34"/>
      <c r="U61" s="34">
        <f>ROUND(+U56+U58+U59,0)</f>
        <v>1009793</v>
      </c>
      <c r="W61" s="3"/>
    </row>
    <row r="62" spans="2:23" x14ac:dyDescent="0.2">
      <c r="C62" s="4"/>
      <c r="G62" s="4"/>
      <c r="H62" s="4"/>
      <c r="I62" s="4"/>
      <c r="J62" s="4"/>
      <c r="K62" s="4"/>
      <c r="L62" s="4"/>
      <c r="M62" s="4"/>
      <c r="N62" s="4"/>
    </row>
    <row r="63" spans="2:23" x14ac:dyDescent="0.2">
      <c r="B63" s="1" t="s">
        <v>192</v>
      </c>
      <c r="C63" s="4">
        <f t="shared" ref="C63:N63" si="41">+C15</f>
        <v>289764.59999999998</v>
      </c>
      <c r="D63" s="4">
        <f t="shared" si="41"/>
        <v>393187.6</v>
      </c>
      <c r="E63" s="4">
        <f t="shared" si="41"/>
        <v>589877.6</v>
      </c>
      <c r="F63" s="4">
        <f t="shared" si="41"/>
        <v>584457.6</v>
      </c>
      <c r="G63" s="4">
        <f t="shared" si="41"/>
        <v>420207.6</v>
      </c>
      <c r="H63" s="4">
        <f t="shared" si="41"/>
        <v>420207.6</v>
      </c>
      <c r="I63" s="4">
        <f t="shared" si="41"/>
        <v>550207.6</v>
      </c>
      <c r="J63" s="4">
        <f t="shared" si="41"/>
        <v>535500</v>
      </c>
      <c r="K63" s="4">
        <f t="shared" si="41"/>
        <v>431000</v>
      </c>
      <c r="L63" s="4">
        <f t="shared" si="41"/>
        <v>571000</v>
      </c>
      <c r="M63" s="4">
        <f t="shared" si="41"/>
        <v>646000</v>
      </c>
      <c r="N63" s="4">
        <f t="shared" si="41"/>
        <v>680000</v>
      </c>
      <c r="P63" s="4">
        <f>+P15</f>
        <v>1272829.8</v>
      </c>
      <c r="Q63" s="4">
        <f>+Q15</f>
        <v>1424872.8</v>
      </c>
      <c r="R63" s="4">
        <f>+R15</f>
        <v>1516707.6</v>
      </c>
      <c r="S63" s="4">
        <f>+S15</f>
        <v>1897000</v>
      </c>
      <c r="U63" s="4">
        <f>+U15</f>
        <v>6111410.2000000002</v>
      </c>
    </row>
    <row r="64" spans="2:23" x14ac:dyDescent="0.2">
      <c r="B64" s="1" t="s">
        <v>193</v>
      </c>
      <c r="C64" s="4">
        <f t="shared" ref="C64:N64" si="42">SUM(C17:C18,C23:C24)</f>
        <v>194680</v>
      </c>
      <c r="D64" s="4">
        <f t="shared" si="42"/>
        <v>369533.04911199998</v>
      </c>
      <c r="E64" s="4">
        <f t="shared" si="42"/>
        <v>197771.8</v>
      </c>
      <c r="F64" s="4">
        <f t="shared" si="42"/>
        <v>191771.8</v>
      </c>
      <c r="G64" s="4">
        <f t="shared" si="42"/>
        <v>191771.8</v>
      </c>
      <c r="H64" s="4">
        <f t="shared" si="42"/>
        <v>191771.8</v>
      </c>
      <c r="I64" s="4">
        <f t="shared" si="42"/>
        <v>185271.8</v>
      </c>
      <c r="J64" s="4">
        <f t="shared" si="42"/>
        <v>185271.8</v>
      </c>
      <c r="K64" s="4">
        <f t="shared" si="42"/>
        <v>185271.8</v>
      </c>
      <c r="L64" s="4">
        <f t="shared" si="42"/>
        <v>180771.8</v>
      </c>
      <c r="M64" s="4">
        <f t="shared" si="42"/>
        <v>180771.8</v>
      </c>
      <c r="N64" s="4">
        <f t="shared" si="42"/>
        <v>180771.8</v>
      </c>
      <c r="P64" s="4">
        <f>SUM(P17:P18,P23:P24)</f>
        <v>761984.84911199997</v>
      </c>
      <c r="Q64" s="4">
        <f>SUM(Q17:Q18,Q23:Q24)</f>
        <v>575315.4</v>
      </c>
      <c r="R64" s="4">
        <f>SUM(R17:R18,R23:R24)</f>
        <v>555815.4</v>
      </c>
      <c r="S64" s="4">
        <f>SUM(S17:S18,S23:S24)</f>
        <v>542315.4</v>
      </c>
      <c r="U64" s="4">
        <f>SUM(U17:U18,U23:U24)</f>
        <v>2435431.0491120005</v>
      </c>
    </row>
    <row r="65" spans="2:21" x14ac:dyDescent="0.2">
      <c r="B65" s="1" t="s">
        <v>194</v>
      </c>
      <c r="C65" s="4">
        <f>+C63-C64</f>
        <v>95084.599999999977</v>
      </c>
      <c r="D65" s="4">
        <f t="shared" ref="D65:N65" si="43">+D63-D64</f>
        <v>23654.550887999998</v>
      </c>
      <c r="E65" s="4">
        <f t="shared" si="43"/>
        <v>392105.8</v>
      </c>
      <c r="F65" s="4">
        <f t="shared" si="43"/>
        <v>392685.8</v>
      </c>
      <c r="G65" s="4">
        <f t="shared" si="43"/>
        <v>228435.8</v>
      </c>
      <c r="H65" s="4">
        <f t="shared" si="43"/>
        <v>228435.8</v>
      </c>
      <c r="I65" s="4">
        <f t="shared" si="43"/>
        <v>364935.8</v>
      </c>
      <c r="J65" s="4">
        <f t="shared" si="43"/>
        <v>350228.2</v>
      </c>
      <c r="K65" s="4">
        <f t="shared" si="43"/>
        <v>245728.2</v>
      </c>
      <c r="L65" s="4">
        <f t="shared" si="43"/>
        <v>390228.2</v>
      </c>
      <c r="M65" s="4">
        <f t="shared" si="43"/>
        <v>465228.2</v>
      </c>
      <c r="N65" s="4">
        <f t="shared" si="43"/>
        <v>499228.2</v>
      </c>
      <c r="P65" s="4">
        <f t="shared" ref="P65:U65" si="44">+P63-P64</f>
        <v>510844.95088800008</v>
      </c>
      <c r="Q65" s="4">
        <f t="shared" si="44"/>
        <v>849557.4</v>
      </c>
      <c r="R65" s="4">
        <f t="shared" si="44"/>
        <v>960892.20000000007</v>
      </c>
      <c r="S65" s="4">
        <f t="shared" si="44"/>
        <v>1354684.6</v>
      </c>
      <c r="U65" s="4">
        <f t="shared" si="44"/>
        <v>3675979.1508879997</v>
      </c>
    </row>
    <row r="66" spans="2:21" x14ac:dyDescent="0.2">
      <c r="B66" s="1" t="s">
        <v>195</v>
      </c>
      <c r="C66" s="40">
        <f>+C65/C63</f>
        <v>0.32814429367838577</v>
      </c>
      <c r="D66" s="40">
        <f t="shared" ref="D66:N66" si="45">+D65/D63</f>
        <v>6.0160978850808108E-2</v>
      </c>
      <c r="E66" s="40">
        <f t="shared" si="45"/>
        <v>0.66472400375942398</v>
      </c>
      <c r="F66" s="40">
        <f t="shared" si="45"/>
        <v>0.67188073181014329</v>
      </c>
      <c r="G66" s="40">
        <f t="shared" si="45"/>
        <v>0.54362605531170782</v>
      </c>
      <c r="H66" s="40">
        <f t="shared" si="45"/>
        <v>0.54362605531170782</v>
      </c>
      <c r="I66" s="40">
        <f t="shared" si="45"/>
        <v>0.66326928235814986</v>
      </c>
      <c r="J66" s="40">
        <f t="shared" si="45"/>
        <v>0.65402091503267978</v>
      </c>
      <c r="K66" s="40">
        <f t="shared" si="45"/>
        <v>0.57013503480278427</v>
      </c>
      <c r="L66" s="40">
        <f t="shared" si="45"/>
        <v>0.68341190893169879</v>
      </c>
      <c r="M66" s="40">
        <f t="shared" si="45"/>
        <v>0.72016749226006194</v>
      </c>
      <c r="N66" s="40">
        <f t="shared" si="45"/>
        <v>0.73415911764705888</v>
      </c>
      <c r="P66" s="40">
        <f t="shared" ref="P66:U66" si="46">+P65/P63</f>
        <v>0.40134584442318999</v>
      </c>
      <c r="Q66" s="40">
        <f t="shared" si="46"/>
        <v>0.59623385329553624</v>
      </c>
      <c r="R66" s="40">
        <f t="shared" si="46"/>
        <v>0.63353819813390533</v>
      </c>
      <c r="S66" s="40">
        <f t="shared" si="46"/>
        <v>0.71411945176594627</v>
      </c>
      <c r="U66" s="40">
        <f t="shared" si="46"/>
        <v>0.60149442282372068</v>
      </c>
    </row>
    <row r="67" spans="2:21" x14ac:dyDescent="0.2">
      <c r="C67" s="4"/>
      <c r="I67" s="4"/>
      <c r="J67" s="4"/>
      <c r="K67" s="4"/>
      <c r="L67" s="4"/>
      <c r="M67" s="4"/>
      <c r="N67" s="4"/>
    </row>
    <row r="68" spans="2:21" x14ac:dyDescent="0.2">
      <c r="B68" s="7" t="s">
        <v>13</v>
      </c>
      <c r="C68" s="4">
        <f>+C61-'2026 CF Basic'!E55</f>
        <v>0</v>
      </c>
      <c r="D68" s="4">
        <f>+D61-'2026 CF Basic'!F55</f>
        <v>0</v>
      </c>
      <c r="E68" s="4">
        <f>+E61-'2026 CF Basic'!G55</f>
        <v>0</v>
      </c>
      <c r="F68" s="4">
        <f>+F61-'2026 CF Basic'!H55</f>
        <v>0</v>
      </c>
      <c r="G68" s="4">
        <f>+G61-'2026 CF Basic'!I55</f>
        <v>0</v>
      </c>
      <c r="H68" s="4">
        <f>+H61-'2026 CF Basic'!J55</f>
        <v>0</v>
      </c>
      <c r="I68" s="4">
        <f>+I61-'2026 CF Basic'!K55</f>
        <v>0</v>
      </c>
      <c r="J68" s="4">
        <f>+J61-'2026 CF Basic'!L55</f>
        <v>0</v>
      </c>
      <c r="K68" s="4">
        <f>+K61-'2026 CF Basic'!M55</f>
        <v>0</v>
      </c>
      <c r="L68" s="4">
        <f>+L61-'2026 CF Basic'!N55</f>
        <v>0</v>
      </c>
      <c r="M68" s="4">
        <f>+M61-'2026 CF Basic'!O55</f>
        <v>0</v>
      </c>
      <c r="N68" s="4">
        <f>+N61-'2026 CF Basic'!P55</f>
        <v>0</v>
      </c>
    </row>
    <row r="69" spans="2:21" x14ac:dyDescent="0.2">
      <c r="I69" s="4"/>
      <c r="J69" s="4"/>
      <c r="K69" s="4"/>
      <c r="L69" s="4"/>
      <c r="M69" s="4"/>
      <c r="N69" s="4"/>
    </row>
    <row r="71" spans="2:21" x14ac:dyDescent="0.2">
      <c r="I71" s="4"/>
      <c r="J71" s="4"/>
      <c r="K71" s="4"/>
      <c r="L71" s="4"/>
      <c r="M71" s="4"/>
      <c r="N71" s="4"/>
    </row>
    <row r="72" spans="2:21" x14ac:dyDescent="0.2">
      <c r="I72" s="4"/>
      <c r="J72" s="4"/>
      <c r="K72" s="4"/>
      <c r="L72" s="4"/>
      <c r="M72" s="4"/>
      <c r="N72" s="4"/>
    </row>
    <row r="73" spans="2:21" x14ac:dyDescent="0.2">
      <c r="I73" s="4"/>
      <c r="J73" s="4"/>
      <c r="K73" s="4"/>
      <c r="L73" s="4"/>
      <c r="M73" s="4"/>
      <c r="N73" s="4"/>
    </row>
    <row r="74" spans="2:21" x14ac:dyDescent="0.2">
      <c r="J74" s="4"/>
      <c r="K74" s="4"/>
      <c r="L74" s="4"/>
      <c r="M74" s="4"/>
      <c r="N74" s="4"/>
    </row>
    <row r="76" spans="2:21" x14ac:dyDescent="0.2">
      <c r="I76" s="4"/>
      <c r="J76" s="4"/>
      <c r="K76" s="4"/>
      <c r="L76" s="4"/>
      <c r="M76" s="4"/>
      <c r="N76" s="4"/>
    </row>
    <row r="77" spans="2:21" x14ac:dyDescent="0.2">
      <c r="I77" s="4"/>
      <c r="J77" s="4"/>
      <c r="K77" s="4"/>
      <c r="L77" s="4"/>
      <c r="M77" s="4"/>
      <c r="N77" s="4"/>
    </row>
    <row r="78" spans="2:21" x14ac:dyDescent="0.2">
      <c r="I78" s="4"/>
      <c r="J78" s="4"/>
      <c r="K78" s="4"/>
      <c r="L78" s="4"/>
      <c r="M78" s="4"/>
      <c r="N78" s="4"/>
    </row>
    <row r="79" spans="2:21" x14ac:dyDescent="0.2">
      <c r="J79" s="4"/>
      <c r="K79" s="4"/>
      <c r="L79" s="4"/>
      <c r="M79" s="4"/>
      <c r="N79" s="4"/>
    </row>
    <row r="80" spans="2:21" x14ac:dyDescent="0.2">
      <c r="I80" s="4"/>
      <c r="J80" s="4"/>
      <c r="K80" s="4"/>
      <c r="L80" s="4"/>
      <c r="M80" s="4"/>
      <c r="N80" s="4"/>
    </row>
    <row r="81" spans="9:14" x14ac:dyDescent="0.2">
      <c r="I81" s="4"/>
      <c r="J81" s="4"/>
      <c r="K81" s="4"/>
      <c r="L81" s="4"/>
      <c r="M81" s="4"/>
      <c r="N81" s="4"/>
    </row>
    <row r="82" spans="9:14" x14ac:dyDescent="0.2">
      <c r="I82" s="4"/>
      <c r="J82" s="4"/>
      <c r="K82" s="4"/>
      <c r="L82" s="4"/>
      <c r="M82" s="4"/>
      <c r="N82" s="4"/>
    </row>
  </sheetData>
  <pageMargins left="0.25" right="0.25" top="0.75" bottom="0.75" header="0.3" footer="0.3"/>
  <pageSetup scale="5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3995-4125-41AA-BFA0-5DCB1E2E6FB2}">
  <sheetPr>
    <pageSetUpPr fitToPage="1"/>
  </sheetPr>
  <dimension ref="A2:Z59"/>
  <sheetViews>
    <sheetView workbookViewId="0">
      <pane xSplit="4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E4" sqref="E4"/>
    </sheetView>
  </sheetViews>
  <sheetFormatPr baseColWidth="10" defaultColWidth="9.1640625" defaultRowHeight="14" x14ac:dyDescent="0.2"/>
  <cols>
    <col min="1" max="1" width="2.6640625" style="1" hidden="1" customWidth="1"/>
    <col min="2" max="2" width="27.5" style="1" hidden="1" customWidth="1"/>
    <col min="3" max="3" width="2.6640625" style="1" customWidth="1"/>
    <col min="4" max="4" width="30.6640625" style="1" customWidth="1"/>
    <col min="5" max="16" width="10.6640625" style="1" customWidth="1"/>
    <col min="17" max="17" width="2.6640625" style="1" customWidth="1"/>
    <col min="18" max="21" width="10.6640625" style="1" customWidth="1"/>
    <col min="22" max="22" width="2.6640625" style="1" customWidth="1"/>
    <col min="23" max="23" width="10.6640625" style="1" customWidth="1"/>
    <col min="24" max="24" width="2.6640625" style="1" customWidth="1"/>
    <col min="25" max="25" width="6.6640625" style="1" customWidth="1"/>
    <col min="26" max="26" width="10.5" style="1" bestFit="1" customWidth="1"/>
    <col min="27" max="16384" width="9.1640625" style="1"/>
  </cols>
  <sheetData>
    <row r="2" spans="2:26" x14ac:dyDescent="0.2">
      <c r="D2" s="8" t="s">
        <v>47</v>
      </c>
      <c r="E2" s="9">
        <v>46023</v>
      </c>
      <c r="F2" s="9">
        <f>EDATE(E2,1)</f>
        <v>46054</v>
      </c>
      <c r="G2" s="9">
        <f t="shared" ref="G2:P2" si="0">EDATE(F2,1)</f>
        <v>46082</v>
      </c>
      <c r="H2" s="9">
        <f t="shared" si="0"/>
        <v>46113</v>
      </c>
      <c r="I2" s="9">
        <f t="shared" si="0"/>
        <v>46143</v>
      </c>
      <c r="J2" s="9">
        <f t="shared" si="0"/>
        <v>46174</v>
      </c>
      <c r="K2" s="9">
        <f t="shared" si="0"/>
        <v>46204</v>
      </c>
      <c r="L2" s="9">
        <f t="shared" si="0"/>
        <v>46235</v>
      </c>
      <c r="M2" s="9">
        <f t="shared" si="0"/>
        <v>46266</v>
      </c>
      <c r="N2" s="9">
        <f t="shared" si="0"/>
        <v>46296</v>
      </c>
      <c r="O2" s="9">
        <f t="shared" si="0"/>
        <v>46327</v>
      </c>
      <c r="P2" s="9">
        <f t="shared" si="0"/>
        <v>46357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2026</v>
      </c>
      <c r="Y2" s="3" t="s">
        <v>13</v>
      </c>
    </row>
    <row r="3" spans="2:26" x14ac:dyDescent="0.2">
      <c r="D3" s="24" t="str">
        <f>+Version!$C$3</f>
        <v>Y2025 12 v001</v>
      </c>
      <c r="Y3" s="3"/>
    </row>
    <row r="4" spans="2:26" x14ac:dyDescent="0.2">
      <c r="D4" s="24"/>
      <c r="Y4" s="3"/>
    </row>
    <row r="5" spans="2:26" x14ac:dyDescent="0.2">
      <c r="B5" s="3"/>
      <c r="D5" s="7" t="s">
        <v>63</v>
      </c>
      <c r="E5" s="38">
        <f>+'1 Collections'!R29</f>
        <v>1930</v>
      </c>
      <c r="F5" s="38">
        <f>+'1 Collections'!S29</f>
        <v>1930</v>
      </c>
      <c r="G5" s="38">
        <f>+'1 Collections'!T29</f>
        <v>1930</v>
      </c>
      <c r="H5" s="38">
        <f>+'1 Collections'!U29</f>
        <v>1930</v>
      </c>
      <c r="I5" s="38">
        <f>+'1 Collections'!V29</f>
        <v>1930</v>
      </c>
      <c r="J5" s="38">
        <f>+'1 Collections'!W29</f>
        <v>1930</v>
      </c>
      <c r="K5" s="38">
        <f>+'1 Collections'!X29</f>
        <v>1930</v>
      </c>
      <c r="L5" s="38">
        <f>+'1 Collections'!Y29</f>
        <v>0</v>
      </c>
      <c r="M5" s="38">
        <f>+'1 Collections'!Z29</f>
        <v>0</v>
      </c>
      <c r="N5" s="38">
        <f>+'1 Collections'!AA29</f>
        <v>0</v>
      </c>
      <c r="O5" s="38">
        <f>+'1 Collections'!AB29</f>
        <v>0</v>
      </c>
      <c r="P5" s="38">
        <f>+'1 Collections'!AC29</f>
        <v>0</v>
      </c>
      <c r="Q5" s="4"/>
      <c r="R5" s="4">
        <f>SUM(E5:G5)</f>
        <v>5790</v>
      </c>
      <c r="S5" s="4">
        <f>SUM(H5:J5)</f>
        <v>5790</v>
      </c>
      <c r="T5" s="4">
        <f>SUM(K5:M5)</f>
        <v>1930</v>
      </c>
      <c r="U5" s="4">
        <f>SUM(N5:P5)</f>
        <v>0</v>
      </c>
      <c r="V5" s="4"/>
      <c r="W5" s="4">
        <f>SUM(E5:P5)</f>
        <v>13510</v>
      </c>
      <c r="Y5" s="25">
        <f>ROUND(SUM(R5:U5)-W5,2)</f>
        <v>0</v>
      </c>
    </row>
    <row r="6" spans="2:26" x14ac:dyDescent="0.2">
      <c r="D6" s="7" t="s">
        <v>87</v>
      </c>
      <c r="E6" s="38">
        <f>+'1 Collections'!R30</f>
        <v>122607</v>
      </c>
      <c r="F6" s="38">
        <f>+'1 Collections'!S30</f>
        <v>216000</v>
      </c>
      <c r="G6" s="38">
        <f>+'1 Collections'!T30</f>
        <v>156000</v>
      </c>
      <c r="H6" s="38">
        <f>+'1 Collections'!U30</f>
        <v>156000</v>
      </c>
      <c r="I6" s="38">
        <f>+'1 Collections'!V30</f>
        <v>110000</v>
      </c>
      <c r="J6" s="38">
        <f>+'1 Collections'!W30</f>
        <v>110000</v>
      </c>
      <c r="K6" s="38">
        <f>+'1 Collections'!X30</f>
        <v>110000</v>
      </c>
      <c r="L6" s="38">
        <f>+'1 Collections'!Y30</f>
        <v>110000</v>
      </c>
      <c r="M6" s="38">
        <f>+'1 Collections'!Z30</f>
        <v>110000</v>
      </c>
      <c r="N6" s="38">
        <f>+'1 Collections'!AA30</f>
        <v>110000</v>
      </c>
      <c r="O6" s="38">
        <f>+'1 Collections'!AB30</f>
        <v>110000</v>
      </c>
      <c r="P6" s="38">
        <f>+'1 Collections'!AC30</f>
        <v>100000</v>
      </c>
      <c r="Q6" s="4"/>
      <c r="R6" s="4">
        <f>SUM(E6:G6)</f>
        <v>494607</v>
      </c>
      <c r="S6" s="4">
        <f>SUM(H6:J6)</f>
        <v>376000</v>
      </c>
      <c r="T6" s="4">
        <f>SUM(K6:M6)</f>
        <v>330000</v>
      </c>
      <c r="U6" s="4">
        <f>SUM(N6:P6)</f>
        <v>320000</v>
      </c>
      <c r="V6" s="4"/>
      <c r="W6" s="4">
        <f>SUM(E6:P6)</f>
        <v>1520607</v>
      </c>
      <c r="Y6" s="25">
        <f>ROUND(SUM(R6:U6)-W6,2)</f>
        <v>0</v>
      </c>
    </row>
    <row r="7" spans="2:26" x14ac:dyDescent="0.2">
      <c r="D7" s="7" t="s">
        <v>549</v>
      </c>
      <c r="E7" s="38">
        <f>+'1 Collections'!R31</f>
        <v>2200</v>
      </c>
      <c r="F7" s="38">
        <f>+'1 Collections'!S31</f>
        <v>52230</v>
      </c>
      <c r="G7" s="38">
        <f>+'1 Collections'!T31</f>
        <v>65420</v>
      </c>
      <c r="H7" s="38">
        <f>+'1 Collections'!U31</f>
        <v>40000</v>
      </c>
      <c r="I7" s="38">
        <f>+'1 Collections'!V31</f>
        <v>40000</v>
      </c>
      <c r="J7" s="38">
        <f>+'1 Collections'!W31</f>
        <v>40000</v>
      </c>
      <c r="K7" s="38">
        <f>+'1 Collections'!X31</f>
        <v>35000</v>
      </c>
      <c r="L7" s="38">
        <f>+'1 Collections'!Y31</f>
        <v>35000</v>
      </c>
      <c r="M7" s="38">
        <f>+'1 Collections'!Z31</f>
        <v>35000</v>
      </c>
      <c r="N7" s="38">
        <f>+'1 Collections'!AA31</f>
        <v>30000</v>
      </c>
      <c r="O7" s="38">
        <f>+'1 Collections'!AB31</f>
        <v>30000</v>
      </c>
      <c r="P7" s="38">
        <f>+'1 Collections'!AC31</f>
        <v>30000</v>
      </c>
      <c r="Q7" s="4"/>
      <c r="R7" s="4">
        <f>SUM(E7:G7)</f>
        <v>119850</v>
      </c>
      <c r="S7" s="4">
        <f>SUM(H7:J7)</f>
        <v>120000</v>
      </c>
      <c r="T7" s="4">
        <f>SUM(K7:M7)</f>
        <v>105000</v>
      </c>
      <c r="U7" s="4">
        <f>SUM(N7:P7)</f>
        <v>90000</v>
      </c>
      <c r="V7" s="4"/>
      <c r="W7" s="4">
        <f>SUM(E7:P7)</f>
        <v>434850</v>
      </c>
      <c r="Y7" s="25">
        <f>ROUND(SUM(R7:U7)-W7,2)</f>
        <v>0</v>
      </c>
    </row>
    <row r="8" spans="2:26" x14ac:dyDescent="0.2">
      <c r="D8" s="8" t="s">
        <v>84</v>
      </c>
      <c r="E8" s="34">
        <f t="shared" ref="E8:L8" si="1">SUM(E5:E7)</f>
        <v>126737</v>
      </c>
      <c r="F8" s="34">
        <f t="shared" si="1"/>
        <v>270160</v>
      </c>
      <c r="G8" s="34">
        <f t="shared" si="1"/>
        <v>223350</v>
      </c>
      <c r="H8" s="34">
        <f t="shared" si="1"/>
        <v>197930</v>
      </c>
      <c r="I8" s="34">
        <f t="shared" si="1"/>
        <v>151930</v>
      </c>
      <c r="J8" s="34">
        <f t="shared" si="1"/>
        <v>151930</v>
      </c>
      <c r="K8" s="34">
        <f t="shared" si="1"/>
        <v>146930</v>
      </c>
      <c r="L8" s="34">
        <f t="shared" si="1"/>
        <v>145000</v>
      </c>
      <c r="M8" s="34">
        <f t="shared" ref="M8:P8" si="2">SUM(M5:M7)</f>
        <v>145000</v>
      </c>
      <c r="N8" s="34">
        <f t="shared" si="2"/>
        <v>140000</v>
      </c>
      <c r="O8" s="34">
        <f t="shared" si="2"/>
        <v>140000</v>
      </c>
      <c r="P8" s="34">
        <f t="shared" si="2"/>
        <v>130000</v>
      </c>
      <c r="Q8" s="34"/>
      <c r="R8" s="34">
        <f>SUM(R5:R7)</f>
        <v>620247</v>
      </c>
      <c r="S8" s="34">
        <f>SUM(S5:S7)</f>
        <v>501790</v>
      </c>
      <c r="T8" s="34">
        <f>SUM(T5:T7)</f>
        <v>436930</v>
      </c>
      <c r="U8" s="34">
        <f>SUM(U5:U7)</f>
        <v>410000</v>
      </c>
      <c r="V8" s="34"/>
      <c r="W8" s="34">
        <f>SUM(W5:W7)</f>
        <v>1968967</v>
      </c>
      <c r="Y8" s="25">
        <f>ROUND(SUM(R8:U8)-W8,2)</f>
        <v>0</v>
      </c>
    </row>
    <row r="9" spans="2:26" ht="6" customHeight="1" x14ac:dyDescent="0.2">
      <c r="D9" s="24"/>
      <c r="Y9" s="3"/>
    </row>
    <row r="10" spans="2:26" x14ac:dyDescent="0.2">
      <c r="D10" s="7" t="s">
        <v>63</v>
      </c>
      <c r="E10" s="38">
        <f>+'1 Collections'!R34</f>
        <v>43250</v>
      </c>
      <c r="F10" s="38">
        <f>+'1 Collections'!S34</f>
        <v>3250</v>
      </c>
      <c r="G10" s="38">
        <f>+'1 Collections'!T34</f>
        <v>144250</v>
      </c>
      <c r="H10" s="38">
        <f>+'1 Collections'!U34</f>
        <v>154250</v>
      </c>
      <c r="I10" s="38">
        <f>+'1 Collections'!V34</f>
        <v>91000</v>
      </c>
      <c r="J10" s="38">
        <f>+'1 Collections'!W34</f>
        <v>91000</v>
      </c>
      <c r="K10" s="38">
        <f>+'1 Collections'!X34</f>
        <v>166000</v>
      </c>
      <c r="L10" s="38">
        <f>+'1 Collections'!Y34</f>
        <v>190000</v>
      </c>
      <c r="M10" s="38">
        <f>+'1 Collections'!Z34</f>
        <v>100000</v>
      </c>
      <c r="N10" s="38">
        <f>+'1 Collections'!AA34</f>
        <v>125000</v>
      </c>
      <c r="O10" s="38">
        <f>+'1 Collections'!AB34</f>
        <v>200000</v>
      </c>
      <c r="P10" s="38">
        <f>+'1 Collections'!AC34</f>
        <v>225000</v>
      </c>
      <c r="Q10" s="4"/>
      <c r="R10" s="4">
        <f>SUM(E10:G10)</f>
        <v>190750</v>
      </c>
      <c r="S10" s="4">
        <f>SUM(H10:J10)</f>
        <v>336250</v>
      </c>
      <c r="T10" s="4">
        <f>SUM(K10:M10)</f>
        <v>456000</v>
      </c>
      <c r="U10" s="4">
        <f>SUM(N10:P10)</f>
        <v>550000</v>
      </c>
      <c r="V10" s="4"/>
      <c r="W10" s="4">
        <f>SUM(E10:P10)</f>
        <v>1533000</v>
      </c>
      <c r="Y10" s="25">
        <f>ROUND(SUM(R10:U10)-W10,2)</f>
        <v>0</v>
      </c>
    </row>
    <row r="11" spans="2:26" x14ac:dyDescent="0.2">
      <c r="D11" s="7" t="s">
        <v>87</v>
      </c>
      <c r="E11" s="38">
        <f>+'1 Collections'!R35</f>
        <v>89277.6</v>
      </c>
      <c r="F11" s="38">
        <f>+'1 Collections'!S35</f>
        <v>89277.6</v>
      </c>
      <c r="G11" s="38">
        <f>+'1 Collections'!T35</f>
        <v>189277.6</v>
      </c>
      <c r="H11" s="38">
        <f>+'1 Collections'!U35</f>
        <v>194277.6</v>
      </c>
      <c r="I11" s="38">
        <f>+'1 Collections'!V35</f>
        <v>139277.6</v>
      </c>
      <c r="J11" s="38">
        <f>+'1 Collections'!W35</f>
        <v>139277.6</v>
      </c>
      <c r="K11" s="38">
        <f>+'1 Collections'!X35</f>
        <v>189277.6</v>
      </c>
      <c r="L11" s="38">
        <f>+'1 Collections'!Y35</f>
        <v>164500</v>
      </c>
      <c r="M11" s="38">
        <f>+'1 Collections'!Z35</f>
        <v>150000</v>
      </c>
      <c r="N11" s="38">
        <f>+'1 Collections'!AA35</f>
        <v>250000</v>
      </c>
      <c r="O11" s="38">
        <f>+'1 Collections'!AB35</f>
        <v>250000</v>
      </c>
      <c r="P11" s="38">
        <f>+'1 Collections'!AC35</f>
        <v>250000</v>
      </c>
      <c r="Q11" s="4"/>
      <c r="R11" s="4">
        <f>SUM(E11:G11)</f>
        <v>367832.80000000005</v>
      </c>
      <c r="S11" s="4">
        <f>SUM(H11:J11)</f>
        <v>472832.80000000005</v>
      </c>
      <c r="T11" s="4">
        <f>SUM(K11:M11)</f>
        <v>503777.6</v>
      </c>
      <c r="U11" s="4">
        <f>SUM(N11:P11)</f>
        <v>750000</v>
      </c>
      <c r="V11" s="4"/>
      <c r="W11" s="4">
        <f>SUM(E11:P11)</f>
        <v>2094443.2</v>
      </c>
      <c r="Y11" s="25">
        <f>ROUND(SUM(R11:U11)-W11,2)</f>
        <v>0</v>
      </c>
    </row>
    <row r="12" spans="2:26" x14ac:dyDescent="0.2">
      <c r="D12" s="7" t="s">
        <v>549</v>
      </c>
      <c r="E12" s="38">
        <f>+'1 Collections'!R36</f>
        <v>30500</v>
      </c>
      <c r="F12" s="38">
        <f>+'1 Collections'!S36</f>
        <v>30500</v>
      </c>
      <c r="G12" s="38">
        <f>+'1 Collections'!T36</f>
        <v>33000</v>
      </c>
      <c r="H12" s="38">
        <f>+'1 Collections'!U36</f>
        <v>38000</v>
      </c>
      <c r="I12" s="38">
        <f>+'1 Collections'!V36</f>
        <v>38000</v>
      </c>
      <c r="J12" s="38">
        <f>+'1 Collections'!W36</f>
        <v>38000</v>
      </c>
      <c r="K12" s="38">
        <f>+'1 Collections'!X36</f>
        <v>48000</v>
      </c>
      <c r="L12" s="38">
        <f>+'1 Collections'!Y36</f>
        <v>36000</v>
      </c>
      <c r="M12" s="38">
        <f>+'1 Collections'!Z36</f>
        <v>36000</v>
      </c>
      <c r="N12" s="38">
        <f>+'1 Collections'!AA36</f>
        <v>56000</v>
      </c>
      <c r="O12" s="38">
        <f>+'1 Collections'!AB36</f>
        <v>56000</v>
      </c>
      <c r="P12" s="38">
        <f>+'1 Collections'!AC36</f>
        <v>75000</v>
      </c>
      <c r="Q12" s="4"/>
      <c r="R12" s="4">
        <f>SUM(E12:G12)</f>
        <v>94000</v>
      </c>
      <c r="S12" s="4">
        <f>SUM(H12:J12)</f>
        <v>114000</v>
      </c>
      <c r="T12" s="4">
        <f>SUM(K12:M12)</f>
        <v>120000</v>
      </c>
      <c r="U12" s="4">
        <f>SUM(N12:P12)</f>
        <v>187000</v>
      </c>
      <c r="V12" s="4"/>
      <c r="W12" s="4">
        <f>SUM(E12:P12)</f>
        <v>515000</v>
      </c>
      <c r="Y12" s="25">
        <f>ROUND(SUM(R12:U12)-W12,2)</f>
        <v>0</v>
      </c>
    </row>
    <row r="13" spans="2:26" x14ac:dyDescent="0.2">
      <c r="D13" s="8" t="s">
        <v>83</v>
      </c>
      <c r="E13" s="34">
        <f t="shared" ref="E13:L13" si="3">SUM(E10:E12)</f>
        <v>163027.6</v>
      </c>
      <c r="F13" s="34">
        <f t="shared" si="3"/>
        <v>123027.6</v>
      </c>
      <c r="G13" s="34">
        <f t="shared" si="3"/>
        <v>366527.6</v>
      </c>
      <c r="H13" s="34">
        <f t="shared" si="3"/>
        <v>386527.6</v>
      </c>
      <c r="I13" s="34">
        <f t="shared" si="3"/>
        <v>268277.59999999998</v>
      </c>
      <c r="J13" s="34">
        <f t="shared" si="3"/>
        <v>268277.59999999998</v>
      </c>
      <c r="K13" s="34">
        <f t="shared" si="3"/>
        <v>403277.6</v>
      </c>
      <c r="L13" s="34">
        <f t="shared" si="3"/>
        <v>390500</v>
      </c>
      <c r="M13" s="34">
        <f t="shared" ref="M13:P13" si="4">SUM(M10:M12)</f>
        <v>286000</v>
      </c>
      <c r="N13" s="34">
        <f t="shared" si="4"/>
        <v>431000</v>
      </c>
      <c r="O13" s="34">
        <f t="shared" si="4"/>
        <v>506000</v>
      </c>
      <c r="P13" s="34">
        <f t="shared" si="4"/>
        <v>550000</v>
      </c>
      <c r="Q13" s="34"/>
      <c r="R13" s="34">
        <f>SUM(R10:R12)</f>
        <v>652582.80000000005</v>
      </c>
      <c r="S13" s="34">
        <f>SUM(S10:S12)</f>
        <v>923082.8</v>
      </c>
      <c r="T13" s="34">
        <f>SUM(T10:T12)</f>
        <v>1079777.6000000001</v>
      </c>
      <c r="U13" s="34">
        <f>SUM(U10:U12)</f>
        <v>1487000</v>
      </c>
      <c r="V13" s="34"/>
      <c r="W13" s="34">
        <f>SUM(W10:W12)</f>
        <v>4142443.2</v>
      </c>
      <c r="Y13" s="25">
        <f>ROUND(SUM(R13:U13)-W13,2)</f>
        <v>0</v>
      </c>
    </row>
    <row r="14" spans="2:26" ht="6" customHeight="1" x14ac:dyDescent="0.2">
      <c r="D14" s="24"/>
      <c r="Y14" s="3"/>
    </row>
    <row r="15" spans="2:26" x14ac:dyDescent="0.2">
      <c r="B15" s="3"/>
      <c r="D15" s="8" t="s">
        <v>42</v>
      </c>
      <c r="E15" s="34">
        <f t="shared" ref="E15:L15" si="5">+E8+E13</f>
        <v>289764.59999999998</v>
      </c>
      <c r="F15" s="34">
        <f t="shared" si="5"/>
        <v>393187.6</v>
      </c>
      <c r="G15" s="34">
        <f t="shared" si="5"/>
        <v>589877.6</v>
      </c>
      <c r="H15" s="34">
        <f t="shared" si="5"/>
        <v>584457.6</v>
      </c>
      <c r="I15" s="34">
        <f t="shared" si="5"/>
        <v>420207.6</v>
      </c>
      <c r="J15" s="34">
        <f t="shared" si="5"/>
        <v>420207.6</v>
      </c>
      <c r="K15" s="34">
        <f t="shared" si="5"/>
        <v>550207.6</v>
      </c>
      <c r="L15" s="34">
        <f t="shared" si="5"/>
        <v>535500</v>
      </c>
      <c r="M15" s="34">
        <f t="shared" ref="M15:P15" si="6">+M8+M13</f>
        <v>431000</v>
      </c>
      <c r="N15" s="34">
        <f t="shared" si="6"/>
        <v>571000</v>
      </c>
      <c r="O15" s="34">
        <f t="shared" si="6"/>
        <v>646000</v>
      </c>
      <c r="P15" s="34">
        <f t="shared" si="6"/>
        <v>680000</v>
      </c>
      <c r="Q15" s="34"/>
      <c r="R15" s="34">
        <f>+R8+R13</f>
        <v>1272829.8</v>
      </c>
      <c r="S15" s="34">
        <f>+S8+S13</f>
        <v>1424872.8</v>
      </c>
      <c r="T15" s="34">
        <f>+T8+T13</f>
        <v>1516707.6</v>
      </c>
      <c r="U15" s="34">
        <f>+U8+U13</f>
        <v>1897000</v>
      </c>
      <c r="V15" s="34"/>
      <c r="W15" s="34">
        <f>+W8+W13</f>
        <v>6111410.2000000002</v>
      </c>
      <c r="Y15" s="25">
        <f>ROUND(SUM(R15:U15)-W15,2)</f>
        <v>0</v>
      </c>
      <c r="Z15" s="5"/>
    </row>
    <row r="16" spans="2:26" x14ac:dyDescent="0.2">
      <c r="B16" s="3"/>
      <c r="D16" s="8"/>
      <c r="E16" s="34"/>
      <c r="F16" s="34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Y16" s="25"/>
    </row>
    <row r="17" spans="2:26" x14ac:dyDescent="0.2">
      <c r="B17" s="3" t="s">
        <v>24</v>
      </c>
      <c r="D17" s="7" t="s">
        <v>479</v>
      </c>
      <c r="E17" s="38">
        <f>+'2 Employees'!P286+'2 Employees'!P287</f>
        <v>147400</v>
      </c>
      <c r="F17" s="38">
        <f>+'2 Employees'!Q286+'2 Employees'!Q287</f>
        <v>561220.28674000001</v>
      </c>
      <c r="G17" s="38">
        <f>+'2 Employees'!R286+'2 Employees'!R287</f>
        <v>150895</v>
      </c>
      <c r="H17" s="38">
        <f>+'2 Employees'!S286+'2 Employees'!S287</f>
        <v>150895</v>
      </c>
      <c r="I17" s="38">
        <f>+'2 Employees'!T286+'2 Employees'!T287</f>
        <v>150895</v>
      </c>
      <c r="J17" s="38">
        <f>+'2 Employees'!U286+'2 Employees'!U287</f>
        <v>150895</v>
      </c>
      <c r="K17" s="38">
        <f>+'2 Employees'!V286+'2 Employees'!V287</f>
        <v>150895</v>
      </c>
      <c r="L17" s="38">
        <f>+'2 Employees'!W286+'2 Employees'!W287</f>
        <v>150895</v>
      </c>
      <c r="M17" s="38">
        <f>+'2 Employees'!X286+'2 Employees'!X287</f>
        <v>150895</v>
      </c>
      <c r="N17" s="38">
        <f>+'2 Employees'!Y286+'2 Employees'!Y287</f>
        <v>150895</v>
      </c>
      <c r="O17" s="38">
        <f>+'2 Employees'!Z286+'2 Employees'!Z287</f>
        <v>150895</v>
      </c>
      <c r="P17" s="38">
        <f>+'2 Employees'!AA286+'2 Employees'!AA287</f>
        <v>150895</v>
      </c>
      <c r="Q17" s="4"/>
      <c r="R17" s="4">
        <f>SUM(E17:G17)</f>
        <v>859515.28674000001</v>
      </c>
      <c r="S17" s="4">
        <f>SUM(H17:J17)</f>
        <v>452685</v>
      </c>
      <c r="T17" s="4">
        <f>SUM(K17:M17)</f>
        <v>452685</v>
      </c>
      <c r="U17" s="4">
        <f>SUM(N17:P17)</f>
        <v>452685</v>
      </c>
      <c r="V17" s="4"/>
      <c r="W17" s="4">
        <f>SUM(E17:P17)</f>
        <v>2217570.2867399999</v>
      </c>
      <c r="Y17" s="25">
        <f t="shared" ref="Y17:Y21" si="7">ROUND(SUM(R17:U17)-W17,2)</f>
        <v>0</v>
      </c>
      <c r="Z17" s="5"/>
    </row>
    <row r="18" spans="2:26" x14ac:dyDescent="0.2">
      <c r="B18" s="3" t="s">
        <v>20</v>
      </c>
      <c r="D18" s="7" t="s">
        <v>20</v>
      </c>
      <c r="E18" s="38">
        <f>+'2 Employees'!P288</f>
        <v>77310</v>
      </c>
      <c r="F18" s="38">
        <f>+'2 Employees'!Q288</f>
        <v>77310</v>
      </c>
      <c r="G18" s="38">
        <f>+'2 Employees'!R288</f>
        <v>79275.3</v>
      </c>
      <c r="H18" s="38">
        <f>+'2 Employees'!S288</f>
        <v>79275.3</v>
      </c>
      <c r="I18" s="38">
        <f>+'2 Employees'!T288</f>
        <v>79275.3</v>
      </c>
      <c r="J18" s="38">
        <f>+'2 Employees'!U288</f>
        <v>79275.3</v>
      </c>
      <c r="K18" s="38">
        <f>+'2 Employees'!V288</f>
        <v>79275.3</v>
      </c>
      <c r="L18" s="38">
        <f>+'2 Employees'!W288</f>
        <v>79275.3</v>
      </c>
      <c r="M18" s="38">
        <f>+'2 Employees'!X288</f>
        <v>79275.3</v>
      </c>
      <c r="N18" s="38">
        <f>+'2 Employees'!Y288</f>
        <v>79275.3</v>
      </c>
      <c r="O18" s="38">
        <f>+'2 Employees'!Z288</f>
        <v>79275.3</v>
      </c>
      <c r="P18" s="38">
        <f>+'2 Employees'!AA288</f>
        <v>79275.3</v>
      </c>
      <c r="Q18" s="4"/>
      <c r="R18" s="4">
        <f>SUM(E18:G18)</f>
        <v>233895.3</v>
      </c>
      <c r="S18" s="4">
        <f>SUM(H18:J18)</f>
        <v>237825.90000000002</v>
      </c>
      <c r="T18" s="4">
        <f>SUM(K18:M18)</f>
        <v>237825.90000000002</v>
      </c>
      <c r="U18" s="4">
        <f>SUM(N18:P18)</f>
        <v>237825.90000000002</v>
      </c>
      <c r="V18" s="4"/>
      <c r="W18" s="4">
        <f>SUM(E18:P18)</f>
        <v>947373.00000000023</v>
      </c>
      <c r="Y18" s="25">
        <f t="shared" si="7"/>
        <v>0</v>
      </c>
    </row>
    <row r="19" spans="2:26" x14ac:dyDescent="0.2">
      <c r="B19" s="3" t="s">
        <v>11</v>
      </c>
      <c r="D19" s="7" t="s">
        <v>11</v>
      </c>
      <c r="E19" s="38">
        <f>+'3 Benefits'!P116</f>
        <v>47040</v>
      </c>
      <c r="F19" s="38">
        <f>+'3 Benefits'!Q116</f>
        <v>47040</v>
      </c>
      <c r="G19" s="38">
        <f>+'3 Benefits'!R116</f>
        <v>47040</v>
      </c>
      <c r="H19" s="38">
        <f>+'3 Benefits'!S116</f>
        <v>47040</v>
      </c>
      <c r="I19" s="38">
        <f>+'3 Benefits'!T116</f>
        <v>47040</v>
      </c>
      <c r="J19" s="38">
        <f>+'3 Benefits'!U116</f>
        <v>47040</v>
      </c>
      <c r="K19" s="38">
        <f>+'3 Benefits'!V116</f>
        <v>47040</v>
      </c>
      <c r="L19" s="38">
        <f>+'3 Benefits'!W116</f>
        <v>47040</v>
      </c>
      <c r="M19" s="38">
        <f>+'3 Benefits'!X116</f>
        <v>47040</v>
      </c>
      <c r="N19" s="38">
        <f>+'3 Benefits'!Y116</f>
        <v>47040</v>
      </c>
      <c r="O19" s="38">
        <f>+'3 Benefits'!Z116</f>
        <v>47040</v>
      </c>
      <c r="P19" s="38">
        <f>+'3 Benefits'!AA116</f>
        <v>47040</v>
      </c>
      <c r="Q19" s="4"/>
      <c r="R19" s="4">
        <f>SUM(E19:G19)</f>
        <v>141120</v>
      </c>
      <c r="S19" s="4">
        <f>SUM(H19:J19)</f>
        <v>141120</v>
      </c>
      <c r="T19" s="4">
        <f>SUM(K19:M19)</f>
        <v>141120</v>
      </c>
      <c r="U19" s="4">
        <f>SUM(N19:P19)</f>
        <v>141120</v>
      </c>
      <c r="V19" s="4"/>
      <c r="W19" s="4">
        <f>SUM(E19:P19)</f>
        <v>564480</v>
      </c>
      <c r="Y19" s="25">
        <f t="shared" si="7"/>
        <v>0</v>
      </c>
    </row>
    <row r="20" spans="2:26" x14ac:dyDescent="0.2">
      <c r="B20" s="3" t="s">
        <v>19</v>
      </c>
      <c r="D20" s="7" t="s">
        <v>19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4"/>
      <c r="R20" s="4">
        <f>SUM(E20:G20)</f>
        <v>0</v>
      </c>
      <c r="S20" s="4">
        <f>SUM(H20:J20)</f>
        <v>0</v>
      </c>
      <c r="T20" s="4">
        <f>SUM(K20:M20)</f>
        <v>0</v>
      </c>
      <c r="U20" s="4">
        <f>SUM(N20:P20)</f>
        <v>0</v>
      </c>
      <c r="V20" s="4"/>
      <c r="W20" s="4">
        <f>SUM(E20:P20)</f>
        <v>0</v>
      </c>
      <c r="Y20" s="25">
        <f t="shared" ref="Y20" si="8">ROUND(SUM(R20:U20)-W20,2)</f>
        <v>0</v>
      </c>
    </row>
    <row r="21" spans="2:26" x14ac:dyDescent="0.2">
      <c r="B21" s="3"/>
      <c r="D21" s="8" t="s">
        <v>40</v>
      </c>
      <c r="E21" s="34">
        <f>SUM(E17:E20)</f>
        <v>271750</v>
      </c>
      <c r="F21" s="34">
        <f t="shared" ref="F21:P21" si="9">SUM(F17:F20)</f>
        <v>685570.28674000001</v>
      </c>
      <c r="G21" s="34">
        <f t="shared" si="9"/>
        <v>277210.3</v>
      </c>
      <c r="H21" s="34">
        <f t="shared" si="9"/>
        <v>277210.3</v>
      </c>
      <c r="I21" s="34">
        <f t="shared" si="9"/>
        <v>277210.3</v>
      </c>
      <c r="J21" s="34">
        <f t="shared" si="9"/>
        <v>277210.3</v>
      </c>
      <c r="K21" s="34">
        <f t="shared" si="9"/>
        <v>277210.3</v>
      </c>
      <c r="L21" s="34">
        <f t="shared" si="9"/>
        <v>277210.3</v>
      </c>
      <c r="M21" s="34">
        <f t="shared" si="9"/>
        <v>277210.3</v>
      </c>
      <c r="N21" s="34">
        <f t="shared" si="9"/>
        <v>277210.3</v>
      </c>
      <c r="O21" s="34">
        <f t="shared" si="9"/>
        <v>277210.3</v>
      </c>
      <c r="P21" s="34">
        <f t="shared" si="9"/>
        <v>277210.3</v>
      </c>
      <c r="Q21" s="34"/>
      <c r="R21" s="34">
        <f t="shared" ref="R21:W21" si="10">SUM(R17:R20)</f>
        <v>1234530.5867399999</v>
      </c>
      <c r="S21" s="34">
        <f t="shared" si="10"/>
        <v>831630.9</v>
      </c>
      <c r="T21" s="34">
        <f t="shared" si="10"/>
        <v>831630.9</v>
      </c>
      <c r="U21" s="34">
        <f t="shared" si="10"/>
        <v>831630.9</v>
      </c>
      <c r="V21" s="34"/>
      <c r="W21" s="34">
        <f t="shared" si="10"/>
        <v>3729423.2867400004</v>
      </c>
      <c r="Y21" s="25">
        <f t="shared" si="7"/>
        <v>0</v>
      </c>
    </row>
    <row r="22" spans="2:26" x14ac:dyDescent="0.2">
      <c r="B22" s="3"/>
      <c r="D22" s="8"/>
      <c r="E22" s="5"/>
      <c r="F22" s="34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Y22" s="25"/>
    </row>
    <row r="23" spans="2:26" x14ac:dyDescent="0.2">
      <c r="B23" s="3" t="s">
        <v>27</v>
      </c>
      <c r="D23" s="7" t="s">
        <v>262</v>
      </c>
      <c r="E23" s="38">
        <f>+'4 Contractors'!P29+'4 Contractors'!P46+'4 Contractors'!P142</f>
        <v>57500</v>
      </c>
      <c r="F23" s="38">
        <f>+'4 Contractors'!Q29+'4 Contractors'!Q46+'4 Contractors'!Q142</f>
        <v>57500</v>
      </c>
      <c r="G23" s="38">
        <f>+'4 Contractors'!R29+'4 Contractors'!R46+'4 Contractors'!R142</f>
        <v>57500</v>
      </c>
      <c r="H23" s="38">
        <f>+'4 Contractors'!S29+'4 Contractors'!S46+'4 Contractors'!S142</f>
        <v>51500</v>
      </c>
      <c r="I23" s="38">
        <f>+'4 Contractors'!T29+'4 Contractors'!T46+'4 Contractors'!T142</f>
        <v>51500</v>
      </c>
      <c r="J23" s="38">
        <f>+'4 Contractors'!U29+'4 Contractors'!U46+'4 Contractors'!U142</f>
        <v>51500</v>
      </c>
      <c r="K23" s="38">
        <f>+'4 Contractors'!V29+'4 Contractors'!V46+'4 Contractors'!V142</f>
        <v>45000</v>
      </c>
      <c r="L23" s="38">
        <f>+'4 Contractors'!W29+'4 Contractors'!W46+'4 Contractors'!W142</f>
        <v>45000</v>
      </c>
      <c r="M23" s="38">
        <f>+'4 Contractors'!X29+'4 Contractors'!X46+'4 Contractors'!X142</f>
        <v>45000</v>
      </c>
      <c r="N23" s="38">
        <f>+'4 Contractors'!Y29+'4 Contractors'!Y46+'4 Contractors'!Y142</f>
        <v>40500</v>
      </c>
      <c r="O23" s="38">
        <f>+'4 Contractors'!Z29+'4 Contractors'!Z46+'4 Contractors'!Z142</f>
        <v>40500</v>
      </c>
      <c r="P23" s="38">
        <f>+'4 Contractors'!AA29+'4 Contractors'!AA46+'4 Contractors'!AA142</f>
        <v>40500</v>
      </c>
      <c r="Q23" s="4"/>
      <c r="R23" s="4">
        <f t="shared" ref="R23:R25" si="11">SUM(E23:G23)</f>
        <v>172500</v>
      </c>
      <c r="S23" s="4">
        <f t="shared" ref="S23:S25" si="12">SUM(H23:J23)</f>
        <v>154500</v>
      </c>
      <c r="T23" s="4">
        <f t="shared" ref="T23:T25" si="13">SUM(K23:M23)</f>
        <v>135000</v>
      </c>
      <c r="U23" s="4">
        <f t="shared" ref="U23:U25" si="14">SUM(N23:P23)</f>
        <v>121500</v>
      </c>
      <c r="V23" s="4"/>
      <c r="W23" s="4">
        <f t="shared" ref="W23:W25" si="15">SUM(E23:P23)</f>
        <v>583500</v>
      </c>
      <c r="Y23" s="25">
        <f t="shared" ref="Y23:Y26" si="16">ROUND(SUM(R23:U23)-W23,2)</f>
        <v>0</v>
      </c>
    </row>
    <row r="24" spans="2:26" x14ac:dyDescent="0.2">
      <c r="B24" s="3" t="s">
        <v>353</v>
      </c>
      <c r="D24" s="7" t="s">
        <v>217</v>
      </c>
      <c r="E24" s="38">
        <f>+'4 Contractors'!P63+'4 Contractors'!P89+'4 Contractors'!P111-'4 Contractors'!P103</f>
        <v>69000</v>
      </c>
      <c r="F24" s="38">
        <f>+'4 Contractors'!Q63+'4 Contractors'!Q89+'4 Contractors'!Q111-'4 Contractors'!Q103</f>
        <v>69000</v>
      </c>
      <c r="G24" s="38">
        <f>+'4 Contractors'!R63+'4 Contractors'!R89+'4 Contractors'!R111-'4 Contractors'!R103</f>
        <v>69000</v>
      </c>
      <c r="H24" s="38">
        <f>+'4 Contractors'!S63+'4 Contractors'!S89+'4 Contractors'!S111-'4 Contractors'!S103</f>
        <v>56000</v>
      </c>
      <c r="I24" s="38">
        <f>+'4 Contractors'!T63+'4 Contractors'!T89+'4 Contractors'!T111-'4 Contractors'!T103</f>
        <v>56000</v>
      </c>
      <c r="J24" s="38">
        <f>+'4 Contractors'!U63+'4 Contractors'!U89+'4 Contractors'!U111-'4 Contractors'!U103</f>
        <v>56000</v>
      </c>
      <c r="K24" s="38">
        <f>+'4 Contractors'!V63+'4 Contractors'!V89+'4 Contractors'!V111-'4 Contractors'!V103</f>
        <v>56000</v>
      </c>
      <c r="L24" s="38">
        <f>+'4 Contractors'!W63+'4 Contractors'!W89+'4 Contractors'!W111-'4 Contractors'!W103</f>
        <v>56000</v>
      </c>
      <c r="M24" s="38">
        <f>+'4 Contractors'!X63+'4 Contractors'!X89+'4 Contractors'!X111-'4 Contractors'!X103</f>
        <v>56000</v>
      </c>
      <c r="N24" s="38">
        <f>+'4 Contractors'!Y63+'4 Contractors'!Y89+'4 Contractors'!Y111-'4 Contractors'!Y103</f>
        <v>56000</v>
      </c>
      <c r="O24" s="38">
        <f>+'4 Contractors'!Z63+'4 Contractors'!Z89+'4 Contractors'!Z111-'4 Contractors'!Z103</f>
        <v>56000</v>
      </c>
      <c r="P24" s="38">
        <f>+'4 Contractors'!AA63+'4 Contractors'!AA89+'4 Contractors'!AA111-'4 Contractors'!AA103</f>
        <v>56000</v>
      </c>
      <c r="Q24" s="4"/>
      <c r="R24" s="4">
        <f t="shared" si="11"/>
        <v>207000</v>
      </c>
      <c r="S24" s="4">
        <f t="shared" si="12"/>
        <v>168000</v>
      </c>
      <c r="T24" s="4">
        <f t="shared" si="13"/>
        <v>168000</v>
      </c>
      <c r="U24" s="4">
        <f t="shared" si="14"/>
        <v>168000</v>
      </c>
      <c r="V24" s="4"/>
      <c r="W24" s="4">
        <f t="shared" si="15"/>
        <v>711000</v>
      </c>
      <c r="Y24" s="25">
        <f t="shared" si="16"/>
        <v>0</v>
      </c>
    </row>
    <row r="25" spans="2:26" x14ac:dyDescent="0.2">
      <c r="B25" s="3" t="s">
        <v>360</v>
      </c>
      <c r="D25" s="7" t="s">
        <v>103</v>
      </c>
      <c r="E25" s="38">
        <f>+'4 Contractors'!P129</f>
        <v>26100</v>
      </c>
      <c r="F25" s="38">
        <f>+'4 Contractors'!Q129</f>
        <v>26100</v>
      </c>
      <c r="G25" s="38">
        <f>+'4 Contractors'!R129</f>
        <v>26100</v>
      </c>
      <c r="H25" s="38">
        <f>+'4 Contractors'!S129</f>
        <v>24600</v>
      </c>
      <c r="I25" s="38">
        <f>+'4 Contractors'!T129</f>
        <v>24600</v>
      </c>
      <c r="J25" s="38">
        <f>+'4 Contractors'!U129</f>
        <v>24600</v>
      </c>
      <c r="K25" s="38">
        <f>+'4 Contractors'!V129</f>
        <v>24100</v>
      </c>
      <c r="L25" s="38">
        <f>+'4 Contractors'!W129</f>
        <v>24100</v>
      </c>
      <c r="M25" s="38">
        <f>+'4 Contractors'!X129</f>
        <v>24100</v>
      </c>
      <c r="N25" s="38">
        <f>+'4 Contractors'!Y129</f>
        <v>24100</v>
      </c>
      <c r="O25" s="38">
        <f>+'4 Contractors'!Z129</f>
        <v>24100</v>
      </c>
      <c r="P25" s="38">
        <f>+'4 Contractors'!AA129</f>
        <v>24100</v>
      </c>
      <c r="Q25" s="4"/>
      <c r="R25" s="4">
        <f t="shared" si="11"/>
        <v>78300</v>
      </c>
      <c r="S25" s="4">
        <f t="shared" si="12"/>
        <v>73800</v>
      </c>
      <c r="T25" s="4">
        <f t="shared" si="13"/>
        <v>72300</v>
      </c>
      <c r="U25" s="4">
        <f t="shared" si="14"/>
        <v>72300</v>
      </c>
      <c r="V25" s="4"/>
      <c r="W25" s="4">
        <f t="shared" si="15"/>
        <v>296700</v>
      </c>
      <c r="Y25" s="25">
        <f t="shared" si="16"/>
        <v>0</v>
      </c>
    </row>
    <row r="26" spans="2:26" x14ac:dyDescent="0.2">
      <c r="B26" s="3"/>
      <c r="D26" s="8" t="s">
        <v>480</v>
      </c>
      <c r="E26" s="34">
        <f t="shared" ref="E26:P26" si="17">SUM(E23:E25)</f>
        <v>152600</v>
      </c>
      <c r="F26" s="34">
        <f t="shared" si="17"/>
        <v>152600</v>
      </c>
      <c r="G26" s="34">
        <f t="shared" si="17"/>
        <v>152600</v>
      </c>
      <c r="H26" s="34">
        <f t="shared" si="17"/>
        <v>132100</v>
      </c>
      <c r="I26" s="34">
        <f t="shared" si="17"/>
        <v>132100</v>
      </c>
      <c r="J26" s="34">
        <f t="shared" si="17"/>
        <v>132100</v>
      </c>
      <c r="K26" s="34">
        <f t="shared" si="17"/>
        <v>125100</v>
      </c>
      <c r="L26" s="34">
        <f t="shared" si="17"/>
        <v>125100</v>
      </c>
      <c r="M26" s="34">
        <f t="shared" si="17"/>
        <v>125100</v>
      </c>
      <c r="N26" s="34">
        <f t="shared" si="17"/>
        <v>120600</v>
      </c>
      <c r="O26" s="34">
        <f t="shared" si="17"/>
        <v>120600</v>
      </c>
      <c r="P26" s="34">
        <f t="shared" si="17"/>
        <v>120600</v>
      </c>
      <c r="Q26" s="34"/>
      <c r="R26" s="34">
        <f>SUM(R23:R25)</f>
        <v>457800</v>
      </c>
      <c r="S26" s="34">
        <f>SUM(S23:S25)</f>
        <v>396300</v>
      </c>
      <c r="T26" s="34">
        <f>SUM(T23:T25)</f>
        <v>375300</v>
      </c>
      <c r="U26" s="34">
        <f>SUM(U23:U25)</f>
        <v>361800</v>
      </c>
      <c r="V26" s="34"/>
      <c r="W26" s="34">
        <f>SUM(W23:W25)</f>
        <v>1591200</v>
      </c>
      <c r="Y26" s="25">
        <f t="shared" si="16"/>
        <v>0</v>
      </c>
    </row>
    <row r="27" spans="2:26" x14ac:dyDescent="0.2">
      <c r="B27" s="3"/>
      <c r="D27" s="8"/>
      <c r="E27" s="34"/>
      <c r="F27" s="34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Y27" s="25"/>
    </row>
    <row r="28" spans="2:26" x14ac:dyDescent="0.2">
      <c r="B28" s="3" t="s">
        <v>477</v>
      </c>
      <c r="D28" s="7" t="s">
        <v>477</v>
      </c>
      <c r="E28" s="38">
        <f>+'4 Contractors'!P103</f>
        <v>0</v>
      </c>
      <c r="F28" s="38">
        <f>+'4 Contractors'!Q103</f>
        <v>0</v>
      </c>
      <c r="G28" s="38">
        <f>+'4 Contractors'!R103</f>
        <v>0</v>
      </c>
      <c r="H28" s="38">
        <f>+'4 Contractors'!S103</f>
        <v>0</v>
      </c>
      <c r="I28" s="38">
        <f>+'4 Contractors'!T103</f>
        <v>0</v>
      </c>
      <c r="J28" s="38">
        <f>+'4 Contractors'!U103</f>
        <v>0</v>
      </c>
      <c r="K28" s="38">
        <f>+'4 Contractors'!V103</f>
        <v>0</v>
      </c>
      <c r="L28" s="38">
        <f>+'4 Contractors'!W103</f>
        <v>0</v>
      </c>
      <c r="M28" s="38">
        <f>+'4 Contractors'!X103</f>
        <v>0</v>
      </c>
      <c r="N28" s="38">
        <f>+'4 Contractors'!Y103</f>
        <v>0</v>
      </c>
      <c r="O28" s="38">
        <f>+'4 Contractors'!Z103</f>
        <v>0</v>
      </c>
      <c r="P28" s="38">
        <f>+'4 Contractors'!AA103</f>
        <v>0</v>
      </c>
      <c r="Q28" s="4"/>
      <c r="R28" s="4">
        <f t="shared" ref="R28:R37" si="18">SUM(E28:G28)</f>
        <v>0</v>
      </c>
      <c r="S28" s="4">
        <f t="shared" ref="S28:S37" si="19">SUM(H28:J28)</f>
        <v>0</v>
      </c>
      <c r="T28" s="4">
        <f t="shared" ref="T28:T37" si="20">SUM(K28:M28)</f>
        <v>0</v>
      </c>
      <c r="U28" s="4">
        <f t="shared" ref="U28:U37" si="21">SUM(N28:P28)</f>
        <v>0</v>
      </c>
      <c r="V28" s="4"/>
      <c r="W28" s="4">
        <f t="shared" ref="W28:W37" si="22">SUM(E28:P28)</f>
        <v>0</v>
      </c>
      <c r="Y28" s="25">
        <f t="shared" ref="Y28:Y38" si="23">ROUND(SUM(R28:U28)-W28,2)</f>
        <v>0</v>
      </c>
    </row>
    <row r="29" spans="2:26" x14ac:dyDescent="0.2">
      <c r="B29" s="3" t="s">
        <v>34</v>
      </c>
      <c r="D29" s="7" t="s">
        <v>34</v>
      </c>
      <c r="E29" s="38">
        <f>+'6 Other'!P5</f>
        <v>3550</v>
      </c>
      <c r="F29" s="38">
        <f>+'6 Other'!Q5</f>
        <v>3550</v>
      </c>
      <c r="G29" s="38">
        <f>+'6 Other'!R5</f>
        <v>3550</v>
      </c>
      <c r="H29" s="38">
        <f>+'6 Other'!S5</f>
        <v>3550</v>
      </c>
      <c r="I29" s="38">
        <f>+'6 Other'!T5</f>
        <v>3550</v>
      </c>
      <c r="J29" s="38">
        <f>+'6 Other'!U5</f>
        <v>3550</v>
      </c>
      <c r="K29" s="38">
        <f>+'6 Other'!V5</f>
        <v>3550</v>
      </c>
      <c r="L29" s="38">
        <f>+'6 Other'!W5</f>
        <v>3550</v>
      </c>
      <c r="M29" s="38">
        <f>+'6 Other'!X5</f>
        <v>3550</v>
      </c>
      <c r="N29" s="38">
        <f>+'6 Other'!Y5</f>
        <v>3550</v>
      </c>
      <c r="O29" s="38">
        <f>+'6 Other'!Z5</f>
        <v>3550</v>
      </c>
      <c r="P29" s="38">
        <f>+'6 Other'!AA5</f>
        <v>3550</v>
      </c>
      <c r="Q29" s="4"/>
      <c r="R29" s="4">
        <f t="shared" si="18"/>
        <v>10650</v>
      </c>
      <c r="S29" s="4">
        <f t="shared" si="19"/>
        <v>10650</v>
      </c>
      <c r="T29" s="4">
        <f t="shared" si="20"/>
        <v>10650</v>
      </c>
      <c r="U29" s="4">
        <f t="shared" si="21"/>
        <v>10650</v>
      </c>
      <c r="V29" s="4"/>
      <c r="W29" s="4">
        <f t="shared" si="22"/>
        <v>42600</v>
      </c>
      <c r="Y29" s="25">
        <f t="shared" si="23"/>
        <v>0</v>
      </c>
    </row>
    <row r="30" spans="2:26" x14ac:dyDescent="0.2">
      <c r="B30" s="3" t="s">
        <v>17</v>
      </c>
      <c r="D30" s="7" t="s">
        <v>17</v>
      </c>
      <c r="E30" s="38">
        <f>+'6 Other'!P6</f>
        <v>4060.2450000000003</v>
      </c>
      <c r="F30" s="38">
        <f>+'6 Other'!Q6</f>
        <v>4804.6949999999997</v>
      </c>
      <c r="G30" s="38">
        <f>+'6 Other'!R6</f>
        <v>13162.9575</v>
      </c>
      <c r="H30" s="38">
        <f>+'6 Other'!S6</f>
        <v>11670.067500000001</v>
      </c>
      <c r="I30" s="38">
        <f>+'6 Other'!T6</f>
        <v>26012.721000000005</v>
      </c>
      <c r="J30" s="38">
        <f>+'6 Other'!U6</f>
        <v>24274.236000000001</v>
      </c>
      <c r="K30" s="38">
        <f>+'6 Other'!V6</f>
        <v>23138.230500000001</v>
      </c>
      <c r="L30" s="38">
        <f>+'6 Other'!W6</f>
        <v>96432.766499999998</v>
      </c>
      <c r="M30" s="38">
        <f>+'6 Other'!X6</f>
        <v>10803.943499999998</v>
      </c>
      <c r="N30" s="38">
        <f>+'6 Other'!Y6</f>
        <v>25464.211500000001</v>
      </c>
      <c r="O30" s="38">
        <f>+'6 Other'!Z6</f>
        <v>12659.041499999999</v>
      </c>
      <c r="P30" s="38">
        <f>+'6 Other'!AA6</f>
        <v>12600</v>
      </c>
      <c r="Q30" s="4"/>
      <c r="R30" s="4">
        <f t="shared" si="18"/>
        <v>22027.897499999999</v>
      </c>
      <c r="S30" s="4">
        <f t="shared" si="19"/>
        <v>61957.024500000014</v>
      </c>
      <c r="T30" s="4">
        <f t="shared" si="20"/>
        <v>130374.9405</v>
      </c>
      <c r="U30" s="4">
        <f t="shared" si="21"/>
        <v>50723.252999999997</v>
      </c>
      <c r="V30" s="4"/>
      <c r="W30" s="4">
        <f t="shared" si="22"/>
        <v>265083.11549999996</v>
      </c>
      <c r="Y30" s="25">
        <f t="shared" si="23"/>
        <v>0</v>
      </c>
    </row>
    <row r="31" spans="2:26" x14ac:dyDescent="0.2">
      <c r="B31" s="3" t="s">
        <v>28</v>
      </c>
      <c r="D31" s="7" t="s">
        <v>28</v>
      </c>
      <c r="E31" s="38">
        <f>+'6 Other'!P7</f>
        <v>750</v>
      </c>
      <c r="F31" s="38">
        <f>+'6 Other'!Q7</f>
        <v>750</v>
      </c>
      <c r="G31" s="38">
        <f>+'6 Other'!R7</f>
        <v>750</v>
      </c>
      <c r="H31" s="38">
        <f>+'6 Other'!S7</f>
        <v>750</v>
      </c>
      <c r="I31" s="38">
        <f>+'6 Other'!T7</f>
        <v>750</v>
      </c>
      <c r="J31" s="38">
        <f>+'6 Other'!U7</f>
        <v>750</v>
      </c>
      <c r="K31" s="38">
        <f>+'6 Other'!V7</f>
        <v>750</v>
      </c>
      <c r="L31" s="38">
        <f>+'6 Other'!W7</f>
        <v>750</v>
      </c>
      <c r="M31" s="38">
        <f>+'6 Other'!X7</f>
        <v>750</v>
      </c>
      <c r="N31" s="38">
        <f>+'6 Other'!Y7</f>
        <v>750</v>
      </c>
      <c r="O31" s="38">
        <f>+'6 Other'!Z7</f>
        <v>750</v>
      </c>
      <c r="P31" s="38">
        <f>+'6 Other'!AA7</f>
        <v>750</v>
      </c>
      <c r="Q31" s="4"/>
      <c r="R31" s="4">
        <f t="shared" si="18"/>
        <v>2250</v>
      </c>
      <c r="S31" s="4">
        <f t="shared" si="19"/>
        <v>2250</v>
      </c>
      <c r="T31" s="4">
        <f t="shared" si="20"/>
        <v>2250</v>
      </c>
      <c r="U31" s="4">
        <f t="shared" si="21"/>
        <v>2250</v>
      </c>
      <c r="V31" s="4"/>
      <c r="W31" s="4">
        <f t="shared" si="22"/>
        <v>9000</v>
      </c>
      <c r="Y31" s="25">
        <f t="shared" si="23"/>
        <v>0</v>
      </c>
    </row>
    <row r="32" spans="2:26" x14ac:dyDescent="0.2">
      <c r="B32" s="3" t="s">
        <v>18</v>
      </c>
      <c r="D32" s="7" t="s">
        <v>18</v>
      </c>
      <c r="E32" s="38">
        <f>+'6 Other'!P8</f>
        <v>511.87910000000005</v>
      </c>
      <c r="F32" s="38">
        <f>+'6 Other'!Q8</f>
        <v>8528.5853999999999</v>
      </c>
      <c r="G32" s="38">
        <f>+'6 Other'!R8</f>
        <v>3182.5867000000003</v>
      </c>
      <c r="H32" s="38">
        <f>+'6 Other'!S8</f>
        <v>9254.4367000000002</v>
      </c>
      <c r="I32" s="38">
        <f>+'6 Other'!T8</f>
        <v>1593.9765000000002</v>
      </c>
      <c r="J32" s="38">
        <f>+'6 Other'!U8</f>
        <v>3130.6747</v>
      </c>
      <c r="K32" s="38">
        <f>+'6 Other'!V8</f>
        <v>5747.6472000000012</v>
      </c>
      <c r="L32" s="38">
        <f>+'6 Other'!W8</f>
        <v>1836.7372000000003</v>
      </c>
      <c r="M32" s="38">
        <f>+'6 Other'!X8</f>
        <v>3130.6747</v>
      </c>
      <c r="N32" s="38">
        <f>+'6 Other'!Y8</f>
        <v>5992.3340000000007</v>
      </c>
      <c r="O32" s="38">
        <f>+'6 Other'!Z8</f>
        <v>1836.7372000000003</v>
      </c>
      <c r="P32" s="38">
        <f>+'6 Other'!AA8</f>
        <v>2575</v>
      </c>
      <c r="Q32" s="4"/>
      <c r="R32" s="4">
        <f t="shared" si="18"/>
        <v>12223.0512</v>
      </c>
      <c r="S32" s="4">
        <f t="shared" si="19"/>
        <v>13979.0879</v>
      </c>
      <c r="T32" s="4">
        <f t="shared" si="20"/>
        <v>10715.059100000002</v>
      </c>
      <c r="U32" s="4">
        <f t="shared" si="21"/>
        <v>10404.071200000002</v>
      </c>
      <c r="V32" s="4"/>
      <c r="W32" s="4">
        <f t="shared" si="22"/>
        <v>47321.269400000012</v>
      </c>
      <c r="Y32" s="25">
        <f t="shared" si="23"/>
        <v>0</v>
      </c>
    </row>
    <row r="33" spans="2:26" x14ac:dyDescent="0.2">
      <c r="B33" s="3" t="s">
        <v>29</v>
      </c>
      <c r="D33" s="7" t="s">
        <v>29</v>
      </c>
      <c r="E33" s="38">
        <f>+'6 Other'!P9</f>
        <v>12500</v>
      </c>
      <c r="F33" s="38">
        <f>+'6 Other'!Q9</f>
        <v>12500</v>
      </c>
      <c r="G33" s="38">
        <f>+'6 Other'!R9</f>
        <v>12500</v>
      </c>
      <c r="H33" s="38">
        <f>+'6 Other'!S9</f>
        <v>10000</v>
      </c>
      <c r="I33" s="38">
        <f>+'6 Other'!T9</f>
        <v>10000</v>
      </c>
      <c r="J33" s="38">
        <f>+'6 Other'!U9</f>
        <v>10000</v>
      </c>
      <c r="K33" s="38">
        <f>+'6 Other'!V9</f>
        <v>8000</v>
      </c>
      <c r="L33" s="38">
        <f>+'6 Other'!W9</f>
        <v>8000</v>
      </c>
      <c r="M33" s="38">
        <f>+'6 Other'!X9</f>
        <v>8000</v>
      </c>
      <c r="N33" s="38">
        <f>+'6 Other'!Y9</f>
        <v>8000</v>
      </c>
      <c r="O33" s="38">
        <f>+'6 Other'!Z9</f>
        <v>8000</v>
      </c>
      <c r="P33" s="38">
        <f>+'6 Other'!AA9</f>
        <v>8000</v>
      </c>
      <c r="Q33" s="4"/>
      <c r="R33" s="4">
        <f t="shared" si="18"/>
        <v>37500</v>
      </c>
      <c r="S33" s="4">
        <f t="shared" si="19"/>
        <v>30000</v>
      </c>
      <c r="T33" s="4">
        <f t="shared" si="20"/>
        <v>24000</v>
      </c>
      <c r="U33" s="4">
        <f t="shared" si="21"/>
        <v>24000</v>
      </c>
      <c r="V33" s="4"/>
      <c r="W33" s="4">
        <f t="shared" si="22"/>
        <v>115500</v>
      </c>
      <c r="Y33" s="25">
        <f t="shared" si="23"/>
        <v>0</v>
      </c>
    </row>
    <row r="34" spans="2:26" x14ac:dyDescent="0.2">
      <c r="B34" s="3" t="s">
        <v>32</v>
      </c>
      <c r="D34" s="7" t="s">
        <v>32</v>
      </c>
      <c r="E34" s="38">
        <f>+'6 Other'!P10</f>
        <v>2500</v>
      </c>
      <c r="F34" s="38">
        <f>+'6 Other'!Q10</f>
        <v>1500</v>
      </c>
      <c r="G34" s="38">
        <f>+'6 Other'!R10</f>
        <v>2000</v>
      </c>
      <c r="H34" s="38">
        <f>+'6 Other'!S10</f>
        <v>1500</v>
      </c>
      <c r="I34" s="38">
        <f>+'6 Other'!T10</f>
        <v>1500</v>
      </c>
      <c r="J34" s="38">
        <f>+'6 Other'!U10</f>
        <v>2000</v>
      </c>
      <c r="K34" s="38">
        <f>+'6 Other'!V10</f>
        <v>1500</v>
      </c>
      <c r="L34" s="38">
        <f>+'6 Other'!W10</f>
        <v>1500</v>
      </c>
      <c r="M34" s="38">
        <f>+'6 Other'!X10</f>
        <v>2000</v>
      </c>
      <c r="N34" s="38">
        <f>+'6 Other'!Y10</f>
        <v>1500</v>
      </c>
      <c r="O34" s="38">
        <f>+'6 Other'!Z10</f>
        <v>1500</v>
      </c>
      <c r="P34" s="38">
        <f>+'6 Other'!AA10</f>
        <v>2000</v>
      </c>
      <c r="Q34" s="4"/>
      <c r="R34" s="4">
        <f t="shared" si="18"/>
        <v>6000</v>
      </c>
      <c r="S34" s="4">
        <f t="shared" si="19"/>
        <v>5000</v>
      </c>
      <c r="T34" s="4">
        <f t="shared" si="20"/>
        <v>5000</v>
      </c>
      <c r="U34" s="4">
        <f t="shared" si="21"/>
        <v>5000</v>
      </c>
      <c r="V34" s="4"/>
      <c r="W34" s="4">
        <f t="shared" si="22"/>
        <v>21000</v>
      </c>
      <c r="Y34" s="25">
        <f t="shared" si="23"/>
        <v>0</v>
      </c>
    </row>
    <row r="35" spans="2:26" x14ac:dyDescent="0.2">
      <c r="B35" s="3" t="s">
        <v>31</v>
      </c>
      <c r="D35" s="7" t="s">
        <v>31</v>
      </c>
      <c r="E35" s="38">
        <f>+'6 Other'!P11</f>
        <v>5000</v>
      </c>
      <c r="F35" s="38">
        <f>+'6 Other'!Q11</f>
        <v>5000</v>
      </c>
      <c r="G35" s="38">
        <f>+'6 Other'!R11</f>
        <v>5000</v>
      </c>
      <c r="H35" s="38">
        <f>+'6 Other'!S11</f>
        <v>5000</v>
      </c>
      <c r="I35" s="38">
        <f>+'6 Other'!T11</f>
        <v>5000</v>
      </c>
      <c r="J35" s="38">
        <f>+'6 Other'!U11</f>
        <v>5000</v>
      </c>
      <c r="K35" s="38">
        <f>+'6 Other'!V11</f>
        <v>5000</v>
      </c>
      <c r="L35" s="38">
        <f>+'6 Other'!W11</f>
        <v>5000</v>
      </c>
      <c r="M35" s="38">
        <f>+'6 Other'!X11</f>
        <v>5000</v>
      </c>
      <c r="N35" s="38">
        <f>+'6 Other'!Y11</f>
        <v>5000</v>
      </c>
      <c r="O35" s="38">
        <f>+'6 Other'!Z11</f>
        <v>5000</v>
      </c>
      <c r="P35" s="38">
        <f>+'6 Other'!AA11</f>
        <v>5000</v>
      </c>
      <c r="Q35" s="4"/>
      <c r="R35" s="4">
        <f t="shared" si="18"/>
        <v>15000</v>
      </c>
      <c r="S35" s="4">
        <f t="shared" si="19"/>
        <v>15000</v>
      </c>
      <c r="T35" s="4">
        <f t="shared" si="20"/>
        <v>15000</v>
      </c>
      <c r="U35" s="4">
        <f t="shared" si="21"/>
        <v>15000</v>
      </c>
      <c r="V35" s="4"/>
      <c r="W35" s="4">
        <f t="shared" si="22"/>
        <v>60000</v>
      </c>
      <c r="Y35" s="25">
        <f t="shared" si="23"/>
        <v>0</v>
      </c>
    </row>
    <row r="36" spans="2:26" x14ac:dyDescent="0.2">
      <c r="B36" s="3" t="s">
        <v>21</v>
      </c>
      <c r="D36" s="7" t="s">
        <v>62</v>
      </c>
      <c r="E36" s="38">
        <f>+'6 Other'!P12</f>
        <v>250</v>
      </c>
      <c r="F36" s="38">
        <f>+'6 Other'!Q12</f>
        <v>250</v>
      </c>
      <c r="G36" s="38">
        <f>+'6 Other'!R12</f>
        <v>250</v>
      </c>
      <c r="H36" s="38">
        <f>+'6 Other'!S12</f>
        <v>250</v>
      </c>
      <c r="I36" s="38">
        <f>+'6 Other'!T12</f>
        <v>250</v>
      </c>
      <c r="J36" s="38">
        <f>+'6 Other'!U12</f>
        <v>250</v>
      </c>
      <c r="K36" s="38">
        <f>+'6 Other'!V12</f>
        <v>250</v>
      </c>
      <c r="L36" s="38">
        <f>+'6 Other'!W12</f>
        <v>250</v>
      </c>
      <c r="M36" s="38">
        <f>+'6 Other'!X12</f>
        <v>250</v>
      </c>
      <c r="N36" s="38">
        <f>+'6 Other'!Y12</f>
        <v>250</v>
      </c>
      <c r="O36" s="38">
        <f>+'6 Other'!Z12</f>
        <v>250</v>
      </c>
      <c r="P36" s="38">
        <f>+'6 Other'!AA12</f>
        <v>250</v>
      </c>
      <c r="Q36" s="4"/>
      <c r="R36" s="4">
        <f t="shared" si="18"/>
        <v>750</v>
      </c>
      <c r="S36" s="4">
        <f t="shared" si="19"/>
        <v>750</v>
      </c>
      <c r="T36" s="4">
        <f t="shared" si="20"/>
        <v>750</v>
      </c>
      <c r="U36" s="4">
        <f t="shared" si="21"/>
        <v>750</v>
      </c>
      <c r="V36" s="4"/>
      <c r="W36" s="4">
        <f t="shared" si="22"/>
        <v>3000</v>
      </c>
      <c r="Y36" s="25">
        <f t="shared" si="23"/>
        <v>0</v>
      </c>
    </row>
    <row r="37" spans="2:26" x14ac:dyDescent="0.2">
      <c r="B37" s="3" t="s">
        <v>22</v>
      </c>
      <c r="D37" s="7" t="s">
        <v>22</v>
      </c>
      <c r="E37" s="38">
        <f>+'6 Other'!P13</f>
        <v>15000</v>
      </c>
      <c r="F37" s="38">
        <f>+'6 Other'!Q13</f>
        <v>15000</v>
      </c>
      <c r="G37" s="38">
        <f>+'6 Other'!R13</f>
        <v>15000</v>
      </c>
      <c r="H37" s="38">
        <f>+'6 Other'!S13</f>
        <v>15000</v>
      </c>
      <c r="I37" s="38">
        <f>+'6 Other'!T13</f>
        <v>15000</v>
      </c>
      <c r="J37" s="38">
        <f>+'6 Other'!U13</f>
        <v>15000</v>
      </c>
      <c r="K37" s="38">
        <f>+'6 Other'!V13</f>
        <v>15000</v>
      </c>
      <c r="L37" s="38">
        <f>+'6 Other'!W13</f>
        <v>15000</v>
      </c>
      <c r="M37" s="38">
        <f>+'6 Other'!X13</f>
        <v>15000</v>
      </c>
      <c r="N37" s="38">
        <f>+'6 Other'!Y13</f>
        <v>15000</v>
      </c>
      <c r="O37" s="38">
        <f>+'6 Other'!Z13</f>
        <v>15000</v>
      </c>
      <c r="P37" s="38">
        <f>+'6 Other'!AA13</f>
        <v>15000</v>
      </c>
      <c r="Q37" s="4"/>
      <c r="R37" s="4">
        <f t="shared" si="18"/>
        <v>45000</v>
      </c>
      <c r="S37" s="4">
        <f t="shared" si="19"/>
        <v>45000</v>
      </c>
      <c r="T37" s="4">
        <f t="shared" si="20"/>
        <v>45000</v>
      </c>
      <c r="U37" s="4">
        <f t="shared" si="21"/>
        <v>45000</v>
      </c>
      <c r="V37" s="4"/>
      <c r="W37" s="4">
        <f t="shared" si="22"/>
        <v>180000</v>
      </c>
      <c r="Y37" s="25">
        <f t="shared" si="23"/>
        <v>0</v>
      </c>
    </row>
    <row r="38" spans="2:26" x14ac:dyDescent="0.2">
      <c r="B38" s="3"/>
      <c r="D38" s="8" t="s">
        <v>97</v>
      </c>
      <c r="E38" s="34">
        <f t="shared" ref="E38:P38" si="24">SUM(E28:E37)</f>
        <v>44122.124100000001</v>
      </c>
      <c r="F38" s="34">
        <f t="shared" si="24"/>
        <v>51883.280400000003</v>
      </c>
      <c r="G38" s="34">
        <f t="shared" si="24"/>
        <v>55395.544200000004</v>
      </c>
      <c r="H38" s="34">
        <f t="shared" si="24"/>
        <v>56974.504200000003</v>
      </c>
      <c r="I38" s="34">
        <f t="shared" si="24"/>
        <v>63656.697500000009</v>
      </c>
      <c r="J38" s="34">
        <f t="shared" si="24"/>
        <v>63954.9107</v>
      </c>
      <c r="K38" s="34">
        <f t="shared" si="24"/>
        <v>62935.877700000005</v>
      </c>
      <c r="L38" s="34">
        <f t="shared" si="24"/>
        <v>132319.5037</v>
      </c>
      <c r="M38" s="34">
        <f t="shared" si="24"/>
        <v>48484.618199999997</v>
      </c>
      <c r="N38" s="34">
        <f t="shared" si="24"/>
        <v>65506.5455</v>
      </c>
      <c r="O38" s="34">
        <f t="shared" si="24"/>
        <v>48545.778699999995</v>
      </c>
      <c r="P38" s="34">
        <f t="shared" si="24"/>
        <v>49725</v>
      </c>
      <c r="Q38" s="34"/>
      <c r="R38" s="34">
        <f>SUM(R28:R37)</f>
        <v>151400.94870000001</v>
      </c>
      <c r="S38" s="34">
        <f>SUM(S28:S37)</f>
        <v>184586.11240000001</v>
      </c>
      <c r="T38" s="34">
        <f>SUM(T28:T37)</f>
        <v>243739.99960000001</v>
      </c>
      <c r="U38" s="34">
        <f>SUM(U28:U37)</f>
        <v>163777.3242</v>
      </c>
      <c r="V38" s="34"/>
      <c r="W38" s="34">
        <f>SUM(W28:W37)</f>
        <v>743504.38489999995</v>
      </c>
      <c r="Y38" s="25">
        <f t="shared" si="23"/>
        <v>0</v>
      </c>
    </row>
    <row r="39" spans="2:26" x14ac:dyDescent="0.2">
      <c r="B39" s="3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Y39" s="25"/>
    </row>
    <row r="40" spans="2:26" x14ac:dyDescent="0.2">
      <c r="B40" s="3"/>
      <c r="D40" s="8" t="s">
        <v>43</v>
      </c>
      <c r="E40" s="34">
        <f>+E21+E26+E38</f>
        <v>468472.12410000002</v>
      </c>
      <c r="F40" s="34">
        <f t="shared" ref="F40:W40" si="25">+F21+F26+F38</f>
        <v>890053.56714000006</v>
      </c>
      <c r="G40" s="34">
        <f t="shared" si="25"/>
        <v>485205.84419999999</v>
      </c>
      <c r="H40" s="34">
        <f t="shared" si="25"/>
        <v>466284.80420000001</v>
      </c>
      <c r="I40" s="34">
        <f t="shared" si="25"/>
        <v>472966.9975</v>
      </c>
      <c r="J40" s="34">
        <f t="shared" si="25"/>
        <v>473265.2107</v>
      </c>
      <c r="K40" s="34">
        <f t="shared" si="25"/>
        <v>465246.1777</v>
      </c>
      <c r="L40" s="34">
        <f t="shared" si="25"/>
        <v>534629.80370000005</v>
      </c>
      <c r="M40" s="34">
        <f t="shared" si="25"/>
        <v>450794.91819999996</v>
      </c>
      <c r="N40" s="34">
        <f t="shared" si="25"/>
        <v>463316.8455</v>
      </c>
      <c r="O40" s="34">
        <f t="shared" si="25"/>
        <v>446356.07869999995</v>
      </c>
      <c r="P40" s="34">
        <f t="shared" si="25"/>
        <v>447535.3</v>
      </c>
      <c r="Q40" s="34"/>
      <c r="R40" s="34">
        <f t="shared" si="25"/>
        <v>1843731.53544</v>
      </c>
      <c r="S40" s="34">
        <f t="shared" si="25"/>
        <v>1412517.0123999999</v>
      </c>
      <c r="T40" s="34">
        <f t="shared" si="25"/>
        <v>1450670.8995999999</v>
      </c>
      <c r="U40" s="34">
        <f t="shared" si="25"/>
        <v>1357208.2241999998</v>
      </c>
      <c r="V40" s="34"/>
      <c r="W40" s="34">
        <f t="shared" si="25"/>
        <v>6064127.6716400003</v>
      </c>
      <c r="Y40" s="25">
        <f>ROUND(SUM(R40:U40)-W40,2)</f>
        <v>0</v>
      </c>
      <c r="Z40" s="5"/>
    </row>
    <row r="41" spans="2:26" x14ac:dyDescent="0.2">
      <c r="B41" s="3"/>
      <c r="E41" s="5"/>
      <c r="F41" s="5"/>
      <c r="Y41" s="25"/>
      <c r="Z41" s="5"/>
    </row>
    <row r="42" spans="2:26" x14ac:dyDescent="0.2">
      <c r="B42" s="6" t="s">
        <v>33</v>
      </c>
      <c r="D42" s="7" t="s">
        <v>33</v>
      </c>
      <c r="E42" s="38">
        <f>+'6 Other'!P18</f>
        <v>0</v>
      </c>
      <c r="F42" s="38">
        <f>+'6 Other'!Q18</f>
        <v>0</v>
      </c>
      <c r="G42" s="38">
        <f>+'6 Other'!R18</f>
        <v>0</v>
      </c>
      <c r="H42" s="38">
        <f>+'6 Other'!S18</f>
        <v>0</v>
      </c>
      <c r="I42" s="38">
        <f>+'6 Other'!T18</f>
        <v>0</v>
      </c>
      <c r="J42" s="38">
        <f>+'6 Other'!U18</f>
        <v>0</v>
      </c>
      <c r="K42" s="38">
        <f>+'6 Other'!V18</f>
        <v>0</v>
      </c>
      <c r="L42" s="38">
        <f>+'6 Other'!W18</f>
        <v>0</v>
      </c>
      <c r="M42" s="38">
        <f>+'6 Other'!X18</f>
        <v>0</v>
      </c>
      <c r="N42" s="38">
        <f>+'6 Other'!Y18</f>
        <v>0</v>
      </c>
      <c r="O42" s="38">
        <f>+'6 Other'!Z18</f>
        <v>0</v>
      </c>
      <c r="P42" s="38">
        <f>+'6 Other'!AA18</f>
        <v>0</v>
      </c>
      <c r="Q42" s="4"/>
      <c r="R42" s="4">
        <f>SUM(E42:G42)</f>
        <v>0</v>
      </c>
      <c r="S42" s="4">
        <f>SUM(H42:J42)</f>
        <v>0</v>
      </c>
      <c r="T42" s="4">
        <f>SUM(K42:M42)</f>
        <v>0</v>
      </c>
      <c r="U42" s="4">
        <f>SUM(N42:P42)</f>
        <v>0</v>
      </c>
      <c r="V42" s="4"/>
      <c r="W42" s="4">
        <f>SUM(E42:P42)</f>
        <v>0</v>
      </c>
      <c r="Y42" s="25">
        <f t="shared" ref="Y42:Y48" si="26">ROUND(SUM(R42:U42)-W42,2)</f>
        <v>0</v>
      </c>
    </row>
    <row r="43" spans="2:26" x14ac:dyDescent="0.2">
      <c r="B43" s="3" t="s">
        <v>35</v>
      </c>
      <c r="D43" s="7" t="s">
        <v>35</v>
      </c>
      <c r="E43" s="38">
        <f>+'6 Other'!P19</f>
        <v>0</v>
      </c>
      <c r="F43" s="38">
        <f>+'6 Other'!Q19</f>
        <v>0</v>
      </c>
      <c r="G43" s="38">
        <f>+'6 Other'!R19</f>
        <v>0</v>
      </c>
      <c r="H43" s="38">
        <f>+'6 Other'!S19</f>
        <v>0</v>
      </c>
      <c r="I43" s="38">
        <f>+'6 Other'!T19</f>
        <v>0</v>
      </c>
      <c r="J43" s="38">
        <f>+'6 Other'!U19</f>
        <v>0</v>
      </c>
      <c r="K43" s="38">
        <f>+'6 Other'!V19</f>
        <v>0</v>
      </c>
      <c r="L43" s="38">
        <f>+'6 Other'!W19</f>
        <v>0</v>
      </c>
      <c r="M43" s="38">
        <f>+'6 Other'!X19</f>
        <v>0</v>
      </c>
      <c r="N43" s="38">
        <f>+'6 Other'!Y19</f>
        <v>0</v>
      </c>
      <c r="O43" s="38">
        <f>+'6 Other'!Z19</f>
        <v>0</v>
      </c>
      <c r="P43" s="38">
        <f>+'6 Other'!AA19</f>
        <v>0</v>
      </c>
      <c r="Q43" s="4"/>
      <c r="R43" s="4">
        <f t="shared" ref="R43:R47" si="27">SUM(E43:G43)</f>
        <v>0</v>
      </c>
      <c r="S43" s="4">
        <f t="shared" ref="S43:S47" si="28">SUM(H43:J43)</f>
        <v>0</v>
      </c>
      <c r="T43" s="4">
        <f t="shared" ref="T43:T47" si="29">SUM(K43:M43)</f>
        <v>0</v>
      </c>
      <c r="U43" s="4">
        <f t="shared" ref="U43:U47" si="30">SUM(N43:P43)</f>
        <v>0</v>
      </c>
      <c r="V43" s="4"/>
      <c r="W43" s="4">
        <f t="shared" ref="W43:W47" si="31">SUM(E43:P43)</f>
        <v>0</v>
      </c>
      <c r="Y43" s="25">
        <f t="shared" si="26"/>
        <v>0</v>
      </c>
    </row>
    <row r="44" spans="2:26" x14ac:dyDescent="0.2">
      <c r="B44" s="3" t="s">
        <v>16</v>
      </c>
      <c r="D44" s="7" t="s">
        <v>16</v>
      </c>
      <c r="E44" s="38">
        <f>+'6 Other'!P20</f>
        <v>0</v>
      </c>
      <c r="F44" s="38">
        <f>+'6 Other'!Q20</f>
        <v>0</v>
      </c>
      <c r="G44" s="38">
        <f>+'6 Other'!R20</f>
        <v>0</v>
      </c>
      <c r="H44" s="38">
        <f>+'6 Other'!S20</f>
        <v>0</v>
      </c>
      <c r="I44" s="38">
        <f>+'6 Other'!T20</f>
        <v>0</v>
      </c>
      <c r="J44" s="38">
        <f>+'6 Other'!U20</f>
        <v>0</v>
      </c>
      <c r="K44" s="38">
        <f>+'6 Other'!V20</f>
        <v>0</v>
      </c>
      <c r="L44" s="38">
        <f>+'6 Other'!W20</f>
        <v>0</v>
      </c>
      <c r="M44" s="38">
        <f>+'6 Other'!X20</f>
        <v>0</v>
      </c>
      <c r="N44" s="38">
        <f>+'6 Other'!Y20</f>
        <v>0</v>
      </c>
      <c r="O44" s="38">
        <f>+'6 Other'!Z20</f>
        <v>0</v>
      </c>
      <c r="P44" s="38">
        <f>+'6 Other'!AA20</f>
        <v>0</v>
      </c>
      <c r="Q44" s="4"/>
      <c r="R44" s="4">
        <f t="shared" si="27"/>
        <v>0</v>
      </c>
      <c r="S44" s="4">
        <f t="shared" si="28"/>
        <v>0</v>
      </c>
      <c r="T44" s="4">
        <f t="shared" si="29"/>
        <v>0</v>
      </c>
      <c r="U44" s="4">
        <f t="shared" si="30"/>
        <v>0</v>
      </c>
      <c r="V44" s="4"/>
      <c r="W44" s="4">
        <f t="shared" si="31"/>
        <v>0</v>
      </c>
      <c r="Y44" s="25">
        <f t="shared" si="26"/>
        <v>0</v>
      </c>
    </row>
    <row r="45" spans="2:26" x14ac:dyDescent="0.2">
      <c r="B45" s="3" t="s">
        <v>0</v>
      </c>
      <c r="D45" s="7" t="s">
        <v>0</v>
      </c>
      <c r="E45" s="38">
        <f>+'6 Other'!P21</f>
        <v>0</v>
      </c>
      <c r="F45" s="38">
        <f>+'6 Other'!Q21</f>
        <v>0</v>
      </c>
      <c r="G45" s="38">
        <f>+'6 Other'!R21</f>
        <v>0</v>
      </c>
      <c r="H45" s="38">
        <f>+'6 Other'!S21</f>
        <v>0</v>
      </c>
      <c r="I45" s="38">
        <f>+'6 Other'!T21</f>
        <v>0</v>
      </c>
      <c r="J45" s="38">
        <f>+'6 Other'!U21</f>
        <v>0</v>
      </c>
      <c r="K45" s="38">
        <f>+'6 Other'!V21</f>
        <v>0</v>
      </c>
      <c r="L45" s="38">
        <f>+'6 Other'!W21</f>
        <v>0</v>
      </c>
      <c r="M45" s="38">
        <f>+'6 Other'!X21</f>
        <v>0</v>
      </c>
      <c r="N45" s="38">
        <f>+'6 Other'!Y21</f>
        <v>0</v>
      </c>
      <c r="O45" s="38">
        <f>+'6 Other'!Z21</f>
        <v>0</v>
      </c>
      <c r="P45" s="38">
        <f>+'6 Other'!AA21</f>
        <v>0</v>
      </c>
      <c r="Q45" s="4"/>
      <c r="R45" s="4">
        <f t="shared" si="27"/>
        <v>0</v>
      </c>
      <c r="S45" s="4">
        <f t="shared" si="28"/>
        <v>0</v>
      </c>
      <c r="T45" s="4">
        <f t="shared" si="29"/>
        <v>0</v>
      </c>
      <c r="U45" s="4">
        <f t="shared" si="30"/>
        <v>0</v>
      </c>
      <c r="V45" s="4"/>
      <c r="W45" s="4">
        <f t="shared" si="31"/>
        <v>0</v>
      </c>
      <c r="Y45" s="25">
        <f t="shared" si="26"/>
        <v>0</v>
      </c>
    </row>
    <row r="46" spans="2:26" x14ac:dyDescent="0.2">
      <c r="B46" s="3" t="s">
        <v>840</v>
      </c>
      <c r="D46" s="7" t="s">
        <v>840</v>
      </c>
      <c r="E46" s="38">
        <f>+'6 Other'!P22</f>
        <v>0</v>
      </c>
      <c r="F46" s="38">
        <f>+'6 Other'!Q22</f>
        <v>0</v>
      </c>
      <c r="G46" s="38">
        <f>+'6 Other'!R22</f>
        <v>0</v>
      </c>
      <c r="H46" s="38">
        <f>+'6 Other'!S22</f>
        <v>0</v>
      </c>
      <c r="I46" s="38">
        <f>+'6 Other'!T22</f>
        <v>0</v>
      </c>
      <c r="J46" s="38">
        <f>+'6 Other'!U22</f>
        <v>0</v>
      </c>
      <c r="K46" s="38">
        <f>+'6 Other'!V22</f>
        <v>0</v>
      </c>
      <c r="L46" s="38">
        <f>+'6 Other'!W22</f>
        <v>0</v>
      </c>
      <c r="M46" s="38">
        <f>+'6 Other'!X22</f>
        <v>0</v>
      </c>
      <c r="N46" s="38">
        <f>+'6 Other'!Y22</f>
        <v>0</v>
      </c>
      <c r="O46" s="38">
        <f>+'6 Other'!Z22</f>
        <v>0</v>
      </c>
      <c r="P46" s="38">
        <f>+'6 Other'!AA22</f>
        <v>0</v>
      </c>
      <c r="Q46" s="4"/>
      <c r="R46" s="4">
        <f t="shared" si="27"/>
        <v>0</v>
      </c>
      <c r="S46" s="4">
        <f t="shared" si="28"/>
        <v>0</v>
      </c>
      <c r="T46" s="4">
        <f t="shared" si="29"/>
        <v>0</v>
      </c>
      <c r="U46" s="4">
        <f t="shared" si="30"/>
        <v>0</v>
      </c>
      <c r="V46" s="4"/>
      <c r="W46" s="4">
        <f t="shared" si="31"/>
        <v>0</v>
      </c>
      <c r="Y46" s="25">
        <f t="shared" si="26"/>
        <v>0</v>
      </c>
    </row>
    <row r="47" spans="2:26" x14ac:dyDescent="0.2">
      <c r="B47" s="3" t="s">
        <v>26</v>
      </c>
      <c r="D47" s="7" t="s">
        <v>26</v>
      </c>
      <c r="E47" s="38">
        <f>+'6 Other'!P23</f>
        <v>-400</v>
      </c>
      <c r="F47" s="38">
        <f>+'6 Other'!Q23</f>
        <v>-400</v>
      </c>
      <c r="G47" s="38">
        <f>+'6 Other'!R23</f>
        <v>-400</v>
      </c>
      <c r="H47" s="38">
        <f>+'6 Other'!S23</f>
        <v>-400</v>
      </c>
      <c r="I47" s="38">
        <f>+'6 Other'!T23</f>
        <v>-400</v>
      </c>
      <c r="J47" s="38">
        <f>+'6 Other'!U23</f>
        <v>-400</v>
      </c>
      <c r="K47" s="38">
        <f>+'6 Other'!V23</f>
        <v>-400</v>
      </c>
      <c r="L47" s="38">
        <f>+'6 Other'!W23</f>
        <v>-400</v>
      </c>
      <c r="M47" s="38">
        <f>+'6 Other'!X23</f>
        <v>-400</v>
      </c>
      <c r="N47" s="38">
        <f>+'6 Other'!Y23</f>
        <v>-400</v>
      </c>
      <c r="O47" s="38">
        <f>+'6 Other'!Z23</f>
        <v>-400</v>
      </c>
      <c r="P47" s="38">
        <f>+'6 Other'!AA23</f>
        <v>-400</v>
      </c>
      <c r="Q47" s="4"/>
      <c r="R47" s="4">
        <f t="shared" si="27"/>
        <v>-1200</v>
      </c>
      <c r="S47" s="4">
        <f t="shared" si="28"/>
        <v>-1200</v>
      </c>
      <c r="T47" s="4">
        <f t="shared" si="29"/>
        <v>-1200</v>
      </c>
      <c r="U47" s="4">
        <f t="shared" si="30"/>
        <v>-1200</v>
      </c>
      <c r="V47" s="4"/>
      <c r="W47" s="4">
        <f t="shared" si="31"/>
        <v>-4800</v>
      </c>
      <c r="Y47" s="25">
        <f t="shared" si="26"/>
        <v>0</v>
      </c>
    </row>
    <row r="48" spans="2:26" x14ac:dyDescent="0.2">
      <c r="B48" s="3" t="s">
        <v>48</v>
      </c>
      <c r="D48" s="7" t="s">
        <v>48</v>
      </c>
      <c r="E48" s="38">
        <f>+'6 Other'!P24</f>
        <v>500</v>
      </c>
      <c r="F48" s="38">
        <f>+'6 Other'!Q24</f>
        <v>400</v>
      </c>
      <c r="G48" s="38">
        <f>+'6 Other'!R24</f>
        <v>100</v>
      </c>
      <c r="H48" s="38">
        <f>+'6 Other'!S24</f>
        <v>200</v>
      </c>
      <c r="I48" s="38">
        <f>+'6 Other'!T24</f>
        <v>300</v>
      </c>
      <c r="J48" s="38">
        <f>+'6 Other'!U24</f>
        <v>200</v>
      </c>
      <c r="K48" s="38">
        <f>+'6 Other'!V24</f>
        <v>200</v>
      </c>
      <c r="L48" s="38">
        <f>+'6 Other'!W24</f>
        <v>200</v>
      </c>
      <c r="M48" s="38">
        <f>+'6 Other'!X24</f>
        <v>200</v>
      </c>
      <c r="N48" s="38">
        <f>+'6 Other'!Y24</f>
        <v>200</v>
      </c>
      <c r="O48" s="38">
        <f>+'6 Other'!Z24</f>
        <v>300</v>
      </c>
      <c r="P48" s="38">
        <f>+'6 Other'!AA24</f>
        <v>400</v>
      </c>
      <c r="Q48" s="4"/>
      <c r="R48" s="4">
        <f>SUM(E48:G48)</f>
        <v>1000</v>
      </c>
      <c r="S48" s="4">
        <f>SUM(H48:J48)</f>
        <v>700</v>
      </c>
      <c r="T48" s="4">
        <f>SUM(K48:M48)</f>
        <v>600</v>
      </c>
      <c r="U48" s="4">
        <f>SUM(N48:P48)</f>
        <v>900</v>
      </c>
      <c r="V48" s="4"/>
      <c r="W48" s="4">
        <f>SUM(E48:P48)</f>
        <v>3200</v>
      </c>
      <c r="Y48" s="25">
        <f t="shared" si="26"/>
        <v>0</v>
      </c>
    </row>
    <row r="49" spans="2:25" x14ac:dyDescent="0.2">
      <c r="B49" s="3"/>
      <c r="E49" s="5"/>
      <c r="F49" s="5"/>
      <c r="Y49" s="25"/>
    </row>
    <row r="50" spans="2:25" x14ac:dyDescent="0.2">
      <c r="B50" s="3"/>
      <c r="D50" s="1" t="s">
        <v>44</v>
      </c>
      <c r="E50" s="5">
        <f>+'2025 CF Basic'!P55</f>
        <v>964110.73</v>
      </c>
      <c r="F50" s="5">
        <f>+E55</f>
        <v>785503.21</v>
      </c>
      <c r="G50" s="5">
        <f t="shared" ref="G50:P50" si="32">+F55</f>
        <v>288637.24</v>
      </c>
      <c r="H50" s="5">
        <f t="shared" si="32"/>
        <v>393009</v>
      </c>
      <c r="I50" s="5">
        <f t="shared" si="32"/>
        <v>510981.8</v>
      </c>
      <c r="J50" s="5">
        <f t="shared" si="32"/>
        <v>458122.4</v>
      </c>
      <c r="K50" s="5">
        <f t="shared" si="32"/>
        <v>404864.79</v>
      </c>
      <c r="L50" s="5">
        <f t="shared" si="32"/>
        <v>489626.21</v>
      </c>
      <c r="M50" s="5">
        <f t="shared" si="32"/>
        <v>490296.41</v>
      </c>
      <c r="N50" s="5">
        <f t="shared" si="32"/>
        <v>470301.49</v>
      </c>
      <c r="O50" s="5">
        <f t="shared" si="32"/>
        <v>577784.64</v>
      </c>
      <c r="P50" s="5">
        <f t="shared" si="32"/>
        <v>777328.56</v>
      </c>
      <c r="Q50" s="5"/>
      <c r="R50" s="5">
        <f>+E50</f>
        <v>964110.73</v>
      </c>
      <c r="S50" s="5">
        <f>+R55</f>
        <v>393009</v>
      </c>
      <c r="T50" s="5">
        <f>+S55</f>
        <v>404865</v>
      </c>
      <c r="U50" s="5">
        <f>+T55</f>
        <v>470302</v>
      </c>
      <c r="V50" s="5"/>
      <c r="W50" s="5">
        <f>+R50</f>
        <v>964110.73</v>
      </c>
      <c r="Y50" s="25"/>
    </row>
    <row r="51" spans="2:25" x14ac:dyDescent="0.2">
      <c r="B51" s="3"/>
      <c r="E51" s="5"/>
      <c r="F51" s="5"/>
      <c r="Y51" s="25"/>
    </row>
    <row r="52" spans="2:25" x14ac:dyDescent="0.2">
      <c r="B52" s="3"/>
      <c r="D52" s="7" t="s">
        <v>45</v>
      </c>
      <c r="E52" s="5">
        <f t="shared" ref="E52:P52" si="33">E15-E40+SUM(E42:E48)</f>
        <v>-178607.52410000004</v>
      </c>
      <c r="F52" s="5">
        <f t="shared" si="33"/>
        <v>-496865.96714000008</v>
      </c>
      <c r="G52" s="4">
        <f t="shared" si="33"/>
        <v>104371.75579999998</v>
      </c>
      <c r="H52" s="4">
        <f t="shared" si="33"/>
        <v>117972.79579999996</v>
      </c>
      <c r="I52" s="4">
        <f t="shared" si="33"/>
        <v>-52859.397500000021</v>
      </c>
      <c r="J52" s="4">
        <f t="shared" ref="J52" si="34">J15-J40+SUM(J42:J48)</f>
        <v>-53257.610700000019</v>
      </c>
      <c r="K52" s="4">
        <f t="shared" si="33"/>
        <v>84761.422299999977</v>
      </c>
      <c r="L52" s="4">
        <f>L15-L40+SUM(L42:L48)</f>
        <v>670.19629999995232</v>
      </c>
      <c r="M52" s="4">
        <f t="shared" si="33"/>
        <v>-19994.918199999956</v>
      </c>
      <c r="N52" s="4">
        <f t="shared" si="33"/>
        <v>107483.1545</v>
      </c>
      <c r="O52" s="4">
        <f t="shared" si="33"/>
        <v>199543.92130000005</v>
      </c>
      <c r="P52" s="4">
        <f t="shared" si="33"/>
        <v>232464.7</v>
      </c>
      <c r="Q52" s="4"/>
      <c r="R52" s="4">
        <f>SUM(E52:G52)</f>
        <v>-571101.73544000019</v>
      </c>
      <c r="S52" s="4">
        <f>SUM(H52:J52)</f>
        <v>11855.787599999923</v>
      </c>
      <c r="T52" s="4">
        <f>SUM(K52:M52)</f>
        <v>65436.700399999972</v>
      </c>
      <c r="U52" s="4">
        <f>SUM(N52:P52)</f>
        <v>539491.77580000006</v>
      </c>
      <c r="V52" s="4"/>
      <c r="W52" s="4">
        <f>SUM(E52:P52)</f>
        <v>45682.528359999764</v>
      </c>
      <c r="Y52" s="25">
        <f>ROUND(SUM(R52:U52)-W52,2)</f>
        <v>0</v>
      </c>
    </row>
    <row r="53" spans="2:25" x14ac:dyDescent="0.2">
      <c r="B53" s="3" t="s">
        <v>50</v>
      </c>
      <c r="D53" s="7" t="s">
        <v>50</v>
      </c>
      <c r="E53" s="38">
        <f>+'6 Other'!P29</f>
        <v>0</v>
      </c>
      <c r="F53" s="38">
        <f>+'6 Other'!Q29</f>
        <v>0</v>
      </c>
      <c r="G53" s="38">
        <f>+'6 Other'!R29</f>
        <v>0</v>
      </c>
      <c r="H53" s="38">
        <f>+'6 Other'!S29</f>
        <v>0</v>
      </c>
      <c r="I53" s="38">
        <f>+'6 Other'!T29</f>
        <v>0</v>
      </c>
      <c r="J53" s="38">
        <f>+'6 Other'!U29</f>
        <v>0</v>
      </c>
      <c r="K53" s="38">
        <f>+'6 Other'!V29</f>
        <v>0</v>
      </c>
      <c r="L53" s="38">
        <f>+'6 Other'!W29</f>
        <v>0</v>
      </c>
      <c r="M53" s="38">
        <f>+'6 Other'!X29</f>
        <v>0</v>
      </c>
      <c r="N53" s="38">
        <f>+'6 Other'!Y29</f>
        <v>0</v>
      </c>
      <c r="O53" s="38">
        <f>+'6 Other'!Z29</f>
        <v>0</v>
      </c>
      <c r="P53" s="38">
        <f>+'6 Other'!AA29</f>
        <v>0</v>
      </c>
      <c r="Q53" s="4"/>
      <c r="R53" s="4">
        <f t="shared" ref="R53" si="35">SUM(E53:G53)</f>
        <v>0</v>
      </c>
      <c r="S53" s="4">
        <f t="shared" ref="S53" si="36">SUM(H53:J53)</f>
        <v>0</v>
      </c>
      <c r="T53" s="4">
        <f t="shared" ref="T53" si="37">SUM(K53:M53)</f>
        <v>0</v>
      </c>
      <c r="U53" s="4">
        <f t="shared" ref="U53" si="38">SUM(N53:P53)</f>
        <v>0</v>
      </c>
      <c r="V53" s="4"/>
      <c r="W53" s="4">
        <f t="shared" ref="W53" si="39">SUM(E53:P53)</f>
        <v>0</v>
      </c>
      <c r="Y53" s="25">
        <f t="shared" ref="Y53" si="40">ROUND(SUM(R53:U53)-W53,2)</f>
        <v>0</v>
      </c>
    </row>
    <row r="54" spans="2:25" x14ac:dyDescent="0.2">
      <c r="B54" s="3"/>
      <c r="D54" s="7"/>
      <c r="E54" s="5"/>
      <c r="F54" s="5"/>
      <c r="Y54" s="3"/>
    </row>
    <row r="55" spans="2:25" x14ac:dyDescent="0.2">
      <c r="B55" s="3"/>
      <c r="D55" s="8" t="s">
        <v>46</v>
      </c>
      <c r="E55" s="34">
        <f>ROUND(+E50+E52+E53,2)</f>
        <v>785503.21</v>
      </c>
      <c r="F55" s="34">
        <f t="shared" ref="F55:P55" si="41">ROUND(+F50+F52+F53,2)</f>
        <v>288637.24</v>
      </c>
      <c r="G55" s="34">
        <f t="shared" si="41"/>
        <v>393009</v>
      </c>
      <c r="H55" s="34">
        <f t="shared" si="41"/>
        <v>510981.8</v>
      </c>
      <c r="I55" s="34">
        <f t="shared" si="41"/>
        <v>458122.4</v>
      </c>
      <c r="J55" s="34">
        <f>ROUND(+J50+J52+J53,2)</f>
        <v>404864.79</v>
      </c>
      <c r="K55" s="34">
        <f t="shared" si="41"/>
        <v>489626.21</v>
      </c>
      <c r="L55" s="34">
        <f t="shared" si="41"/>
        <v>490296.41</v>
      </c>
      <c r="M55" s="34">
        <f t="shared" si="41"/>
        <v>470301.49</v>
      </c>
      <c r="N55" s="34">
        <f t="shared" si="41"/>
        <v>577784.64</v>
      </c>
      <c r="O55" s="34">
        <f t="shared" si="41"/>
        <v>777328.56</v>
      </c>
      <c r="P55" s="34">
        <f t="shared" si="41"/>
        <v>1009793.26</v>
      </c>
      <c r="Q55" s="34"/>
      <c r="R55" s="34">
        <f>ROUND(+R50+R52+R53,0)</f>
        <v>393009</v>
      </c>
      <c r="S55" s="34">
        <f t="shared" ref="S55:U55" si="42">ROUND(+S50+S52+S53,0)</f>
        <v>404865</v>
      </c>
      <c r="T55" s="34">
        <f t="shared" si="42"/>
        <v>470302</v>
      </c>
      <c r="U55" s="34">
        <f t="shared" si="42"/>
        <v>1009794</v>
      </c>
      <c r="V55" s="34"/>
      <c r="W55" s="34">
        <f>ROUND(+W50+W52+W53,0)</f>
        <v>1009793</v>
      </c>
      <c r="Y55" s="3"/>
    </row>
    <row r="56" spans="2:25" x14ac:dyDescent="0.2">
      <c r="B56" s="3"/>
      <c r="E56" s="4"/>
      <c r="I56" s="4"/>
      <c r="J56" s="4"/>
      <c r="K56" s="4"/>
    </row>
    <row r="57" spans="2:25" x14ac:dyDescent="0.2">
      <c r="B57" s="3"/>
      <c r="D57" s="7"/>
    </row>
    <row r="58" spans="2:25" x14ac:dyDescent="0.2">
      <c r="D58" s="7"/>
    </row>
    <row r="59" spans="2:25" x14ac:dyDescent="0.2">
      <c r="D59" s="7"/>
    </row>
  </sheetData>
  <pageMargins left="0.25" right="0.25" top="0.75" bottom="0.75" header="0.3" footer="0.3"/>
  <pageSetup scale="5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A475-AF38-4BCB-9452-FA541496A164}">
  <sheetPr>
    <pageSetUpPr fitToPage="1"/>
  </sheetPr>
  <dimension ref="A2:AS52"/>
  <sheetViews>
    <sheetView workbookViewId="0">
      <pane xSplit="4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P8" sqref="P8"/>
    </sheetView>
  </sheetViews>
  <sheetFormatPr baseColWidth="10" defaultColWidth="9.1640625" defaultRowHeight="14" x14ac:dyDescent="0.2"/>
  <cols>
    <col min="1" max="1" width="2.6640625" style="1" hidden="1" customWidth="1"/>
    <col min="2" max="2" width="27.5" style="1" hidden="1" customWidth="1"/>
    <col min="3" max="3" width="2.6640625" style="1" customWidth="1"/>
    <col min="4" max="4" width="30.6640625" style="1" customWidth="1"/>
    <col min="5" max="16" width="10.6640625" style="1" customWidth="1"/>
    <col min="17" max="17" width="2.6640625" style="1" customWidth="1"/>
    <col min="18" max="29" width="9.6640625" style="1" customWidth="1"/>
    <col min="30" max="30" width="2.6640625" style="1" customWidth="1"/>
    <col min="31" max="34" width="10.6640625" style="1" customWidth="1"/>
    <col min="35" max="35" width="2.6640625" style="1" customWidth="1"/>
    <col min="36" max="39" width="10.6640625" style="1" customWidth="1"/>
    <col min="40" max="40" width="2.6640625" style="1" customWidth="1"/>
    <col min="41" max="42" width="10.6640625" style="1" customWidth="1"/>
    <col min="43" max="43" width="2.6640625" style="1" customWidth="1"/>
    <col min="44" max="44" width="6.6640625" style="1" customWidth="1"/>
    <col min="45" max="45" width="9.83203125" style="1" bestFit="1" customWidth="1"/>
    <col min="46" max="16384" width="9.1640625" style="1"/>
  </cols>
  <sheetData>
    <row r="2" spans="4:45" x14ac:dyDescent="0.2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9">
        <f>EDATE(P2,1)</f>
        <v>46023</v>
      </c>
      <c r="S2" s="9">
        <f>EDATE(R2,1)</f>
        <v>46054</v>
      </c>
      <c r="T2" s="9">
        <f t="shared" ref="T2:AC2" si="1">EDATE(S2,1)</f>
        <v>46082</v>
      </c>
      <c r="U2" s="9">
        <f t="shared" si="1"/>
        <v>46113</v>
      </c>
      <c r="V2" s="9">
        <f t="shared" si="1"/>
        <v>46143</v>
      </c>
      <c r="W2" s="9">
        <f t="shared" si="1"/>
        <v>46174</v>
      </c>
      <c r="X2" s="9">
        <f t="shared" si="1"/>
        <v>46204</v>
      </c>
      <c r="Y2" s="9">
        <f t="shared" si="1"/>
        <v>46235</v>
      </c>
      <c r="Z2" s="9">
        <f t="shared" si="1"/>
        <v>46266</v>
      </c>
      <c r="AA2" s="9">
        <f t="shared" si="1"/>
        <v>46296</v>
      </c>
      <c r="AB2" s="9">
        <f t="shared" si="1"/>
        <v>46327</v>
      </c>
      <c r="AC2" s="9">
        <f t="shared" si="1"/>
        <v>46357</v>
      </c>
      <c r="AD2" s="10"/>
      <c r="AE2" s="10" t="s">
        <v>1200</v>
      </c>
      <c r="AF2" s="10" t="s">
        <v>1201</v>
      </c>
      <c r="AG2" s="10" t="s">
        <v>1202</v>
      </c>
      <c r="AH2" s="10" t="s">
        <v>1203</v>
      </c>
      <c r="AI2" s="10"/>
      <c r="AJ2" s="10" t="s">
        <v>1204</v>
      </c>
      <c r="AK2" s="10" t="s">
        <v>1205</v>
      </c>
      <c r="AL2" s="10" t="s">
        <v>1206</v>
      </c>
      <c r="AM2" s="10" t="s">
        <v>1207</v>
      </c>
      <c r="AN2" s="10"/>
      <c r="AO2" s="11">
        <v>2025</v>
      </c>
      <c r="AP2" s="11">
        <v>2026</v>
      </c>
      <c r="AR2" s="3" t="s">
        <v>13</v>
      </c>
      <c r="AS2" s="3" t="s">
        <v>13</v>
      </c>
    </row>
    <row r="3" spans="4:45" x14ac:dyDescent="0.2">
      <c r="D3" s="24" t="str">
        <f>+Version!$C$3</f>
        <v>Y2025 12 v001</v>
      </c>
      <c r="AR3" s="3"/>
      <c r="AS3" s="3"/>
    </row>
    <row r="4" spans="4:45" x14ac:dyDescent="0.2">
      <c r="D4" s="24"/>
      <c r="AR4" s="3"/>
      <c r="AS4" s="3"/>
    </row>
    <row r="5" spans="4:45" x14ac:dyDescent="0.2">
      <c r="D5" s="7" t="s">
        <v>63</v>
      </c>
      <c r="E5" s="4">
        <v>80791.899999999994</v>
      </c>
      <c r="F5" s="4">
        <v>26087.5</v>
      </c>
      <c r="G5" s="4">
        <v>37975</v>
      </c>
      <c r="H5" s="4">
        <v>30025</v>
      </c>
      <c r="I5" s="4">
        <v>24950</v>
      </c>
      <c r="J5" s="4">
        <v>13706.25</v>
      </c>
      <c r="K5" s="4">
        <v>15950</v>
      </c>
      <c r="L5" s="4">
        <v>5192.5</v>
      </c>
      <c r="M5" s="4">
        <v>7367.5</v>
      </c>
      <c r="N5" s="4">
        <v>2680</v>
      </c>
      <c r="O5" s="4">
        <v>1930</v>
      </c>
      <c r="P5" s="38">
        <v>1930</v>
      </c>
      <c r="Q5" s="4"/>
      <c r="R5" s="38">
        <v>1930</v>
      </c>
      <c r="S5" s="38">
        <v>1930</v>
      </c>
      <c r="T5" s="38">
        <v>1930</v>
      </c>
      <c r="U5" s="38">
        <v>1930</v>
      </c>
      <c r="V5" s="38">
        <v>1930</v>
      </c>
      <c r="W5" s="38">
        <v>1930</v>
      </c>
      <c r="X5" s="38">
        <v>1930</v>
      </c>
      <c r="Y5" s="38">
        <v>0</v>
      </c>
      <c r="Z5" s="38">
        <v>0</v>
      </c>
      <c r="AA5" s="38">
        <v>0</v>
      </c>
      <c r="AB5" s="38">
        <v>0</v>
      </c>
      <c r="AC5" s="38">
        <v>0</v>
      </c>
      <c r="AD5" s="4"/>
      <c r="AE5" s="4">
        <f t="shared" ref="AE5" si="2">SUM(E5:G5)</f>
        <v>144854.39999999999</v>
      </c>
      <c r="AF5" s="4">
        <f t="shared" ref="AF5" si="3">SUM(H5:J5)</f>
        <v>68681.25</v>
      </c>
      <c r="AG5" s="4">
        <f t="shared" ref="AG5" si="4">SUM(K5:M5)</f>
        <v>28510</v>
      </c>
      <c r="AH5" s="4">
        <f t="shared" ref="AH5" si="5">SUM(N5:P5)</f>
        <v>6540</v>
      </c>
      <c r="AI5" s="4"/>
      <c r="AJ5" s="4">
        <f>SUM(R5:T5)</f>
        <v>5790</v>
      </c>
      <c r="AK5" s="4">
        <f>SUM(U5:W5)</f>
        <v>5790</v>
      </c>
      <c r="AL5" s="4">
        <f>SUM(X5:Z5)</f>
        <v>1930</v>
      </c>
      <c r="AM5" s="4">
        <f>SUM(AA5:AC5)</f>
        <v>0</v>
      </c>
      <c r="AN5" s="4"/>
      <c r="AO5" s="4">
        <f t="shared" ref="AO5" si="6">SUM(E5:P5)</f>
        <v>248585.65</v>
      </c>
      <c r="AP5" s="4">
        <f>SUM(R5:AC5)</f>
        <v>13510</v>
      </c>
      <c r="AQ5" s="4"/>
      <c r="AR5" s="25">
        <f t="shared" ref="AR5" si="7">SUM(AE5:AH5)-AO5</f>
        <v>0</v>
      </c>
      <c r="AS5" s="25">
        <f t="shared" ref="AS5" si="8">SUM(AJ5:AM5)-AP5</f>
        <v>0</v>
      </c>
    </row>
    <row r="6" spans="4:45" x14ac:dyDescent="0.2">
      <c r="D6" s="7" t="s">
        <v>87</v>
      </c>
      <c r="E6" s="4">
        <v>162319.6</v>
      </c>
      <c r="F6" s="4">
        <v>101637.6</v>
      </c>
      <c r="G6" s="4">
        <v>110984.5</v>
      </c>
      <c r="H6" s="4">
        <v>145135.20000000001</v>
      </c>
      <c r="I6" s="4">
        <v>165203.6</v>
      </c>
      <c r="J6" s="4">
        <v>39277.599999999999</v>
      </c>
      <c r="K6" s="4">
        <v>166597.6</v>
      </c>
      <c r="L6" s="4">
        <v>57512</v>
      </c>
      <c r="M6" s="4">
        <v>57500</v>
      </c>
      <c r="N6" s="4">
        <v>163189.5</v>
      </c>
      <c r="O6" s="4">
        <v>233341.5</v>
      </c>
      <c r="P6" s="38">
        <v>138214</v>
      </c>
      <c r="Q6" s="4"/>
      <c r="R6" s="38">
        <v>122607</v>
      </c>
      <c r="S6" s="38">
        <v>216000</v>
      </c>
      <c r="T6" s="38">
        <v>156000</v>
      </c>
      <c r="U6" s="38">
        <v>156000</v>
      </c>
      <c r="V6" s="38">
        <v>10000</v>
      </c>
      <c r="W6" s="38">
        <v>10000</v>
      </c>
      <c r="X6" s="38">
        <v>10000</v>
      </c>
      <c r="Y6" s="38">
        <v>10000</v>
      </c>
      <c r="Z6" s="38">
        <v>10000</v>
      </c>
      <c r="AA6" s="38">
        <v>10000</v>
      </c>
      <c r="AB6" s="38">
        <v>10000</v>
      </c>
      <c r="AC6" s="38">
        <v>10000</v>
      </c>
      <c r="AD6" s="4"/>
      <c r="AE6" s="4">
        <f t="shared" ref="AE6:AE7" si="9">SUM(E6:G6)</f>
        <v>374941.7</v>
      </c>
      <c r="AF6" s="4">
        <f t="shared" ref="AF6:AF7" si="10">SUM(H6:J6)</f>
        <v>349616.4</v>
      </c>
      <c r="AG6" s="4">
        <f t="shared" ref="AG6:AG7" si="11">SUM(K6:M6)</f>
        <v>281609.59999999998</v>
      </c>
      <c r="AH6" s="4">
        <f t="shared" ref="AH6:AH7" si="12">SUM(N6:P6)</f>
        <v>534745</v>
      </c>
      <c r="AI6" s="4"/>
      <c r="AJ6" s="4">
        <f>SUM(R6:T6)</f>
        <v>494607</v>
      </c>
      <c r="AK6" s="4">
        <f>SUM(U6:W6)</f>
        <v>176000</v>
      </c>
      <c r="AL6" s="4">
        <f>SUM(X6:Z6)</f>
        <v>30000</v>
      </c>
      <c r="AM6" s="4">
        <f>SUM(AA6:AC6)</f>
        <v>30000</v>
      </c>
      <c r="AN6" s="4"/>
      <c r="AO6" s="4">
        <f t="shared" ref="AO6:AO7" si="13">SUM(E6:P6)</f>
        <v>1540912.7</v>
      </c>
      <c r="AP6" s="4">
        <f>SUM(R6:AC6)</f>
        <v>730607</v>
      </c>
      <c r="AQ6" s="4"/>
      <c r="AR6" s="25">
        <f t="shared" ref="AR6:AR7" si="14">SUM(AE6:AH6)-AO6</f>
        <v>0</v>
      </c>
      <c r="AS6" s="25">
        <f t="shared" ref="AS6:AS7" si="15">SUM(AJ6:AM6)-AP6</f>
        <v>0</v>
      </c>
    </row>
    <row r="7" spans="4:45" x14ac:dyDescent="0.2">
      <c r="D7" s="7" t="s">
        <v>549</v>
      </c>
      <c r="E7" s="4">
        <v>33027.360000000001</v>
      </c>
      <c r="F7" s="4">
        <v>175934</v>
      </c>
      <c r="G7" s="4">
        <v>0</v>
      </c>
      <c r="H7" s="4">
        <v>495</v>
      </c>
      <c r="I7" s="4">
        <v>2628.8</v>
      </c>
      <c r="J7" s="4">
        <v>22769.05</v>
      </c>
      <c r="K7" s="4">
        <v>73633.399999999994</v>
      </c>
      <c r="L7" s="4">
        <v>41456.5</v>
      </c>
      <c r="M7" s="4">
        <v>22110</v>
      </c>
      <c r="N7" s="4">
        <v>22408.5</v>
      </c>
      <c r="O7" s="4">
        <v>8211</v>
      </c>
      <c r="P7" s="38">
        <v>195011</v>
      </c>
      <c r="Q7" s="4"/>
      <c r="R7" s="38">
        <v>2200</v>
      </c>
      <c r="S7" s="38">
        <v>52230</v>
      </c>
      <c r="T7" s="38">
        <v>20420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4"/>
      <c r="AE7" s="4">
        <f t="shared" si="9"/>
        <v>208961.36</v>
      </c>
      <c r="AF7" s="4">
        <f t="shared" si="10"/>
        <v>25892.85</v>
      </c>
      <c r="AG7" s="4">
        <f t="shared" si="11"/>
        <v>137199.9</v>
      </c>
      <c r="AH7" s="4">
        <f t="shared" si="12"/>
        <v>225630.5</v>
      </c>
      <c r="AI7" s="4"/>
      <c r="AJ7" s="4">
        <f>SUM(R7:T7)</f>
        <v>74850</v>
      </c>
      <c r="AK7" s="4">
        <f>SUM(U7:W7)</f>
        <v>0</v>
      </c>
      <c r="AL7" s="4">
        <f>SUM(X7:Z7)</f>
        <v>0</v>
      </c>
      <c r="AM7" s="4">
        <f>SUM(AA7:AC7)</f>
        <v>0</v>
      </c>
      <c r="AN7" s="4"/>
      <c r="AO7" s="4">
        <f t="shared" si="13"/>
        <v>597684.61</v>
      </c>
      <c r="AP7" s="4">
        <f>SUM(R7:AC7)</f>
        <v>74850</v>
      </c>
      <c r="AQ7" s="4"/>
      <c r="AR7" s="25">
        <f t="shared" si="14"/>
        <v>0</v>
      </c>
      <c r="AS7" s="25">
        <f t="shared" si="15"/>
        <v>0</v>
      </c>
    </row>
    <row r="8" spans="4:45" x14ac:dyDescent="0.2">
      <c r="D8" s="8" t="s">
        <v>84</v>
      </c>
      <c r="E8" s="34">
        <f t="shared" ref="E8:P8" si="16">SUM(E5:E7)</f>
        <v>276138.86</v>
      </c>
      <c r="F8" s="34">
        <f t="shared" si="16"/>
        <v>303659.09999999998</v>
      </c>
      <c r="G8" s="34">
        <f t="shared" si="16"/>
        <v>148959.5</v>
      </c>
      <c r="H8" s="34">
        <f t="shared" si="16"/>
        <v>175655.2</v>
      </c>
      <c r="I8" s="34">
        <f t="shared" si="16"/>
        <v>192782.4</v>
      </c>
      <c r="J8" s="34">
        <f t="shared" si="16"/>
        <v>75752.899999999994</v>
      </c>
      <c r="K8" s="34">
        <f t="shared" si="16"/>
        <v>256181</v>
      </c>
      <c r="L8" s="34">
        <f t="shared" si="16"/>
        <v>104161</v>
      </c>
      <c r="M8" s="34">
        <f t="shared" si="16"/>
        <v>86977.5</v>
      </c>
      <c r="N8" s="34">
        <f t="shared" si="16"/>
        <v>188278</v>
      </c>
      <c r="O8" s="34">
        <f t="shared" si="16"/>
        <v>243482.5</v>
      </c>
      <c r="P8" s="34">
        <f t="shared" si="16"/>
        <v>335155</v>
      </c>
      <c r="Q8" s="34"/>
      <c r="R8" s="34">
        <f>SUM(R5:R7)</f>
        <v>126737</v>
      </c>
      <c r="S8" s="34">
        <f t="shared" ref="S8:AC8" si="17">SUM(S5:S7)</f>
        <v>270160</v>
      </c>
      <c r="T8" s="34">
        <f t="shared" si="17"/>
        <v>178350</v>
      </c>
      <c r="U8" s="34">
        <f t="shared" si="17"/>
        <v>157930</v>
      </c>
      <c r="V8" s="34">
        <f t="shared" si="17"/>
        <v>11930</v>
      </c>
      <c r="W8" s="34">
        <f t="shared" si="17"/>
        <v>11930</v>
      </c>
      <c r="X8" s="34">
        <f t="shared" si="17"/>
        <v>11930</v>
      </c>
      <c r="Y8" s="34">
        <f t="shared" si="17"/>
        <v>10000</v>
      </c>
      <c r="Z8" s="34">
        <f t="shared" si="17"/>
        <v>10000</v>
      </c>
      <c r="AA8" s="34">
        <f t="shared" si="17"/>
        <v>10000</v>
      </c>
      <c r="AB8" s="34">
        <f t="shared" si="17"/>
        <v>10000</v>
      </c>
      <c r="AC8" s="34">
        <f t="shared" si="17"/>
        <v>10000</v>
      </c>
      <c r="AD8" s="34"/>
      <c r="AE8" s="34">
        <f>SUM(AE5:AE7)</f>
        <v>728757.46</v>
      </c>
      <c r="AF8" s="34">
        <f>SUM(AF5:AF7)</f>
        <v>444190.5</v>
      </c>
      <c r="AG8" s="34">
        <f>SUM(AG5:AG7)</f>
        <v>447319.5</v>
      </c>
      <c r="AH8" s="34">
        <f>SUM(AH5:AH7)</f>
        <v>766915.5</v>
      </c>
      <c r="AI8" s="34"/>
      <c r="AJ8" s="34">
        <f>SUM(AJ5:AJ7)</f>
        <v>575247</v>
      </c>
      <c r="AK8" s="34">
        <f>SUM(AK5:AK7)</f>
        <v>181790</v>
      </c>
      <c r="AL8" s="34">
        <f>SUM(AL5:AL7)</f>
        <v>31930</v>
      </c>
      <c r="AM8" s="34">
        <f>SUM(AM5:AM7)</f>
        <v>30000</v>
      </c>
      <c r="AN8" s="34"/>
      <c r="AO8" s="34">
        <f>SUM(AO5:AO7)</f>
        <v>2387182.96</v>
      </c>
      <c r="AP8" s="34">
        <f>SUM(AP5:AP7)</f>
        <v>818967</v>
      </c>
      <c r="AR8" s="25">
        <f t="shared" ref="AR8" si="18">SUM(AE8:AH8)-AO8</f>
        <v>0</v>
      </c>
      <c r="AS8" s="25">
        <f t="shared" ref="AS8" si="19">SUM(AJ8:AM8)-AP8</f>
        <v>0</v>
      </c>
    </row>
    <row r="9" spans="4:45" x14ac:dyDescent="0.2">
      <c r="D9" s="24"/>
      <c r="AR9" s="3"/>
      <c r="AS9" s="3"/>
    </row>
    <row r="10" spans="4:45" x14ac:dyDescent="0.2">
      <c r="D10" s="7" t="s">
        <v>63</v>
      </c>
      <c r="E10" s="4">
        <v>0</v>
      </c>
      <c r="F10" s="4">
        <v>50000</v>
      </c>
      <c r="G10" s="4">
        <v>126292.98</v>
      </c>
      <c r="H10" s="4">
        <v>11377.5</v>
      </c>
      <c r="I10" s="4">
        <v>0</v>
      </c>
      <c r="J10" s="4">
        <v>30327.5</v>
      </c>
      <c r="K10" s="4">
        <v>0</v>
      </c>
      <c r="L10" s="4">
        <v>0</v>
      </c>
      <c r="M10" s="4">
        <v>0</v>
      </c>
      <c r="N10" s="4">
        <v>0</v>
      </c>
      <c r="O10" s="4">
        <v>103250</v>
      </c>
      <c r="P10" s="38">
        <v>203000</v>
      </c>
      <c r="Q10" s="4"/>
      <c r="R10" s="38">
        <v>43250</v>
      </c>
      <c r="S10" s="38">
        <v>3250</v>
      </c>
      <c r="T10" s="38">
        <v>144250</v>
      </c>
      <c r="U10" s="38">
        <v>154250</v>
      </c>
      <c r="V10" s="38">
        <v>91000</v>
      </c>
      <c r="W10" s="38">
        <v>91000</v>
      </c>
      <c r="X10" s="38">
        <v>91000</v>
      </c>
      <c r="Y10" s="38">
        <v>115000</v>
      </c>
      <c r="Z10" s="38">
        <v>25000</v>
      </c>
      <c r="AA10" s="38">
        <v>25000</v>
      </c>
      <c r="AB10" s="38">
        <v>25000</v>
      </c>
      <c r="AC10" s="38">
        <v>25000</v>
      </c>
      <c r="AD10" s="4"/>
      <c r="AE10" s="4">
        <f t="shared" ref="AE10:AE12" si="20">SUM(E10:G10)</f>
        <v>176292.97999999998</v>
      </c>
      <c r="AF10" s="4">
        <f t="shared" ref="AF10:AF12" si="21">SUM(H10:J10)</f>
        <v>41705</v>
      </c>
      <c r="AG10" s="4">
        <f t="shared" ref="AG10:AG12" si="22">SUM(K10:M10)</f>
        <v>0</v>
      </c>
      <c r="AH10" s="4">
        <f t="shared" ref="AH10:AH12" si="23">SUM(N10:P10)</f>
        <v>306250</v>
      </c>
      <c r="AI10" s="4"/>
      <c r="AJ10" s="4">
        <f>SUM(R10:T10)</f>
        <v>190750</v>
      </c>
      <c r="AK10" s="4">
        <f>SUM(U10:W10)</f>
        <v>336250</v>
      </c>
      <c r="AL10" s="4">
        <f>SUM(X10:Z10)</f>
        <v>231000</v>
      </c>
      <c r="AM10" s="4">
        <f>SUM(AA10:AC10)</f>
        <v>75000</v>
      </c>
      <c r="AN10" s="4"/>
      <c r="AO10" s="4">
        <f t="shared" ref="AO10:AO12" si="24">SUM(E10:P10)</f>
        <v>524247.98</v>
      </c>
      <c r="AP10" s="4">
        <f>SUM(R10:AC10)</f>
        <v>833000</v>
      </c>
      <c r="AQ10" s="4"/>
      <c r="AR10" s="25">
        <f t="shared" ref="AR10:AR13" si="25">SUM(AE10:AH10)-AO10</f>
        <v>0</v>
      </c>
      <c r="AS10" s="25">
        <f t="shared" ref="AS10:AS13" si="26">SUM(AJ10:AM10)-AP10</f>
        <v>0</v>
      </c>
    </row>
    <row r="11" spans="4:45" x14ac:dyDescent="0.2">
      <c r="D11" s="7" t="s">
        <v>87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9987</v>
      </c>
      <c r="K11" s="4">
        <v>0</v>
      </c>
      <c r="L11" s="4">
        <v>39277.599999999999</v>
      </c>
      <c r="M11" s="4">
        <v>0</v>
      </c>
      <c r="N11" s="4">
        <v>64055.199999999997</v>
      </c>
      <c r="O11" s="4">
        <v>53777.599999999999</v>
      </c>
      <c r="P11" s="38">
        <v>169777.6</v>
      </c>
      <c r="Q11" s="4"/>
      <c r="R11" s="38">
        <v>39277.599999999999</v>
      </c>
      <c r="S11" s="38">
        <v>39277.599999999999</v>
      </c>
      <c r="T11" s="38">
        <v>39277.599999999999</v>
      </c>
      <c r="U11" s="38">
        <v>94277.6</v>
      </c>
      <c r="V11" s="38">
        <v>39277.599999999999</v>
      </c>
      <c r="W11" s="38">
        <v>39277.599999999999</v>
      </c>
      <c r="X11" s="38">
        <v>39277.599999999999</v>
      </c>
      <c r="Y11" s="38">
        <v>14500</v>
      </c>
      <c r="Z11" s="38">
        <v>0</v>
      </c>
      <c r="AA11" s="38">
        <v>0</v>
      </c>
      <c r="AB11" s="38">
        <v>0</v>
      </c>
      <c r="AC11" s="38">
        <v>0</v>
      </c>
      <c r="AD11" s="4"/>
      <c r="AE11" s="4">
        <f t="shared" si="20"/>
        <v>0</v>
      </c>
      <c r="AF11" s="4">
        <f t="shared" si="21"/>
        <v>9987</v>
      </c>
      <c r="AG11" s="4">
        <f t="shared" si="22"/>
        <v>39277.599999999999</v>
      </c>
      <c r="AH11" s="4">
        <f t="shared" si="23"/>
        <v>287610.40000000002</v>
      </c>
      <c r="AI11" s="4"/>
      <c r="AJ11" s="4">
        <f>SUM(R11:T11)</f>
        <v>117832.79999999999</v>
      </c>
      <c r="AK11" s="4">
        <f>SUM(U11:W11)</f>
        <v>172832.80000000002</v>
      </c>
      <c r="AL11" s="4">
        <f>SUM(X11:Z11)</f>
        <v>53777.599999999999</v>
      </c>
      <c r="AM11" s="4">
        <f>SUM(AA11:AC11)</f>
        <v>0</v>
      </c>
      <c r="AN11" s="4"/>
      <c r="AO11" s="4">
        <f t="shared" si="24"/>
        <v>336875</v>
      </c>
      <c r="AP11" s="4">
        <f>SUM(R11:AC11)</f>
        <v>344443.19999999995</v>
      </c>
      <c r="AQ11" s="4"/>
      <c r="AR11" s="25">
        <f t="shared" si="25"/>
        <v>0</v>
      </c>
      <c r="AS11" s="25">
        <f t="shared" si="26"/>
        <v>0</v>
      </c>
    </row>
    <row r="12" spans="4:45" x14ac:dyDescent="0.2">
      <c r="D12" s="7" t="s">
        <v>549</v>
      </c>
      <c r="E12" s="4">
        <v>0</v>
      </c>
      <c r="F12" s="4">
        <v>0</v>
      </c>
      <c r="G12" s="4">
        <v>0</v>
      </c>
      <c r="H12" s="4">
        <v>25000</v>
      </c>
      <c r="I12" s="4">
        <v>0</v>
      </c>
      <c r="J12" s="4">
        <v>0</v>
      </c>
      <c r="K12" s="4">
        <v>69000</v>
      </c>
      <c r="L12" s="4">
        <v>42000</v>
      </c>
      <c r="M12" s="4">
        <v>22000</v>
      </c>
      <c r="N12" s="4">
        <v>22000</v>
      </c>
      <c r="O12" s="4">
        <v>24000</v>
      </c>
      <c r="P12" s="38">
        <v>40000</v>
      </c>
      <c r="Q12" s="4"/>
      <c r="R12" s="38">
        <v>18000</v>
      </c>
      <c r="S12" s="38">
        <v>18000</v>
      </c>
      <c r="T12" s="38">
        <v>18000</v>
      </c>
      <c r="U12" s="38">
        <v>18000</v>
      </c>
      <c r="V12" s="38">
        <v>18000</v>
      </c>
      <c r="W12" s="38">
        <v>18000</v>
      </c>
      <c r="X12" s="38">
        <v>18000</v>
      </c>
      <c r="Y12" s="38">
        <v>6000</v>
      </c>
      <c r="Z12" s="38">
        <v>6000</v>
      </c>
      <c r="AA12" s="38">
        <v>6000</v>
      </c>
      <c r="AB12" s="38">
        <v>6000</v>
      </c>
      <c r="AC12" s="38">
        <v>0</v>
      </c>
      <c r="AD12" s="4"/>
      <c r="AE12" s="4">
        <f t="shared" si="20"/>
        <v>0</v>
      </c>
      <c r="AF12" s="4">
        <f t="shared" si="21"/>
        <v>25000</v>
      </c>
      <c r="AG12" s="4">
        <f t="shared" si="22"/>
        <v>133000</v>
      </c>
      <c r="AH12" s="4">
        <f t="shared" si="23"/>
        <v>86000</v>
      </c>
      <c r="AI12" s="4"/>
      <c r="AJ12" s="4">
        <f>SUM(R12:T12)</f>
        <v>54000</v>
      </c>
      <c r="AK12" s="4">
        <f>SUM(U12:W12)</f>
        <v>54000</v>
      </c>
      <c r="AL12" s="4">
        <f>SUM(X12:Z12)</f>
        <v>30000</v>
      </c>
      <c r="AM12" s="4">
        <f>SUM(AA12:AC12)</f>
        <v>12000</v>
      </c>
      <c r="AN12" s="4"/>
      <c r="AO12" s="4">
        <f t="shared" si="24"/>
        <v>244000</v>
      </c>
      <c r="AP12" s="4">
        <f>SUM(R12:AC12)</f>
        <v>150000</v>
      </c>
      <c r="AQ12" s="4"/>
      <c r="AR12" s="25">
        <f t="shared" si="25"/>
        <v>0</v>
      </c>
      <c r="AS12" s="25">
        <f t="shared" si="26"/>
        <v>0</v>
      </c>
    </row>
    <row r="13" spans="4:45" x14ac:dyDescent="0.2">
      <c r="D13" s="8" t="s">
        <v>83</v>
      </c>
      <c r="E13" s="34">
        <f t="shared" ref="E13:P13" si="27">SUM(E10:E12)</f>
        <v>0</v>
      </c>
      <c r="F13" s="34">
        <f t="shared" si="27"/>
        <v>50000</v>
      </c>
      <c r="G13" s="34">
        <f t="shared" si="27"/>
        <v>126292.98</v>
      </c>
      <c r="H13" s="34">
        <f t="shared" si="27"/>
        <v>36377.5</v>
      </c>
      <c r="I13" s="34">
        <f t="shared" si="27"/>
        <v>0</v>
      </c>
      <c r="J13" s="34">
        <f t="shared" si="27"/>
        <v>40314.5</v>
      </c>
      <c r="K13" s="34">
        <f t="shared" si="27"/>
        <v>69000</v>
      </c>
      <c r="L13" s="34">
        <f t="shared" si="27"/>
        <v>81277.600000000006</v>
      </c>
      <c r="M13" s="34">
        <f t="shared" si="27"/>
        <v>22000</v>
      </c>
      <c r="N13" s="34">
        <f t="shared" si="27"/>
        <v>86055.2</v>
      </c>
      <c r="O13" s="34">
        <f t="shared" si="27"/>
        <v>181027.6</v>
      </c>
      <c r="P13" s="34">
        <f t="shared" si="27"/>
        <v>412777.6</v>
      </c>
      <c r="Q13" s="34"/>
      <c r="R13" s="34">
        <f>SUM(R10:R12)</f>
        <v>100527.6</v>
      </c>
      <c r="S13" s="34">
        <f t="shared" ref="S13:AC13" si="28">SUM(S10:S12)</f>
        <v>60527.6</v>
      </c>
      <c r="T13" s="34">
        <f t="shared" si="28"/>
        <v>201527.6</v>
      </c>
      <c r="U13" s="34">
        <f t="shared" si="28"/>
        <v>266527.59999999998</v>
      </c>
      <c r="V13" s="34">
        <f t="shared" si="28"/>
        <v>148277.6</v>
      </c>
      <c r="W13" s="34">
        <f t="shared" si="28"/>
        <v>148277.6</v>
      </c>
      <c r="X13" s="34">
        <f t="shared" si="28"/>
        <v>148277.6</v>
      </c>
      <c r="Y13" s="34">
        <f t="shared" si="28"/>
        <v>135500</v>
      </c>
      <c r="Z13" s="34">
        <f t="shared" si="28"/>
        <v>31000</v>
      </c>
      <c r="AA13" s="34">
        <f t="shared" si="28"/>
        <v>31000</v>
      </c>
      <c r="AB13" s="34">
        <f t="shared" si="28"/>
        <v>31000</v>
      </c>
      <c r="AC13" s="34">
        <f t="shared" si="28"/>
        <v>25000</v>
      </c>
      <c r="AD13" s="34"/>
      <c r="AE13" s="34">
        <f>SUM(AE10:AE12)</f>
        <v>176292.97999999998</v>
      </c>
      <c r="AF13" s="34">
        <f>SUM(AF10:AF12)</f>
        <v>76692</v>
      </c>
      <c r="AG13" s="34">
        <f>SUM(AG10:AG12)</f>
        <v>172277.6</v>
      </c>
      <c r="AH13" s="34">
        <f>SUM(AH10:AH12)</f>
        <v>679860.4</v>
      </c>
      <c r="AI13" s="34"/>
      <c r="AJ13" s="34">
        <f>SUM(AJ10:AJ12)</f>
        <v>362582.8</v>
      </c>
      <c r="AK13" s="34">
        <f>SUM(AK10:AK12)</f>
        <v>563082.80000000005</v>
      </c>
      <c r="AL13" s="34">
        <f>SUM(AL10:AL12)</f>
        <v>314777.59999999998</v>
      </c>
      <c r="AM13" s="34">
        <f>SUM(AM10:AM12)</f>
        <v>87000</v>
      </c>
      <c r="AN13" s="34"/>
      <c r="AO13" s="34">
        <f>SUM(AO10:AO12)</f>
        <v>1105122.98</v>
      </c>
      <c r="AP13" s="34">
        <f>SUM(AP10:AP12)</f>
        <v>1327443.2</v>
      </c>
      <c r="AR13" s="25">
        <f t="shared" si="25"/>
        <v>0</v>
      </c>
      <c r="AS13" s="25">
        <f t="shared" si="26"/>
        <v>0</v>
      </c>
    </row>
    <row r="14" spans="4:45" x14ac:dyDescent="0.2">
      <c r="D14" s="24"/>
      <c r="AR14" s="3"/>
      <c r="AS14" s="3"/>
    </row>
    <row r="15" spans="4:45" x14ac:dyDescent="0.2">
      <c r="D15" s="8" t="s">
        <v>841</v>
      </c>
      <c r="E15" s="34">
        <f t="shared" ref="E15:P15" si="29">+E8+E13</f>
        <v>276138.86</v>
      </c>
      <c r="F15" s="34">
        <f t="shared" si="29"/>
        <v>353659.1</v>
      </c>
      <c r="G15" s="34">
        <f t="shared" si="29"/>
        <v>275252.47999999998</v>
      </c>
      <c r="H15" s="34">
        <f t="shared" si="29"/>
        <v>212032.7</v>
      </c>
      <c r="I15" s="34">
        <f t="shared" si="29"/>
        <v>192782.4</v>
      </c>
      <c r="J15" s="34">
        <f t="shared" si="29"/>
        <v>116067.4</v>
      </c>
      <c r="K15" s="34">
        <f t="shared" si="29"/>
        <v>325181</v>
      </c>
      <c r="L15" s="34">
        <f t="shared" si="29"/>
        <v>185438.6</v>
      </c>
      <c r="M15" s="34">
        <f t="shared" si="29"/>
        <v>108977.5</v>
      </c>
      <c r="N15" s="34">
        <f t="shared" si="29"/>
        <v>274333.2</v>
      </c>
      <c r="O15" s="34">
        <f t="shared" si="29"/>
        <v>424510.1</v>
      </c>
      <c r="P15" s="34">
        <f t="shared" si="29"/>
        <v>747932.6</v>
      </c>
      <c r="Q15" s="34"/>
      <c r="R15" s="34">
        <f t="shared" ref="R15:AC15" si="30">+R8+R13</f>
        <v>227264.6</v>
      </c>
      <c r="S15" s="34">
        <f t="shared" si="30"/>
        <v>330687.59999999998</v>
      </c>
      <c r="T15" s="34">
        <f t="shared" si="30"/>
        <v>379877.6</v>
      </c>
      <c r="U15" s="34">
        <f t="shared" si="30"/>
        <v>424457.6</v>
      </c>
      <c r="V15" s="34">
        <f t="shared" si="30"/>
        <v>160207.6</v>
      </c>
      <c r="W15" s="34">
        <f t="shared" si="30"/>
        <v>160207.6</v>
      </c>
      <c r="X15" s="34">
        <f t="shared" si="30"/>
        <v>160207.6</v>
      </c>
      <c r="Y15" s="34">
        <f t="shared" si="30"/>
        <v>145500</v>
      </c>
      <c r="Z15" s="34">
        <f t="shared" si="30"/>
        <v>41000</v>
      </c>
      <c r="AA15" s="34">
        <f t="shared" si="30"/>
        <v>41000</v>
      </c>
      <c r="AB15" s="34">
        <f t="shared" si="30"/>
        <v>41000</v>
      </c>
      <c r="AC15" s="34">
        <f t="shared" si="30"/>
        <v>35000</v>
      </c>
      <c r="AD15" s="34"/>
      <c r="AE15" s="34">
        <f>+AE8+AE13</f>
        <v>905050.44</v>
      </c>
      <c r="AF15" s="34">
        <f>+AF8+AF13</f>
        <v>520882.5</v>
      </c>
      <c r="AG15" s="34">
        <f>+AG8+AG13</f>
        <v>619597.1</v>
      </c>
      <c r="AH15" s="34">
        <f>+AH8+AH13</f>
        <v>1446775.9</v>
      </c>
      <c r="AI15" s="34"/>
      <c r="AJ15" s="34">
        <f>+AJ8+AJ13</f>
        <v>937829.8</v>
      </c>
      <c r="AK15" s="34">
        <f>+AK8+AK13</f>
        <v>744872.8</v>
      </c>
      <c r="AL15" s="34">
        <f>+AL8+AL13</f>
        <v>346707.6</v>
      </c>
      <c r="AM15" s="34">
        <f>+AM8+AM13</f>
        <v>117000</v>
      </c>
      <c r="AN15" s="34"/>
      <c r="AO15" s="34">
        <f>+AO8+AO13</f>
        <v>3492305.94</v>
      </c>
      <c r="AP15" s="34">
        <f>+AP8+AP13</f>
        <v>2146410.2000000002</v>
      </c>
      <c r="AR15" s="25">
        <f t="shared" ref="AR15" si="31">SUM(AE15:AH15)-AO15</f>
        <v>0</v>
      </c>
      <c r="AS15" s="25">
        <f t="shared" ref="AS15" si="32">SUM(AJ15:AM15)-AP15</f>
        <v>0</v>
      </c>
    </row>
    <row r="16" spans="4:45" x14ac:dyDescent="0.2">
      <c r="D16" s="24"/>
      <c r="AR16" s="3"/>
      <c r="AS16" s="3"/>
    </row>
    <row r="17" spans="4:45" x14ac:dyDescent="0.2">
      <c r="D17" s="7" t="s">
        <v>63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5">
        <v>0</v>
      </c>
      <c r="Q17" s="4"/>
      <c r="R17" s="145">
        <v>0</v>
      </c>
      <c r="S17" s="145">
        <v>0</v>
      </c>
      <c r="T17" s="145">
        <v>0</v>
      </c>
      <c r="U17" s="145">
        <v>0</v>
      </c>
      <c r="V17" s="145">
        <v>0</v>
      </c>
      <c r="W17" s="145">
        <v>0</v>
      </c>
      <c r="X17" s="145">
        <v>0</v>
      </c>
      <c r="Y17" s="145">
        <v>0</v>
      </c>
      <c r="Z17" s="145">
        <v>0</v>
      </c>
      <c r="AA17" s="145">
        <v>0</v>
      </c>
      <c r="AB17" s="145">
        <v>0</v>
      </c>
      <c r="AC17" s="145">
        <v>0</v>
      </c>
      <c r="AD17" s="4"/>
      <c r="AE17" s="4">
        <f t="shared" ref="AE17:AE19" si="33">SUM(E17:G17)</f>
        <v>0</v>
      </c>
      <c r="AF17" s="4">
        <f t="shared" ref="AF17:AF19" si="34">SUM(H17:J17)</f>
        <v>0</v>
      </c>
      <c r="AG17" s="4">
        <f t="shared" ref="AG17:AG19" si="35">SUM(K17:M17)</f>
        <v>0</v>
      </c>
      <c r="AH17" s="4">
        <f t="shared" ref="AH17:AH19" si="36">SUM(N17:P17)</f>
        <v>0</v>
      </c>
      <c r="AI17" s="4"/>
      <c r="AJ17" s="4">
        <f>SUM(R17:T17)</f>
        <v>0</v>
      </c>
      <c r="AK17" s="4">
        <f>SUM(U17:W17)</f>
        <v>0</v>
      </c>
      <c r="AL17" s="4">
        <f>SUM(X17:Z17)</f>
        <v>0</v>
      </c>
      <c r="AM17" s="4">
        <f>SUM(AA17:AC17)</f>
        <v>0</v>
      </c>
      <c r="AN17" s="4"/>
      <c r="AO17" s="4">
        <f t="shared" ref="AO17:AO19" si="37">SUM(E17:P17)</f>
        <v>0</v>
      </c>
      <c r="AP17" s="4">
        <f>SUM(R17:AC17)</f>
        <v>0</v>
      </c>
      <c r="AQ17" s="4"/>
      <c r="AR17" s="25">
        <f t="shared" ref="AR17:AR20" si="38">SUM(AE17:AH17)-AO17</f>
        <v>0</v>
      </c>
      <c r="AS17" s="25">
        <f t="shared" ref="AS17:AS20" si="39">SUM(AJ17:AM17)-AP17</f>
        <v>0</v>
      </c>
    </row>
    <row r="18" spans="4:45" x14ac:dyDescent="0.2">
      <c r="D18" s="7" t="s">
        <v>87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5">
        <v>0</v>
      </c>
      <c r="Q18" s="4"/>
      <c r="R18" s="145">
        <v>0</v>
      </c>
      <c r="S18" s="145">
        <v>0</v>
      </c>
      <c r="T18" s="145">
        <v>0</v>
      </c>
      <c r="U18" s="145">
        <v>0</v>
      </c>
      <c r="V18" s="145">
        <v>100000</v>
      </c>
      <c r="W18" s="145">
        <v>100000</v>
      </c>
      <c r="X18" s="145">
        <v>100000</v>
      </c>
      <c r="Y18" s="145">
        <v>100000</v>
      </c>
      <c r="Z18" s="145">
        <v>100000</v>
      </c>
      <c r="AA18" s="145">
        <v>100000</v>
      </c>
      <c r="AB18" s="145">
        <v>100000</v>
      </c>
      <c r="AC18" s="145">
        <v>90000</v>
      </c>
      <c r="AD18" s="4"/>
      <c r="AE18" s="4">
        <f t="shared" si="33"/>
        <v>0</v>
      </c>
      <c r="AF18" s="4">
        <f t="shared" si="34"/>
        <v>0</v>
      </c>
      <c r="AG18" s="4">
        <f t="shared" si="35"/>
        <v>0</v>
      </c>
      <c r="AH18" s="4">
        <f t="shared" si="36"/>
        <v>0</v>
      </c>
      <c r="AI18" s="4"/>
      <c r="AJ18" s="4">
        <f>SUM(R18:T18)</f>
        <v>0</v>
      </c>
      <c r="AK18" s="4">
        <f>SUM(U18:W18)</f>
        <v>200000</v>
      </c>
      <c r="AL18" s="4">
        <f>SUM(X18:Z18)</f>
        <v>300000</v>
      </c>
      <c r="AM18" s="4">
        <f>SUM(AA18:AC18)</f>
        <v>290000</v>
      </c>
      <c r="AN18" s="4"/>
      <c r="AO18" s="4">
        <f t="shared" si="37"/>
        <v>0</v>
      </c>
      <c r="AP18" s="4">
        <f>SUM(R18:AC18)</f>
        <v>790000</v>
      </c>
      <c r="AQ18" s="4"/>
      <c r="AR18" s="25">
        <f t="shared" si="38"/>
        <v>0</v>
      </c>
      <c r="AS18" s="25">
        <f t="shared" si="39"/>
        <v>0</v>
      </c>
    </row>
    <row r="19" spans="4:45" x14ac:dyDescent="0.2">
      <c r="D19" s="7" t="s">
        <v>549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5">
        <v>0</v>
      </c>
      <c r="Q19" s="4"/>
      <c r="R19" s="145">
        <v>0</v>
      </c>
      <c r="S19" s="145">
        <v>0</v>
      </c>
      <c r="T19" s="145">
        <v>45000</v>
      </c>
      <c r="U19" s="145">
        <v>40000</v>
      </c>
      <c r="V19" s="145">
        <v>40000</v>
      </c>
      <c r="W19" s="145">
        <v>40000</v>
      </c>
      <c r="X19" s="145">
        <v>35000</v>
      </c>
      <c r="Y19" s="145">
        <v>35000</v>
      </c>
      <c r="Z19" s="145">
        <v>35000</v>
      </c>
      <c r="AA19" s="145">
        <v>30000</v>
      </c>
      <c r="AB19" s="145">
        <v>30000</v>
      </c>
      <c r="AC19" s="145">
        <v>30000</v>
      </c>
      <c r="AD19" s="4"/>
      <c r="AE19" s="4">
        <f t="shared" si="33"/>
        <v>0</v>
      </c>
      <c r="AF19" s="4">
        <f t="shared" si="34"/>
        <v>0</v>
      </c>
      <c r="AG19" s="4">
        <f t="shared" si="35"/>
        <v>0</v>
      </c>
      <c r="AH19" s="4">
        <f t="shared" si="36"/>
        <v>0</v>
      </c>
      <c r="AI19" s="4"/>
      <c r="AJ19" s="4">
        <f>SUM(R19:T19)</f>
        <v>45000</v>
      </c>
      <c r="AK19" s="4">
        <f>SUM(U19:W19)</f>
        <v>120000</v>
      </c>
      <c r="AL19" s="4">
        <f>SUM(X19:Z19)</f>
        <v>105000</v>
      </c>
      <c r="AM19" s="4">
        <f>SUM(AA19:AC19)</f>
        <v>90000</v>
      </c>
      <c r="AN19" s="4"/>
      <c r="AO19" s="4">
        <f t="shared" si="37"/>
        <v>0</v>
      </c>
      <c r="AP19" s="4">
        <f>SUM(R19:AC19)</f>
        <v>360000</v>
      </c>
      <c r="AQ19" s="4"/>
      <c r="AR19" s="25">
        <f t="shared" si="38"/>
        <v>0</v>
      </c>
      <c r="AS19" s="25">
        <f t="shared" si="39"/>
        <v>0</v>
      </c>
    </row>
    <row r="20" spans="4:45" x14ac:dyDescent="0.2">
      <c r="D20" s="8" t="s">
        <v>84</v>
      </c>
      <c r="E20" s="34">
        <f t="shared" ref="E20:P20" si="40">SUM(E17:E19)</f>
        <v>0</v>
      </c>
      <c r="F20" s="34">
        <f t="shared" si="40"/>
        <v>0</v>
      </c>
      <c r="G20" s="34">
        <f t="shared" si="40"/>
        <v>0</v>
      </c>
      <c r="H20" s="34">
        <f t="shared" si="40"/>
        <v>0</v>
      </c>
      <c r="I20" s="34">
        <f t="shared" si="40"/>
        <v>0</v>
      </c>
      <c r="J20" s="34">
        <f t="shared" si="40"/>
        <v>0</v>
      </c>
      <c r="K20" s="34">
        <f t="shared" si="40"/>
        <v>0</v>
      </c>
      <c r="L20" s="34">
        <f t="shared" si="40"/>
        <v>0</v>
      </c>
      <c r="M20" s="34">
        <f t="shared" si="40"/>
        <v>0</v>
      </c>
      <c r="N20" s="34">
        <f t="shared" si="40"/>
        <v>0</v>
      </c>
      <c r="O20" s="34">
        <f t="shared" si="40"/>
        <v>0</v>
      </c>
      <c r="P20" s="34">
        <f t="shared" si="40"/>
        <v>0</v>
      </c>
      <c r="Q20" s="34"/>
      <c r="R20" s="34">
        <f>SUM(R17:R19)</f>
        <v>0</v>
      </c>
      <c r="S20" s="34">
        <f t="shared" ref="S20:AC20" si="41">SUM(S17:S19)</f>
        <v>0</v>
      </c>
      <c r="T20" s="34">
        <f t="shared" si="41"/>
        <v>45000</v>
      </c>
      <c r="U20" s="34">
        <f t="shared" si="41"/>
        <v>40000</v>
      </c>
      <c r="V20" s="34">
        <f t="shared" si="41"/>
        <v>140000</v>
      </c>
      <c r="W20" s="34">
        <f t="shared" si="41"/>
        <v>140000</v>
      </c>
      <c r="X20" s="34">
        <f t="shared" si="41"/>
        <v>135000</v>
      </c>
      <c r="Y20" s="34">
        <f t="shared" si="41"/>
        <v>135000</v>
      </c>
      <c r="Z20" s="34">
        <f t="shared" si="41"/>
        <v>135000</v>
      </c>
      <c r="AA20" s="34">
        <f t="shared" si="41"/>
        <v>130000</v>
      </c>
      <c r="AB20" s="34">
        <f t="shared" si="41"/>
        <v>130000</v>
      </c>
      <c r="AC20" s="34">
        <f t="shared" si="41"/>
        <v>120000</v>
      </c>
      <c r="AD20" s="34"/>
      <c r="AE20" s="34">
        <f>SUM(AE17:AE19)</f>
        <v>0</v>
      </c>
      <c r="AF20" s="34">
        <f>SUM(AF17:AF19)</f>
        <v>0</v>
      </c>
      <c r="AG20" s="34">
        <f>SUM(AG17:AG19)</f>
        <v>0</v>
      </c>
      <c r="AH20" s="34">
        <f>SUM(AH17:AH19)</f>
        <v>0</v>
      </c>
      <c r="AI20" s="34"/>
      <c r="AJ20" s="34">
        <f>SUM(AJ17:AJ19)</f>
        <v>45000</v>
      </c>
      <c r="AK20" s="34">
        <f>SUM(AK17:AK19)</f>
        <v>320000</v>
      </c>
      <c r="AL20" s="34">
        <f>SUM(AL17:AL19)</f>
        <v>405000</v>
      </c>
      <c r="AM20" s="34">
        <f>SUM(AM17:AM19)</f>
        <v>380000</v>
      </c>
      <c r="AN20" s="34"/>
      <c r="AO20" s="34">
        <f>SUM(AO17:AO19)</f>
        <v>0</v>
      </c>
      <c r="AP20" s="34">
        <f>SUM(AP17:AP19)</f>
        <v>1150000</v>
      </c>
      <c r="AR20" s="25">
        <f t="shared" si="38"/>
        <v>0</v>
      </c>
      <c r="AS20" s="25">
        <f t="shared" si="39"/>
        <v>0</v>
      </c>
    </row>
    <row r="21" spans="4:45" x14ac:dyDescent="0.2">
      <c r="D21" s="24"/>
      <c r="AR21" s="3"/>
      <c r="AS21" s="3"/>
    </row>
    <row r="22" spans="4:45" x14ac:dyDescent="0.2">
      <c r="D22" s="7" t="s">
        <v>63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5">
        <v>0</v>
      </c>
      <c r="Q22" s="4"/>
      <c r="R22" s="145">
        <v>0</v>
      </c>
      <c r="S22" s="145">
        <v>0</v>
      </c>
      <c r="T22" s="145">
        <v>0</v>
      </c>
      <c r="U22" s="145">
        <v>0</v>
      </c>
      <c r="V22" s="145">
        <v>0</v>
      </c>
      <c r="W22" s="145">
        <v>0</v>
      </c>
      <c r="X22" s="145">
        <v>75000</v>
      </c>
      <c r="Y22" s="145">
        <v>75000</v>
      </c>
      <c r="Z22" s="145">
        <v>75000</v>
      </c>
      <c r="AA22" s="145">
        <v>100000</v>
      </c>
      <c r="AB22" s="145">
        <v>175000</v>
      </c>
      <c r="AC22" s="145">
        <v>200000</v>
      </c>
      <c r="AD22" s="4"/>
      <c r="AE22" s="4">
        <f t="shared" ref="AE22:AE24" si="42">SUM(E22:G22)</f>
        <v>0</v>
      </c>
      <c r="AF22" s="4">
        <f t="shared" ref="AF22:AF24" si="43">SUM(H22:J22)</f>
        <v>0</v>
      </c>
      <c r="AG22" s="4">
        <f t="shared" ref="AG22:AG24" si="44">SUM(K22:M22)</f>
        <v>0</v>
      </c>
      <c r="AH22" s="4">
        <f t="shared" ref="AH22:AH24" si="45">SUM(N22:P22)</f>
        <v>0</v>
      </c>
      <c r="AI22" s="4"/>
      <c r="AJ22" s="4">
        <f>SUM(R22:T22)</f>
        <v>0</v>
      </c>
      <c r="AK22" s="4">
        <f>SUM(U22:W22)</f>
        <v>0</v>
      </c>
      <c r="AL22" s="4">
        <f>SUM(X22:Z22)</f>
        <v>225000</v>
      </c>
      <c r="AM22" s="4">
        <f>SUM(AA22:AC22)</f>
        <v>475000</v>
      </c>
      <c r="AN22" s="4"/>
      <c r="AO22" s="4">
        <f t="shared" ref="AO22:AO24" si="46">SUM(E22:P22)</f>
        <v>0</v>
      </c>
      <c r="AP22" s="4">
        <f>SUM(R22:AC22)</f>
        <v>700000</v>
      </c>
      <c r="AQ22" s="4"/>
      <c r="AR22" s="25">
        <f t="shared" ref="AR22:AR25" si="47">SUM(AE22:AH22)-AO22</f>
        <v>0</v>
      </c>
      <c r="AS22" s="25">
        <f t="shared" ref="AS22:AS25" si="48">SUM(AJ22:AM22)-AP22</f>
        <v>0</v>
      </c>
    </row>
    <row r="23" spans="4:45" x14ac:dyDescent="0.2">
      <c r="D23" s="7" t="s">
        <v>87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5">
        <v>100000</v>
      </c>
      <c r="Q23" s="4"/>
      <c r="R23" s="145">
        <v>50000</v>
      </c>
      <c r="S23" s="145">
        <v>50000</v>
      </c>
      <c r="T23" s="145">
        <v>150000</v>
      </c>
      <c r="U23" s="145">
        <v>100000</v>
      </c>
      <c r="V23" s="145">
        <v>100000</v>
      </c>
      <c r="W23" s="145">
        <v>100000</v>
      </c>
      <c r="X23" s="145">
        <v>150000</v>
      </c>
      <c r="Y23" s="145">
        <v>150000</v>
      </c>
      <c r="Z23" s="145">
        <v>150000</v>
      </c>
      <c r="AA23" s="145">
        <v>250000</v>
      </c>
      <c r="AB23" s="145">
        <v>250000</v>
      </c>
      <c r="AC23" s="145">
        <v>250000</v>
      </c>
      <c r="AD23" s="4"/>
      <c r="AE23" s="4">
        <f t="shared" si="42"/>
        <v>0</v>
      </c>
      <c r="AF23" s="4">
        <f t="shared" si="43"/>
        <v>0</v>
      </c>
      <c r="AG23" s="4">
        <f t="shared" si="44"/>
        <v>0</v>
      </c>
      <c r="AH23" s="4">
        <f t="shared" si="45"/>
        <v>100000</v>
      </c>
      <c r="AI23" s="4"/>
      <c r="AJ23" s="4">
        <f>SUM(R23:T23)</f>
        <v>250000</v>
      </c>
      <c r="AK23" s="4">
        <f>SUM(U23:W23)</f>
        <v>300000</v>
      </c>
      <c r="AL23" s="4">
        <f>SUM(X23:Z23)</f>
        <v>450000</v>
      </c>
      <c r="AM23" s="4">
        <f>SUM(AA23:AC23)</f>
        <v>750000</v>
      </c>
      <c r="AN23" s="4"/>
      <c r="AO23" s="4">
        <f t="shared" si="46"/>
        <v>100000</v>
      </c>
      <c r="AP23" s="4">
        <f>SUM(R23:AC23)</f>
        <v>1750000</v>
      </c>
      <c r="AQ23" s="4"/>
      <c r="AR23" s="25">
        <f t="shared" si="47"/>
        <v>0</v>
      </c>
      <c r="AS23" s="25">
        <f t="shared" si="48"/>
        <v>0</v>
      </c>
    </row>
    <row r="24" spans="4:45" x14ac:dyDescent="0.2">
      <c r="D24" s="7" t="s">
        <v>549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5">
        <v>0</v>
      </c>
      <c r="Q24" s="4"/>
      <c r="R24" s="145">
        <v>12500</v>
      </c>
      <c r="S24" s="145">
        <v>12500</v>
      </c>
      <c r="T24" s="145">
        <v>15000</v>
      </c>
      <c r="U24" s="145">
        <v>20000</v>
      </c>
      <c r="V24" s="145">
        <v>20000</v>
      </c>
      <c r="W24" s="145">
        <v>20000</v>
      </c>
      <c r="X24" s="145">
        <v>30000</v>
      </c>
      <c r="Y24" s="145">
        <v>30000</v>
      </c>
      <c r="Z24" s="145">
        <v>30000</v>
      </c>
      <c r="AA24" s="145">
        <v>50000</v>
      </c>
      <c r="AB24" s="145">
        <v>50000</v>
      </c>
      <c r="AC24" s="145">
        <v>75000</v>
      </c>
      <c r="AD24" s="4"/>
      <c r="AE24" s="4">
        <f t="shared" si="42"/>
        <v>0</v>
      </c>
      <c r="AF24" s="4">
        <f t="shared" si="43"/>
        <v>0</v>
      </c>
      <c r="AG24" s="4">
        <f t="shared" si="44"/>
        <v>0</v>
      </c>
      <c r="AH24" s="4">
        <f t="shared" si="45"/>
        <v>0</v>
      </c>
      <c r="AI24" s="4"/>
      <c r="AJ24" s="4">
        <f>SUM(R24:T24)</f>
        <v>40000</v>
      </c>
      <c r="AK24" s="4">
        <f>SUM(U24:W24)</f>
        <v>60000</v>
      </c>
      <c r="AL24" s="4">
        <f>SUM(X24:Z24)</f>
        <v>90000</v>
      </c>
      <c r="AM24" s="4">
        <f>SUM(AA24:AC24)</f>
        <v>175000</v>
      </c>
      <c r="AN24" s="4"/>
      <c r="AO24" s="4">
        <f t="shared" si="46"/>
        <v>0</v>
      </c>
      <c r="AP24" s="4">
        <f>SUM(R24:AC24)</f>
        <v>365000</v>
      </c>
      <c r="AQ24" s="4"/>
      <c r="AR24" s="25">
        <f t="shared" si="47"/>
        <v>0</v>
      </c>
      <c r="AS24" s="25">
        <f t="shared" si="48"/>
        <v>0</v>
      </c>
    </row>
    <row r="25" spans="4:45" x14ac:dyDescent="0.2">
      <c r="D25" s="8" t="s">
        <v>83</v>
      </c>
      <c r="E25" s="34">
        <f t="shared" ref="E25:P25" si="49">SUM(E22:E24)</f>
        <v>0</v>
      </c>
      <c r="F25" s="34">
        <f t="shared" si="49"/>
        <v>0</v>
      </c>
      <c r="G25" s="34">
        <f t="shared" si="49"/>
        <v>0</v>
      </c>
      <c r="H25" s="34">
        <f t="shared" si="49"/>
        <v>0</v>
      </c>
      <c r="I25" s="34">
        <f t="shared" si="49"/>
        <v>0</v>
      </c>
      <c r="J25" s="34">
        <f t="shared" si="49"/>
        <v>0</v>
      </c>
      <c r="K25" s="34">
        <f t="shared" si="49"/>
        <v>0</v>
      </c>
      <c r="L25" s="34">
        <f t="shared" si="49"/>
        <v>0</v>
      </c>
      <c r="M25" s="34">
        <f t="shared" si="49"/>
        <v>0</v>
      </c>
      <c r="N25" s="34">
        <f t="shared" si="49"/>
        <v>0</v>
      </c>
      <c r="O25" s="34">
        <f t="shared" si="49"/>
        <v>0</v>
      </c>
      <c r="P25" s="34">
        <f t="shared" si="49"/>
        <v>100000</v>
      </c>
      <c r="Q25" s="34"/>
      <c r="R25" s="34">
        <f>SUM(R22:R24)</f>
        <v>62500</v>
      </c>
      <c r="S25" s="34">
        <f t="shared" ref="S25:AC25" si="50">SUM(S22:S24)</f>
        <v>62500</v>
      </c>
      <c r="T25" s="34">
        <f t="shared" si="50"/>
        <v>165000</v>
      </c>
      <c r="U25" s="34">
        <f t="shared" si="50"/>
        <v>120000</v>
      </c>
      <c r="V25" s="34">
        <f t="shared" si="50"/>
        <v>120000</v>
      </c>
      <c r="W25" s="34">
        <f t="shared" si="50"/>
        <v>120000</v>
      </c>
      <c r="X25" s="34">
        <f t="shared" si="50"/>
        <v>255000</v>
      </c>
      <c r="Y25" s="34">
        <f t="shared" si="50"/>
        <v>255000</v>
      </c>
      <c r="Z25" s="34">
        <f t="shared" si="50"/>
        <v>255000</v>
      </c>
      <c r="AA25" s="34">
        <f t="shared" si="50"/>
        <v>400000</v>
      </c>
      <c r="AB25" s="34">
        <f t="shared" si="50"/>
        <v>475000</v>
      </c>
      <c r="AC25" s="34">
        <f t="shared" si="50"/>
        <v>525000</v>
      </c>
      <c r="AD25" s="34"/>
      <c r="AE25" s="34">
        <f>SUM(AE22:AE24)</f>
        <v>0</v>
      </c>
      <c r="AF25" s="34">
        <f>SUM(AF22:AF24)</f>
        <v>0</v>
      </c>
      <c r="AG25" s="34">
        <f>SUM(AG22:AG24)</f>
        <v>0</v>
      </c>
      <c r="AH25" s="34">
        <f>SUM(AH22:AH24)</f>
        <v>100000</v>
      </c>
      <c r="AI25" s="34"/>
      <c r="AJ25" s="34">
        <f>SUM(AJ22:AJ24)</f>
        <v>290000</v>
      </c>
      <c r="AK25" s="34">
        <f>SUM(AK22:AK24)</f>
        <v>360000</v>
      </c>
      <c r="AL25" s="34">
        <f>SUM(AL22:AL24)</f>
        <v>765000</v>
      </c>
      <c r="AM25" s="34">
        <f>SUM(AM22:AM24)</f>
        <v>1400000</v>
      </c>
      <c r="AN25" s="34"/>
      <c r="AO25" s="34">
        <f>SUM(AO22:AO24)</f>
        <v>100000</v>
      </c>
      <c r="AP25" s="34">
        <f>SUM(AP22:AP24)</f>
        <v>2815000</v>
      </c>
      <c r="AR25" s="25">
        <f t="shared" si="47"/>
        <v>0</v>
      </c>
      <c r="AS25" s="25">
        <f t="shared" si="48"/>
        <v>0</v>
      </c>
    </row>
    <row r="26" spans="4:45" x14ac:dyDescent="0.2">
      <c r="D26" s="24"/>
      <c r="S26" s="4"/>
      <c r="T26" s="4"/>
      <c r="AR26" s="3"/>
      <c r="AS26" s="3"/>
    </row>
    <row r="27" spans="4:45" x14ac:dyDescent="0.2">
      <c r="D27" s="8" t="s">
        <v>842</v>
      </c>
      <c r="E27" s="34">
        <f t="shared" ref="E27:P27" si="51">+E20+E25</f>
        <v>0</v>
      </c>
      <c r="F27" s="34">
        <f t="shared" si="51"/>
        <v>0</v>
      </c>
      <c r="G27" s="34">
        <f t="shared" si="51"/>
        <v>0</v>
      </c>
      <c r="H27" s="34">
        <f t="shared" si="51"/>
        <v>0</v>
      </c>
      <c r="I27" s="34">
        <f t="shared" si="51"/>
        <v>0</v>
      </c>
      <c r="J27" s="34">
        <f t="shared" si="51"/>
        <v>0</v>
      </c>
      <c r="K27" s="34">
        <f t="shared" si="51"/>
        <v>0</v>
      </c>
      <c r="L27" s="34">
        <f t="shared" si="51"/>
        <v>0</v>
      </c>
      <c r="M27" s="34">
        <f t="shared" si="51"/>
        <v>0</v>
      </c>
      <c r="N27" s="34">
        <f t="shared" si="51"/>
        <v>0</v>
      </c>
      <c r="O27" s="34">
        <f t="shared" si="51"/>
        <v>0</v>
      </c>
      <c r="P27" s="34">
        <f t="shared" si="51"/>
        <v>100000</v>
      </c>
      <c r="Q27" s="34"/>
      <c r="R27" s="34">
        <f t="shared" ref="R27:AC27" si="52">+R20+R25</f>
        <v>62500</v>
      </c>
      <c r="S27" s="34">
        <f t="shared" si="52"/>
        <v>62500</v>
      </c>
      <c r="T27" s="34">
        <f t="shared" si="52"/>
        <v>210000</v>
      </c>
      <c r="U27" s="34">
        <f t="shared" si="52"/>
        <v>160000</v>
      </c>
      <c r="V27" s="34">
        <f t="shared" si="52"/>
        <v>260000</v>
      </c>
      <c r="W27" s="34">
        <f t="shared" si="52"/>
        <v>260000</v>
      </c>
      <c r="X27" s="34">
        <f t="shared" si="52"/>
        <v>390000</v>
      </c>
      <c r="Y27" s="34">
        <f t="shared" si="52"/>
        <v>390000</v>
      </c>
      <c r="Z27" s="34">
        <f t="shared" si="52"/>
        <v>390000</v>
      </c>
      <c r="AA27" s="34">
        <f t="shared" si="52"/>
        <v>530000</v>
      </c>
      <c r="AB27" s="34">
        <f t="shared" si="52"/>
        <v>605000</v>
      </c>
      <c r="AC27" s="34">
        <f t="shared" si="52"/>
        <v>645000</v>
      </c>
      <c r="AD27" s="34"/>
      <c r="AE27" s="34">
        <f>+AE20+AE25</f>
        <v>0</v>
      </c>
      <c r="AF27" s="34">
        <f>+AF20+AF25</f>
        <v>0</v>
      </c>
      <c r="AG27" s="34">
        <f>+AG20+AG25</f>
        <v>0</v>
      </c>
      <c r="AH27" s="34">
        <f>+AH20+AH25</f>
        <v>100000</v>
      </c>
      <c r="AI27" s="34"/>
      <c r="AJ27" s="34">
        <f>+AJ20+AJ25</f>
        <v>335000</v>
      </c>
      <c r="AK27" s="34">
        <f>+AK20+AK25</f>
        <v>680000</v>
      </c>
      <c r="AL27" s="34">
        <f>+AL20+AL25</f>
        <v>1170000</v>
      </c>
      <c r="AM27" s="34">
        <f>+AM20+AM25</f>
        <v>1780000</v>
      </c>
      <c r="AN27" s="34"/>
      <c r="AO27" s="34">
        <f>+AO20+AO25</f>
        <v>100000</v>
      </c>
      <c r="AP27" s="34">
        <f>+AP20+AP25</f>
        <v>3965000</v>
      </c>
      <c r="AR27" s="25">
        <f t="shared" ref="AR27" si="53">SUM(AE27:AH27)-AO27</f>
        <v>0</v>
      </c>
      <c r="AS27" s="25">
        <f t="shared" ref="AS27" si="54">SUM(AJ27:AM27)-AP27</f>
        <v>0</v>
      </c>
    </row>
    <row r="28" spans="4:45" x14ac:dyDescent="0.2">
      <c r="D28" s="24"/>
      <c r="AR28" s="3"/>
      <c r="AS28" s="3"/>
    </row>
    <row r="29" spans="4:45" x14ac:dyDescent="0.2">
      <c r="D29" s="7" t="s">
        <v>63</v>
      </c>
      <c r="E29" s="4">
        <f>+E5+E17</f>
        <v>80791.899999999994</v>
      </c>
      <c r="F29" s="4">
        <f t="shared" ref="F29:P29" si="55">+F5+F17</f>
        <v>26087.5</v>
      </c>
      <c r="G29" s="4">
        <f t="shared" si="55"/>
        <v>37975</v>
      </c>
      <c r="H29" s="4">
        <f t="shared" si="55"/>
        <v>30025</v>
      </c>
      <c r="I29" s="4">
        <f t="shared" si="55"/>
        <v>24950</v>
      </c>
      <c r="J29" s="4">
        <f t="shared" si="55"/>
        <v>13706.25</v>
      </c>
      <c r="K29" s="4">
        <f t="shared" si="55"/>
        <v>15950</v>
      </c>
      <c r="L29" s="4">
        <f t="shared" si="55"/>
        <v>5192.5</v>
      </c>
      <c r="M29" s="4">
        <f t="shared" si="55"/>
        <v>7367.5</v>
      </c>
      <c r="N29" s="4">
        <f t="shared" si="55"/>
        <v>2680</v>
      </c>
      <c r="O29" s="4">
        <f t="shared" si="55"/>
        <v>1930</v>
      </c>
      <c r="P29" s="38">
        <f t="shared" si="55"/>
        <v>1930</v>
      </c>
      <c r="Q29" s="4"/>
      <c r="R29" s="38">
        <f t="shared" ref="R29:AC29" si="56">+R5+R17</f>
        <v>1930</v>
      </c>
      <c r="S29" s="38">
        <f t="shared" si="56"/>
        <v>1930</v>
      </c>
      <c r="T29" s="38">
        <f t="shared" si="56"/>
        <v>1930</v>
      </c>
      <c r="U29" s="38">
        <f t="shared" si="56"/>
        <v>1930</v>
      </c>
      <c r="V29" s="38">
        <f t="shared" si="56"/>
        <v>1930</v>
      </c>
      <c r="W29" s="38">
        <f t="shared" si="56"/>
        <v>1930</v>
      </c>
      <c r="X29" s="38">
        <f t="shared" si="56"/>
        <v>1930</v>
      </c>
      <c r="Y29" s="38">
        <f t="shared" si="56"/>
        <v>0</v>
      </c>
      <c r="Z29" s="38">
        <f t="shared" si="56"/>
        <v>0</v>
      </c>
      <c r="AA29" s="38">
        <f t="shared" si="56"/>
        <v>0</v>
      </c>
      <c r="AB29" s="38">
        <f t="shared" si="56"/>
        <v>0</v>
      </c>
      <c r="AC29" s="38">
        <f t="shared" si="56"/>
        <v>0</v>
      </c>
      <c r="AD29" s="4"/>
      <c r="AE29" s="4">
        <f t="shared" ref="AE29:AE31" si="57">SUM(E29:G29)</f>
        <v>144854.39999999999</v>
      </c>
      <c r="AF29" s="4">
        <f t="shared" ref="AF29:AF31" si="58">SUM(H29:J29)</f>
        <v>68681.25</v>
      </c>
      <c r="AG29" s="4">
        <f t="shared" ref="AG29:AG31" si="59">SUM(K29:M29)</f>
        <v>28510</v>
      </c>
      <c r="AH29" s="4">
        <f t="shared" ref="AH29:AH31" si="60">SUM(N29:P29)</f>
        <v>6540</v>
      </c>
      <c r="AI29" s="4"/>
      <c r="AJ29" s="4">
        <f>SUM(R29:T29)</f>
        <v>5790</v>
      </c>
      <c r="AK29" s="4">
        <f>SUM(U29:W29)</f>
        <v>5790</v>
      </c>
      <c r="AL29" s="4">
        <f>SUM(X29:Z29)</f>
        <v>1930</v>
      </c>
      <c r="AM29" s="4">
        <f>SUM(AA29:AC29)</f>
        <v>0</v>
      </c>
      <c r="AN29" s="4"/>
      <c r="AO29" s="4">
        <f t="shared" ref="AO29:AO31" si="61">SUM(E29:P29)</f>
        <v>248585.65</v>
      </c>
      <c r="AP29" s="4">
        <f>SUM(R29:AC29)</f>
        <v>13510</v>
      </c>
      <c r="AQ29" s="4"/>
      <c r="AR29" s="25">
        <f t="shared" ref="AR29:AR32" si="62">SUM(AE29:AH29)-AO29</f>
        <v>0</v>
      </c>
      <c r="AS29" s="25">
        <f t="shared" ref="AS29:AS32" si="63">SUM(AJ29:AM29)-AP29</f>
        <v>0</v>
      </c>
    </row>
    <row r="30" spans="4:45" x14ac:dyDescent="0.2">
      <c r="D30" s="7" t="s">
        <v>87</v>
      </c>
      <c r="E30" s="4">
        <f t="shared" ref="E30:P30" si="64">+E6+E18</f>
        <v>162319.6</v>
      </c>
      <c r="F30" s="4">
        <f t="shared" si="64"/>
        <v>101637.6</v>
      </c>
      <c r="G30" s="4">
        <f t="shared" si="64"/>
        <v>110984.5</v>
      </c>
      <c r="H30" s="4">
        <f t="shared" si="64"/>
        <v>145135.20000000001</v>
      </c>
      <c r="I30" s="4">
        <f t="shared" si="64"/>
        <v>165203.6</v>
      </c>
      <c r="J30" s="4">
        <f t="shared" si="64"/>
        <v>39277.599999999999</v>
      </c>
      <c r="K30" s="4">
        <f t="shared" si="64"/>
        <v>166597.6</v>
      </c>
      <c r="L30" s="4">
        <f t="shared" si="64"/>
        <v>57512</v>
      </c>
      <c r="M30" s="4">
        <f t="shared" si="64"/>
        <v>57500</v>
      </c>
      <c r="N30" s="4">
        <f t="shared" si="64"/>
        <v>163189.5</v>
      </c>
      <c r="O30" s="4">
        <f t="shared" si="64"/>
        <v>233341.5</v>
      </c>
      <c r="P30" s="38">
        <f t="shared" si="64"/>
        <v>138214</v>
      </c>
      <c r="Q30" s="4"/>
      <c r="R30" s="38">
        <f t="shared" ref="R30:AC30" si="65">+R6+R18</f>
        <v>122607</v>
      </c>
      <c r="S30" s="38">
        <f t="shared" si="65"/>
        <v>216000</v>
      </c>
      <c r="T30" s="38">
        <f t="shared" si="65"/>
        <v>156000</v>
      </c>
      <c r="U30" s="38">
        <f t="shared" si="65"/>
        <v>156000</v>
      </c>
      <c r="V30" s="38">
        <f t="shared" si="65"/>
        <v>110000</v>
      </c>
      <c r="W30" s="38">
        <f t="shared" si="65"/>
        <v>110000</v>
      </c>
      <c r="X30" s="38">
        <f t="shared" si="65"/>
        <v>110000</v>
      </c>
      <c r="Y30" s="38">
        <f t="shared" si="65"/>
        <v>110000</v>
      </c>
      <c r="Z30" s="38">
        <f t="shared" si="65"/>
        <v>110000</v>
      </c>
      <c r="AA30" s="38">
        <f t="shared" si="65"/>
        <v>110000</v>
      </c>
      <c r="AB30" s="38">
        <f t="shared" si="65"/>
        <v>110000</v>
      </c>
      <c r="AC30" s="38">
        <f t="shared" si="65"/>
        <v>100000</v>
      </c>
      <c r="AD30" s="4"/>
      <c r="AE30" s="4">
        <f t="shared" si="57"/>
        <v>374941.7</v>
      </c>
      <c r="AF30" s="4">
        <f t="shared" si="58"/>
        <v>349616.4</v>
      </c>
      <c r="AG30" s="4">
        <f t="shared" si="59"/>
        <v>281609.59999999998</v>
      </c>
      <c r="AH30" s="4">
        <f t="shared" si="60"/>
        <v>534745</v>
      </c>
      <c r="AI30" s="4"/>
      <c r="AJ30" s="4">
        <f>SUM(R30:T30)</f>
        <v>494607</v>
      </c>
      <c r="AK30" s="4">
        <f>SUM(U30:W30)</f>
        <v>376000</v>
      </c>
      <c r="AL30" s="4">
        <f>SUM(X30:Z30)</f>
        <v>330000</v>
      </c>
      <c r="AM30" s="4">
        <f>SUM(AA30:AC30)</f>
        <v>320000</v>
      </c>
      <c r="AN30" s="4"/>
      <c r="AO30" s="4">
        <f t="shared" si="61"/>
        <v>1540912.7</v>
      </c>
      <c r="AP30" s="4">
        <f>SUM(R30:AC30)</f>
        <v>1520607</v>
      </c>
      <c r="AQ30" s="4"/>
      <c r="AR30" s="25">
        <f t="shared" si="62"/>
        <v>0</v>
      </c>
      <c r="AS30" s="25">
        <f t="shared" si="63"/>
        <v>0</v>
      </c>
    </row>
    <row r="31" spans="4:45" x14ac:dyDescent="0.2">
      <c r="D31" s="7" t="s">
        <v>549</v>
      </c>
      <c r="E31" s="4">
        <f t="shared" ref="E31:P31" si="66">+E7+E19</f>
        <v>33027.360000000001</v>
      </c>
      <c r="F31" s="4">
        <f t="shared" si="66"/>
        <v>175934</v>
      </c>
      <c r="G31" s="4">
        <f t="shared" si="66"/>
        <v>0</v>
      </c>
      <c r="H31" s="4">
        <f t="shared" si="66"/>
        <v>495</v>
      </c>
      <c r="I31" s="4">
        <f t="shared" si="66"/>
        <v>2628.8</v>
      </c>
      <c r="J31" s="4">
        <f t="shared" si="66"/>
        <v>22769.05</v>
      </c>
      <c r="K31" s="4">
        <f t="shared" si="66"/>
        <v>73633.399999999994</v>
      </c>
      <c r="L31" s="4">
        <f t="shared" si="66"/>
        <v>41456.5</v>
      </c>
      <c r="M31" s="4">
        <f t="shared" si="66"/>
        <v>22110</v>
      </c>
      <c r="N31" s="4">
        <f t="shared" si="66"/>
        <v>22408.5</v>
      </c>
      <c r="O31" s="4">
        <f t="shared" si="66"/>
        <v>8211</v>
      </c>
      <c r="P31" s="38">
        <f t="shared" si="66"/>
        <v>195011</v>
      </c>
      <c r="Q31" s="4"/>
      <c r="R31" s="38">
        <f t="shared" ref="R31:AC31" si="67">+R7+R19</f>
        <v>2200</v>
      </c>
      <c r="S31" s="38">
        <f t="shared" si="67"/>
        <v>52230</v>
      </c>
      <c r="T31" s="38">
        <f t="shared" si="67"/>
        <v>65420</v>
      </c>
      <c r="U31" s="38">
        <f t="shared" si="67"/>
        <v>40000</v>
      </c>
      <c r="V31" s="38">
        <f t="shared" si="67"/>
        <v>40000</v>
      </c>
      <c r="W31" s="38">
        <f t="shared" si="67"/>
        <v>40000</v>
      </c>
      <c r="X31" s="38">
        <f t="shared" si="67"/>
        <v>35000</v>
      </c>
      <c r="Y31" s="38">
        <f t="shared" si="67"/>
        <v>35000</v>
      </c>
      <c r="Z31" s="38">
        <f t="shared" si="67"/>
        <v>35000</v>
      </c>
      <c r="AA31" s="38">
        <f t="shared" si="67"/>
        <v>30000</v>
      </c>
      <c r="AB31" s="38">
        <f t="shared" si="67"/>
        <v>30000</v>
      </c>
      <c r="AC31" s="38">
        <f t="shared" si="67"/>
        <v>30000</v>
      </c>
      <c r="AD31" s="4"/>
      <c r="AE31" s="4">
        <f t="shared" si="57"/>
        <v>208961.36</v>
      </c>
      <c r="AF31" s="4">
        <f t="shared" si="58"/>
        <v>25892.85</v>
      </c>
      <c r="AG31" s="4">
        <f t="shared" si="59"/>
        <v>137199.9</v>
      </c>
      <c r="AH31" s="4">
        <f t="shared" si="60"/>
        <v>225630.5</v>
      </c>
      <c r="AI31" s="4"/>
      <c r="AJ31" s="4">
        <f>SUM(R31:T31)</f>
        <v>119850</v>
      </c>
      <c r="AK31" s="4">
        <f>SUM(U31:W31)</f>
        <v>120000</v>
      </c>
      <c r="AL31" s="4">
        <f>SUM(X31:Z31)</f>
        <v>105000</v>
      </c>
      <c r="AM31" s="4">
        <f>SUM(AA31:AC31)</f>
        <v>90000</v>
      </c>
      <c r="AN31" s="4"/>
      <c r="AO31" s="4">
        <f t="shared" si="61"/>
        <v>597684.61</v>
      </c>
      <c r="AP31" s="4">
        <f>SUM(R31:AC31)</f>
        <v>434850</v>
      </c>
      <c r="AQ31" s="4"/>
      <c r="AR31" s="25">
        <f t="shared" si="62"/>
        <v>0</v>
      </c>
      <c r="AS31" s="25">
        <f t="shared" si="63"/>
        <v>0</v>
      </c>
    </row>
    <row r="32" spans="4:45" x14ac:dyDescent="0.2">
      <c r="D32" s="8" t="s">
        <v>84</v>
      </c>
      <c r="E32" s="34">
        <f t="shared" ref="E32:P32" si="68">SUM(E29:E31)</f>
        <v>276138.86</v>
      </c>
      <c r="F32" s="34">
        <f t="shared" si="68"/>
        <v>303659.09999999998</v>
      </c>
      <c r="G32" s="34">
        <f t="shared" si="68"/>
        <v>148959.5</v>
      </c>
      <c r="H32" s="34">
        <f t="shared" si="68"/>
        <v>175655.2</v>
      </c>
      <c r="I32" s="34">
        <f t="shared" si="68"/>
        <v>192782.4</v>
      </c>
      <c r="J32" s="34">
        <f t="shared" si="68"/>
        <v>75752.899999999994</v>
      </c>
      <c r="K32" s="34">
        <f t="shared" si="68"/>
        <v>256181</v>
      </c>
      <c r="L32" s="34">
        <f t="shared" si="68"/>
        <v>104161</v>
      </c>
      <c r="M32" s="34">
        <f t="shared" si="68"/>
        <v>86977.5</v>
      </c>
      <c r="N32" s="34">
        <f t="shared" si="68"/>
        <v>188278</v>
      </c>
      <c r="O32" s="34">
        <f t="shared" si="68"/>
        <v>243482.5</v>
      </c>
      <c r="P32" s="34">
        <f t="shared" si="68"/>
        <v>335155</v>
      </c>
      <c r="Q32" s="34"/>
      <c r="R32" s="34">
        <f>SUM(R29:R31)</f>
        <v>126737</v>
      </c>
      <c r="S32" s="34">
        <f t="shared" ref="S32:AC32" si="69">SUM(S29:S31)</f>
        <v>270160</v>
      </c>
      <c r="T32" s="34">
        <f t="shared" si="69"/>
        <v>223350</v>
      </c>
      <c r="U32" s="34">
        <f t="shared" si="69"/>
        <v>197930</v>
      </c>
      <c r="V32" s="34">
        <f t="shared" si="69"/>
        <v>151930</v>
      </c>
      <c r="W32" s="34">
        <f t="shared" si="69"/>
        <v>151930</v>
      </c>
      <c r="X32" s="34">
        <f t="shared" si="69"/>
        <v>146930</v>
      </c>
      <c r="Y32" s="34">
        <f t="shared" si="69"/>
        <v>145000</v>
      </c>
      <c r="Z32" s="34">
        <f t="shared" si="69"/>
        <v>145000</v>
      </c>
      <c r="AA32" s="34">
        <f t="shared" si="69"/>
        <v>140000</v>
      </c>
      <c r="AB32" s="34">
        <f t="shared" si="69"/>
        <v>140000</v>
      </c>
      <c r="AC32" s="34">
        <f t="shared" si="69"/>
        <v>130000</v>
      </c>
      <c r="AD32" s="34"/>
      <c r="AE32" s="34">
        <f>SUM(AE29:AE31)</f>
        <v>728757.46</v>
      </c>
      <c r="AF32" s="34">
        <f>SUM(AF29:AF31)</f>
        <v>444190.5</v>
      </c>
      <c r="AG32" s="34">
        <f>SUM(AG29:AG31)</f>
        <v>447319.5</v>
      </c>
      <c r="AH32" s="34">
        <f>SUM(AH29:AH31)</f>
        <v>766915.5</v>
      </c>
      <c r="AI32" s="34"/>
      <c r="AJ32" s="34">
        <f>SUM(AJ29:AJ31)</f>
        <v>620247</v>
      </c>
      <c r="AK32" s="34">
        <f>SUM(AK29:AK31)</f>
        <v>501790</v>
      </c>
      <c r="AL32" s="34">
        <f>SUM(AL29:AL31)</f>
        <v>436930</v>
      </c>
      <c r="AM32" s="34">
        <f>SUM(AM29:AM31)</f>
        <v>410000</v>
      </c>
      <c r="AN32" s="34"/>
      <c r="AO32" s="34">
        <f>SUM(AO29:AO31)</f>
        <v>2387182.96</v>
      </c>
      <c r="AP32" s="34">
        <f>SUM(AP29:AP31)</f>
        <v>1968967</v>
      </c>
      <c r="AR32" s="25">
        <f t="shared" si="62"/>
        <v>0</v>
      </c>
      <c r="AS32" s="25">
        <f t="shared" si="63"/>
        <v>0</v>
      </c>
    </row>
    <row r="33" spans="4:45" x14ac:dyDescent="0.2">
      <c r="D33" s="24"/>
      <c r="AR33" s="3"/>
      <c r="AS33" s="3"/>
    </row>
    <row r="34" spans="4:45" x14ac:dyDescent="0.2">
      <c r="D34" s="7" t="s">
        <v>63</v>
      </c>
      <c r="E34" s="4">
        <f>+E10+E22</f>
        <v>0</v>
      </c>
      <c r="F34" s="4">
        <f t="shared" ref="F34:P34" si="70">+F10+F22</f>
        <v>50000</v>
      </c>
      <c r="G34" s="4">
        <f t="shared" si="70"/>
        <v>126292.98</v>
      </c>
      <c r="H34" s="4">
        <f t="shared" si="70"/>
        <v>11377.5</v>
      </c>
      <c r="I34" s="4">
        <f t="shared" si="70"/>
        <v>0</v>
      </c>
      <c r="J34" s="4">
        <f t="shared" si="70"/>
        <v>30327.5</v>
      </c>
      <c r="K34" s="4">
        <f t="shared" si="70"/>
        <v>0</v>
      </c>
      <c r="L34" s="4">
        <f t="shared" si="70"/>
        <v>0</v>
      </c>
      <c r="M34" s="4">
        <f t="shared" si="70"/>
        <v>0</v>
      </c>
      <c r="N34" s="4">
        <f t="shared" si="70"/>
        <v>0</v>
      </c>
      <c r="O34" s="4">
        <f t="shared" si="70"/>
        <v>103250</v>
      </c>
      <c r="P34" s="38">
        <f t="shared" si="70"/>
        <v>203000</v>
      </c>
      <c r="Q34" s="4"/>
      <c r="R34" s="38">
        <f t="shared" ref="R34:AC34" si="71">+R10+R22</f>
        <v>43250</v>
      </c>
      <c r="S34" s="38">
        <f t="shared" si="71"/>
        <v>3250</v>
      </c>
      <c r="T34" s="38">
        <f t="shared" si="71"/>
        <v>144250</v>
      </c>
      <c r="U34" s="38">
        <f t="shared" si="71"/>
        <v>154250</v>
      </c>
      <c r="V34" s="38">
        <f t="shared" si="71"/>
        <v>91000</v>
      </c>
      <c r="W34" s="38">
        <f t="shared" si="71"/>
        <v>91000</v>
      </c>
      <c r="X34" s="38">
        <f t="shared" si="71"/>
        <v>166000</v>
      </c>
      <c r="Y34" s="38">
        <f t="shared" si="71"/>
        <v>190000</v>
      </c>
      <c r="Z34" s="38">
        <f t="shared" si="71"/>
        <v>100000</v>
      </c>
      <c r="AA34" s="38">
        <f t="shared" si="71"/>
        <v>125000</v>
      </c>
      <c r="AB34" s="38">
        <f t="shared" si="71"/>
        <v>200000</v>
      </c>
      <c r="AC34" s="38">
        <f t="shared" si="71"/>
        <v>225000</v>
      </c>
      <c r="AD34" s="4"/>
      <c r="AE34" s="4">
        <f t="shared" ref="AE34:AE36" si="72">SUM(E34:G34)</f>
        <v>176292.97999999998</v>
      </c>
      <c r="AF34" s="4">
        <f t="shared" ref="AF34:AF36" si="73">SUM(H34:J34)</f>
        <v>41705</v>
      </c>
      <c r="AG34" s="4">
        <f t="shared" ref="AG34:AG36" si="74">SUM(K34:M34)</f>
        <v>0</v>
      </c>
      <c r="AH34" s="4">
        <f t="shared" ref="AH34:AH36" si="75">SUM(N34:P34)</f>
        <v>306250</v>
      </c>
      <c r="AI34" s="4"/>
      <c r="AJ34" s="4">
        <f>SUM(R34:T34)</f>
        <v>190750</v>
      </c>
      <c r="AK34" s="4">
        <f>SUM(U34:W34)</f>
        <v>336250</v>
      </c>
      <c r="AL34" s="4">
        <f>SUM(X34:Z34)</f>
        <v>456000</v>
      </c>
      <c r="AM34" s="4">
        <f>SUM(AA34:AC34)</f>
        <v>550000</v>
      </c>
      <c r="AN34" s="4"/>
      <c r="AO34" s="4">
        <f t="shared" ref="AO34:AO36" si="76">SUM(E34:P34)</f>
        <v>524247.98</v>
      </c>
      <c r="AP34" s="4">
        <f>SUM(R34:AC34)</f>
        <v>1533000</v>
      </c>
      <c r="AQ34" s="4"/>
      <c r="AR34" s="25">
        <f t="shared" ref="AR34:AR37" si="77">SUM(AE34:AH34)-AO34</f>
        <v>0</v>
      </c>
      <c r="AS34" s="25">
        <f t="shared" ref="AS34:AS37" si="78">SUM(AJ34:AM34)-AP34</f>
        <v>0</v>
      </c>
    </row>
    <row r="35" spans="4:45" x14ac:dyDescent="0.2">
      <c r="D35" s="7" t="s">
        <v>87</v>
      </c>
      <c r="E35" s="4">
        <f t="shared" ref="E35:P35" si="79">+E11+E23</f>
        <v>0</v>
      </c>
      <c r="F35" s="4">
        <f t="shared" si="79"/>
        <v>0</v>
      </c>
      <c r="G35" s="4">
        <f t="shared" si="79"/>
        <v>0</v>
      </c>
      <c r="H35" s="4">
        <f t="shared" si="79"/>
        <v>0</v>
      </c>
      <c r="I35" s="4">
        <f t="shared" si="79"/>
        <v>0</v>
      </c>
      <c r="J35" s="4">
        <f t="shared" si="79"/>
        <v>9987</v>
      </c>
      <c r="K35" s="4">
        <f t="shared" si="79"/>
        <v>0</v>
      </c>
      <c r="L35" s="4">
        <f t="shared" si="79"/>
        <v>39277.599999999999</v>
      </c>
      <c r="M35" s="4">
        <f t="shared" si="79"/>
        <v>0</v>
      </c>
      <c r="N35" s="4">
        <f t="shared" si="79"/>
        <v>64055.199999999997</v>
      </c>
      <c r="O35" s="4">
        <f t="shared" si="79"/>
        <v>53777.599999999999</v>
      </c>
      <c r="P35" s="38">
        <f t="shared" si="79"/>
        <v>269777.59999999998</v>
      </c>
      <c r="Q35" s="4"/>
      <c r="R35" s="38">
        <f t="shared" ref="R35:AC35" si="80">+R11+R23</f>
        <v>89277.6</v>
      </c>
      <c r="S35" s="38">
        <f t="shared" si="80"/>
        <v>89277.6</v>
      </c>
      <c r="T35" s="38">
        <f t="shared" si="80"/>
        <v>189277.6</v>
      </c>
      <c r="U35" s="38">
        <f t="shared" si="80"/>
        <v>194277.6</v>
      </c>
      <c r="V35" s="38">
        <f t="shared" si="80"/>
        <v>139277.6</v>
      </c>
      <c r="W35" s="38">
        <f t="shared" si="80"/>
        <v>139277.6</v>
      </c>
      <c r="X35" s="38">
        <f t="shared" si="80"/>
        <v>189277.6</v>
      </c>
      <c r="Y35" s="38">
        <f t="shared" si="80"/>
        <v>164500</v>
      </c>
      <c r="Z35" s="38">
        <f t="shared" si="80"/>
        <v>150000</v>
      </c>
      <c r="AA35" s="38">
        <f t="shared" si="80"/>
        <v>250000</v>
      </c>
      <c r="AB35" s="38">
        <f t="shared" si="80"/>
        <v>250000</v>
      </c>
      <c r="AC35" s="38">
        <f t="shared" si="80"/>
        <v>250000</v>
      </c>
      <c r="AD35" s="4"/>
      <c r="AE35" s="4">
        <f t="shared" si="72"/>
        <v>0</v>
      </c>
      <c r="AF35" s="4">
        <f t="shared" si="73"/>
        <v>9987</v>
      </c>
      <c r="AG35" s="4">
        <f t="shared" si="74"/>
        <v>39277.599999999999</v>
      </c>
      <c r="AH35" s="4">
        <f t="shared" si="75"/>
        <v>387610.39999999997</v>
      </c>
      <c r="AI35" s="4"/>
      <c r="AJ35" s="4">
        <f>SUM(R35:T35)</f>
        <v>367832.80000000005</v>
      </c>
      <c r="AK35" s="4">
        <f>SUM(U35:W35)</f>
        <v>472832.80000000005</v>
      </c>
      <c r="AL35" s="4">
        <f>SUM(X35:Z35)</f>
        <v>503777.6</v>
      </c>
      <c r="AM35" s="4">
        <f>SUM(AA35:AC35)</f>
        <v>750000</v>
      </c>
      <c r="AN35" s="4"/>
      <c r="AO35" s="4">
        <f t="shared" si="76"/>
        <v>436875</v>
      </c>
      <c r="AP35" s="4">
        <f>SUM(R35:AC35)</f>
        <v>2094443.2</v>
      </c>
      <c r="AQ35" s="4"/>
      <c r="AR35" s="25">
        <f t="shared" si="77"/>
        <v>0</v>
      </c>
      <c r="AS35" s="25">
        <f t="shared" si="78"/>
        <v>0</v>
      </c>
    </row>
    <row r="36" spans="4:45" x14ac:dyDescent="0.2">
      <c r="D36" s="7" t="s">
        <v>549</v>
      </c>
      <c r="E36" s="4">
        <f t="shared" ref="E36:P36" si="81">+E12+E24</f>
        <v>0</v>
      </c>
      <c r="F36" s="4">
        <f t="shared" si="81"/>
        <v>0</v>
      </c>
      <c r="G36" s="4">
        <f t="shared" si="81"/>
        <v>0</v>
      </c>
      <c r="H36" s="4">
        <f t="shared" si="81"/>
        <v>25000</v>
      </c>
      <c r="I36" s="4">
        <f t="shared" si="81"/>
        <v>0</v>
      </c>
      <c r="J36" s="4">
        <f t="shared" si="81"/>
        <v>0</v>
      </c>
      <c r="K36" s="4">
        <f t="shared" si="81"/>
        <v>69000</v>
      </c>
      <c r="L36" s="4">
        <f t="shared" si="81"/>
        <v>42000</v>
      </c>
      <c r="M36" s="4">
        <f t="shared" si="81"/>
        <v>22000</v>
      </c>
      <c r="N36" s="4">
        <f t="shared" si="81"/>
        <v>22000</v>
      </c>
      <c r="O36" s="4">
        <f t="shared" si="81"/>
        <v>24000</v>
      </c>
      <c r="P36" s="38">
        <f t="shared" si="81"/>
        <v>40000</v>
      </c>
      <c r="Q36" s="4"/>
      <c r="R36" s="38">
        <f t="shared" ref="R36:AC36" si="82">+R12+R24</f>
        <v>30500</v>
      </c>
      <c r="S36" s="38">
        <f t="shared" si="82"/>
        <v>30500</v>
      </c>
      <c r="T36" s="38">
        <f t="shared" si="82"/>
        <v>33000</v>
      </c>
      <c r="U36" s="38">
        <f t="shared" si="82"/>
        <v>38000</v>
      </c>
      <c r="V36" s="38">
        <f t="shared" si="82"/>
        <v>38000</v>
      </c>
      <c r="W36" s="38">
        <f t="shared" si="82"/>
        <v>38000</v>
      </c>
      <c r="X36" s="38">
        <f t="shared" si="82"/>
        <v>48000</v>
      </c>
      <c r="Y36" s="38">
        <f t="shared" si="82"/>
        <v>36000</v>
      </c>
      <c r="Z36" s="38">
        <f t="shared" si="82"/>
        <v>36000</v>
      </c>
      <c r="AA36" s="38">
        <f t="shared" si="82"/>
        <v>56000</v>
      </c>
      <c r="AB36" s="38">
        <f t="shared" si="82"/>
        <v>56000</v>
      </c>
      <c r="AC36" s="38">
        <f t="shared" si="82"/>
        <v>75000</v>
      </c>
      <c r="AD36" s="4"/>
      <c r="AE36" s="4">
        <f t="shared" si="72"/>
        <v>0</v>
      </c>
      <c r="AF36" s="4">
        <f t="shared" si="73"/>
        <v>25000</v>
      </c>
      <c r="AG36" s="4">
        <f t="shared" si="74"/>
        <v>133000</v>
      </c>
      <c r="AH36" s="4">
        <f t="shared" si="75"/>
        <v>86000</v>
      </c>
      <c r="AI36" s="4"/>
      <c r="AJ36" s="4">
        <f>SUM(R36:T36)</f>
        <v>94000</v>
      </c>
      <c r="AK36" s="4">
        <f>SUM(U36:W36)</f>
        <v>114000</v>
      </c>
      <c r="AL36" s="4">
        <f>SUM(X36:Z36)</f>
        <v>120000</v>
      </c>
      <c r="AM36" s="4">
        <f>SUM(AA36:AC36)</f>
        <v>187000</v>
      </c>
      <c r="AN36" s="4"/>
      <c r="AO36" s="4">
        <f t="shared" si="76"/>
        <v>244000</v>
      </c>
      <c r="AP36" s="4">
        <f>SUM(R36:AC36)</f>
        <v>515000</v>
      </c>
      <c r="AQ36" s="4"/>
      <c r="AR36" s="25">
        <f t="shared" si="77"/>
        <v>0</v>
      </c>
      <c r="AS36" s="25">
        <f t="shared" si="78"/>
        <v>0</v>
      </c>
    </row>
    <row r="37" spans="4:45" x14ac:dyDescent="0.2">
      <c r="D37" s="8" t="s">
        <v>83</v>
      </c>
      <c r="E37" s="34">
        <f t="shared" ref="E37:P37" si="83">SUM(E34:E36)</f>
        <v>0</v>
      </c>
      <c r="F37" s="34">
        <f t="shared" si="83"/>
        <v>50000</v>
      </c>
      <c r="G37" s="34">
        <f t="shared" si="83"/>
        <v>126292.98</v>
      </c>
      <c r="H37" s="34">
        <f t="shared" si="83"/>
        <v>36377.5</v>
      </c>
      <c r="I37" s="34">
        <f t="shared" si="83"/>
        <v>0</v>
      </c>
      <c r="J37" s="34">
        <f t="shared" si="83"/>
        <v>40314.5</v>
      </c>
      <c r="K37" s="34">
        <f t="shared" si="83"/>
        <v>69000</v>
      </c>
      <c r="L37" s="34">
        <f t="shared" si="83"/>
        <v>81277.600000000006</v>
      </c>
      <c r="M37" s="34">
        <f t="shared" si="83"/>
        <v>22000</v>
      </c>
      <c r="N37" s="34">
        <f t="shared" si="83"/>
        <v>86055.2</v>
      </c>
      <c r="O37" s="34">
        <f t="shared" si="83"/>
        <v>181027.6</v>
      </c>
      <c r="P37" s="34">
        <f t="shared" si="83"/>
        <v>512777.6</v>
      </c>
      <c r="Q37" s="34"/>
      <c r="R37" s="34">
        <f>SUM(R34:R36)</f>
        <v>163027.6</v>
      </c>
      <c r="S37" s="34">
        <f t="shared" ref="S37:AC37" si="84">SUM(S34:S36)</f>
        <v>123027.6</v>
      </c>
      <c r="T37" s="34">
        <f t="shared" si="84"/>
        <v>366527.6</v>
      </c>
      <c r="U37" s="34">
        <f t="shared" si="84"/>
        <v>386527.6</v>
      </c>
      <c r="V37" s="34">
        <f t="shared" si="84"/>
        <v>268277.59999999998</v>
      </c>
      <c r="W37" s="34">
        <f t="shared" si="84"/>
        <v>268277.59999999998</v>
      </c>
      <c r="X37" s="34">
        <f t="shared" si="84"/>
        <v>403277.6</v>
      </c>
      <c r="Y37" s="34">
        <f t="shared" si="84"/>
        <v>390500</v>
      </c>
      <c r="Z37" s="34">
        <f t="shared" si="84"/>
        <v>286000</v>
      </c>
      <c r="AA37" s="34">
        <f t="shared" si="84"/>
        <v>431000</v>
      </c>
      <c r="AB37" s="34">
        <f t="shared" si="84"/>
        <v>506000</v>
      </c>
      <c r="AC37" s="34">
        <f t="shared" si="84"/>
        <v>550000</v>
      </c>
      <c r="AD37" s="34"/>
      <c r="AE37" s="34">
        <f>SUM(AE34:AE36)</f>
        <v>176292.97999999998</v>
      </c>
      <c r="AF37" s="34">
        <f>SUM(AF34:AF36)</f>
        <v>76692</v>
      </c>
      <c r="AG37" s="34">
        <f>SUM(AG34:AG36)</f>
        <v>172277.6</v>
      </c>
      <c r="AH37" s="34">
        <f>SUM(AH34:AH36)</f>
        <v>779860.39999999991</v>
      </c>
      <c r="AI37" s="34"/>
      <c r="AJ37" s="34">
        <f>SUM(AJ34:AJ36)</f>
        <v>652582.80000000005</v>
      </c>
      <c r="AK37" s="34">
        <f>SUM(AK34:AK36)</f>
        <v>923082.8</v>
      </c>
      <c r="AL37" s="34">
        <f>SUM(AL34:AL36)</f>
        <v>1079777.6000000001</v>
      </c>
      <c r="AM37" s="34">
        <f>SUM(AM34:AM36)</f>
        <v>1487000</v>
      </c>
      <c r="AN37" s="34"/>
      <c r="AO37" s="34">
        <f>SUM(AO34:AO36)</f>
        <v>1205122.98</v>
      </c>
      <c r="AP37" s="34">
        <f>SUM(AP34:AP36)</f>
        <v>4142443.2</v>
      </c>
      <c r="AR37" s="25">
        <f t="shared" si="77"/>
        <v>0</v>
      </c>
      <c r="AS37" s="25">
        <f t="shared" si="78"/>
        <v>0</v>
      </c>
    </row>
    <row r="38" spans="4:45" x14ac:dyDescent="0.2">
      <c r="D38" s="24"/>
      <c r="AR38" s="3"/>
      <c r="AS38" s="3"/>
    </row>
    <row r="39" spans="4:45" x14ac:dyDescent="0.2">
      <c r="D39" s="8" t="s">
        <v>247</v>
      </c>
      <c r="E39" s="34">
        <f t="shared" ref="E39:P39" si="85">+E32+E37</f>
        <v>276138.86</v>
      </c>
      <c r="F39" s="34">
        <f t="shared" si="85"/>
        <v>353659.1</v>
      </c>
      <c r="G39" s="34">
        <f t="shared" si="85"/>
        <v>275252.47999999998</v>
      </c>
      <c r="H39" s="34">
        <f t="shared" si="85"/>
        <v>212032.7</v>
      </c>
      <c r="I39" s="34">
        <f t="shared" si="85"/>
        <v>192782.4</v>
      </c>
      <c r="J39" s="34">
        <f t="shared" si="85"/>
        <v>116067.4</v>
      </c>
      <c r="K39" s="34">
        <f t="shared" si="85"/>
        <v>325181</v>
      </c>
      <c r="L39" s="34">
        <f t="shared" si="85"/>
        <v>185438.6</v>
      </c>
      <c r="M39" s="34">
        <f t="shared" si="85"/>
        <v>108977.5</v>
      </c>
      <c r="N39" s="34">
        <f t="shared" si="85"/>
        <v>274333.2</v>
      </c>
      <c r="O39" s="34">
        <f t="shared" si="85"/>
        <v>424510.1</v>
      </c>
      <c r="P39" s="34">
        <f t="shared" si="85"/>
        <v>847932.6</v>
      </c>
      <c r="Q39" s="34"/>
      <c r="R39" s="34">
        <f>+R32+R37</f>
        <v>289764.59999999998</v>
      </c>
      <c r="S39" s="34">
        <f t="shared" ref="S39:AC39" si="86">+S32+S37</f>
        <v>393187.6</v>
      </c>
      <c r="T39" s="34">
        <f t="shared" si="86"/>
        <v>589877.6</v>
      </c>
      <c r="U39" s="34">
        <f t="shared" si="86"/>
        <v>584457.6</v>
      </c>
      <c r="V39" s="34">
        <f t="shared" si="86"/>
        <v>420207.6</v>
      </c>
      <c r="W39" s="34">
        <f t="shared" si="86"/>
        <v>420207.6</v>
      </c>
      <c r="X39" s="34">
        <f t="shared" si="86"/>
        <v>550207.6</v>
      </c>
      <c r="Y39" s="34">
        <f t="shared" si="86"/>
        <v>535500</v>
      </c>
      <c r="Z39" s="34">
        <f t="shared" si="86"/>
        <v>431000</v>
      </c>
      <c r="AA39" s="34">
        <f t="shared" si="86"/>
        <v>571000</v>
      </c>
      <c r="AB39" s="34">
        <f t="shared" si="86"/>
        <v>646000</v>
      </c>
      <c r="AC39" s="34">
        <f t="shared" si="86"/>
        <v>680000</v>
      </c>
      <c r="AD39" s="34"/>
      <c r="AE39" s="34">
        <f>+AE32+AE37</f>
        <v>905050.44</v>
      </c>
      <c r="AF39" s="34">
        <f>+AF32+AF37</f>
        <v>520882.5</v>
      </c>
      <c r="AG39" s="34">
        <f>+AG32+AG37</f>
        <v>619597.1</v>
      </c>
      <c r="AH39" s="34">
        <f>+AH32+AH37</f>
        <v>1546775.9</v>
      </c>
      <c r="AI39" s="34"/>
      <c r="AJ39" s="34">
        <f>+AJ32+AJ37</f>
        <v>1272829.8</v>
      </c>
      <c r="AK39" s="34">
        <f>+AK32+AK37</f>
        <v>1424872.8</v>
      </c>
      <c r="AL39" s="34">
        <f>+AL32+AL37</f>
        <v>1516707.6</v>
      </c>
      <c r="AM39" s="34">
        <f>+AM32+AM37</f>
        <v>1897000</v>
      </c>
      <c r="AN39" s="34"/>
      <c r="AO39" s="34">
        <f>+AO32+AO37</f>
        <v>3592305.94</v>
      </c>
      <c r="AP39" s="34">
        <f>+AP32+AP37</f>
        <v>6111410.2000000002</v>
      </c>
      <c r="AR39" s="25">
        <f t="shared" ref="AR39" si="87">SUM(AE39:AH39)-AO39</f>
        <v>0</v>
      </c>
      <c r="AS39" s="25">
        <f t="shared" ref="AS39" si="88">SUM(AJ39:AM39)-AP39</f>
        <v>0</v>
      </c>
    </row>
    <row r="41" spans="4:45" x14ac:dyDescent="0.2">
      <c r="D41" s="8" t="s">
        <v>84</v>
      </c>
    </row>
    <row r="42" spans="4:45" x14ac:dyDescent="0.2">
      <c r="D42" s="7" t="s">
        <v>63</v>
      </c>
      <c r="E42" s="40">
        <f>+E29/E$32</f>
        <v>0.29257707517152781</v>
      </c>
      <c r="F42" s="40">
        <f t="shared" ref="F42:P42" si="89">+F29/F$32</f>
        <v>8.5910483170107535E-2</v>
      </c>
      <c r="G42" s="40">
        <f t="shared" si="89"/>
        <v>0.25493506624283779</v>
      </c>
      <c r="H42" s="40">
        <f t="shared" si="89"/>
        <v>0.17093146118076777</v>
      </c>
      <c r="I42" s="40">
        <f t="shared" si="89"/>
        <v>0.12942052801500553</v>
      </c>
      <c r="J42" s="40">
        <f t="shared" si="89"/>
        <v>0.1809336672259412</v>
      </c>
      <c r="K42" s="40">
        <f t="shared" si="89"/>
        <v>6.2260667262599489E-2</v>
      </c>
      <c r="L42" s="40">
        <f t="shared" si="89"/>
        <v>4.9850711878726202E-2</v>
      </c>
      <c r="M42" s="40">
        <f t="shared" si="89"/>
        <v>8.4705814722198264E-2</v>
      </c>
      <c r="N42" s="40">
        <f t="shared" si="89"/>
        <v>1.4234270599857657E-2</v>
      </c>
      <c r="O42" s="40">
        <f t="shared" si="89"/>
        <v>7.9266477056872675E-3</v>
      </c>
      <c r="P42" s="40">
        <f t="shared" si="89"/>
        <v>5.7585296355417643E-3</v>
      </c>
      <c r="R42" s="40">
        <f>+R29/R$32</f>
        <v>1.5228386343372495E-2</v>
      </c>
      <c r="S42" s="40">
        <f t="shared" ref="S42:AC42" si="90">+S29/S$32</f>
        <v>7.1439147172046198E-3</v>
      </c>
      <c r="T42" s="40">
        <f t="shared" si="90"/>
        <v>8.6411461831206633E-3</v>
      </c>
      <c r="U42" s="40">
        <f t="shared" si="90"/>
        <v>9.7509220431465666E-3</v>
      </c>
      <c r="V42" s="40">
        <f t="shared" si="90"/>
        <v>1.2703218587507404E-2</v>
      </c>
      <c r="W42" s="40">
        <f t="shared" si="90"/>
        <v>1.2703218587507404E-2</v>
      </c>
      <c r="X42" s="40">
        <f t="shared" si="90"/>
        <v>1.3135506703872592E-2</v>
      </c>
      <c r="Y42" s="40">
        <f t="shared" si="90"/>
        <v>0</v>
      </c>
      <c r="Z42" s="40">
        <f t="shared" si="90"/>
        <v>0</v>
      </c>
      <c r="AA42" s="40">
        <f t="shared" si="90"/>
        <v>0</v>
      </c>
      <c r="AB42" s="40">
        <f t="shared" si="90"/>
        <v>0</v>
      </c>
      <c r="AC42" s="40">
        <f t="shared" si="90"/>
        <v>0</v>
      </c>
      <c r="AE42" s="40">
        <f t="shared" ref="AE42:AH42" si="91">+AE29/AE$32</f>
        <v>0.19876901157210797</v>
      </c>
      <c r="AF42" s="40">
        <f t="shared" si="91"/>
        <v>0.15462115916481781</v>
      </c>
      <c r="AG42" s="40">
        <f t="shared" si="91"/>
        <v>6.3735204926232816E-2</v>
      </c>
      <c r="AH42" s="40">
        <f t="shared" si="91"/>
        <v>8.5276669985154818E-3</v>
      </c>
      <c r="AJ42" s="40">
        <f t="shared" ref="AJ42:AM42" si="92">+AJ29/AJ$32</f>
        <v>9.3349907375610032E-3</v>
      </c>
      <c r="AK42" s="40">
        <f t="shared" si="92"/>
        <v>1.1538691484485542E-2</v>
      </c>
      <c r="AL42" s="40">
        <f t="shared" si="92"/>
        <v>4.4171835305426496E-3</v>
      </c>
      <c r="AM42" s="40">
        <f t="shared" si="92"/>
        <v>0</v>
      </c>
      <c r="AO42" s="40">
        <f t="shared" ref="AO42:AP42" si="93">+AO29/AO$32</f>
        <v>0.10413347203182113</v>
      </c>
      <c r="AP42" s="40">
        <f t="shared" si="93"/>
        <v>6.8614659361990321E-3</v>
      </c>
    </row>
    <row r="43" spans="4:45" x14ac:dyDescent="0.2">
      <c r="D43" s="7" t="s">
        <v>87</v>
      </c>
      <c r="E43" s="40">
        <f t="shared" ref="E43:P43" si="94">+E30/E$32</f>
        <v>0.58781875176858489</v>
      </c>
      <c r="F43" s="40">
        <f t="shared" si="94"/>
        <v>0.3347095476473454</v>
      </c>
      <c r="G43" s="40">
        <f t="shared" si="94"/>
        <v>0.74506493375716221</v>
      </c>
      <c r="H43" s="40">
        <f t="shared" si="94"/>
        <v>0.82625051806038197</v>
      </c>
      <c r="I43" s="40">
        <f t="shared" si="94"/>
        <v>0.85694337242403873</v>
      </c>
      <c r="J43" s="40">
        <f t="shared" si="94"/>
        <v>0.51849632159296877</v>
      </c>
      <c r="K43" s="40">
        <f t="shared" si="94"/>
        <v>0.65031208403433516</v>
      </c>
      <c r="L43" s="40">
        <f t="shared" si="94"/>
        <v>0.55214523670087656</v>
      </c>
      <c r="M43" s="40">
        <f t="shared" si="94"/>
        <v>0.6610905119140007</v>
      </c>
      <c r="N43" s="40">
        <f t="shared" si="94"/>
        <v>0.86674757539383251</v>
      </c>
      <c r="O43" s="40">
        <f t="shared" si="94"/>
        <v>0.95835018943866601</v>
      </c>
      <c r="P43" s="40">
        <f t="shared" si="94"/>
        <v>0.41238829795169402</v>
      </c>
      <c r="R43" s="40">
        <f t="shared" ref="R43:AC43" si="95">+R30/R$32</f>
        <v>0.96741283129630651</v>
      </c>
      <c r="S43" s="40">
        <f t="shared" si="95"/>
        <v>0.79952620669233043</v>
      </c>
      <c r="T43" s="40">
        <f t="shared" si="95"/>
        <v>0.69845533915379454</v>
      </c>
      <c r="U43" s="40">
        <f t="shared" si="95"/>
        <v>0.78815742939423028</v>
      </c>
      <c r="V43" s="40">
        <f t="shared" si="95"/>
        <v>0.72401763970249455</v>
      </c>
      <c r="W43" s="40">
        <f t="shared" si="95"/>
        <v>0.72401763970249455</v>
      </c>
      <c r="X43" s="40">
        <f t="shared" si="95"/>
        <v>0.74865582250051044</v>
      </c>
      <c r="Y43" s="40">
        <f t="shared" si="95"/>
        <v>0.75862068965517238</v>
      </c>
      <c r="Z43" s="40">
        <f t="shared" si="95"/>
        <v>0.75862068965517238</v>
      </c>
      <c r="AA43" s="40">
        <f t="shared" si="95"/>
        <v>0.7857142857142857</v>
      </c>
      <c r="AB43" s="40">
        <f t="shared" si="95"/>
        <v>0.7857142857142857</v>
      </c>
      <c r="AC43" s="40">
        <f t="shared" si="95"/>
        <v>0.76923076923076927</v>
      </c>
      <c r="AE43" s="40">
        <f t="shared" ref="AE43:AH43" si="96">+AE30/AE$32</f>
        <v>0.51449449313355922</v>
      </c>
      <c r="AF43" s="40">
        <f t="shared" si="96"/>
        <v>0.78708662161842724</v>
      </c>
      <c r="AG43" s="40">
        <f t="shared" si="96"/>
        <v>0.62954912540141883</v>
      </c>
      <c r="AH43" s="40">
        <f t="shared" si="96"/>
        <v>0.69726716959039159</v>
      </c>
      <c r="AJ43" s="40">
        <f t="shared" ref="AJ43:AM43" si="97">+AJ30/AJ$32</f>
        <v>0.79743553777769183</v>
      </c>
      <c r="AK43" s="40">
        <f t="shared" si="97"/>
        <v>0.74931744355208352</v>
      </c>
      <c r="AL43" s="40">
        <f t="shared" si="97"/>
        <v>0.7552697228388987</v>
      </c>
      <c r="AM43" s="40">
        <f t="shared" si="97"/>
        <v>0.78048780487804881</v>
      </c>
      <c r="AO43" s="40">
        <f t="shared" ref="AO43:AP43" si="98">+AO30/AO$32</f>
        <v>0.64549417695240252</v>
      </c>
      <c r="AP43" s="40">
        <f t="shared" si="98"/>
        <v>0.77228668636904529</v>
      </c>
    </row>
    <row r="44" spans="4:45" x14ac:dyDescent="0.2">
      <c r="D44" s="7" t="s">
        <v>549</v>
      </c>
      <c r="E44" s="40">
        <f t="shared" ref="E44:P44" si="99">+E31/E$32</f>
        <v>0.11960417305988734</v>
      </c>
      <c r="F44" s="40">
        <f t="shared" si="99"/>
        <v>0.57937996918254719</v>
      </c>
      <c r="G44" s="40">
        <f t="shared" si="99"/>
        <v>0</v>
      </c>
      <c r="H44" s="40">
        <f t="shared" si="99"/>
        <v>2.818020758850293E-3</v>
      </c>
      <c r="I44" s="40">
        <f t="shared" si="99"/>
        <v>1.3636099560955774E-2</v>
      </c>
      <c r="J44" s="40">
        <f t="shared" si="99"/>
        <v>0.30057001118109011</v>
      </c>
      <c r="K44" s="40">
        <f t="shared" si="99"/>
        <v>0.28742724870306541</v>
      </c>
      <c r="L44" s="40">
        <f t="shared" si="99"/>
        <v>0.39800405142039724</v>
      </c>
      <c r="M44" s="40">
        <f t="shared" si="99"/>
        <v>0.25420367336380101</v>
      </c>
      <c r="N44" s="40">
        <f t="shared" si="99"/>
        <v>0.11901815400630981</v>
      </c>
      <c r="O44" s="40">
        <f t="shared" si="99"/>
        <v>3.3723162855646707E-2</v>
      </c>
      <c r="P44" s="40">
        <f t="shared" si="99"/>
        <v>0.58185317241276424</v>
      </c>
      <c r="R44" s="40">
        <f t="shared" ref="R44:AC44" si="100">+R31/R$32</f>
        <v>1.7358782360320981E-2</v>
      </c>
      <c r="S44" s="40">
        <f t="shared" si="100"/>
        <v>0.19332987859046491</v>
      </c>
      <c r="T44" s="40">
        <f t="shared" si="100"/>
        <v>0.29290351466308484</v>
      </c>
      <c r="U44" s="40">
        <f t="shared" si="100"/>
        <v>0.20209164856262316</v>
      </c>
      <c r="V44" s="40">
        <f t="shared" si="100"/>
        <v>0.263279141709998</v>
      </c>
      <c r="W44" s="40">
        <f t="shared" si="100"/>
        <v>0.263279141709998</v>
      </c>
      <c r="X44" s="40">
        <f t="shared" si="100"/>
        <v>0.23820867079561697</v>
      </c>
      <c r="Y44" s="40">
        <f t="shared" si="100"/>
        <v>0.2413793103448276</v>
      </c>
      <c r="Z44" s="40">
        <f t="shared" si="100"/>
        <v>0.2413793103448276</v>
      </c>
      <c r="AA44" s="40">
        <f t="shared" si="100"/>
        <v>0.21428571428571427</v>
      </c>
      <c r="AB44" s="40">
        <f t="shared" si="100"/>
        <v>0.21428571428571427</v>
      </c>
      <c r="AC44" s="40">
        <f t="shared" si="100"/>
        <v>0.23076923076923078</v>
      </c>
      <c r="AE44" s="40">
        <f t="shared" ref="AE44:AH44" si="101">+AE31/AE$32</f>
        <v>0.28673649529433293</v>
      </c>
      <c r="AF44" s="40">
        <f t="shared" si="101"/>
        <v>5.8292219216754967E-2</v>
      </c>
      <c r="AG44" s="40">
        <f t="shared" si="101"/>
        <v>0.30671566967234826</v>
      </c>
      <c r="AH44" s="40">
        <f t="shared" si="101"/>
        <v>0.29420516341109287</v>
      </c>
      <c r="AJ44" s="40">
        <f t="shared" ref="AJ44:AM44" si="102">+AJ31/AJ$32</f>
        <v>0.1932294714847472</v>
      </c>
      <c r="AK44" s="40">
        <f t="shared" si="102"/>
        <v>0.23914386496343093</v>
      </c>
      <c r="AL44" s="40">
        <f t="shared" si="102"/>
        <v>0.24031309363055867</v>
      </c>
      <c r="AM44" s="40">
        <f t="shared" si="102"/>
        <v>0.21951219512195122</v>
      </c>
      <c r="AO44" s="40">
        <f t="shared" ref="AO44:AP44" si="103">+AO31/AO$32</f>
        <v>0.25037235101577637</v>
      </c>
      <c r="AP44" s="40">
        <f t="shared" si="103"/>
        <v>0.22085184769475569</v>
      </c>
    </row>
    <row r="45" spans="4:45" x14ac:dyDescent="0.2"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E45" s="40"/>
      <c r="AF45" s="40"/>
      <c r="AG45" s="40"/>
      <c r="AH45" s="40"/>
      <c r="AJ45" s="40"/>
      <c r="AK45" s="40"/>
      <c r="AL45" s="40"/>
      <c r="AM45" s="40"/>
      <c r="AO45" s="40"/>
      <c r="AP45" s="40"/>
    </row>
    <row r="46" spans="4:45" x14ac:dyDescent="0.2">
      <c r="D46" s="8" t="s">
        <v>83</v>
      </c>
    </row>
    <row r="47" spans="4:45" x14ac:dyDescent="0.2">
      <c r="D47" s="7" t="s">
        <v>63</v>
      </c>
      <c r="E47" s="40">
        <f>IFERROR(+E34/E$37,0)</f>
        <v>0</v>
      </c>
      <c r="F47" s="40">
        <f t="shared" ref="F47:P47" si="104">IFERROR(+F34/F$37,0)</f>
        <v>1</v>
      </c>
      <c r="G47" s="40">
        <f t="shared" si="104"/>
        <v>1</v>
      </c>
      <c r="H47" s="40">
        <f t="shared" si="104"/>
        <v>0.31276200948388427</v>
      </c>
      <c r="I47" s="40">
        <f t="shared" si="104"/>
        <v>0</v>
      </c>
      <c r="J47" s="40">
        <f t="shared" si="104"/>
        <v>0.75227275546019423</v>
      </c>
      <c r="K47" s="40">
        <f t="shared" si="104"/>
        <v>0</v>
      </c>
      <c r="L47" s="40">
        <f t="shared" si="104"/>
        <v>0</v>
      </c>
      <c r="M47" s="40">
        <f t="shared" si="104"/>
        <v>0</v>
      </c>
      <c r="N47" s="40">
        <f t="shared" si="104"/>
        <v>0</v>
      </c>
      <c r="O47" s="40">
        <f t="shared" si="104"/>
        <v>0.57035501768791053</v>
      </c>
      <c r="P47" s="40">
        <f t="shared" si="104"/>
        <v>0.39588312750010923</v>
      </c>
      <c r="R47" s="40">
        <f>IFERROR(+R34/R$37,0)</f>
        <v>0.26529250261918841</v>
      </c>
      <c r="S47" s="40">
        <f t="shared" ref="S47:AC47" si="105">IFERROR(+S34/S$37,0)</f>
        <v>2.6416836547246306E-2</v>
      </c>
      <c r="T47" s="40">
        <f t="shared" si="105"/>
        <v>0.39355835686043839</v>
      </c>
      <c r="U47" s="40">
        <f t="shared" si="105"/>
        <v>0.39906593992253081</v>
      </c>
      <c r="V47" s="40">
        <f t="shared" si="105"/>
        <v>0.33920088743898114</v>
      </c>
      <c r="W47" s="40">
        <f t="shared" si="105"/>
        <v>0.33920088743898114</v>
      </c>
      <c r="X47" s="40">
        <f t="shared" si="105"/>
        <v>0.41162712731875017</v>
      </c>
      <c r="Y47" s="40">
        <f t="shared" si="105"/>
        <v>0.48655569782330343</v>
      </c>
      <c r="Z47" s="40">
        <f t="shared" si="105"/>
        <v>0.34965034965034963</v>
      </c>
      <c r="AA47" s="40">
        <f t="shared" si="105"/>
        <v>0.29002320185614849</v>
      </c>
      <c r="AB47" s="40">
        <f t="shared" si="105"/>
        <v>0.39525691699604742</v>
      </c>
      <c r="AC47" s="40">
        <f t="shared" si="105"/>
        <v>0.40909090909090912</v>
      </c>
      <c r="AE47" s="40">
        <f t="shared" ref="AE47:AH47" si="106">IFERROR(+AE34/AE$37,0)</f>
        <v>1</v>
      </c>
      <c r="AF47" s="40">
        <f t="shared" si="106"/>
        <v>0.54379857090700467</v>
      </c>
      <c r="AG47" s="40">
        <f t="shared" si="106"/>
        <v>0</v>
      </c>
      <c r="AH47" s="40">
        <f t="shared" si="106"/>
        <v>0.39269848808838098</v>
      </c>
      <c r="AJ47" s="40">
        <f t="shared" ref="AJ47:AM47" si="107">IFERROR(+AJ34/AJ$37,0)</f>
        <v>0.29230007287964072</v>
      </c>
      <c r="AK47" s="40">
        <f t="shared" si="107"/>
        <v>0.36426851415712652</v>
      </c>
      <c r="AL47" s="40">
        <f t="shared" si="107"/>
        <v>0.42230918663250649</v>
      </c>
      <c r="AM47" s="40">
        <f t="shared" si="107"/>
        <v>0.36987222595830532</v>
      </c>
      <c r="AO47" s="40">
        <f t="shared" ref="AO47:AP47" si="108">IFERROR(+AO34/AO$37,0)</f>
        <v>0.43501616739562959</v>
      </c>
      <c r="AP47" s="40">
        <f t="shared" si="108"/>
        <v>0.37007145927794494</v>
      </c>
    </row>
    <row r="48" spans="4:45" x14ac:dyDescent="0.2">
      <c r="D48" s="7" t="s">
        <v>87</v>
      </c>
      <c r="E48" s="40">
        <f t="shared" ref="E48:P48" si="109">IFERROR(+E35/E$37,0)</f>
        <v>0</v>
      </c>
      <c r="F48" s="40">
        <f t="shared" si="109"/>
        <v>0</v>
      </c>
      <c r="G48" s="40">
        <f t="shared" si="109"/>
        <v>0</v>
      </c>
      <c r="H48" s="40">
        <f t="shared" si="109"/>
        <v>0</v>
      </c>
      <c r="I48" s="40">
        <f t="shared" si="109"/>
        <v>0</v>
      </c>
      <c r="J48" s="40">
        <f t="shared" si="109"/>
        <v>0.24772724453980577</v>
      </c>
      <c r="K48" s="40">
        <f t="shared" si="109"/>
        <v>0</v>
      </c>
      <c r="L48" s="40">
        <f t="shared" si="109"/>
        <v>0.48325245824187718</v>
      </c>
      <c r="M48" s="40">
        <f t="shared" si="109"/>
        <v>0</v>
      </c>
      <c r="N48" s="40">
        <f t="shared" si="109"/>
        <v>0.74435013805092543</v>
      </c>
      <c r="O48" s="40">
        <f t="shared" si="109"/>
        <v>0.29706851330957268</v>
      </c>
      <c r="P48" s="40">
        <f t="shared" si="109"/>
        <v>0.52611034491366238</v>
      </c>
      <c r="R48" s="40">
        <f t="shared" ref="R48:AC48" si="110">IFERROR(+R35/R$37,0)</f>
        <v>0.54762261114069033</v>
      </c>
      <c r="S48" s="40">
        <f t="shared" si="110"/>
        <v>0.72567131277859609</v>
      </c>
      <c r="T48" s="40">
        <f t="shared" si="110"/>
        <v>0.51640749564289301</v>
      </c>
      <c r="U48" s="40">
        <f t="shared" si="110"/>
        <v>0.50262283986964973</v>
      </c>
      <c r="V48" s="40">
        <f t="shared" si="110"/>
        <v>0.51915478593814768</v>
      </c>
      <c r="W48" s="40">
        <f t="shared" si="110"/>
        <v>0.51915478593814768</v>
      </c>
      <c r="X48" s="40">
        <f t="shared" si="110"/>
        <v>0.46934816116739442</v>
      </c>
      <c r="Y48" s="40">
        <f t="shared" si="110"/>
        <v>0.4212548015364917</v>
      </c>
      <c r="Z48" s="40">
        <f t="shared" si="110"/>
        <v>0.52447552447552448</v>
      </c>
      <c r="AA48" s="40">
        <f t="shared" si="110"/>
        <v>0.58004640371229699</v>
      </c>
      <c r="AB48" s="40">
        <f t="shared" si="110"/>
        <v>0.49407114624505927</v>
      </c>
      <c r="AC48" s="40">
        <f t="shared" si="110"/>
        <v>0.45454545454545453</v>
      </c>
      <c r="AE48" s="40">
        <f t="shared" ref="AE48:AH48" si="111">IFERROR(+AE35/AE$37,0)</f>
        <v>0</v>
      </c>
      <c r="AF48" s="40">
        <f t="shared" si="111"/>
        <v>0.13022218745110312</v>
      </c>
      <c r="AG48" s="40">
        <f t="shared" si="111"/>
        <v>0.22799017399824467</v>
      </c>
      <c r="AH48" s="40">
        <f t="shared" si="111"/>
        <v>0.49702536505251455</v>
      </c>
      <c r="AJ48" s="40">
        <f t="shared" ref="AJ48:AM48" si="112">IFERROR(+AJ35/AJ$37,0)</f>
        <v>0.56365690300142757</v>
      </c>
      <c r="AK48" s="40">
        <f t="shared" si="112"/>
        <v>0.51223227212120082</v>
      </c>
      <c r="AL48" s="40">
        <f t="shared" si="112"/>
        <v>0.46655681688525485</v>
      </c>
      <c r="AM48" s="40">
        <f t="shared" si="112"/>
        <v>0.50437121721587086</v>
      </c>
      <c r="AO48" s="40">
        <f t="shared" ref="AO48:AP48" si="113">IFERROR(+AO35/AO$37,0)</f>
        <v>0.36251486964425822</v>
      </c>
      <c r="AP48" s="40">
        <f t="shared" si="113"/>
        <v>0.50560577390656791</v>
      </c>
    </row>
    <row r="49" spans="4:42" x14ac:dyDescent="0.2">
      <c r="D49" s="7" t="s">
        <v>549</v>
      </c>
      <c r="E49" s="40">
        <f t="shared" ref="E49:P49" si="114">IFERROR(+E36/E$37,0)</f>
        <v>0</v>
      </c>
      <c r="F49" s="40">
        <f t="shared" si="114"/>
        <v>0</v>
      </c>
      <c r="G49" s="40">
        <f t="shared" si="114"/>
        <v>0</v>
      </c>
      <c r="H49" s="40">
        <f t="shared" si="114"/>
        <v>0.68723799051611578</v>
      </c>
      <c r="I49" s="40">
        <f t="shared" si="114"/>
        <v>0</v>
      </c>
      <c r="J49" s="40">
        <f t="shared" si="114"/>
        <v>0</v>
      </c>
      <c r="K49" s="40">
        <f t="shared" si="114"/>
        <v>1</v>
      </c>
      <c r="L49" s="40">
        <f t="shared" si="114"/>
        <v>0.51674754175812276</v>
      </c>
      <c r="M49" s="40">
        <f t="shared" si="114"/>
        <v>1</v>
      </c>
      <c r="N49" s="40">
        <f t="shared" si="114"/>
        <v>0.25564986194907457</v>
      </c>
      <c r="O49" s="40">
        <f t="shared" si="114"/>
        <v>0.13257646900251674</v>
      </c>
      <c r="P49" s="40">
        <f t="shared" si="114"/>
        <v>7.8006527586228419E-2</v>
      </c>
      <c r="R49" s="40">
        <f t="shared" ref="R49:AC49" si="115">IFERROR(+R36/R$37,0)</f>
        <v>0.18708488624012129</v>
      </c>
      <c r="S49" s="40">
        <f t="shared" si="115"/>
        <v>0.24791185067415766</v>
      </c>
      <c r="T49" s="40">
        <f t="shared" si="115"/>
        <v>9.0034147496668743E-2</v>
      </c>
      <c r="U49" s="40">
        <f t="shared" si="115"/>
        <v>9.8311220207819572E-2</v>
      </c>
      <c r="V49" s="40">
        <f t="shared" si="115"/>
        <v>0.14164432662287124</v>
      </c>
      <c r="W49" s="40">
        <f t="shared" si="115"/>
        <v>0.14164432662287124</v>
      </c>
      <c r="X49" s="40">
        <f t="shared" si="115"/>
        <v>0.11902471151385548</v>
      </c>
      <c r="Y49" s="40">
        <f t="shared" si="115"/>
        <v>9.2189500640204869E-2</v>
      </c>
      <c r="Z49" s="40">
        <f t="shared" si="115"/>
        <v>0.12587412587412589</v>
      </c>
      <c r="AA49" s="40">
        <f t="shared" si="115"/>
        <v>0.12993039443155452</v>
      </c>
      <c r="AB49" s="40">
        <f t="shared" si="115"/>
        <v>0.11067193675889328</v>
      </c>
      <c r="AC49" s="40">
        <f t="shared" si="115"/>
        <v>0.13636363636363635</v>
      </c>
      <c r="AE49" s="40">
        <f t="shared" ref="AE49:AH49" si="116">IFERROR(+AE36/AE$37,0)</f>
        <v>0</v>
      </c>
      <c r="AF49" s="40">
        <f t="shared" si="116"/>
        <v>0.32597924164189224</v>
      </c>
      <c r="AG49" s="40">
        <f t="shared" si="116"/>
        <v>0.77200982600175527</v>
      </c>
      <c r="AH49" s="40">
        <f t="shared" si="116"/>
        <v>0.11027614685910454</v>
      </c>
      <c r="AJ49" s="40">
        <f t="shared" ref="AJ49:AM49" si="117">IFERROR(+AJ36/AJ$37,0)</f>
        <v>0.14404302411893172</v>
      </c>
      <c r="AK49" s="40">
        <f t="shared" si="117"/>
        <v>0.12349921372167263</v>
      </c>
      <c r="AL49" s="40">
        <f t="shared" si="117"/>
        <v>0.11113399648223855</v>
      </c>
      <c r="AM49" s="40">
        <f t="shared" si="117"/>
        <v>0.12575655682582382</v>
      </c>
      <c r="AO49" s="40">
        <f t="shared" ref="AO49:AP49" si="118">IFERROR(+AO36/AO$37,0)</f>
        <v>0.20246896296011219</v>
      </c>
      <c r="AP49" s="40">
        <f t="shared" si="118"/>
        <v>0.12432276681548705</v>
      </c>
    </row>
    <row r="51" spans="4:42" x14ac:dyDescent="0.2">
      <c r="D51" s="7" t="s">
        <v>262</v>
      </c>
      <c r="E51" s="40">
        <f>IFERROR(+E32/E$39,0)</f>
        <v>1</v>
      </c>
      <c r="F51" s="40">
        <f t="shared" ref="F51:P51" si="119">IFERROR(+F32/F$39,0)</f>
        <v>0.85862091488668046</v>
      </c>
      <c r="G51" s="40">
        <f t="shared" si="119"/>
        <v>0.54117405227375248</v>
      </c>
      <c r="H51" s="40">
        <f t="shared" si="119"/>
        <v>0.82843448203979864</v>
      </c>
      <c r="I51" s="40">
        <f t="shared" si="119"/>
        <v>1</v>
      </c>
      <c r="J51" s="40">
        <f t="shared" si="119"/>
        <v>0.65266302165810552</v>
      </c>
      <c r="K51" s="40">
        <f t="shared" si="119"/>
        <v>0.78781048093215778</v>
      </c>
      <c r="L51" s="40">
        <f t="shared" si="119"/>
        <v>0.56170074623082789</v>
      </c>
      <c r="M51" s="40">
        <f t="shared" si="119"/>
        <v>0.79812346585304306</v>
      </c>
      <c r="N51" s="40">
        <f t="shared" si="119"/>
        <v>0.68631139067382285</v>
      </c>
      <c r="O51" s="40">
        <f t="shared" si="119"/>
        <v>0.57356114730839147</v>
      </c>
      <c r="P51" s="40">
        <f t="shared" si="119"/>
        <v>0.39526136865123479</v>
      </c>
      <c r="R51" s="40">
        <f>IFERROR(+R32/R$39,0)</f>
        <v>0.43737916916006997</v>
      </c>
      <c r="S51" s="40">
        <f t="shared" ref="S51:AC51" si="120">IFERROR(+S32/S$39,0)</f>
        <v>0.68710203475389364</v>
      </c>
      <c r="T51" s="40">
        <f t="shared" si="120"/>
        <v>0.37863787334864046</v>
      </c>
      <c r="U51" s="40">
        <f t="shared" si="120"/>
        <v>0.33865587512250678</v>
      </c>
      <c r="V51" s="40">
        <f t="shared" si="120"/>
        <v>0.36155938160090395</v>
      </c>
      <c r="W51" s="40">
        <f t="shared" si="120"/>
        <v>0.36155938160090395</v>
      </c>
      <c r="X51" s="40">
        <f t="shared" si="120"/>
        <v>0.26704465732570759</v>
      </c>
      <c r="Y51" s="40">
        <f t="shared" si="120"/>
        <v>0.27077497665732958</v>
      </c>
      <c r="Z51" s="40">
        <f t="shared" si="120"/>
        <v>0.33642691415313225</v>
      </c>
      <c r="AA51" s="40">
        <f t="shared" si="120"/>
        <v>0.24518388791593695</v>
      </c>
      <c r="AB51" s="40">
        <f t="shared" si="120"/>
        <v>0.21671826625386997</v>
      </c>
      <c r="AC51" s="40">
        <f t="shared" si="120"/>
        <v>0.19117647058823528</v>
      </c>
      <c r="AE51" s="40">
        <f t="shared" ref="AE51:AG51" si="121">IFERROR(+AE32/AE$39,0)</f>
        <v>0.80521198354425416</v>
      </c>
      <c r="AF51" s="40">
        <f t="shared" si="121"/>
        <v>0.85276525895955424</v>
      </c>
      <c r="AG51" s="40">
        <f t="shared" si="121"/>
        <v>0.72195221701328172</v>
      </c>
      <c r="AH51" s="40">
        <f>IFERROR(+AH32/AH$39,0)</f>
        <v>0.49581552182187483</v>
      </c>
      <c r="AJ51" s="40">
        <f t="shared" ref="AJ51:AL51" si="122">IFERROR(+AJ32/AJ$39,0)</f>
        <v>0.48729767326314954</v>
      </c>
      <c r="AK51" s="40">
        <f t="shared" si="122"/>
        <v>0.35216476867268431</v>
      </c>
      <c r="AL51" s="40">
        <f t="shared" si="122"/>
        <v>0.28807793934704357</v>
      </c>
      <c r="AM51" s="40">
        <f>IFERROR(+AM32/AM$39,0)</f>
        <v>0.21613073273589878</v>
      </c>
      <c r="AO51" s="40">
        <f>IFERROR(+AO32/AO$39,0)</f>
        <v>0.66452662993397493</v>
      </c>
      <c r="AP51" s="40">
        <f>IFERROR(+AP32/AP$39,0)</f>
        <v>0.32217883198218311</v>
      </c>
    </row>
    <row r="52" spans="4:42" x14ac:dyDescent="0.2">
      <c r="D52" s="7" t="s">
        <v>217</v>
      </c>
      <c r="E52" s="40">
        <f>IFERROR(+E37/E$39,0)</f>
        <v>0</v>
      </c>
      <c r="F52" s="40">
        <f t="shared" ref="F52:P52" si="123">IFERROR(+F37/F$39,0)</f>
        <v>0.14137908511331959</v>
      </c>
      <c r="G52" s="40">
        <f t="shared" si="123"/>
        <v>0.45882594772624757</v>
      </c>
      <c r="H52" s="40">
        <f t="shared" si="123"/>
        <v>0.17156551796020142</v>
      </c>
      <c r="I52" s="40">
        <f t="shared" si="123"/>
        <v>0</v>
      </c>
      <c r="J52" s="40">
        <f t="shared" si="123"/>
        <v>0.34733697834189448</v>
      </c>
      <c r="K52" s="40">
        <f t="shared" si="123"/>
        <v>0.21218951906784222</v>
      </c>
      <c r="L52" s="40">
        <f t="shared" si="123"/>
        <v>0.43829925376917211</v>
      </c>
      <c r="M52" s="40">
        <f t="shared" si="123"/>
        <v>0.20187653414695694</v>
      </c>
      <c r="N52" s="40">
        <f t="shared" si="123"/>
        <v>0.31368860932617704</v>
      </c>
      <c r="O52" s="40">
        <f t="shared" si="123"/>
        <v>0.42643885269160853</v>
      </c>
      <c r="P52" s="40">
        <f t="shared" si="123"/>
        <v>0.60473863134876515</v>
      </c>
      <c r="R52" s="40">
        <f>IFERROR(+R37/R$39,0)</f>
        <v>0.56262083083993009</v>
      </c>
      <c r="S52" s="40">
        <f t="shared" ref="S52:AC52" si="124">IFERROR(+S37/S$39,0)</f>
        <v>0.31289796524610647</v>
      </c>
      <c r="T52" s="40">
        <f t="shared" si="124"/>
        <v>0.62136212665135948</v>
      </c>
      <c r="U52" s="40">
        <f t="shared" si="124"/>
        <v>0.66134412487749328</v>
      </c>
      <c r="V52" s="40">
        <f t="shared" si="124"/>
        <v>0.63844061839909605</v>
      </c>
      <c r="W52" s="40">
        <f t="shared" si="124"/>
        <v>0.63844061839909605</v>
      </c>
      <c r="X52" s="40">
        <f t="shared" si="124"/>
        <v>0.73295534267429241</v>
      </c>
      <c r="Y52" s="40">
        <f t="shared" si="124"/>
        <v>0.72922502334267036</v>
      </c>
      <c r="Z52" s="40">
        <f t="shared" si="124"/>
        <v>0.66357308584686769</v>
      </c>
      <c r="AA52" s="40">
        <f t="shared" si="124"/>
        <v>0.75481611208406307</v>
      </c>
      <c r="AB52" s="40">
        <f t="shared" si="124"/>
        <v>0.78328173374613008</v>
      </c>
      <c r="AC52" s="40">
        <f t="shared" si="124"/>
        <v>0.80882352941176472</v>
      </c>
      <c r="AE52" s="40">
        <f t="shared" ref="AE52:AH52" si="125">IFERROR(+AE37/AE$39,0)</f>
        <v>0.19478801645574581</v>
      </c>
      <c r="AF52" s="40">
        <f t="shared" si="125"/>
        <v>0.14723474104044579</v>
      </c>
      <c r="AG52" s="40">
        <f t="shared" si="125"/>
        <v>0.27804778298671834</v>
      </c>
      <c r="AH52" s="40">
        <f t="shared" si="125"/>
        <v>0.50418447817812517</v>
      </c>
      <c r="AJ52" s="40">
        <f t="shared" ref="AJ52:AM52" si="126">IFERROR(+AJ37/AJ$39,0)</f>
        <v>0.51270232673685046</v>
      </c>
      <c r="AK52" s="40">
        <f t="shared" si="126"/>
        <v>0.64783523132731569</v>
      </c>
      <c r="AL52" s="40">
        <f t="shared" si="126"/>
        <v>0.71192206065295649</v>
      </c>
      <c r="AM52" s="40">
        <f t="shared" si="126"/>
        <v>0.78386926726410122</v>
      </c>
      <c r="AO52" s="40">
        <f t="shared" ref="AO52:AP52" si="127">IFERROR(+AO37/AO$39,0)</f>
        <v>0.33547337006602507</v>
      </c>
      <c r="AP52" s="40">
        <f t="shared" si="127"/>
        <v>0.67782116801781689</v>
      </c>
    </row>
  </sheetData>
  <pageMargins left="0.25" right="0.25" top="0.75" bottom="0.75" header="0.3" footer="0.3"/>
  <pageSetup scale="5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1DBE-ACEB-44AB-A6BD-19F86CFA8EA3}">
  <dimension ref="A1:FW216"/>
  <sheetViews>
    <sheetView zoomScaleNormal="100" workbookViewId="0">
      <pane xSplit="17" ySplit="3" topLeftCell="DV4" activePane="bottomRight" state="frozen"/>
      <selection pane="topRight" activeCell="R1" sqref="R1"/>
      <selection pane="bottomLeft" activeCell="A4" sqref="A4"/>
      <selection pane="bottomRight" activeCell="C67" sqref="C67"/>
    </sheetView>
  </sheetViews>
  <sheetFormatPr baseColWidth="10" defaultColWidth="9.1640625" defaultRowHeight="14" x14ac:dyDescent="0.2"/>
  <cols>
    <col min="1" max="2" width="2.6640625" style="14" customWidth="1"/>
    <col min="3" max="3" width="46.5" style="14" customWidth="1"/>
    <col min="4" max="4" width="1.83203125" style="14" customWidth="1"/>
    <col min="5" max="16" width="8.6640625" style="14" customWidth="1"/>
    <col min="17" max="17" width="3.6640625" style="14" customWidth="1"/>
    <col min="18" max="34" width="7.6640625" style="14" hidden="1" customWidth="1"/>
    <col min="35" max="35" width="1.6640625" style="14" hidden="1" customWidth="1"/>
    <col min="36" max="52" width="7.6640625" style="14" hidden="1" customWidth="1"/>
    <col min="53" max="53" width="1.6640625" style="14" hidden="1" customWidth="1"/>
    <col min="54" max="70" width="7.6640625" style="14" hidden="1" customWidth="1"/>
    <col min="71" max="71" width="3.6640625" style="14" hidden="1" customWidth="1"/>
    <col min="72" max="88" width="7.6640625" style="14" hidden="1" customWidth="1"/>
    <col min="89" max="89" width="1.6640625" style="14" hidden="1" customWidth="1"/>
    <col min="90" max="106" width="7.6640625" style="14" hidden="1" customWidth="1"/>
    <col min="107" max="107" width="1.6640625" style="14" hidden="1" customWidth="1"/>
    <col min="108" max="124" width="7.6640625" style="14" hidden="1" customWidth="1"/>
    <col min="125" max="125" width="5.6640625" style="14" hidden="1" customWidth="1"/>
    <col min="126" max="142" width="7.6640625" style="14" customWidth="1"/>
    <col min="143" max="143" width="1.6640625" style="14" customWidth="1"/>
    <col min="144" max="160" width="7.6640625" style="14" customWidth="1"/>
    <col min="161" max="161" width="1.6640625" style="14" customWidth="1"/>
    <col min="162" max="178" width="7.6640625" style="14" customWidth="1"/>
    <col min="179" max="179" width="10.6640625" style="14" customWidth="1"/>
    <col min="180" max="16384" width="9.1640625" style="14"/>
  </cols>
  <sheetData>
    <row r="1" spans="1:179" ht="16" x14ac:dyDescent="0.2">
      <c r="A1" s="15" t="s">
        <v>268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</row>
    <row r="2" spans="1:179" ht="16" x14ac:dyDescent="0.2">
      <c r="E2" s="166" t="s">
        <v>233</v>
      </c>
      <c r="F2" s="166"/>
      <c r="G2" s="166"/>
      <c r="R2" s="52"/>
      <c r="S2" s="52"/>
      <c r="T2" s="52"/>
      <c r="U2" s="52"/>
      <c r="V2" s="52" t="s">
        <v>235</v>
      </c>
      <c r="W2" s="52"/>
      <c r="X2" s="52"/>
      <c r="Y2" s="52"/>
      <c r="Z2" s="52"/>
      <c r="AA2" s="52"/>
      <c r="AB2" s="52"/>
      <c r="AC2" s="52"/>
      <c r="AD2" s="53" t="s">
        <v>234</v>
      </c>
      <c r="AE2" s="53"/>
      <c r="AF2" s="53"/>
      <c r="AG2" s="53"/>
      <c r="AH2" s="53"/>
      <c r="AJ2" s="52"/>
      <c r="AK2" s="52"/>
      <c r="AL2" s="52"/>
      <c r="AM2" s="52"/>
      <c r="AN2" s="52" t="s">
        <v>236</v>
      </c>
      <c r="AO2" s="52"/>
      <c r="AP2" s="52"/>
      <c r="AQ2" s="52"/>
      <c r="AR2" s="52"/>
      <c r="AS2" s="52"/>
      <c r="AT2" s="52"/>
      <c r="AU2" s="52"/>
      <c r="AV2" s="53" t="s">
        <v>204</v>
      </c>
      <c r="AW2" s="53"/>
      <c r="AX2" s="53"/>
      <c r="AY2" s="53"/>
      <c r="AZ2" s="53"/>
      <c r="BB2" s="52"/>
      <c r="BC2" s="52"/>
      <c r="BD2" s="52"/>
      <c r="BE2" s="52"/>
      <c r="BF2" s="52" t="s">
        <v>237</v>
      </c>
      <c r="BG2" s="52"/>
      <c r="BH2" s="52"/>
      <c r="BI2" s="52"/>
      <c r="BJ2" s="52"/>
      <c r="BK2" s="52"/>
      <c r="BL2" s="52"/>
      <c r="BM2" s="52"/>
      <c r="BN2" s="53" t="s">
        <v>205</v>
      </c>
      <c r="BO2" s="53"/>
      <c r="BP2" s="53"/>
      <c r="BQ2" s="53"/>
      <c r="BR2" s="53"/>
      <c r="BT2" s="55"/>
      <c r="BU2" s="55"/>
      <c r="BV2" s="55"/>
      <c r="BW2" s="55"/>
      <c r="BX2" s="55" t="s">
        <v>238</v>
      </c>
      <c r="BY2" s="55"/>
      <c r="BZ2" s="55"/>
      <c r="CA2" s="55"/>
      <c r="CB2" s="55"/>
      <c r="CC2" s="55"/>
      <c r="CD2" s="55"/>
      <c r="CE2" s="55"/>
      <c r="CF2" s="56" t="s">
        <v>239</v>
      </c>
      <c r="CG2" s="56"/>
      <c r="CH2" s="56"/>
      <c r="CI2" s="56"/>
      <c r="CJ2" s="56"/>
      <c r="CL2" s="55"/>
      <c r="CM2" s="55"/>
      <c r="CN2" s="55"/>
      <c r="CO2" s="55"/>
      <c r="CP2" s="55" t="s">
        <v>240</v>
      </c>
      <c r="CQ2" s="55"/>
      <c r="CR2" s="55"/>
      <c r="CS2" s="55"/>
      <c r="CT2" s="55"/>
      <c r="CU2" s="55"/>
      <c r="CV2" s="55"/>
      <c r="CW2" s="55"/>
      <c r="CX2" s="56" t="s">
        <v>241</v>
      </c>
      <c r="CY2" s="56"/>
      <c r="CZ2" s="56"/>
      <c r="DA2" s="56"/>
      <c r="DB2" s="56"/>
      <c r="DD2" s="55"/>
      <c r="DE2" s="55"/>
      <c r="DF2" s="55"/>
      <c r="DG2" s="55"/>
      <c r="DH2" s="55" t="s">
        <v>242</v>
      </c>
      <c r="DI2" s="55"/>
      <c r="DJ2" s="55"/>
      <c r="DK2" s="55"/>
      <c r="DL2" s="55"/>
      <c r="DM2" s="55"/>
      <c r="DN2" s="55"/>
      <c r="DO2" s="55"/>
      <c r="DP2" s="56" t="s">
        <v>243</v>
      </c>
      <c r="DQ2" s="56"/>
      <c r="DR2" s="56"/>
      <c r="DS2" s="56"/>
      <c r="DT2" s="56"/>
      <c r="DV2" s="57"/>
      <c r="DW2" s="57"/>
      <c r="DX2" s="57"/>
      <c r="DY2" s="57"/>
      <c r="DZ2" s="57" t="s">
        <v>249</v>
      </c>
      <c r="EA2" s="57"/>
      <c r="EB2" s="57"/>
      <c r="EC2" s="57"/>
      <c r="ED2" s="57"/>
      <c r="EE2" s="57"/>
      <c r="EF2" s="57"/>
      <c r="EG2" s="57"/>
      <c r="EH2" s="58" t="s">
        <v>244</v>
      </c>
      <c r="EI2" s="58"/>
      <c r="EJ2" s="58"/>
      <c r="EK2" s="58"/>
      <c r="EL2" s="58"/>
      <c r="EN2" s="57"/>
      <c r="EO2" s="57"/>
      <c r="EP2" s="57"/>
      <c r="EQ2" s="57"/>
      <c r="ER2" s="57" t="s">
        <v>248</v>
      </c>
      <c r="ES2" s="57"/>
      <c r="ET2" s="57"/>
      <c r="EU2" s="57"/>
      <c r="EV2" s="57"/>
      <c r="EW2" s="57"/>
      <c r="EX2" s="57"/>
      <c r="EY2" s="57"/>
      <c r="EZ2" s="58" t="s">
        <v>245</v>
      </c>
      <c r="FA2" s="58"/>
      <c r="FB2" s="58"/>
      <c r="FC2" s="58"/>
      <c r="FD2" s="58"/>
      <c r="FF2" s="57"/>
      <c r="FG2" s="57"/>
      <c r="FH2" s="57"/>
      <c r="FI2" s="57"/>
      <c r="FJ2" s="57" t="s">
        <v>246</v>
      </c>
      <c r="FK2" s="57"/>
      <c r="FL2" s="57"/>
      <c r="FM2" s="57"/>
      <c r="FN2" s="57"/>
      <c r="FO2" s="57"/>
      <c r="FP2" s="57"/>
      <c r="FQ2" s="57"/>
      <c r="FR2" s="58" t="s">
        <v>247</v>
      </c>
      <c r="FS2" s="58"/>
      <c r="FT2" s="58"/>
      <c r="FU2" s="58"/>
      <c r="FV2" s="58"/>
      <c r="FW2" s="15"/>
    </row>
    <row r="3" spans="1:179" ht="28" x14ac:dyDescent="0.2">
      <c r="B3" s="16"/>
      <c r="C3" s="16"/>
      <c r="D3" s="16"/>
      <c r="E3" s="50" t="s">
        <v>203</v>
      </c>
      <c r="F3" s="50" t="s">
        <v>204</v>
      </c>
      <c r="G3" s="50" t="s">
        <v>205</v>
      </c>
      <c r="H3" s="50" t="s">
        <v>206</v>
      </c>
      <c r="I3" s="50" t="s">
        <v>207</v>
      </c>
      <c r="J3" s="50" t="s">
        <v>208</v>
      </c>
      <c r="K3" s="50" t="s">
        <v>209</v>
      </c>
      <c r="L3" s="50" t="s">
        <v>210</v>
      </c>
      <c r="M3" s="50" t="s">
        <v>211</v>
      </c>
      <c r="N3" s="50" t="s">
        <v>212</v>
      </c>
      <c r="O3" s="50" t="s">
        <v>213</v>
      </c>
      <c r="P3" s="50" t="s">
        <v>214</v>
      </c>
      <c r="Q3" s="16"/>
      <c r="R3" s="47" t="s">
        <v>220</v>
      </c>
      <c r="S3" s="47" t="s">
        <v>221</v>
      </c>
      <c r="T3" s="47" t="s">
        <v>222</v>
      </c>
      <c r="U3" s="47" t="s">
        <v>223</v>
      </c>
      <c r="V3" s="47" t="s">
        <v>224</v>
      </c>
      <c r="W3" s="47" t="s">
        <v>225</v>
      </c>
      <c r="X3" s="47" t="s">
        <v>226</v>
      </c>
      <c r="Y3" s="47" t="s">
        <v>227</v>
      </c>
      <c r="Z3" s="47" t="s">
        <v>228</v>
      </c>
      <c r="AA3" s="47" t="s">
        <v>229</v>
      </c>
      <c r="AB3" s="47" t="s">
        <v>230</v>
      </c>
      <c r="AC3" s="47" t="s">
        <v>231</v>
      </c>
      <c r="AD3" s="47" t="s">
        <v>36</v>
      </c>
      <c r="AE3" s="47" t="s">
        <v>37</v>
      </c>
      <c r="AF3" s="47" t="s">
        <v>38</v>
      </c>
      <c r="AG3" s="47" t="s">
        <v>39</v>
      </c>
      <c r="AH3" s="47" t="s">
        <v>232</v>
      </c>
      <c r="AI3" s="16"/>
      <c r="AJ3" s="47" t="s">
        <v>220</v>
      </c>
      <c r="AK3" s="47" t="s">
        <v>221</v>
      </c>
      <c r="AL3" s="47" t="s">
        <v>222</v>
      </c>
      <c r="AM3" s="47" t="s">
        <v>223</v>
      </c>
      <c r="AN3" s="47" t="s">
        <v>224</v>
      </c>
      <c r="AO3" s="47" t="s">
        <v>225</v>
      </c>
      <c r="AP3" s="47" t="s">
        <v>226</v>
      </c>
      <c r="AQ3" s="47" t="s">
        <v>227</v>
      </c>
      <c r="AR3" s="47" t="s">
        <v>228</v>
      </c>
      <c r="AS3" s="47" t="s">
        <v>229</v>
      </c>
      <c r="AT3" s="47" t="s">
        <v>230</v>
      </c>
      <c r="AU3" s="47" t="s">
        <v>231</v>
      </c>
      <c r="AV3" s="47" t="s">
        <v>36</v>
      </c>
      <c r="AW3" s="47" t="s">
        <v>37</v>
      </c>
      <c r="AX3" s="47" t="s">
        <v>38</v>
      </c>
      <c r="AY3" s="47" t="s">
        <v>39</v>
      </c>
      <c r="AZ3" s="47" t="s">
        <v>232</v>
      </c>
      <c r="BA3" s="16"/>
      <c r="BB3" s="47" t="s">
        <v>220</v>
      </c>
      <c r="BC3" s="47" t="s">
        <v>221</v>
      </c>
      <c r="BD3" s="47" t="s">
        <v>222</v>
      </c>
      <c r="BE3" s="47" t="s">
        <v>223</v>
      </c>
      <c r="BF3" s="47" t="s">
        <v>224</v>
      </c>
      <c r="BG3" s="47" t="s">
        <v>225</v>
      </c>
      <c r="BH3" s="47" t="s">
        <v>226</v>
      </c>
      <c r="BI3" s="47" t="s">
        <v>227</v>
      </c>
      <c r="BJ3" s="47" t="s">
        <v>228</v>
      </c>
      <c r="BK3" s="47" t="s">
        <v>229</v>
      </c>
      <c r="BL3" s="47" t="s">
        <v>230</v>
      </c>
      <c r="BM3" s="47" t="s">
        <v>231</v>
      </c>
      <c r="BN3" s="47" t="s">
        <v>36</v>
      </c>
      <c r="BO3" s="47" t="s">
        <v>37</v>
      </c>
      <c r="BP3" s="47" t="s">
        <v>38</v>
      </c>
      <c r="BQ3" s="47" t="s">
        <v>39</v>
      </c>
      <c r="BR3" s="47" t="s">
        <v>232</v>
      </c>
      <c r="BS3" s="16"/>
      <c r="BT3" s="47" t="s">
        <v>220</v>
      </c>
      <c r="BU3" s="47" t="s">
        <v>221</v>
      </c>
      <c r="BV3" s="47" t="s">
        <v>222</v>
      </c>
      <c r="BW3" s="47" t="s">
        <v>223</v>
      </c>
      <c r="BX3" s="47" t="s">
        <v>224</v>
      </c>
      <c r="BY3" s="47" t="s">
        <v>225</v>
      </c>
      <c r="BZ3" s="47" t="s">
        <v>226</v>
      </c>
      <c r="CA3" s="47" t="s">
        <v>227</v>
      </c>
      <c r="CB3" s="47" t="s">
        <v>228</v>
      </c>
      <c r="CC3" s="47" t="s">
        <v>229</v>
      </c>
      <c r="CD3" s="47" t="s">
        <v>230</v>
      </c>
      <c r="CE3" s="47" t="s">
        <v>231</v>
      </c>
      <c r="CF3" s="47" t="s">
        <v>36</v>
      </c>
      <c r="CG3" s="47" t="s">
        <v>37</v>
      </c>
      <c r="CH3" s="47" t="s">
        <v>38</v>
      </c>
      <c r="CI3" s="47" t="s">
        <v>39</v>
      </c>
      <c r="CJ3" s="47" t="s">
        <v>232</v>
      </c>
      <c r="CK3" s="16"/>
      <c r="CL3" s="47" t="s">
        <v>220</v>
      </c>
      <c r="CM3" s="47" t="s">
        <v>221</v>
      </c>
      <c r="CN3" s="47" t="s">
        <v>222</v>
      </c>
      <c r="CO3" s="47" t="s">
        <v>223</v>
      </c>
      <c r="CP3" s="47" t="s">
        <v>224</v>
      </c>
      <c r="CQ3" s="47" t="s">
        <v>225</v>
      </c>
      <c r="CR3" s="47" t="s">
        <v>226</v>
      </c>
      <c r="CS3" s="47" t="s">
        <v>227</v>
      </c>
      <c r="CT3" s="47" t="s">
        <v>228</v>
      </c>
      <c r="CU3" s="47" t="s">
        <v>229</v>
      </c>
      <c r="CV3" s="47" t="s">
        <v>230</v>
      </c>
      <c r="CW3" s="47" t="s">
        <v>231</v>
      </c>
      <c r="CX3" s="47" t="s">
        <v>36</v>
      </c>
      <c r="CY3" s="47" t="s">
        <v>37</v>
      </c>
      <c r="CZ3" s="47" t="s">
        <v>38</v>
      </c>
      <c r="DA3" s="47" t="s">
        <v>39</v>
      </c>
      <c r="DB3" s="47" t="s">
        <v>232</v>
      </c>
      <c r="DC3" s="16"/>
      <c r="DD3" s="47" t="s">
        <v>220</v>
      </c>
      <c r="DE3" s="47" t="s">
        <v>221</v>
      </c>
      <c r="DF3" s="47" t="s">
        <v>222</v>
      </c>
      <c r="DG3" s="47" t="s">
        <v>223</v>
      </c>
      <c r="DH3" s="47" t="s">
        <v>224</v>
      </c>
      <c r="DI3" s="47" t="s">
        <v>225</v>
      </c>
      <c r="DJ3" s="47" t="s">
        <v>226</v>
      </c>
      <c r="DK3" s="47" t="s">
        <v>227</v>
      </c>
      <c r="DL3" s="47" t="s">
        <v>228</v>
      </c>
      <c r="DM3" s="47" t="s">
        <v>229</v>
      </c>
      <c r="DN3" s="47" t="s">
        <v>230</v>
      </c>
      <c r="DO3" s="47" t="s">
        <v>231</v>
      </c>
      <c r="DP3" s="47" t="s">
        <v>36</v>
      </c>
      <c r="DQ3" s="47" t="s">
        <v>37</v>
      </c>
      <c r="DR3" s="47" t="s">
        <v>38</v>
      </c>
      <c r="DS3" s="47" t="s">
        <v>39</v>
      </c>
      <c r="DT3" s="47" t="s">
        <v>232</v>
      </c>
      <c r="DU3" s="16"/>
      <c r="DV3" s="47" t="s">
        <v>220</v>
      </c>
      <c r="DW3" s="47" t="s">
        <v>221</v>
      </c>
      <c r="DX3" s="47" t="s">
        <v>222</v>
      </c>
      <c r="DY3" s="47" t="s">
        <v>223</v>
      </c>
      <c r="DZ3" s="47" t="s">
        <v>224</v>
      </c>
      <c r="EA3" s="47" t="s">
        <v>225</v>
      </c>
      <c r="EB3" s="47" t="s">
        <v>226</v>
      </c>
      <c r="EC3" s="47" t="s">
        <v>227</v>
      </c>
      <c r="ED3" s="47" t="s">
        <v>228</v>
      </c>
      <c r="EE3" s="47" t="s">
        <v>229</v>
      </c>
      <c r="EF3" s="47" t="s">
        <v>230</v>
      </c>
      <c r="EG3" s="47" t="s">
        <v>231</v>
      </c>
      <c r="EH3" s="47" t="s">
        <v>36</v>
      </c>
      <c r="EI3" s="47" t="s">
        <v>37</v>
      </c>
      <c r="EJ3" s="47" t="s">
        <v>38</v>
      </c>
      <c r="EK3" s="47" t="s">
        <v>39</v>
      </c>
      <c r="EL3" s="47" t="s">
        <v>232</v>
      </c>
      <c r="EM3" s="16"/>
      <c r="EN3" s="47" t="s">
        <v>220</v>
      </c>
      <c r="EO3" s="47" t="s">
        <v>221</v>
      </c>
      <c r="EP3" s="47" t="s">
        <v>222</v>
      </c>
      <c r="EQ3" s="47" t="s">
        <v>223</v>
      </c>
      <c r="ER3" s="47" t="s">
        <v>224</v>
      </c>
      <c r="ES3" s="47" t="s">
        <v>225</v>
      </c>
      <c r="ET3" s="47" t="s">
        <v>226</v>
      </c>
      <c r="EU3" s="47" t="s">
        <v>227</v>
      </c>
      <c r="EV3" s="47" t="s">
        <v>228</v>
      </c>
      <c r="EW3" s="47" t="s">
        <v>229</v>
      </c>
      <c r="EX3" s="47" t="s">
        <v>230</v>
      </c>
      <c r="EY3" s="47" t="s">
        <v>231</v>
      </c>
      <c r="EZ3" s="47" t="s">
        <v>36</v>
      </c>
      <c r="FA3" s="47" t="s">
        <v>37</v>
      </c>
      <c r="FB3" s="47" t="s">
        <v>38</v>
      </c>
      <c r="FC3" s="47" t="s">
        <v>39</v>
      </c>
      <c r="FD3" s="47" t="s">
        <v>232</v>
      </c>
      <c r="FE3" s="16"/>
      <c r="FF3" s="47" t="s">
        <v>220</v>
      </c>
      <c r="FG3" s="47" t="s">
        <v>221</v>
      </c>
      <c r="FH3" s="47" t="s">
        <v>222</v>
      </c>
      <c r="FI3" s="47" t="s">
        <v>223</v>
      </c>
      <c r="FJ3" s="47" t="s">
        <v>224</v>
      </c>
      <c r="FK3" s="47" t="s">
        <v>225</v>
      </c>
      <c r="FL3" s="47" t="s">
        <v>226</v>
      </c>
      <c r="FM3" s="47" t="s">
        <v>227</v>
      </c>
      <c r="FN3" s="47" t="s">
        <v>228</v>
      </c>
      <c r="FO3" s="47" t="s">
        <v>229</v>
      </c>
      <c r="FP3" s="47" t="s">
        <v>230</v>
      </c>
      <c r="FQ3" s="47" t="s">
        <v>231</v>
      </c>
      <c r="FR3" s="47" t="s">
        <v>36</v>
      </c>
      <c r="FS3" s="47" t="s">
        <v>37</v>
      </c>
      <c r="FT3" s="47" t="s">
        <v>38</v>
      </c>
      <c r="FU3" s="47" t="s">
        <v>39</v>
      </c>
      <c r="FV3" s="47" t="s">
        <v>232</v>
      </c>
      <c r="FW3" s="15"/>
    </row>
    <row r="4" spans="1:179" ht="16" x14ac:dyDescent="0.2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51">
        <v>1</v>
      </c>
      <c r="S4" s="51">
        <v>2</v>
      </c>
      <c r="T4" s="51">
        <v>3</v>
      </c>
      <c r="U4" s="51">
        <v>4</v>
      </c>
      <c r="V4" s="51">
        <v>5</v>
      </c>
      <c r="W4" s="51">
        <v>6</v>
      </c>
      <c r="X4" s="51">
        <v>7</v>
      </c>
      <c r="Y4" s="51">
        <v>8</v>
      </c>
      <c r="Z4" s="51">
        <v>9</v>
      </c>
      <c r="AA4" s="51">
        <v>10</v>
      </c>
      <c r="AB4" s="51">
        <v>11</v>
      </c>
      <c r="AC4" s="51">
        <v>12</v>
      </c>
      <c r="AD4" s="16"/>
      <c r="AE4" s="16"/>
      <c r="AF4" s="16"/>
      <c r="AG4" s="16"/>
      <c r="AH4" s="16"/>
      <c r="AI4" s="16"/>
      <c r="AJ4" s="51">
        <v>1</v>
      </c>
      <c r="AK4" s="51">
        <v>2</v>
      </c>
      <c r="AL4" s="51">
        <v>3</v>
      </c>
      <c r="AM4" s="51">
        <v>4</v>
      </c>
      <c r="AN4" s="51">
        <v>5</v>
      </c>
      <c r="AO4" s="51">
        <v>6</v>
      </c>
      <c r="AP4" s="51">
        <v>7</v>
      </c>
      <c r="AQ4" s="51">
        <v>8</v>
      </c>
      <c r="AR4" s="51">
        <v>9</v>
      </c>
      <c r="AS4" s="51">
        <v>10</v>
      </c>
      <c r="AT4" s="51">
        <v>11</v>
      </c>
      <c r="AU4" s="51">
        <v>12</v>
      </c>
      <c r="AV4" s="16"/>
      <c r="AW4" s="16"/>
      <c r="AX4" s="16"/>
      <c r="AY4" s="16"/>
      <c r="AZ4" s="16"/>
      <c r="BA4" s="16"/>
      <c r="BB4" s="51">
        <v>1</v>
      </c>
      <c r="BC4" s="51">
        <v>2</v>
      </c>
      <c r="BD4" s="51">
        <v>3</v>
      </c>
      <c r="BE4" s="51">
        <v>4</v>
      </c>
      <c r="BF4" s="51">
        <v>5</v>
      </c>
      <c r="BG4" s="51">
        <v>6</v>
      </c>
      <c r="BH4" s="51">
        <v>7</v>
      </c>
      <c r="BI4" s="51">
        <v>8</v>
      </c>
      <c r="BJ4" s="51">
        <v>9</v>
      </c>
      <c r="BK4" s="51">
        <v>10</v>
      </c>
      <c r="BL4" s="51">
        <v>11</v>
      </c>
      <c r="BM4" s="51">
        <v>12</v>
      </c>
      <c r="BN4" s="16"/>
      <c r="BO4" s="16"/>
      <c r="BP4" s="16"/>
      <c r="BQ4" s="16"/>
      <c r="BR4" s="16"/>
      <c r="BS4" s="16"/>
      <c r="BT4" s="51">
        <v>1</v>
      </c>
      <c r="BU4" s="51">
        <v>2</v>
      </c>
      <c r="BV4" s="51">
        <v>3</v>
      </c>
      <c r="BW4" s="51">
        <v>4</v>
      </c>
      <c r="BX4" s="51">
        <v>5</v>
      </c>
      <c r="BY4" s="51">
        <v>6</v>
      </c>
      <c r="BZ4" s="51">
        <v>7</v>
      </c>
      <c r="CA4" s="51">
        <v>8</v>
      </c>
      <c r="CB4" s="51">
        <v>9</v>
      </c>
      <c r="CC4" s="51">
        <v>10</v>
      </c>
      <c r="CD4" s="51">
        <v>11</v>
      </c>
      <c r="CE4" s="51">
        <v>12</v>
      </c>
      <c r="CF4" s="16"/>
      <c r="CG4" s="16"/>
      <c r="CH4" s="16"/>
      <c r="CI4" s="16"/>
      <c r="CJ4" s="16"/>
      <c r="CK4" s="16"/>
      <c r="CL4" s="51">
        <v>1</v>
      </c>
      <c r="CM4" s="51">
        <v>2</v>
      </c>
      <c r="CN4" s="51">
        <v>3</v>
      </c>
      <c r="CO4" s="51">
        <v>4</v>
      </c>
      <c r="CP4" s="51">
        <v>5</v>
      </c>
      <c r="CQ4" s="51">
        <v>6</v>
      </c>
      <c r="CR4" s="51">
        <v>7</v>
      </c>
      <c r="CS4" s="51">
        <v>8</v>
      </c>
      <c r="CT4" s="51">
        <v>9</v>
      </c>
      <c r="CU4" s="51">
        <v>10</v>
      </c>
      <c r="CV4" s="51">
        <v>11</v>
      </c>
      <c r="CW4" s="51">
        <v>12</v>
      </c>
      <c r="CX4" s="16"/>
      <c r="CY4" s="16"/>
      <c r="CZ4" s="16"/>
      <c r="DA4" s="16"/>
      <c r="DB4" s="16"/>
      <c r="DC4" s="16"/>
      <c r="DD4" s="51">
        <v>1</v>
      </c>
      <c r="DE4" s="51">
        <v>2</v>
      </c>
      <c r="DF4" s="51">
        <v>3</v>
      </c>
      <c r="DG4" s="51">
        <v>4</v>
      </c>
      <c r="DH4" s="51">
        <v>5</v>
      </c>
      <c r="DI4" s="51">
        <v>6</v>
      </c>
      <c r="DJ4" s="51">
        <v>7</v>
      </c>
      <c r="DK4" s="51">
        <v>8</v>
      </c>
      <c r="DL4" s="51">
        <v>9</v>
      </c>
      <c r="DM4" s="51">
        <v>10</v>
      </c>
      <c r="DN4" s="51">
        <v>11</v>
      </c>
      <c r="DO4" s="51">
        <v>12</v>
      </c>
      <c r="DP4" s="16"/>
      <c r="DQ4" s="16"/>
      <c r="DR4" s="16"/>
      <c r="DS4" s="16"/>
      <c r="DT4" s="16"/>
      <c r="DU4" s="16"/>
      <c r="DV4" s="51">
        <v>1</v>
      </c>
      <c r="DW4" s="51">
        <v>2</v>
      </c>
      <c r="DX4" s="51">
        <v>3</v>
      </c>
      <c r="DY4" s="51">
        <v>4</v>
      </c>
      <c r="DZ4" s="51">
        <v>5</v>
      </c>
      <c r="EA4" s="51">
        <v>6</v>
      </c>
      <c r="EB4" s="51">
        <v>7</v>
      </c>
      <c r="EC4" s="51">
        <v>8</v>
      </c>
      <c r="ED4" s="51">
        <v>9</v>
      </c>
      <c r="EE4" s="51">
        <v>10</v>
      </c>
      <c r="EF4" s="51">
        <v>11</v>
      </c>
      <c r="EG4" s="51">
        <v>12</v>
      </c>
      <c r="EH4" s="16"/>
      <c r="EI4" s="16"/>
      <c r="EJ4" s="16"/>
      <c r="EK4" s="16"/>
      <c r="EL4" s="16"/>
      <c r="EM4" s="16"/>
      <c r="EN4" s="51">
        <v>1</v>
      </c>
      <c r="EO4" s="51">
        <v>2</v>
      </c>
      <c r="EP4" s="51">
        <v>3</v>
      </c>
      <c r="EQ4" s="51">
        <v>4</v>
      </c>
      <c r="ER4" s="51">
        <v>5</v>
      </c>
      <c r="ES4" s="51">
        <v>6</v>
      </c>
      <c r="ET4" s="51">
        <v>7</v>
      </c>
      <c r="EU4" s="51">
        <v>8</v>
      </c>
      <c r="EV4" s="51">
        <v>9</v>
      </c>
      <c r="EW4" s="51">
        <v>10</v>
      </c>
      <c r="EX4" s="51">
        <v>11</v>
      </c>
      <c r="EY4" s="51">
        <v>12</v>
      </c>
      <c r="EZ4" s="16"/>
      <c r="FA4" s="16"/>
      <c r="FB4" s="16"/>
      <c r="FC4" s="16"/>
      <c r="FD4" s="16"/>
      <c r="FE4" s="16"/>
      <c r="FF4" s="51">
        <v>1</v>
      </c>
      <c r="FG4" s="51">
        <v>2</v>
      </c>
      <c r="FH4" s="51">
        <v>3</v>
      </c>
      <c r="FI4" s="51">
        <v>4</v>
      </c>
      <c r="FJ4" s="51">
        <v>5</v>
      </c>
      <c r="FK4" s="51">
        <v>6</v>
      </c>
      <c r="FL4" s="51">
        <v>7</v>
      </c>
      <c r="FM4" s="51">
        <v>8</v>
      </c>
      <c r="FN4" s="51">
        <v>9</v>
      </c>
      <c r="FO4" s="51">
        <v>10</v>
      </c>
      <c r="FP4" s="51">
        <v>11</v>
      </c>
      <c r="FQ4" s="51">
        <v>12</v>
      </c>
      <c r="FR4" s="16"/>
      <c r="FS4" s="16"/>
      <c r="FT4" s="16"/>
      <c r="FU4" s="16"/>
      <c r="FV4" s="16"/>
      <c r="FW4" s="15"/>
    </row>
    <row r="5" spans="1:179" ht="20" customHeight="1" x14ac:dyDescent="0.2">
      <c r="B5" s="66" t="s">
        <v>202</v>
      </c>
      <c r="C5" s="67"/>
      <c r="D5" s="67"/>
      <c r="E5" s="68">
        <f>SUM(E6:E19)</f>
        <v>575.75</v>
      </c>
      <c r="F5" s="68">
        <f>SUM(F6:F19)</f>
        <v>0</v>
      </c>
      <c r="G5" s="68">
        <f>SUM(G6:G19)</f>
        <v>575.75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69">
        <f t="shared" ref="R5:AH5" si="0">SUM(R6:R19)</f>
        <v>14.7</v>
      </c>
      <c r="S5" s="69">
        <f t="shared" si="0"/>
        <v>0</v>
      </c>
      <c r="T5" s="69">
        <f t="shared" si="0"/>
        <v>8.4</v>
      </c>
      <c r="U5" s="69">
        <f t="shared" si="0"/>
        <v>0</v>
      </c>
      <c r="V5" s="69">
        <f t="shared" si="0"/>
        <v>0</v>
      </c>
      <c r="W5" s="69">
        <f t="shared" si="0"/>
        <v>196.5</v>
      </c>
      <c r="X5" s="69">
        <f t="shared" si="0"/>
        <v>0</v>
      </c>
      <c r="Y5" s="69">
        <f t="shared" si="0"/>
        <v>100</v>
      </c>
      <c r="Z5" s="69">
        <f t="shared" si="0"/>
        <v>0</v>
      </c>
      <c r="AA5" s="69">
        <f t="shared" si="0"/>
        <v>0</v>
      </c>
      <c r="AB5" s="69">
        <f t="shared" si="0"/>
        <v>100</v>
      </c>
      <c r="AC5" s="69">
        <f t="shared" si="0"/>
        <v>0</v>
      </c>
      <c r="AD5" s="68">
        <f t="shared" si="0"/>
        <v>23.1</v>
      </c>
      <c r="AE5" s="68">
        <f t="shared" si="0"/>
        <v>196.5</v>
      </c>
      <c r="AF5" s="68">
        <f t="shared" si="0"/>
        <v>100</v>
      </c>
      <c r="AG5" s="68">
        <f t="shared" si="0"/>
        <v>100</v>
      </c>
      <c r="AH5" s="68">
        <f t="shared" si="0"/>
        <v>419.6</v>
      </c>
      <c r="AI5" s="68"/>
      <c r="AJ5" s="69">
        <f t="shared" ref="AJ5:AZ5" si="1">SUM(AJ6:AJ19)</f>
        <v>0</v>
      </c>
      <c r="AK5" s="69">
        <f t="shared" si="1"/>
        <v>0</v>
      </c>
      <c r="AL5" s="69">
        <f t="shared" si="1"/>
        <v>0</v>
      </c>
      <c r="AM5" s="69">
        <f t="shared" si="1"/>
        <v>0</v>
      </c>
      <c r="AN5" s="69">
        <f t="shared" si="1"/>
        <v>0</v>
      </c>
      <c r="AO5" s="69">
        <f t="shared" si="1"/>
        <v>0</v>
      </c>
      <c r="AP5" s="69">
        <f t="shared" si="1"/>
        <v>0</v>
      </c>
      <c r="AQ5" s="69">
        <f t="shared" si="1"/>
        <v>0</v>
      </c>
      <c r="AR5" s="69">
        <f t="shared" si="1"/>
        <v>0</v>
      </c>
      <c r="AS5" s="69">
        <f t="shared" si="1"/>
        <v>0</v>
      </c>
      <c r="AT5" s="69">
        <f t="shared" si="1"/>
        <v>0</v>
      </c>
      <c r="AU5" s="69">
        <f t="shared" si="1"/>
        <v>0</v>
      </c>
      <c r="AV5" s="68">
        <f t="shared" si="1"/>
        <v>0</v>
      </c>
      <c r="AW5" s="68">
        <f t="shared" si="1"/>
        <v>0</v>
      </c>
      <c r="AX5" s="68">
        <f t="shared" si="1"/>
        <v>0</v>
      </c>
      <c r="AY5" s="68">
        <f t="shared" si="1"/>
        <v>0</v>
      </c>
      <c r="AZ5" s="68">
        <f t="shared" si="1"/>
        <v>0</v>
      </c>
      <c r="BA5" s="68"/>
      <c r="BB5" s="69">
        <f t="shared" ref="BB5:BR5" si="2">SUM(BB6:BB19)</f>
        <v>14.7</v>
      </c>
      <c r="BC5" s="69">
        <f t="shared" si="2"/>
        <v>0</v>
      </c>
      <c r="BD5" s="69">
        <f t="shared" si="2"/>
        <v>8.4</v>
      </c>
      <c r="BE5" s="69">
        <f t="shared" si="2"/>
        <v>0</v>
      </c>
      <c r="BF5" s="69">
        <f t="shared" si="2"/>
        <v>0</v>
      </c>
      <c r="BG5" s="69">
        <f t="shared" si="2"/>
        <v>196.5</v>
      </c>
      <c r="BH5" s="69">
        <f t="shared" si="2"/>
        <v>0</v>
      </c>
      <c r="BI5" s="69">
        <f t="shared" si="2"/>
        <v>100</v>
      </c>
      <c r="BJ5" s="69">
        <f t="shared" si="2"/>
        <v>0</v>
      </c>
      <c r="BK5" s="69">
        <f t="shared" si="2"/>
        <v>0</v>
      </c>
      <c r="BL5" s="69">
        <f t="shared" si="2"/>
        <v>100</v>
      </c>
      <c r="BM5" s="69">
        <f t="shared" si="2"/>
        <v>0</v>
      </c>
      <c r="BN5" s="68">
        <f t="shared" si="2"/>
        <v>23.1</v>
      </c>
      <c r="BO5" s="68">
        <f t="shared" si="2"/>
        <v>196.5</v>
      </c>
      <c r="BP5" s="68">
        <f t="shared" si="2"/>
        <v>100</v>
      </c>
      <c r="BQ5" s="68">
        <f t="shared" si="2"/>
        <v>100</v>
      </c>
      <c r="BR5" s="68">
        <f t="shared" si="2"/>
        <v>419.6</v>
      </c>
      <c r="BS5" s="68"/>
      <c r="BT5" s="69">
        <f t="shared" ref="BT5:CJ5" si="3">SUM(BT6:BT19)</f>
        <v>38.825000000000003</v>
      </c>
      <c r="BU5" s="69">
        <f t="shared" si="3"/>
        <v>48.275000000000006</v>
      </c>
      <c r="BV5" s="69">
        <f t="shared" si="3"/>
        <v>28.5</v>
      </c>
      <c r="BW5" s="69">
        <f t="shared" si="3"/>
        <v>27.45</v>
      </c>
      <c r="BX5" s="69">
        <f t="shared" si="3"/>
        <v>27.45</v>
      </c>
      <c r="BY5" s="69">
        <f t="shared" si="3"/>
        <v>8.75</v>
      </c>
      <c r="BZ5" s="69">
        <f t="shared" si="3"/>
        <v>19.125</v>
      </c>
      <c r="CA5" s="69">
        <f t="shared" si="3"/>
        <v>19.125</v>
      </c>
      <c r="CB5" s="69">
        <f t="shared" si="3"/>
        <v>52.458333333333336</v>
      </c>
      <c r="CC5" s="69">
        <f t="shared" si="3"/>
        <v>52.458333333333336</v>
      </c>
      <c r="CD5" s="69">
        <f t="shared" si="3"/>
        <v>48.333333333333336</v>
      </c>
      <c r="CE5" s="69">
        <f t="shared" si="3"/>
        <v>48.333333333333336</v>
      </c>
      <c r="CF5" s="68">
        <f t="shared" si="3"/>
        <v>115.60000000000001</v>
      </c>
      <c r="CG5" s="68">
        <f t="shared" si="3"/>
        <v>63.65</v>
      </c>
      <c r="CH5" s="68">
        <f t="shared" si="3"/>
        <v>90.708333333333343</v>
      </c>
      <c r="CI5" s="68">
        <f t="shared" si="3"/>
        <v>149.125</v>
      </c>
      <c r="CJ5" s="68">
        <f t="shared" si="3"/>
        <v>419.08333333333326</v>
      </c>
      <c r="CK5" s="68"/>
      <c r="CL5" s="69">
        <f t="shared" ref="CL5:DB5" si="4">SUM(CL6:CL19)</f>
        <v>0</v>
      </c>
      <c r="CM5" s="69">
        <f t="shared" si="4"/>
        <v>0</v>
      </c>
      <c r="CN5" s="69">
        <f t="shared" si="4"/>
        <v>0</v>
      </c>
      <c r="CO5" s="69">
        <f t="shared" si="4"/>
        <v>0</v>
      </c>
      <c r="CP5" s="69">
        <f t="shared" si="4"/>
        <v>0</v>
      </c>
      <c r="CQ5" s="69">
        <f t="shared" si="4"/>
        <v>0</v>
      </c>
      <c r="CR5" s="69">
        <f t="shared" si="4"/>
        <v>0</v>
      </c>
      <c r="CS5" s="69">
        <f t="shared" si="4"/>
        <v>0</v>
      </c>
      <c r="CT5" s="69">
        <f t="shared" si="4"/>
        <v>0</v>
      </c>
      <c r="CU5" s="69">
        <f t="shared" si="4"/>
        <v>0</v>
      </c>
      <c r="CV5" s="69">
        <f t="shared" si="4"/>
        <v>0</v>
      </c>
      <c r="CW5" s="69">
        <f t="shared" si="4"/>
        <v>0</v>
      </c>
      <c r="CX5" s="68">
        <f t="shared" si="4"/>
        <v>0</v>
      </c>
      <c r="CY5" s="68">
        <f t="shared" si="4"/>
        <v>0</v>
      </c>
      <c r="CZ5" s="68">
        <f t="shared" si="4"/>
        <v>0</v>
      </c>
      <c r="DA5" s="68">
        <f t="shared" si="4"/>
        <v>0</v>
      </c>
      <c r="DB5" s="68">
        <f t="shared" si="4"/>
        <v>0</v>
      </c>
      <c r="DC5" s="68"/>
      <c r="DD5" s="69">
        <f t="shared" ref="DD5:DT5" si="5">SUM(DD6:DD19)</f>
        <v>38.825000000000003</v>
      </c>
      <c r="DE5" s="69">
        <f t="shared" si="5"/>
        <v>48.275000000000006</v>
      </c>
      <c r="DF5" s="69">
        <f t="shared" si="5"/>
        <v>28.5</v>
      </c>
      <c r="DG5" s="69">
        <f t="shared" si="5"/>
        <v>27.45</v>
      </c>
      <c r="DH5" s="69">
        <f t="shared" si="5"/>
        <v>27.45</v>
      </c>
      <c r="DI5" s="69">
        <f t="shared" si="5"/>
        <v>8.75</v>
      </c>
      <c r="DJ5" s="69">
        <f t="shared" si="5"/>
        <v>19.125</v>
      </c>
      <c r="DK5" s="69">
        <f t="shared" si="5"/>
        <v>19.125</v>
      </c>
      <c r="DL5" s="69">
        <f t="shared" si="5"/>
        <v>52.458333333333336</v>
      </c>
      <c r="DM5" s="69">
        <f t="shared" si="5"/>
        <v>52.458333333333336</v>
      </c>
      <c r="DN5" s="69">
        <f t="shared" si="5"/>
        <v>48.333333333333336</v>
      </c>
      <c r="DO5" s="69">
        <f t="shared" si="5"/>
        <v>48.333333333333336</v>
      </c>
      <c r="DP5" s="68">
        <f t="shared" si="5"/>
        <v>115.60000000000001</v>
      </c>
      <c r="DQ5" s="68">
        <f t="shared" si="5"/>
        <v>63.65</v>
      </c>
      <c r="DR5" s="68">
        <f t="shared" si="5"/>
        <v>90.708333333333343</v>
      </c>
      <c r="DS5" s="68">
        <f t="shared" si="5"/>
        <v>149.125</v>
      </c>
      <c r="DT5" s="68">
        <f t="shared" si="5"/>
        <v>419.08333333333326</v>
      </c>
      <c r="DU5" s="68"/>
      <c r="DV5" s="69">
        <f t="shared" ref="DV5:EL5" si="6">SUM(DV6:DV19)</f>
        <v>93.791899999999998</v>
      </c>
      <c r="DW5" s="69">
        <f t="shared" si="6"/>
        <v>39.087500000000006</v>
      </c>
      <c r="DX5" s="69">
        <f t="shared" si="6"/>
        <v>52.475000000000001</v>
      </c>
      <c r="DY5" s="69">
        <f t="shared" si="6"/>
        <v>43.025000000000006</v>
      </c>
      <c r="DZ5" s="69">
        <f t="shared" si="6"/>
        <v>23.45</v>
      </c>
      <c r="EA5" s="69">
        <f t="shared" si="6"/>
        <v>26.706250000000001</v>
      </c>
      <c r="EB5" s="69">
        <f t="shared" si="6"/>
        <v>27.45</v>
      </c>
      <c r="EC5" s="69">
        <f t="shared" si="6"/>
        <v>23.25</v>
      </c>
      <c r="ED5" s="69">
        <f t="shared" si="6"/>
        <v>19.125</v>
      </c>
      <c r="EE5" s="69">
        <f t="shared" si="6"/>
        <v>19.125</v>
      </c>
      <c r="EF5" s="69">
        <f t="shared" si="6"/>
        <v>52.458333333333336</v>
      </c>
      <c r="EG5" s="69">
        <f t="shared" si="6"/>
        <v>52.458333333333336</v>
      </c>
      <c r="EH5" s="68">
        <f t="shared" si="6"/>
        <v>185.35439999999997</v>
      </c>
      <c r="EI5" s="68">
        <f t="shared" si="6"/>
        <v>93.181250000000006</v>
      </c>
      <c r="EJ5" s="68">
        <f t="shared" si="6"/>
        <v>69.825000000000003</v>
      </c>
      <c r="EK5" s="68">
        <f t="shared" si="6"/>
        <v>124.04166666666667</v>
      </c>
      <c r="EL5" s="68">
        <f t="shared" si="6"/>
        <v>472.40231666666671</v>
      </c>
      <c r="EM5" s="68"/>
      <c r="EN5" s="69">
        <f t="shared" ref="EN5:FD5" si="7">SUM(EN6:EN19)</f>
        <v>0</v>
      </c>
      <c r="EO5" s="69">
        <f t="shared" si="7"/>
        <v>0</v>
      </c>
      <c r="EP5" s="69">
        <f t="shared" si="7"/>
        <v>0</v>
      </c>
      <c r="EQ5" s="69">
        <f t="shared" si="7"/>
        <v>0</v>
      </c>
      <c r="ER5" s="69">
        <f t="shared" si="7"/>
        <v>0</v>
      </c>
      <c r="ES5" s="69">
        <f t="shared" si="7"/>
        <v>0</v>
      </c>
      <c r="ET5" s="69">
        <f t="shared" si="7"/>
        <v>0</v>
      </c>
      <c r="EU5" s="69">
        <f t="shared" si="7"/>
        <v>0</v>
      </c>
      <c r="EV5" s="69">
        <f t="shared" si="7"/>
        <v>0</v>
      </c>
      <c r="EW5" s="69">
        <f t="shared" si="7"/>
        <v>0</v>
      </c>
      <c r="EX5" s="69">
        <f t="shared" si="7"/>
        <v>0</v>
      </c>
      <c r="EY5" s="69">
        <f t="shared" si="7"/>
        <v>0</v>
      </c>
      <c r="EZ5" s="68">
        <f t="shared" si="7"/>
        <v>0</v>
      </c>
      <c r="FA5" s="68">
        <f t="shared" si="7"/>
        <v>0</v>
      </c>
      <c r="FB5" s="68">
        <f t="shared" si="7"/>
        <v>0</v>
      </c>
      <c r="FC5" s="68">
        <f t="shared" si="7"/>
        <v>0</v>
      </c>
      <c r="FD5" s="68">
        <f t="shared" si="7"/>
        <v>0</v>
      </c>
      <c r="FE5" s="68"/>
      <c r="FF5" s="69">
        <f t="shared" ref="FF5:FV5" si="8">SUM(FF6:FF19)</f>
        <v>93.791899999999998</v>
      </c>
      <c r="FG5" s="69">
        <f t="shared" si="8"/>
        <v>39.087500000000006</v>
      </c>
      <c r="FH5" s="69">
        <f t="shared" si="8"/>
        <v>52.475000000000001</v>
      </c>
      <c r="FI5" s="69">
        <f t="shared" si="8"/>
        <v>43.025000000000006</v>
      </c>
      <c r="FJ5" s="69">
        <f t="shared" si="8"/>
        <v>23.45</v>
      </c>
      <c r="FK5" s="69">
        <f t="shared" si="8"/>
        <v>26.706250000000001</v>
      </c>
      <c r="FL5" s="69">
        <f t="shared" si="8"/>
        <v>27.45</v>
      </c>
      <c r="FM5" s="69">
        <f t="shared" si="8"/>
        <v>23.25</v>
      </c>
      <c r="FN5" s="69">
        <f t="shared" si="8"/>
        <v>19.125</v>
      </c>
      <c r="FO5" s="69">
        <f t="shared" si="8"/>
        <v>19.125</v>
      </c>
      <c r="FP5" s="69">
        <f t="shared" si="8"/>
        <v>52.458333333333336</v>
      </c>
      <c r="FQ5" s="69">
        <f t="shared" si="8"/>
        <v>52.458333333333336</v>
      </c>
      <c r="FR5" s="68">
        <f t="shared" si="8"/>
        <v>185.35439999999997</v>
      </c>
      <c r="FS5" s="68">
        <f t="shared" si="8"/>
        <v>93.181250000000006</v>
      </c>
      <c r="FT5" s="68">
        <f t="shared" si="8"/>
        <v>69.825000000000003</v>
      </c>
      <c r="FU5" s="68">
        <f t="shared" si="8"/>
        <v>124.04166666666667</v>
      </c>
      <c r="FV5" s="68">
        <f t="shared" si="8"/>
        <v>472.40231666666671</v>
      </c>
      <c r="FW5" s="15"/>
    </row>
    <row r="6" spans="1:179" ht="16" x14ac:dyDescent="0.2">
      <c r="B6" s="46">
        <v>1</v>
      </c>
      <c r="C6" s="14" t="s">
        <v>65</v>
      </c>
      <c r="E6" s="13">
        <v>0</v>
      </c>
      <c r="F6" s="13">
        <v>0</v>
      </c>
      <c r="G6" s="17">
        <f t="shared" ref="G6:G18" si="9">+E6+F6</f>
        <v>0</v>
      </c>
      <c r="H6" s="49" t="s">
        <v>215</v>
      </c>
      <c r="I6" s="49" t="s">
        <v>216</v>
      </c>
      <c r="J6" s="49" t="s">
        <v>262</v>
      </c>
      <c r="K6" s="54">
        <v>10</v>
      </c>
      <c r="L6" s="54">
        <v>0</v>
      </c>
      <c r="M6" s="54">
        <v>0</v>
      </c>
      <c r="N6" s="54">
        <v>0</v>
      </c>
      <c r="O6" s="48">
        <f t="shared" ref="O6:O18" si="10">+N6+1</f>
        <v>1</v>
      </c>
      <c r="P6" s="48">
        <f t="shared" ref="P6:P18" si="11">+K6+L6</f>
        <v>10</v>
      </c>
      <c r="R6" s="59">
        <f t="shared" ref="R6:AC18" si="12">IF($N6&lt;R$4,0,IF($N6=R$4,$E6,0))</f>
        <v>0</v>
      </c>
      <c r="S6" s="59">
        <f t="shared" ref="S6:AC16" si="13">IF($N6&lt;S$4,0,IF($N6=S$4,$E6,0))</f>
        <v>0</v>
      </c>
      <c r="T6" s="59">
        <f t="shared" si="13"/>
        <v>0</v>
      </c>
      <c r="U6" s="59">
        <f t="shared" si="13"/>
        <v>0</v>
      </c>
      <c r="V6" s="59">
        <f t="shared" si="13"/>
        <v>0</v>
      </c>
      <c r="W6" s="59">
        <f t="shared" si="13"/>
        <v>0</v>
      </c>
      <c r="X6" s="59">
        <f t="shared" si="13"/>
        <v>0</v>
      </c>
      <c r="Y6" s="59">
        <f t="shared" si="13"/>
        <v>0</v>
      </c>
      <c r="Z6" s="59">
        <f t="shared" si="13"/>
        <v>0</v>
      </c>
      <c r="AA6" s="59">
        <f t="shared" si="13"/>
        <v>0</v>
      </c>
      <c r="AB6" s="59">
        <f t="shared" si="13"/>
        <v>0</v>
      </c>
      <c r="AC6" s="59">
        <f t="shared" si="13"/>
        <v>0</v>
      </c>
      <c r="AD6" s="59">
        <f t="shared" ref="AD6:AD18" si="14">SUM(R6:T6)</f>
        <v>0</v>
      </c>
      <c r="AE6" s="59">
        <f t="shared" ref="AE6:AE18" si="15">SUM(U6:W6)</f>
        <v>0</v>
      </c>
      <c r="AF6" s="59">
        <f t="shared" ref="AF6:AF18" si="16">SUM(X6:Z6)</f>
        <v>0</v>
      </c>
      <c r="AG6" s="59">
        <f t="shared" ref="AG6:AG18" si="17">SUM(AA6:AC6)</f>
        <v>0</v>
      </c>
      <c r="AH6" s="59">
        <f t="shared" ref="AH6:AH18" si="18">SUM(AD6:AG6)</f>
        <v>0</v>
      </c>
      <c r="AI6" s="59"/>
      <c r="AJ6" s="59">
        <f t="shared" ref="AJ6:AU18" si="19">IF($N6&lt;AJ$4,0,IF($N6=AJ$4,$F6,0))</f>
        <v>0</v>
      </c>
      <c r="AK6" s="59">
        <f t="shared" ref="AK6:AU16" si="20">IF($N6&lt;AK$4,0,IF($N6=AK$4,$F6,0))</f>
        <v>0</v>
      </c>
      <c r="AL6" s="59">
        <f t="shared" si="20"/>
        <v>0</v>
      </c>
      <c r="AM6" s="59">
        <f t="shared" si="20"/>
        <v>0</v>
      </c>
      <c r="AN6" s="59">
        <f t="shared" si="20"/>
        <v>0</v>
      </c>
      <c r="AO6" s="59">
        <f t="shared" si="20"/>
        <v>0</v>
      </c>
      <c r="AP6" s="59">
        <f t="shared" si="20"/>
        <v>0</v>
      </c>
      <c r="AQ6" s="59">
        <f t="shared" si="20"/>
        <v>0</v>
      </c>
      <c r="AR6" s="59">
        <f t="shared" si="20"/>
        <v>0</v>
      </c>
      <c r="AS6" s="59">
        <f t="shared" si="20"/>
        <v>0</v>
      </c>
      <c r="AT6" s="59">
        <f t="shared" si="20"/>
        <v>0</v>
      </c>
      <c r="AU6" s="59">
        <f t="shared" si="20"/>
        <v>0</v>
      </c>
      <c r="AV6" s="59">
        <f t="shared" ref="AV6:AV18" si="21">SUM(AJ6:AL6)</f>
        <v>0</v>
      </c>
      <c r="AW6" s="59">
        <f t="shared" ref="AW6:AW18" si="22">SUM(AM6:AO6)</f>
        <v>0</v>
      </c>
      <c r="AX6" s="59">
        <f t="shared" ref="AX6:AX18" si="23">SUM(AP6:AR6)</f>
        <v>0</v>
      </c>
      <c r="AY6" s="59">
        <f t="shared" ref="AY6:AY18" si="24">SUM(AS6:AU6)</f>
        <v>0</v>
      </c>
      <c r="AZ6" s="59">
        <f t="shared" ref="AZ6:AZ18" si="25">SUM(AV6:AY6)</f>
        <v>0</v>
      </c>
      <c r="BA6" s="59"/>
      <c r="BB6" s="59">
        <f t="shared" ref="BB6:BB18" si="26">+R6+AJ6</f>
        <v>0</v>
      </c>
      <c r="BC6" s="59">
        <f t="shared" ref="BC6:BC18" si="27">+S6+AK6</f>
        <v>0</v>
      </c>
      <c r="BD6" s="59">
        <f t="shared" ref="BD6:BD18" si="28">+T6+AL6</f>
        <v>0</v>
      </c>
      <c r="BE6" s="59">
        <f t="shared" ref="BE6:BE18" si="29">+U6+AM6</f>
        <v>0</v>
      </c>
      <c r="BF6" s="59">
        <f t="shared" ref="BF6:BF18" si="30">+V6+AN6</f>
        <v>0</v>
      </c>
      <c r="BG6" s="59">
        <f t="shared" ref="BG6:BG18" si="31">+W6+AO6</f>
        <v>0</v>
      </c>
      <c r="BH6" s="59">
        <f t="shared" ref="BH6:BH18" si="32">+X6+AP6</f>
        <v>0</v>
      </c>
      <c r="BI6" s="59">
        <f t="shared" ref="BI6:BI18" si="33">+Y6+AQ6</f>
        <v>0</v>
      </c>
      <c r="BJ6" s="59">
        <f t="shared" ref="BJ6:BJ18" si="34">+Z6+AR6</f>
        <v>0</v>
      </c>
      <c r="BK6" s="59">
        <f t="shared" ref="BK6:BK18" si="35">+AA6+AS6</f>
        <v>0</v>
      </c>
      <c r="BL6" s="59">
        <f t="shared" ref="BL6:BL18" si="36">+AB6+AT6</f>
        <v>0</v>
      </c>
      <c r="BM6" s="59">
        <f t="shared" ref="BM6:BM18" si="37">+AC6+AU6</f>
        <v>0</v>
      </c>
      <c r="BN6" s="59">
        <f t="shared" ref="BN6:BN18" si="38">SUM(BB6:BD6)</f>
        <v>0</v>
      </c>
      <c r="BO6" s="59">
        <f t="shared" ref="BO6:BO18" si="39">SUM(BE6:BG6)</f>
        <v>0</v>
      </c>
      <c r="BP6" s="59">
        <f t="shared" ref="BP6:BP18" si="40">SUM(BH6:BJ6)</f>
        <v>0</v>
      </c>
      <c r="BQ6" s="59">
        <f t="shared" ref="BQ6:BQ18" si="41">SUM(BK6:BM6)</f>
        <v>0</v>
      </c>
      <c r="BR6" s="59">
        <f t="shared" ref="BR6:BR18" si="42">SUM(BN6:BQ6)</f>
        <v>0</v>
      </c>
      <c r="BS6" s="59"/>
      <c r="BT6" s="59">
        <f t="shared" ref="BT6:CE18" si="43">IF(BT$4&lt;$O6,0,IF(AND(BT$4&gt;=$O6,BT$4&lt;=$K6+$N6),$E6/$K6,0))</f>
        <v>0</v>
      </c>
      <c r="BU6" s="59">
        <f t="shared" ref="BU6:CE16" si="44">IF(BU$4&lt;$O6,0,IF(AND(BU$4&gt;=$O6,BU$4&lt;=$K6+$N6),$E6/$K6,0))</f>
        <v>0</v>
      </c>
      <c r="BV6" s="59">
        <f t="shared" si="44"/>
        <v>0</v>
      </c>
      <c r="BW6" s="59">
        <f t="shared" si="44"/>
        <v>0</v>
      </c>
      <c r="BX6" s="59">
        <f t="shared" si="44"/>
        <v>0</v>
      </c>
      <c r="BY6" s="59">
        <f t="shared" si="44"/>
        <v>0</v>
      </c>
      <c r="BZ6" s="59">
        <f t="shared" si="44"/>
        <v>0</v>
      </c>
      <c r="CA6" s="59">
        <f t="shared" si="44"/>
        <v>0</v>
      </c>
      <c r="CB6" s="59">
        <f t="shared" si="44"/>
        <v>0</v>
      </c>
      <c r="CC6" s="59">
        <f t="shared" si="44"/>
        <v>0</v>
      </c>
      <c r="CD6" s="59">
        <f t="shared" si="44"/>
        <v>0</v>
      </c>
      <c r="CE6" s="59">
        <f t="shared" si="44"/>
        <v>0</v>
      </c>
      <c r="CF6" s="59">
        <f t="shared" ref="CF6:CF18" si="45">SUM(BT6:BV6)</f>
        <v>0</v>
      </c>
      <c r="CG6" s="59">
        <f t="shared" ref="CG6:CG18" si="46">SUM(BW6:BY6)</f>
        <v>0</v>
      </c>
      <c r="CH6" s="59">
        <f t="shared" ref="CH6:CH18" si="47">SUM(BZ6:CB6)</f>
        <v>0</v>
      </c>
      <c r="CI6" s="59">
        <f t="shared" ref="CI6:CI18" si="48">SUM(CC6:CE6)</f>
        <v>0</v>
      </c>
      <c r="CJ6" s="59">
        <f t="shared" ref="CJ6:CJ18" si="49">SUM(CF6:CI6)</f>
        <v>0</v>
      </c>
      <c r="CK6" s="59"/>
      <c r="CL6" s="59">
        <f t="shared" ref="CL6:CW18" si="50">IF(CL$4&lt;$O6+$K6,0,IF(AND(CL$4&gt;=$O6+$K6,CL$4&lt;=$L6+$K6),$F6/$L6,0))</f>
        <v>0</v>
      </c>
      <c r="CM6" s="59">
        <f t="shared" si="50"/>
        <v>0</v>
      </c>
      <c r="CN6" s="59">
        <f t="shared" si="50"/>
        <v>0</v>
      </c>
      <c r="CO6" s="59">
        <f t="shared" si="50"/>
        <v>0</v>
      </c>
      <c r="CP6" s="59">
        <f t="shared" si="50"/>
        <v>0</v>
      </c>
      <c r="CQ6" s="59">
        <f t="shared" si="50"/>
        <v>0</v>
      </c>
      <c r="CR6" s="59">
        <f t="shared" si="50"/>
        <v>0</v>
      </c>
      <c r="CS6" s="59">
        <f t="shared" si="50"/>
        <v>0</v>
      </c>
      <c r="CT6" s="59">
        <f t="shared" si="50"/>
        <v>0</v>
      </c>
      <c r="CU6" s="59">
        <f t="shared" si="50"/>
        <v>0</v>
      </c>
      <c r="CV6" s="59">
        <f t="shared" si="50"/>
        <v>0</v>
      </c>
      <c r="CW6" s="59">
        <f t="shared" si="50"/>
        <v>0</v>
      </c>
      <c r="CX6" s="59">
        <f t="shared" ref="CX6:CX18" si="51">SUM(CL6:CN6)</f>
        <v>0</v>
      </c>
      <c r="CY6" s="59">
        <f t="shared" ref="CY6:CY18" si="52">SUM(CO6:CQ6)</f>
        <v>0</v>
      </c>
      <c r="CZ6" s="59">
        <f t="shared" ref="CZ6:CZ18" si="53">SUM(CR6:CT6)</f>
        <v>0</v>
      </c>
      <c r="DA6" s="59">
        <f t="shared" ref="DA6:DA18" si="54">SUM(CU6:CW6)</f>
        <v>0</v>
      </c>
      <c r="DB6" s="59">
        <f t="shared" ref="DB6:DB18" si="55">SUM(CX6:DA6)</f>
        <v>0</v>
      </c>
      <c r="DC6" s="59"/>
      <c r="DD6" s="59">
        <f t="shared" ref="DD6:DD18" si="56">+BT6+CL6</f>
        <v>0</v>
      </c>
      <c r="DE6" s="59">
        <f t="shared" ref="DE6:DE18" si="57">+BU6+CM6</f>
        <v>0</v>
      </c>
      <c r="DF6" s="59">
        <f t="shared" ref="DF6:DF18" si="58">+BV6+CN6</f>
        <v>0</v>
      </c>
      <c r="DG6" s="59">
        <f t="shared" ref="DG6:DG18" si="59">+BW6+CO6</f>
        <v>0</v>
      </c>
      <c r="DH6" s="59">
        <f t="shared" ref="DH6:DH18" si="60">+BX6+CP6</f>
        <v>0</v>
      </c>
      <c r="DI6" s="59">
        <f t="shared" ref="DI6:DI18" si="61">+BY6+CQ6</f>
        <v>0</v>
      </c>
      <c r="DJ6" s="59">
        <f t="shared" ref="DJ6:DJ18" si="62">+BZ6+CR6</f>
        <v>0</v>
      </c>
      <c r="DK6" s="59">
        <f t="shared" ref="DK6:DK18" si="63">+CA6+CS6</f>
        <v>0</v>
      </c>
      <c r="DL6" s="59">
        <f t="shared" ref="DL6:DL18" si="64">+CB6+CT6</f>
        <v>0</v>
      </c>
      <c r="DM6" s="59">
        <f t="shared" ref="DM6:DM18" si="65">+CC6+CU6</f>
        <v>0</v>
      </c>
      <c r="DN6" s="59">
        <f t="shared" ref="DN6:DN18" si="66">+CD6+CV6</f>
        <v>0</v>
      </c>
      <c r="DO6" s="59">
        <f t="shared" ref="DO6:DO18" si="67">+CE6+CW6</f>
        <v>0</v>
      </c>
      <c r="DP6" s="59">
        <f t="shared" ref="DP6:DP18" si="68">SUM(DD6:DF6)</f>
        <v>0</v>
      </c>
      <c r="DQ6" s="59">
        <f t="shared" ref="DQ6:DQ18" si="69">SUM(DG6:DI6)</f>
        <v>0</v>
      </c>
      <c r="DR6" s="59">
        <f t="shared" ref="DR6:DR18" si="70">SUM(DJ6:DL6)</f>
        <v>0</v>
      </c>
      <c r="DS6" s="59">
        <f t="shared" ref="DS6:DS18" si="71">SUM(DM6:DO6)</f>
        <v>0</v>
      </c>
      <c r="DT6" s="59">
        <f t="shared" ref="DT6:DT18" si="72">SUM(DP6:DS6)</f>
        <v>0</v>
      </c>
      <c r="DU6" s="59"/>
      <c r="DV6" s="70">
        <v>31.0794</v>
      </c>
      <c r="DW6" s="70">
        <v>0</v>
      </c>
      <c r="DX6" s="70">
        <v>0</v>
      </c>
      <c r="DY6" s="70">
        <v>0</v>
      </c>
      <c r="DZ6" s="70">
        <v>0</v>
      </c>
      <c r="EA6" s="70">
        <v>0</v>
      </c>
      <c r="EB6" s="59">
        <f t="shared" ref="EB6:EG15" si="73">IF(EB$4&lt;$O6+2,0,IF(AND(EB$4&gt;=$O6+2,EB$4&lt;=$K6+$N6+2),$E6/$K6,0))</f>
        <v>0</v>
      </c>
      <c r="EC6" s="59">
        <f t="shared" si="73"/>
        <v>0</v>
      </c>
      <c r="ED6" s="59">
        <f t="shared" si="73"/>
        <v>0</v>
      </c>
      <c r="EE6" s="59">
        <f t="shared" si="73"/>
        <v>0</v>
      </c>
      <c r="EF6" s="59">
        <f t="shared" si="73"/>
        <v>0</v>
      </c>
      <c r="EG6" s="59">
        <f t="shared" si="73"/>
        <v>0</v>
      </c>
      <c r="EH6" s="59">
        <f t="shared" ref="EH6:EH18" si="74">SUM(DV6:DX6)</f>
        <v>31.0794</v>
      </c>
      <c r="EI6" s="59">
        <f t="shared" ref="EI6:EI18" si="75">SUM(DY6:EA6)</f>
        <v>0</v>
      </c>
      <c r="EJ6" s="59">
        <f t="shared" ref="EJ6:EJ18" si="76">SUM(EB6:ED6)</f>
        <v>0</v>
      </c>
      <c r="EK6" s="59">
        <f t="shared" ref="EK6:EK18" si="77">SUM(EE6:EG6)</f>
        <v>0</v>
      </c>
      <c r="EL6" s="59">
        <f t="shared" ref="EL6:EL18" si="78">SUM(EH6:EK6)</f>
        <v>31.0794</v>
      </c>
      <c r="EM6" s="59"/>
      <c r="EN6" s="70">
        <v>0</v>
      </c>
      <c r="EO6" s="70">
        <v>0</v>
      </c>
      <c r="EP6" s="70">
        <v>0</v>
      </c>
      <c r="EQ6" s="70">
        <v>0</v>
      </c>
      <c r="ER6" s="70">
        <v>0</v>
      </c>
      <c r="ES6" s="59">
        <f t="shared" ref="ES6:EY18" si="79">IF(ES$4&lt;$O6+$K6+1,0,IF(AND(ES$4=$O6+$K6+1,ES$4&lt;=$L6+$K6+1),$F6*0.5,IF(AND(ES$4&gt;$O6+$K6+1,ES$4&lt;=$L6+$K6+1),($F6*0.5)/$L6,0)))</f>
        <v>0</v>
      </c>
      <c r="ET6" s="59">
        <f t="shared" si="79"/>
        <v>0</v>
      </c>
      <c r="EU6" s="59">
        <f t="shared" si="79"/>
        <v>0</v>
      </c>
      <c r="EV6" s="59">
        <f t="shared" si="79"/>
        <v>0</v>
      </c>
      <c r="EW6" s="59">
        <f t="shared" si="79"/>
        <v>0</v>
      </c>
      <c r="EX6" s="59">
        <f t="shared" si="79"/>
        <v>0</v>
      </c>
      <c r="EY6" s="59">
        <f t="shared" si="79"/>
        <v>0</v>
      </c>
      <c r="EZ6" s="59">
        <f t="shared" ref="EZ6:EZ18" si="80">SUM(EN6:EP6)</f>
        <v>0</v>
      </c>
      <c r="FA6" s="59">
        <f t="shared" ref="FA6:FA18" si="81">SUM(EQ6:ES6)</f>
        <v>0</v>
      </c>
      <c r="FB6" s="59">
        <f t="shared" ref="FB6:FB18" si="82">SUM(ET6:EV6)</f>
        <v>0</v>
      </c>
      <c r="FC6" s="59">
        <f t="shared" ref="FC6:FC18" si="83">SUM(EW6:EY6)</f>
        <v>0</v>
      </c>
      <c r="FD6" s="59">
        <f t="shared" ref="FD6:FD18" si="84">SUM(EZ6:FC6)</f>
        <v>0</v>
      </c>
      <c r="FE6" s="59"/>
      <c r="FF6" s="59">
        <f t="shared" ref="FF6:FF18" si="85">+DV6+EN6</f>
        <v>31.0794</v>
      </c>
      <c r="FG6" s="59">
        <f t="shared" ref="FG6:FG18" si="86">+DW6+EO6</f>
        <v>0</v>
      </c>
      <c r="FH6" s="59">
        <f t="shared" ref="FH6:FH18" si="87">+DX6+EP6</f>
        <v>0</v>
      </c>
      <c r="FI6" s="59">
        <f t="shared" ref="FI6:FI18" si="88">+DY6+EQ6</f>
        <v>0</v>
      </c>
      <c r="FJ6" s="59">
        <f t="shared" ref="FJ6:FJ18" si="89">+DZ6+ER6</f>
        <v>0</v>
      </c>
      <c r="FK6" s="59">
        <f t="shared" ref="FK6:FK18" si="90">+EA6+ES6</f>
        <v>0</v>
      </c>
      <c r="FL6" s="59">
        <f t="shared" ref="FL6:FL18" si="91">+EB6+ET6</f>
        <v>0</v>
      </c>
      <c r="FM6" s="59">
        <f t="shared" ref="FM6:FM18" si="92">+EC6+EU6</f>
        <v>0</v>
      </c>
      <c r="FN6" s="59">
        <f t="shared" ref="FN6:FN18" si="93">+ED6+EV6</f>
        <v>0</v>
      </c>
      <c r="FO6" s="59">
        <f t="shared" ref="FO6:FO18" si="94">+EE6+EW6</f>
        <v>0</v>
      </c>
      <c r="FP6" s="59">
        <f t="shared" ref="FP6:FP18" si="95">+EF6+EX6</f>
        <v>0</v>
      </c>
      <c r="FQ6" s="59">
        <f t="shared" ref="FQ6:FQ18" si="96">+EG6+EY6</f>
        <v>0</v>
      </c>
      <c r="FR6" s="59">
        <f t="shared" ref="FR6:FR18" si="97">SUM(FF6:FH6)</f>
        <v>31.0794</v>
      </c>
      <c r="FS6" s="59">
        <f t="shared" ref="FS6:FS18" si="98">SUM(FI6:FK6)</f>
        <v>0</v>
      </c>
      <c r="FT6" s="59">
        <f t="shared" ref="FT6:FT18" si="99">SUM(FL6:FN6)</f>
        <v>0</v>
      </c>
      <c r="FU6" s="59">
        <f t="shared" ref="FU6:FU18" si="100">SUM(FO6:FQ6)</f>
        <v>0</v>
      </c>
      <c r="FV6" s="59">
        <f t="shared" ref="FV6:FV18" si="101">SUM(FR6:FU6)</f>
        <v>31.0794</v>
      </c>
      <c r="FW6" s="15"/>
    </row>
    <row r="7" spans="1:179" ht="16" x14ac:dyDescent="0.2">
      <c r="B7" s="46">
        <f t="shared" ref="B7:B18" si="102">+B6+1</f>
        <v>2</v>
      </c>
      <c r="C7" s="14" t="s">
        <v>263</v>
      </c>
      <c r="E7" s="13">
        <f>(15575*2)/1000</f>
        <v>31.15</v>
      </c>
      <c r="F7" s="13">
        <v>0</v>
      </c>
      <c r="G7" s="17">
        <f t="shared" si="9"/>
        <v>31.15</v>
      </c>
      <c r="H7" s="49" t="s">
        <v>215</v>
      </c>
      <c r="I7" s="49" t="s">
        <v>216</v>
      </c>
      <c r="J7" s="49" t="s">
        <v>262</v>
      </c>
      <c r="K7" s="54">
        <v>2</v>
      </c>
      <c r="L7" s="54">
        <v>0</v>
      </c>
      <c r="M7" s="54">
        <v>0</v>
      </c>
      <c r="N7" s="54">
        <v>0</v>
      </c>
      <c r="O7" s="48">
        <f t="shared" si="10"/>
        <v>1</v>
      </c>
      <c r="P7" s="48">
        <f t="shared" si="11"/>
        <v>2</v>
      </c>
      <c r="R7" s="59">
        <f t="shared" si="12"/>
        <v>0</v>
      </c>
      <c r="S7" s="59">
        <f t="shared" si="13"/>
        <v>0</v>
      </c>
      <c r="T7" s="59">
        <f t="shared" si="13"/>
        <v>0</v>
      </c>
      <c r="U7" s="59">
        <f t="shared" si="13"/>
        <v>0</v>
      </c>
      <c r="V7" s="59">
        <f t="shared" si="13"/>
        <v>0</v>
      </c>
      <c r="W7" s="59">
        <f t="shared" si="13"/>
        <v>0</v>
      </c>
      <c r="X7" s="59">
        <f t="shared" si="13"/>
        <v>0</v>
      </c>
      <c r="Y7" s="59">
        <f t="shared" si="13"/>
        <v>0</v>
      </c>
      <c r="Z7" s="59">
        <f t="shared" si="13"/>
        <v>0</v>
      </c>
      <c r="AA7" s="59">
        <f t="shared" si="13"/>
        <v>0</v>
      </c>
      <c r="AB7" s="59">
        <f t="shared" si="13"/>
        <v>0</v>
      </c>
      <c r="AC7" s="59">
        <f t="shared" si="13"/>
        <v>0</v>
      </c>
      <c r="AD7" s="59">
        <f t="shared" si="14"/>
        <v>0</v>
      </c>
      <c r="AE7" s="59">
        <f t="shared" si="15"/>
        <v>0</v>
      </c>
      <c r="AF7" s="59">
        <f t="shared" si="16"/>
        <v>0</v>
      </c>
      <c r="AG7" s="59">
        <f t="shared" si="17"/>
        <v>0</v>
      </c>
      <c r="AH7" s="59">
        <f t="shared" si="18"/>
        <v>0</v>
      </c>
      <c r="AI7" s="59"/>
      <c r="AJ7" s="59">
        <f t="shared" si="19"/>
        <v>0</v>
      </c>
      <c r="AK7" s="59">
        <f t="shared" si="20"/>
        <v>0</v>
      </c>
      <c r="AL7" s="59">
        <f t="shared" si="20"/>
        <v>0</v>
      </c>
      <c r="AM7" s="59">
        <f t="shared" si="20"/>
        <v>0</v>
      </c>
      <c r="AN7" s="59">
        <f t="shared" si="20"/>
        <v>0</v>
      </c>
      <c r="AO7" s="59">
        <f t="shared" si="20"/>
        <v>0</v>
      </c>
      <c r="AP7" s="59">
        <f t="shared" si="20"/>
        <v>0</v>
      </c>
      <c r="AQ7" s="59">
        <f t="shared" si="20"/>
        <v>0</v>
      </c>
      <c r="AR7" s="59">
        <f t="shared" si="20"/>
        <v>0</v>
      </c>
      <c r="AS7" s="59">
        <f t="shared" si="20"/>
        <v>0</v>
      </c>
      <c r="AT7" s="59">
        <f t="shared" si="20"/>
        <v>0</v>
      </c>
      <c r="AU7" s="59">
        <f t="shared" si="20"/>
        <v>0</v>
      </c>
      <c r="AV7" s="59">
        <f t="shared" si="21"/>
        <v>0</v>
      </c>
      <c r="AW7" s="59">
        <f t="shared" si="22"/>
        <v>0</v>
      </c>
      <c r="AX7" s="59">
        <f t="shared" si="23"/>
        <v>0</v>
      </c>
      <c r="AY7" s="59">
        <f t="shared" si="24"/>
        <v>0</v>
      </c>
      <c r="AZ7" s="59">
        <f t="shared" si="25"/>
        <v>0</v>
      </c>
      <c r="BA7" s="59"/>
      <c r="BB7" s="59">
        <f t="shared" si="26"/>
        <v>0</v>
      </c>
      <c r="BC7" s="59">
        <f t="shared" si="27"/>
        <v>0</v>
      </c>
      <c r="BD7" s="59">
        <f t="shared" si="28"/>
        <v>0</v>
      </c>
      <c r="BE7" s="59">
        <f t="shared" si="29"/>
        <v>0</v>
      </c>
      <c r="BF7" s="59">
        <f t="shared" si="30"/>
        <v>0</v>
      </c>
      <c r="BG7" s="59">
        <f t="shared" si="31"/>
        <v>0</v>
      </c>
      <c r="BH7" s="59">
        <f t="shared" si="32"/>
        <v>0</v>
      </c>
      <c r="BI7" s="59">
        <f t="shared" si="33"/>
        <v>0</v>
      </c>
      <c r="BJ7" s="59">
        <f t="shared" si="34"/>
        <v>0</v>
      </c>
      <c r="BK7" s="59">
        <f t="shared" si="35"/>
        <v>0</v>
      </c>
      <c r="BL7" s="59">
        <f t="shared" si="36"/>
        <v>0</v>
      </c>
      <c r="BM7" s="59">
        <f t="shared" si="37"/>
        <v>0</v>
      </c>
      <c r="BN7" s="59">
        <f t="shared" si="38"/>
        <v>0</v>
      </c>
      <c r="BO7" s="59">
        <f t="shared" si="39"/>
        <v>0</v>
      </c>
      <c r="BP7" s="59">
        <f t="shared" si="40"/>
        <v>0</v>
      </c>
      <c r="BQ7" s="59">
        <f t="shared" si="41"/>
        <v>0</v>
      </c>
      <c r="BR7" s="59">
        <f t="shared" si="42"/>
        <v>0</v>
      </c>
      <c r="BS7" s="59"/>
      <c r="BT7" s="59">
        <f t="shared" si="43"/>
        <v>15.574999999999999</v>
      </c>
      <c r="BU7" s="59">
        <f t="shared" si="44"/>
        <v>15.574999999999999</v>
      </c>
      <c r="BV7" s="59">
        <f t="shared" si="44"/>
        <v>0</v>
      </c>
      <c r="BW7" s="59">
        <f t="shared" si="44"/>
        <v>0</v>
      </c>
      <c r="BX7" s="59">
        <f t="shared" si="44"/>
        <v>0</v>
      </c>
      <c r="BY7" s="59">
        <f t="shared" si="44"/>
        <v>0</v>
      </c>
      <c r="BZ7" s="59">
        <f t="shared" si="44"/>
        <v>0</v>
      </c>
      <c r="CA7" s="59">
        <f t="shared" si="44"/>
        <v>0</v>
      </c>
      <c r="CB7" s="59">
        <f t="shared" si="44"/>
        <v>0</v>
      </c>
      <c r="CC7" s="59">
        <f t="shared" si="44"/>
        <v>0</v>
      </c>
      <c r="CD7" s="59">
        <f t="shared" si="44"/>
        <v>0</v>
      </c>
      <c r="CE7" s="59">
        <f t="shared" si="44"/>
        <v>0</v>
      </c>
      <c r="CF7" s="59">
        <f t="shared" si="45"/>
        <v>31.15</v>
      </c>
      <c r="CG7" s="59">
        <f t="shared" si="46"/>
        <v>0</v>
      </c>
      <c r="CH7" s="59">
        <f t="shared" si="47"/>
        <v>0</v>
      </c>
      <c r="CI7" s="59">
        <f t="shared" si="48"/>
        <v>0</v>
      </c>
      <c r="CJ7" s="59">
        <f t="shared" si="49"/>
        <v>31.15</v>
      </c>
      <c r="CK7" s="59"/>
      <c r="CL7" s="59">
        <f t="shared" si="50"/>
        <v>0</v>
      </c>
      <c r="CM7" s="59">
        <f t="shared" si="50"/>
        <v>0</v>
      </c>
      <c r="CN7" s="59">
        <f t="shared" si="50"/>
        <v>0</v>
      </c>
      <c r="CO7" s="59">
        <f t="shared" si="50"/>
        <v>0</v>
      </c>
      <c r="CP7" s="59">
        <f t="shared" si="50"/>
        <v>0</v>
      </c>
      <c r="CQ7" s="59">
        <f t="shared" si="50"/>
        <v>0</v>
      </c>
      <c r="CR7" s="59">
        <f t="shared" si="50"/>
        <v>0</v>
      </c>
      <c r="CS7" s="59">
        <f t="shared" si="50"/>
        <v>0</v>
      </c>
      <c r="CT7" s="59">
        <f t="shared" si="50"/>
        <v>0</v>
      </c>
      <c r="CU7" s="59">
        <f t="shared" si="50"/>
        <v>0</v>
      </c>
      <c r="CV7" s="59">
        <f t="shared" si="50"/>
        <v>0</v>
      </c>
      <c r="CW7" s="59">
        <f t="shared" si="50"/>
        <v>0</v>
      </c>
      <c r="CX7" s="59">
        <f t="shared" si="51"/>
        <v>0</v>
      </c>
      <c r="CY7" s="59">
        <f t="shared" si="52"/>
        <v>0</v>
      </c>
      <c r="CZ7" s="59">
        <f t="shared" si="53"/>
        <v>0</v>
      </c>
      <c r="DA7" s="59">
        <f t="shared" si="54"/>
        <v>0</v>
      </c>
      <c r="DB7" s="59">
        <f t="shared" si="55"/>
        <v>0</v>
      </c>
      <c r="DC7" s="59"/>
      <c r="DD7" s="59">
        <f t="shared" si="56"/>
        <v>15.574999999999999</v>
      </c>
      <c r="DE7" s="59">
        <f t="shared" si="57"/>
        <v>15.574999999999999</v>
      </c>
      <c r="DF7" s="59">
        <f t="shared" si="58"/>
        <v>0</v>
      </c>
      <c r="DG7" s="59">
        <f t="shared" si="59"/>
        <v>0</v>
      </c>
      <c r="DH7" s="59">
        <f t="shared" si="60"/>
        <v>0</v>
      </c>
      <c r="DI7" s="59">
        <f t="shared" si="61"/>
        <v>0</v>
      </c>
      <c r="DJ7" s="59">
        <f t="shared" si="62"/>
        <v>0</v>
      </c>
      <c r="DK7" s="59">
        <f t="shared" si="63"/>
        <v>0</v>
      </c>
      <c r="DL7" s="59">
        <f t="shared" si="64"/>
        <v>0</v>
      </c>
      <c r="DM7" s="59">
        <f t="shared" si="65"/>
        <v>0</v>
      </c>
      <c r="DN7" s="59">
        <f t="shared" si="66"/>
        <v>0</v>
      </c>
      <c r="DO7" s="59">
        <f t="shared" si="67"/>
        <v>0</v>
      </c>
      <c r="DP7" s="59">
        <f t="shared" si="68"/>
        <v>31.15</v>
      </c>
      <c r="DQ7" s="59">
        <f t="shared" si="69"/>
        <v>0</v>
      </c>
      <c r="DR7" s="59">
        <f t="shared" si="70"/>
        <v>0</v>
      </c>
      <c r="DS7" s="59">
        <f t="shared" si="71"/>
        <v>0</v>
      </c>
      <c r="DT7" s="59">
        <f t="shared" si="72"/>
        <v>31.15</v>
      </c>
      <c r="DU7" s="59"/>
      <c r="DV7" s="70">
        <v>25.8125</v>
      </c>
      <c r="DW7" s="70">
        <v>3.2374999999999998</v>
      </c>
      <c r="DX7" s="70">
        <v>15.574999999999999</v>
      </c>
      <c r="DY7" s="70">
        <v>15.574999999999999</v>
      </c>
      <c r="DZ7" s="70">
        <v>0</v>
      </c>
      <c r="EA7" s="70">
        <v>3.4562499999999998</v>
      </c>
      <c r="EB7" s="59">
        <f t="shared" si="73"/>
        <v>0</v>
      </c>
      <c r="EC7" s="59">
        <f t="shared" si="73"/>
        <v>0</v>
      </c>
      <c r="ED7" s="59">
        <f t="shared" si="73"/>
        <v>0</v>
      </c>
      <c r="EE7" s="59">
        <f t="shared" si="73"/>
        <v>0</v>
      </c>
      <c r="EF7" s="59">
        <f t="shared" si="73"/>
        <v>0</v>
      </c>
      <c r="EG7" s="59">
        <f t="shared" si="73"/>
        <v>0</v>
      </c>
      <c r="EH7" s="59">
        <f t="shared" si="74"/>
        <v>44.625</v>
      </c>
      <c r="EI7" s="59">
        <f t="shared" si="75"/>
        <v>19.03125</v>
      </c>
      <c r="EJ7" s="59">
        <f t="shared" si="76"/>
        <v>0</v>
      </c>
      <c r="EK7" s="59">
        <f t="shared" si="77"/>
        <v>0</v>
      </c>
      <c r="EL7" s="59">
        <f t="shared" si="78"/>
        <v>63.65625</v>
      </c>
      <c r="EM7" s="59"/>
      <c r="EN7" s="70">
        <v>0</v>
      </c>
      <c r="EO7" s="70">
        <v>0</v>
      </c>
      <c r="EP7" s="70">
        <v>0</v>
      </c>
      <c r="EQ7" s="70">
        <v>0</v>
      </c>
      <c r="ER7" s="70">
        <v>0</v>
      </c>
      <c r="ES7" s="59">
        <f t="shared" si="79"/>
        <v>0</v>
      </c>
      <c r="ET7" s="59">
        <f t="shared" si="79"/>
        <v>0</v>
      </c>
      <c r="EU7" s="59">
        <f t="shared" si="79"/>
        <v>0</v>
      </c>
      <c r="EV7" s="59">
        <f t="shared" si="79"/>
        <v>0</v>
      </c>
      <c r="EW7" s="59">
        <f t="shared" si="79"/>
        <v>0</v>
      </c>
      <c r="EX7" s="59">
        <f t="shared" si="79"/>
        <v>0</v>
      </c>
      <c r="EY7" s="59">
        <f t="shared" si="79"/>
        <v>0</v>
      </c>
      <c r="EZ7" s="59">
        <f t="shared" si="80"/>
        <v>0</v>
      </c>
      <c r="FA7" s="59">
        <f t="shared" si="81"/>
        <v>0</v>
      </c>
      <c r="FB7" s="59">
        <f t="shared" si="82"/>
        <v>0</v>
      </c>
      <c r="FC7" s="59">
        <f t="shared" si="83"/>
        <v>0</v>
      </c>
      <c r="FD7" s="59">
        <f t="shared" si="84"/>
        <v>0</v>
      </c>
      <c r="FE7" s="59"/>
      <c r="FF7" s="59">
        <f t="shared" si="85"/>
        <v>25.8125</v>
      </c>
      <c r="FG7" s="59">
        <f t="shared" si="86"/>
        <v>3.2374999999999998</v>
      </c>
      <c r="FH7" s="59">
        <f t="shared" si="87"/>
        <v>15.574999999999999</v>
      </c>
      <c r="FI7" s="59">
        <f t="shared" si="88"/>
        <v>15.574999999999999</v>
      </c>
      <c r="FJ7" s="59">
        <f t="shared" si="89"/>
        <v>0</v>
      </c>
      <c r="FK7" s="59">
        <f t="shared" si="90"/>
        <v>3.4562499999999998</v>
      </c>
      <c r="FL7" s="59">
        <f t="shared" si="91"/>
        <v>0</v>
      </c>
      <c r="FM7" s="59">
        <f t="shared" si="92"/>
        <v>0</v>
      </c>
      <c r="FN7" s="59">
        <f t="shared" si="93"/>
        <v>0</v>
      </c>
      <c r="FO7" s="59">
        <f t="shared" si="94"/>
        <v>0</v>
      </c>
      <c r="FP7" s="59">
        <f t="shared" si="95"/>
        <v>0</v>
      </c>
      <c r="FQ7" s="59">
        <f t="shared" si="96"/>
        <v>0</v>
      </c>
      <c r="FR7" s="59">
        <f t="shared" si="97"/>
        <v>44.625</v>
      </c>
      <c r="FS7" s="59">
        <f t="shared" si="98"/>
        <v>19.03125</v>
      </c>
      <c r="FT7" s="59">
        <f t="shared" si="99"/>
        <v>0</v>
      </c>
      <c r="FU7" s="59">
        <f t="shared" si="100"/>
        <v>0</v>
      </c>
      <c r="FV7" s="59">
        <f t="shared" si="101"/>
        <v>63.65625</v>
      </c>
      <c r="FW7" s="15"/>
    </row>
    <row r="8" spans="1:179" ht="16" x14ac:dyDescent="0.2">
      <c r="B8" s="46">
        <f t="shared" si="102"/>
        <v>3</v>
      </c>
      <c r="C8" s="14" t="s">
        <v>49</v>
      </c>
      <c r="E8" s="13">
        <f>(8750*6)/1000</f>
        <v>52.5</v>
      </c>
      <c r="F8" s="13">
        <v>0</v>
      </c>
      <c r="G8" s="17">
        <f t="shared" si="9"/>
        <v>52.5</v>
      </c>
      <c r="H8" s="49" t="s">
        <v>215</v>
      </c>
      <c r="I8" s="49" t="s">
        <v>216</v>
      </c>
      <c r="J8" s="49" t="s">
        <v>262</v>
      </c>
      <c r="K8" s="54">
        <v>6</v>
      </c>
      <c r="L8" s="54">
        <v>0</v>
      </c>
      <c r="M8" s="54">
        <v>0</v>
      </c>
      <c r="N8" s="54">
        <v>0</v>
      </c>
      <c r="O8" s="48">
        <f t="shared" si="10"/>
        <v>1</v>
      </c>
      <c r="P8" s="48">
        <f t="shared" si="11"/>
        <v>6</v>
      </c>
      <c r="R8" s="59">
        <f t="shared" si="12"/>
        <v>0</v>
      </c>
      <c r="S8" s="59">
        <f t="shared" si="13"/>
        <v>0</v>
      </c>
      <c r="T8" s="59">
        <f t="shared" si="13"/>
        <v>0</v>
      </c>
      <c r="U8" s="59">
        <f t="shared" si="13"/>
        <v>0</v>
      </c>
      <c r="V8" s="59">
        <f t="shared" si="13"/>
        <v>0</v>
      </c>
      <c r="W8" s="59">
        <f t="shared" si="13"/>
        <v>0</v>
      </c>
      <c r="X8" s="59">
        <f t="shared" si="13"/>
        <v>0</v>
      </c>
      <c r="Y8" s="59">
        <f t="shared" si="13"/>
        <v>0</v>
      </c>
      <c r="Z8" s="59">
        <f t="shared" si="13"/>
        <v>0</v>
      </c>
      <c r="AA8" s="59">
        <f t="shared" si="13"/>
        <v>0</v>
      </c>
      <c r="AB8" s="59">
        <f t="shared" si="13"/>
        <v>0</v>
      </c>
      <c r="AC8" s="59">
        <f t="shared" si="13"/>
        <v>0</v>
      </c>
      <c r="AD8" s="59">
        <f t="shared" si="14"/>
        <v>0</v>
      </c>
      <c r="AE8" s="59">
        <f t="shared" si="15"/>
        <v>0</v>
      </c>
      <c r="AF8" s="59">
        <f t="shared" si="16"/>
        <v>0</v>
      </c>
      <c r="AG8" s="59">
        <f t="shared" si="17"/>
        <v>0</v>
      </c>
      <c r="AH8" s="59">
        <f t="shared" si="18"/>
        <v>0</v>
      </c>
      <c r="AI8" s="59"/>
      <c r="AJ8" s="59">
        <f t="shared" si="19"/>
        <v>0</v>
      </c>
      <c r="AK8" s="59">
        <f t="shared" si="20"/>
        <v>0</v>
      </c>
      <c r="AL8" s="59">
        <f t="shared" si="20"/>
        <v>0</v>
      </c>
      <c r="AM8" s="59">
        <f t="shared" si="20"/>
        <v>0</v>
      </c>
      <c r="AN8" s="59">
        <f t="shared" si="20"/>
        <v>0</v>
      </c>
      <c r="AO8" s="59">
        <f t="shared" si="20"/>
        <v>0</v>
      </c>
      <c r="AP8" s="59">
        <f t="shared" si="20"/>
        <v>0</v>
      </c>
      <c r="AQ8" s="59">
        <f t="shared" si="20"/>
        <v>0</v>
      </c>
      <c r="AR8" s="59">
        <f t="shared" si="20"/>
        <v>0</v>
      </c>
      <c r="AS8" s="59">
        <f t="shared" si="20"/>
        <v>0</v>
      </c>
      <c r="AT8" s="59">
        <f t="shared" si="20"/>
        <v>0</v>
      </c>
      <c r="AU8" s="59">
        <f t="shared" si="20"/>
        <v>0</v>
      </c>
      <c r="AV8" s="59">
        <f t="shared" si="21"/>
        <v>0</v>
      </c>
      <c r="AW8" s="59">
        <f t="shared" si="22"/>
        <v>0</v>
      </c>
      <c r="AX8" s="59">
        <f t="shared" si="23"/>
        <v>0</v>
      </c>
      <c r="AY8" s="59">
        <f t="shared" si="24"/>
        <v>0</v>
      </c>
      <c r="AZ8" s="59">
        <f t="shared" si="25"/>
        <v>0</v>
      </c>
      <c r="BA8" s="59"/>
      <c r="BB8" s="59">
        <f t="shared" si="26"/>
        <v>0</v>
      </c>
      <c r="BC8" s="59">
        <f t="shared" si="27"/>
        <v>0</v>
      </c>
      <c r="BD8" s="59">
        <f t="shared" si="28"/>
        <v>0</v>
      </c>
      <c r="BE8" s="59">
        <f t="shared" si="29"/>
        <v>0</v>
      </c>
      <c r="BF8" s="59">
        <f t="shared" si="30"/>
        <v>0</v>
      </c>
      <c r="BG8" s="59">
        <f t="shared" si="31"/>
        <v>0</v>
      </c>
      <c r="BH8" s="59">
        <f t="shared" si="32"/>
        <v>0</v>
      </c>
      <c r="BI8" s="59">
        <f t="shared" si="33"/>
        <v>0</v>
      </c>
      <c r="BJ8" s="59">
        <f t="shared" si="34"/>
        <v>0</v>
      </c>
      <c r="BK8" s="59">
        <f t="shared" si="35"/>
        <v>0</v>
      </c>
      <c r="BL8" s="59">
        <f t="shared" si="36"/>
        <v>0</v>
      </c>
      <c r="BM8" s="59">
        <f t="shared" si="37"/>
        <v>0</v>
      </c>
      <c r="BN8" s="59">
        <f t="shared" si="38"/>
        <v>0</v>
      </c>
      <c r="BO8" s="59">
        <f t="shared" si="39"/>
        <v>0</v>
      </c>
      <c r="BP8" s="59">
        <f t="shared" si="40"/>
        <v>0</v>
      </c>
      <c r="BQ8" s="59">
        <f t="shared" si="41"/>
        <v>0</v>
      </c>
      <c r="BR8" s="59">
        <f t="shared" si="42"/>
        <v>0</v>
      </c>
      <c r="BS8" s="59"/>
      <c r="BT8" s="59">
        <f t="shared" si="43"/>
        <v>8.75</v>
      </c>
      <c r="BU8" s="59">
        <f t="shared" si="44"/>
        <v>8.75</v>
      </c>
      <c r="BV8" s="59">
        <f t="shared" si="44"/>
        <v>8.75</v>
      </c>
      <c r="BW8" s="59">
        <f t="shared" si="44"/>
        <v>8.75</v>
      </c>
      <c r="BX8" s="59">
        <f t="shared" si="44"/>
        <v>8.75</v>
      </c>
      <c r="BY8" s="59">
        <f t="shared" si="44"/>
        <v>8.75</v>
      </c>
      <c r="BZ8" s="59">
        <f t="shared" si="44"/>
        <v>0</v>
      </c>
      <c r="CA8" s="59">
        <f t="shared" si="44"/>
        <v>0</v>
      </c>
      <c r="CB8" s="59">
        <f t="shared" si="44"/>
        <v>0</v>
      </c>
      <c r="CC8" s="59">
        <f t="shared" si="44"/>
        <v>0</v>
      </c>
      <c r="CD8" s="59">
        <f t="shared" si="44"/>
        <v>0</v>
      </c>
      <c r="CE8" s="59">
        <f t="shared" si="44"/>
        <v>0</v>
      </c>
      <c r="CF8" s="59">
        <f t="shared" si="45"/>
        <v>26.25</v>
      </c>
      <c r="CG8" s="59">
        <f t="shared" si="46"/>
        <v>26.25</v>
      </c>
      <c r="CH8" s="59">
        <f t="shared" si="47"/>
        <v>0</v>
      </c>
      <c r="CI8" s="59">
        <f t="shared" si="48"/>
        <v>0</v>
      </c>
      <c r="CJ8" s="59">
        <f t="shared" si="49"/>
        <v>52.5</v>
      </c>
      <c r="CK8" s="59"/>
      <c r="CL8" s="59">
        <f t="shared" si="50"/>
        <v>0</v>
      </c>
      <c r="CM8" s="59">
        <f t="shared" si="50"/>
        <v>0</v>
      </c>
      <c r="CN8" s="59">
        <f t="shared" si="50"/>
        <v>0</v>
      </c>
      <c r="CO8" s="59">
        <f t="shared" si="50"/>
        <v>0</v>
      </c>
      <c r="CP8" s="59">
        <f t="shared" si="50"/>
        <v>0</v>
      </c>
      <c r="CQ8" s="59">
        <f t="shared" si="50"/>
        <v>0</v>
      </c>
      <c r="CR8" s="59">
        <f t="shared" si="50"/>
        <v>0</v>
      </c>
      <c r="CS8" s="59">
        <f t="shared" si="50"/>
        <v>0</v>
      </c>
      <c r="CT8" s="59">
        <f t="shared" si="50"/>
        <v>0</v>
      </c>
      <c r="CU8" s="59">
        <f t="shared" si="50"/>
        <v>0</v>
      </c>
      <c r="CV8" s="59">
        <f t="shared" si="50"/>
        <v>0</v>
      </c>
      <c r="CW8" s="59">
        <f t="shared" si="50"/>
        <v>0</v>
      </c>
      <c r="CX8" s="59">
        <f t="shared" si="51"/>
        <v>0</v>
      </c>
      <c r="CY8" s="59">
        <f t="shared" si="52"/>
        <v>0</v>
      </c>
      <c r="CZ8" s="59">
        <f t="shared" si="53"/>
        <v>0</v>
      </c>
      <c r="DA8" s="59">
        <f t="shared" si="54"/>
        <v>0</v>
      </c>
      <c r="DB8" s="59">
        <f t="shared" si="55"/>
        <v>0</v>
      </c>
      <c r="DC8" s="59"/>
      <c r="DD8" s="59">
        <f t="shared" si="56"/>
        <v>8.75</v>
      </c>
      <c r="DE8" s="59">
        <f t="shared" si="57"/>
        <v>8.75</v>
      </c>
      <c r="DF8" s="59">
        <f t="shared" si="58"/>
        <v>8.75</v>
      </c>
      <c r="DG8" s="59">
        <f t="shared" si="59"/>
        <v>8.75</v>
      </c>
      <c r="DH8" s="59">
        <f t="shared" si="60"/>
        <v>8.75</v>
      </c>
      <c r="DI8" s="59">
        <f t="shared" si="61"/>
        <v>8.75</v>
      </c>
      <c r="DJ8" s="59">
        <f t="shared" si="62"/>
        <v>0</v>
      </c>
      <c r="DK8" s="59">
        <f t="shared" si="63"/>
        <v>0</v>
      </c>
      <c r="DL8" s="59">
        <f t="shared" si="64"/>
        <v>0</v>
      </c>
      <c r="DM8" s="59">
        <f t="shared" si="65"/>
        <v>0</v>
      </c>
      <c r="DN8" s="59">
        <f t="shared" si="66"/>
        <v>0</v>
      </c>
      <c r="DO8" s="59">
        <f t="shared" si="67"/>
        <v>0</v>
      </c>
      <c r="DP8" s="59">
        <f t="shared" si="68"/>
        <v>26.25</v>
      </c>
      <c r="DQ8" s="59">
        <f t="shared" si="69"/>
        <v>26.25</v>
      </c>
      <c r="DR8" s="59">
        <f t="shared" si="70"/>
        <v>0</v>
      </c>
      <c r="DS8" s="59">
        <f t="shared" si="71"/>
        <v>0</v>
      </c>
      <c r="DT8" s="59">
        <f t="shared" si="72"/>
        <v>52.5</v>
      </c>
      <c r="DU8" s="59"/>
      <c r="DV8" s="70">
        <v>8.75</v>
      </c>
      <c r="DW8" s="70">
        <v>8.75</v>
      </c>
      <c r="DX8" s="70">
        <v>8.75</v>
      </c>
      <c r="DY8" s="70">
        <v>8.75</v>
      </c>
      <c r="DZ8" s="70">
        <v>8.75</v>
      </c>
      <c r="EA8" s="70">
        <v>8.75</v>
      </c>
      <c r="EB8" s="70">
        <f t="shared" si="73"/>
        <v>8.75</v>
      </c>
      <c r="EC8" s="59">
        <f t="shared" si="73"/>
        <v>8.75</v>
      </c>
      <c r="ED8" s="59">
        <f t="shared" si="73"/>
        <v>0</v>
      </c>
      <c r="EE8" s="59">
        <f t="shared" si="73"/>
        <v>0</v>
      </c>
      <c r="EF8" s="59">
        <f t="shared" si="73"/>
        <v>0</v>
      </c>
      <c r="EG8" s="59">
        <f t="shared" si="73"/>
        <v>0</v>
      </c>
      <c r="EH8" s="59">
        <f t="shared" si="74"/>
        <v>26.25</v>
      </c>
      <c r="EI8" s="59">
        <f t="shared" si="75"/>
        <v>26.25</v>
      </c>
      <c r="EJ8" s="59">
        <f t="shared" si="76"/>
        <v>17.5</v>
      </c>
      <c r="EK8" s="59">
        <f t="shared" si="77"/>
        <v>0</v>
      </c>
      <c r="EL8" s="59">
        <f t="shared" si="78"/>
        <v>70</v>
      </c>
      <c r="EM8" s="59"/>
      <c r="EN8" s="70">
        <v>0</v>
      </c>
      <c r="EO8" s="70">
        <v>0</v>
      </c>
      <c r="EP8" s="70">
        <v>0</v>
      </c>
      <c r="EQ8" s="70">
        <v>0</v>
      </c>
      <c r="ER8" s="70">
        <v>0</v>
      </c>
      <c r="ES8" s="59">
        <f t="shared" si="79"/>
        <v>0</v>
      </c>
      <c r="ET8" s="59">
        <f t="shared" si="79"/>
        <v>0</v>
      </c>
      <c r="EU8" s="59">
        <f t="shared" si="79"/>
        <v>0</v>
      </c>
      <c r="EV8" s="59">
        <f t="shared" si="79"/>
        <v>0</v>
      </c>
      <c r="EW8" s="59">
        <f t="shared" si="79"/>
        <v>0</v>
      </c>
      <c r="EX8" s="59">
        <f t="shared" si="79"/>
        <v>0</v>
      </c>
      <c r="EY8" s="59">
        <f t="shared" si="79"/>
        <v>0</v>
      </c>
      <c r="EZ8" s="59">
        <f t="shared" si="80"/>
        <v>0</v>
      </c>
      <c r="FA8" s="59">
        <f t="shared" si="81"/>
        <v>0</v>
      </c>
      <c r="FB8" s="59">
        <f t="shared" si="82"/>
        <v>0</v>
      </c>
      <c r="FC8" s="59">
        <f t="shared" si="83"/>
        <v>0</v>
      </c>
      <c r="FD8" s="59">
        <f t="shared" si="84"/>
        <v>0</v>
      </c>
      <c r="FE8" s="59"/>
      <c r="FF8" s="59">
        <f t="shared" si="85"/>
        <v>8.75</v>
      </c>
      <c r="FG8" s="59">
        <f t="shared" si="86"/>
        <v>8.75</v>
      </c>
      <c r="FH8" s="59">
        <f t="shared" si="87"/>
        <v>8.75</v>
      </c>
      <c r="FI8" s="59">
        <f t="shared" si="88"/>
        <v>8.75</v>
      </c>
      <c r="FJ8" s="59">
        <f t="shared" si="89"/>
        <v>8.75</v>
      </c>
      <c r="FK8" s="59">
        <f t="shared" si="90"/>
        <v>8.75</v>
      </c>
      <c r="FL8" s="59">
        <f t="shared" si="91"/>
        <v>8.75</v>
      </c>
      <c r="FM8" s="59">
        <f t="shared" si="92"/>
        <v>8.75</v>
      </c>
      <c r="FN8" s="59">
        <f t="shared" si="93"/>
        <v>0</v>
      </c>
      <c r="FO8" s="59">
        <f t="shared" si="94"/>
        <v>0</v>
      </c>
      <c r="FP8" s="59">
        <f t="shared" si="95"/>
        <v>0</v>
      </c>
      <c r="FQ8" s="59">
        <f t="shared" si="96"/>
        <v>0</v>
      </c>
      <c r="FR8" s="59">
        <f t="shared" si="97"/>
        <v>26.25</v>
      </c>
      <c r="FS8" s="59">
        <f t="shared" si="98"/>
        <v>26.25</v>
      </c>
      <c r="FT8" s="59">
        <f t="shared" si="99"/>
        <v>17.5</v>
      </c>
      <c r="FU8" s="59">
        <f t="shared" si="100"/>
        <v>0</v>
      </c>
      <c r="FV8" s="59">
        <f t="shared" si="101"/>
        <v>70</v>
      </c>
      <c r="FW8" s="15"/>
    </row>
    <row r="9" spans="1:179" ht="16" x14ac:dyDescent="0.2">
      <c r="B9" s="46">
        <f t="shared" si="102"/>
        <v>4</v>
      </c>
      <c r="C9" s="103" t="s">
        <v>482</v>
      </c>
      <c r="E9" s="13">
        <f>6*2750/1000</f>
        <v>16.5</v>
      </c>
      <c r="F9" s="13">
        <v>0</v>
      </c>
      <c r="G9" s="17">
        <f t="shared" ref="G9" si="103">+E9+F9</f>
        <v>16.5</v>
      </c>
      <c r="H9" s="49" t="s">
        <v>215</v>
      </c>
      <c r="I9" s="49" t="s">
        <v>216</v>
      </c>
      <c r="J9" s="49" t="s">
        <v>262</v>
      </c>
      <c r="K9" s="54">
        <v>4</v>
      </c>
      <c r="L9" s="54">
        <v>0</v>
      </c>
      <c r="M9" s="54">
        <v>4</v>
      </c>
      <c r="N9" s="54">
        <v>6</v>
      </c>
      <c r="O9" s="48">
        <f t="shared" si="10"/>
        <v>7</v>
      </c>
      <c r="P9" s="48">
        <f t="shared" si="11"/>
        <v>4</v>
      </c>
      <c r="R9" s="59">
        <f t="shared" si="12"/>
        <v>0</v>
      </c>
      <c r="S9" s="59">
        <f t="shared" si="13"/>
        <v>0</v>
      </c>
      <c r="T9" s="59">
        <f t="shared" si="13"/>
        <v>0</v>
      </c>
      <c r="U9" s="59">
        <f t="shared" si="13"/>
        <v>0</v>
      </c>
      <c r="V9" s="59">
        <f t="shared" si="13"/>
        <v>0</v>
      </c>
      <c r="W9" s="59">
        <f t="shared" si="13"/>
        <v>16.5</v>
      </c>
      <c r="X9" s="59">
        <f t="shared" si="13"/>
        <v>0</v>
      </c>
      <c r="Y9" s="59">
        <f t="shared" si="13"/>
        <v>0</v>
      </c>
      <c r="Z9" s="59">
        <f t="shared" si="13"/>
        <v>0</v>
      </c>
      <c r="AA9" s="59">
        <f t="shared" si="13"/>
        <v>0</v>
      </c>
      <c r="AB9" s="59">
        <f t="shared" si="13"/>
        <v>0</v>
      </c>
      <c r="AC9" s="59">
        <f t="shared" si="13"/>
        <v>0</v>
      </c>
      <c r="AD9" s="59">
        <f t="shared" ref="AD9" si="104">SUM(R9:T9)</f>
        <v>0</v>
      </c>
      <c r="AE9" s="59">
        <f t="shared" ref="AE9" si="105">SUM(U9:W9)</f>
        <v>16.5</v>
      </c>
      <c r="AF9" s="59">
        <f t="shared" ref="AF9" si="106">SUM(X9:Z9)</f>
        <v>0</v>
      </c>
      <c r="AG9" s="59">
        <f t="shared" ref="AG9" si="107">SUM(AA9:AC9)</f>
        <v>0</v>
      </c>
      <c r="AH9" s="59">
        <f t="shared" ref="AH9" si="108">SUM(AD9:AG9)</f>
        <v>16.5</v>
      </c>
      <c r="AI9" s="59"/>
      <c r="AJ9" s="59">
        <f t="shared" si="19"/>
        <v>0</v>
      </c>
      <c r="AK9" s="59">
        <f t="shared" si="20"/>
        <v>0</v>
      </c>
      <c r="AL9" s="59">
        <f t="shared" si="20"/>
        <v>0</v>
      </c>
      <c r="AM9" s="59">
        <f t="shared" si="20"/>
        <v>0</v>
      </c>
      <c r="AN9" s="59">
        <f t="shared" si="20"/>
        <v>0</v>
      </c>
      <c r="AO9" s="59">
        <f t="shared" si="20"/>
        <v>0</v>
      </c>
      <c r="AP9" s="59">
        <f t="shared" si="20"/>
        <v>0</v>
      </c>
      <c r="AQ9" s="59">
        <f t="shared" si="20"/>
        <v>0</v>
      </c>
      <c r="AR9" s="59">
        <f t="shared" si="20"/>
        <v>0</v>
      </c>
      <c r="AS9" s="59">
        <f t="shared" si="20"/>
        <v>0</v>
      </c>
      <c r="AT9" s="59">
        <f t="shared" si="20"/>
        <v>0</v>
      </c>
      <c r="AU9" s="59">
        <f t="shared" si="20"/>
        <v>0</v>
      </c>
      <c r="AV9" s="59">
        <f t="shared" ref="AV9" si="109">SUM(AJ9:AL9)</f>
        <v>0</v>
      </c>
      <c r="AW9" s="59">
        <f t="shared" ref="AW9" si="110">SUM(AM9:AO9)</f>
        <v>0</v>
      </c>
      <c r="AX9" s="59">
        <f t="shared" ref="AX9" si="111">SUM(AP9:AR9)</f>
        <v>0</v>
      </c>
      <c r="AY9" s="59">
        <f t="shared" ref="AY9" si="112">SUM(AS9:AU9)</f>
        <v>0</v>
      </c>
      <c r="AZ9" s="59">
        <f t="shared" ref="AZ9" si="113">SUM(AV9:AY9)</f>
        <v>0</v>
      </c>
      <c r="BA9" s="59"/>
      <c r="BB9" s="59">
        <f t="shared" ref="BB9" si="114">+R9+AJ9</f>
        <v>0</v>
      </c>
      <c r="BC9" s="59">
        <f t="shared" ref="BC9" si="115">+S9+AK9</f>
        <v>0</v>
      </c>
      <c r="BD9" s="59">
        <f t="shared" ref="BD9" si="116">+T9+AL9</f>
        <v>0</v>
      </c>
      <c r="BE9" s="59">
        <f t="shared" ref="BE9" si="117">+U9+AM9</f>
        <v>0</v>
      </c>
      <c r="BF9" s="59">
        <f t="shared" ref="BF9" si="118">+V9+AN9</f>
        <v>0</v>
      </c>
      <c r="BG9" s="59">
        <f t="shared" ref="BG9" si="119">+W9+AO9</f>
        <v>16.5</v>
      </c>
      <c r="BH9" s="59">
        <f t="shared" ref="BH9" si="120">+X9+AP9</f>
        <v>0</v>
      </c>
      <c r="BI9" s="59">
        <f t="shared" ref="BI9" si="121">+Y9+AQ9</f>
        <v>0</v>
      </c>
      <c r="BJ9" s="59">
        <f t="shared" ref="BJ9" si="122">+Z9+AR9</f>
        <v>0</v>
      </c>
      <c r="BK9" s="59">
        <f t="shared" ref="BK9" si="123">+AA9+AS9</f>
        <v>0</v>
      </c>
      <c r="BL9" s="59">
        <f t="shared" ref="BL9" si="124">+AB9+AT9</f>
        <v>0</v>
      </c>
      <c r="BM9" s="59">
        <f t="shared" ref="BM9" si="125">+AC9+AU9</f>
        <v>0</v>
      </c>
      <c r="BN9" s="59">
        <f t="shared" ref="BN9" si="126">SUM(BB9:BD9)</f>
        <v>0</v>
      </c>
      <c r="BO9" s="59">
        <f t="shared" ref="BO9" si="127">SUM(BE9:BG9)</f>
        <v>16.5</v>
      </c>
      <c r="BP9" s="59">
        <f t="shared" ref="BP9" si="128">SUM(BH9:BJ9)</f>
        <v>0</v>
      </c>
      <c r="BQ9" s="59">
        <f t="shared" ref="BQ9" si="129">SUM(BK9:BM9)</f>
        <v>0</v>
      </c>
      <c r="BR9" s="59">
        <f t="shared" ref="BR9" si="130">SUM(BN9:BQ9)</f>
        <v>16.5</v>
      </c>
      <c r="BS9" s="59"/>
      <c r="BT9" s="59">
        <f t="shared" si="43"/>
        <v>0</v>
      </c>
      <c r="BU9" s="59">
        <f t="shared" si="44"/>
        <v>0</v>
      </c>
      <c r="BV9" s="59">
        <f t="shared" si="44"/>
        <v>0</v>
      </c>
      <c r="BW9" s="59">
        <f t="shared" si="44"/>
        <v>0</v>
      </c>
      <c r="BX9" s="59">
        <f t="shared" si="44"/>
        <v>0</v>
      </c>
      <c r="BY9" s="59">
        <f t="shared" si="44"/>
        <v>0</v>
      </c>
      <c r="BZ9" s="59">
        <f t="shared" si="44"/>
        <v>4.125</v>
      </c>
      <c r="CA9" s="59">
        <f t="shared" si="44"/>
        <v>4.125</v>
      </c>
      <c r="CB9" s="59">
        <f t="shared" si="44"/>
        <v>4.125</v>
      </c>
      <c r="CC9" s="59">
        <f t="shared" si="44"/>
        <v>4.125</v>
      </c>
      <c r="CD9" s="59">
        <f t="shared" si="44"/>
        <v>0</v>
      </c>
      <c r="CE9" s="59">
        <f t="shared" si="44"/>
        <v>0</v>
      </c>
      <c r="CF9" s="59">
        <f t="shared" ref="CF9" si="131">SUM(BT9:BV9)</f>
        <v>0</v>
      </c>
      <c r="CG9" s="59">
        <f t="shared" ref="CG9" si="132">SUM(BW9:BY9)</f>
        <v>0</v>
      </c>
      <c r="CH9" s="59">
        <f t="shared" ref="CH9" si="133">SUM(BZ9:CB9)</f>
        <v>12.375</v>
      </c>
      <c r="CI9" s="59">
        <f t="shared" ref="CI9" si="134">SUM(CC9:CE9)</f>
        <v>4.125</v>
      </c>
      <c r="CJ9" s="59">
        <f t="shared" ref="CJ9" si="135">SUM(CF9:CI9)</f>
        <v>16.5</v>
      </c>
      <c r="CK9" s="59"/>
      <c r="CL9" s="59">
        <f t="shared" si="50"/>
        <v>0</v>
      </c>
      <c r="CM9" s="59">
        <f t="shared" si="50"/>
        <v>0</v>
      </c>
      <c r="CN9" s="59">
        <f t="shared" si="50"/>
        <v>0</v>
      </c>
      <c r="CO9" s="59">
        <f t="shared" si="50"/>
        <v>0</v>
      </c>
      <c r="CP9" s="59">
        <f t="shared" si="50"/>
        <v>0</v>
      </c>
      <c r="CQ9" s="59">
        <f t="shared" si="50"/>
        <v>0</v>
      </c>
      <c r="CR9" s="59">
        <f t="shared" si="50"/>
        <v>0</v>
      </c>
      <c r="CS9" s="59">
        <f t="shared" si="50"/>
        <v>0</v>
      </c>
      <c r="CT9" s="59">
        <f t="shared" si="50"/>
        <v>0</v>
      </c>
      <c r="CU9" s="59">
        <f t="shared" si="50"/>
        <v>0</v>
      </c>
      <c r="CV9" s="59">
        <f t="shared" si="50"/>
        <v>0</v>
      </c>
      <c r="CW9" s="59">
        <f t="shared" si="50"/>
        <v>0</v>
      </c>
      <c r="CX9" s="59">
        <f t="shared" ref="CX9" si="136">SUM(CL9:CN9)</f>
        <v>0</v>
      </c>
      <c r="CY9" s="59">
        <f t="shared" ref="CY9" si="137">SUM(CO9:CQ9)</f>
        <v>0</v>
      </c>
      <c r="CZ9" s="59">
        <f t="shared" ref="CZ9" si="138">SUM(CR9:CT9)</f>
        <v>0</v>
      </c>
      <c r="DA9" s="59">
        <f t="shared" ref="DA9" si="139">SUM(CU9:CW9)</f>
        <v>0</v>
      </c>
      <c r="DB9" s="59">
        <f t="shared" ref="DB9" si="140">SUM(CX9:DA9)</f>
        <v>0</v>
      </c>
      <c r="DC9" s="59"/>
      <c r="DD9" s="59">
        <f t="shared" ref="DD9" si="141">+BT9+CL9</f>
        <v>0</v>
      </c>
      <c r="DE9" s="59">
        <f t="shared" ref="DE9" si="142">+BU9+CM9</f>
        <v>0</v>
      </c>
      <c r="DF9" s="59">
        <f t="shared" ref="DF9" si="143">+BV9+CN9</f>
        <v>0</v>
      </c>
      <c r="DG9" s="59">
        <f t="shared" ref="DG9" si="144">+BW9+CO9</f>
        <v>0</v>
      </c>
      <c r="DH9" s="59">
        <f t="shared" ref="DH9" si="145">+BX9+CP9</f>
        <v>0</v>
      </c>
      <c r="DI9" s="59">
        <f t="shared" ref="DI9" si="146">+BY9+CQ9</f>
        <v>0</v>
      </c>
      <c r="DJ9" s="59">
        <f t="shared" ref="DJ9" si="147">+BZ9+CR9</f>
        <v>4.125</v>
      </c>
      <c r="DK9" s="59">
        <f t="shared" ref="DK9" si="148">+CA9+CS9</f>
        <v>4.125</v>
      </c>
      <c r="DL9" s="59">
        <f t="shared" ref="DL9" si="149">+CB9+CT9</f>
        <v>4.125</v>
      </c>
      <c r="DM9" s="59">
        <f t="shared" ref="DM9" si="150">+CC9+CU9</f>
        <v>4.125</v>
      </c>
      <c r="DN9" s="59">
        <f t="shared" ref="DN9" si="151">+CD9+CV9</f>
        <v>0</v>
      </c>
      <c r="DO9" s="59">
        <f t="shared" ref="DO9" si="152">+CE9+CW9</f>
        <v>0</v>
      </c>
      <c r="DP9" s="59">
        <f t="shared" ref="DP9" si="153">SUM(DD9:DF9)</f>
        <v>0</v>
      </c>
      <c r="DQ9" s="59">
        <f t="shared" ref="DQ9" si="154">SUM(DG9:DI9)</f>
        <v>0</v>
      </c>
      <c r="DR9" s="59">
        <f t="shared" ref="DR9" si="155">SUM(DJ9:DL9)</f>
        <v>12.375</v>
      </c>
      <c r="DS9" s="59">
        <f t="shared" ref="DS9" si="156">SUM(DM9:DO9)</f>
        <v>4.125</v>
      </c>
      <c r="DT9" s="59">
        <f t="shared" ref="DT9" si="157">SUM(DP9:DS9)</f>
        <v>16.5</v>
      </c>
      <c r="DU9" s="59"/>
      <c r="DV9" s="70">
        <v>0</v>
      </c>
      <c r="DW9" s="70">
        <v>0</v>
      </c>
      <c r="DX9" s="70">
        <v>0</v>
      </c>
      <c r="DY9" s="70">
        <v>0</v>
      </c>
      <c r="DZ9" s="70">
        <v>0</v>
      </c>
      <c r="EA9" s="70">
        <v>0</v>
      </c>
      <c r="EB9" s="59">
        <f t="shared" si="73"/>
        <v>0</v>
      </c>
      <c r="EC9" s="59">
        <f t="shared" si="73"/>
        <v>0</v>
      </c>
      <c r="ED9" s="59">
        <f t="shared" si="73"/>
        <v>4.125</v>
      </c>
      <c r="EE9" s="59">
        <f t="shared" si="73"/>
        <v>4.125</v>
      </c>
      <c r="EF9" s="59">
        <f t="shared" si="73"/>
        <v>4.125</v>
      </c>
      <c r="EG9" s="59">
        <f t="shared" si="73"/>
        <v>4.125</v>
      </c>
      <c r="EH9" s="59">
        <f t="shared" ref="EH9" si="158">SUM(DV9:DX9)</f>
        <v>0</v>
      </c>
      <c r="EI9" s="59">
        <f t="shared" ref="EI9" si="159">SUM(DY9:EA9)</f>
        <v>0</v>
      </c>
      <c r="EJ9" s="59">
        <f t="shared" ref="EJ9" si="160">SUM(EB9:ED9)</f>
        <v>4.125</v>
      </c>
      <c r="EK9" s="59">
        <f t="shared" ref="EK9" si="161">SUM(EE9:EG9)</f>
        <v>12.375</v>
      </c>
      <c r="EL9" s="59">
        <f t="shared" ref="EL9" si="162">SUM(EH9:EK9)</f>
        <v>16.5</v>
      </c>
      <c r="EM9" s="59"/>
      <c r="EN9" s="70">
        <v>0</v>
      </c>
      <c r="EO9" s="70">
        <v>0</v>
      </c>
      <c r="EP9" s="70">
        <v>0</v>
      </c>
      <c r="EQ9" s="70">
        <v>0</v>
      </c>
      <c r="ER9" s="70">
        <v>0</v>
      </c>
      <c r="ES9" s="59">
        <f t="shared" si="79"/>
        <v>0</v>
      </c>
      <c r="ET9" s="59">
        <f t="shared" si="79"/>
        <v>0</v>
      </c>
      <c r="EU9" s="59">
        <f t="shared" si="79"/>
        <v>0</v>
      </c>
      <c r="EV9" s="59">
        <f t="shared" si="79"/>
        <v>0</v>
      </c>
      <c r="EW9" s="59">
        <f t="shared" si="79"/>
        <v>0</v>
      </c>
      <c r="EX9" s="59">
        <f t="shared" si="79"/>
        <v>0</v>
      </c>
      <c r="EY9" s="59">
        <f t="shared" si="79"/>
        <v>0</v>
      </c>
      <c r="EZ9" s="59">
        <f t="shared" ref="EZ9" si="163">SUM(EN9:EP9)</f>
        <v>0</v>
      </c>
      <c r="FA9" s="59">
        <f t="shared" ref="FA9" si="164">SUM(EQ9:ES9)</f>
        <v>0</v>
      </c>
      <c r="FB9" s="59">
        <f t="shared" ref="FB9" si="165">SUM(ET9:EV9)</f>
        <v>0</v>
      </c>
      <c r="FC9" s="59">
        <f t="shared" ref="FC9" si="166">SUM(EW9:EY9)</f>
        <v>0</v>
      </c>
      <c r="FD9" s="59">
        <f t="shared" ref="FD9" si="167">SUM(EZ9:FC9)</f>
        <v>0</v>
      </c>
      <c r="FE9" s="59"/>
      <c r="FF9" s="59">
        <f t="shared" ref="FF9" si="168">+DV9+EN9</f>
        <v>0</v>
      </c>
      <c r="FG9" s="59">
        <f t="shared" ref="FG9" si="169">+DW9+EO9</f>
        <v>0</v>
      </c>
      <c r="FH9" s="59">
        <f t="shared" ref="FH9" si="170">+DX9+EP9</f>
        <v>0</v>
      </c>
      <c r="FI9" s="59">
        <f t="shared" ref="FI9" si="171">+DY9+EQ9</f>
        <v>0</v>
      </c>
      <c r="FJ9" s="59">
        <f t="shared" ref="FJ9" si="172">+DZ9+ER9</f>
        <v>0</v>
      </c>
      <c r="FK9" s="59">
        <f t="shared" ref="FK9" si="173">+EA9+ES9</f>
        <v>0</v>
      </c>
      <c r="FL9" s="59">
        <f t="shared" ref="FL9" si="174">+EB9+ET9</f>
        <v>0</v>
      </c>
      <c r="FM9" s="59">
        <f t="shared" ref="FM9" si="175">+EC9+EU9</f>
        <v>0</v>
      </c>
      <c r="FN9" s="59">
        <f t="shared" ref="FN9" si="176">+ED9+EV9</f>
        <v>4.125</v>
      </c>
      <c r="FO9" s="59">
        <f t="shared" ref="FO9" si="177">+EE9+EW9</f>
        <v>4.125</v>
      </c>
      <c r="FP9" s="59">
        <f t="shared" ref="FP9" si="178">+EF9+EX9</f>
        <v>4.125</v>
      </c>
      <c r="FQ9" s="59">
        <f t="shared" ref="FQ9" si="179">+EG9+EY9</f>
        <v>4.125</v>
      </c>
      <c r="FR9" s="59">
        <f t="shared" ref="FR9" si="180">SUM(FF9:FH9)</f>
        <v>0</v>
      </c>
      <c r="FS9" s="59">
        <f t="shared" ref="FS9" si="181">SUM(FI9:FK9)</f>
        <v>0</v>
      </c>
      <c r="FT9" s="59">
        <f t="shared" ref="FT9" si="182">SUM(FL9:FN9)</f>
        <v>4.125</v>
      </c>
      <c r="FU9" s="59">
        <f t="shared" ref="FU9" si="183">SUM(FO9:FQ9)</f>
        <v>12.375</v>
      </c>
      <c r="FV9" s="59">
        <f t="shared" ref="FV9" si="184">SUM(FR9:FU9)</f>
        <v>16.5</v>
      </c>
      <c r="FW9" s="15"/>
    </row>
    <row r="10" spans="1:179" ht="16" x14ac:dyDescent="0.2">
      <c r="B10" s="46">
        <f t="shared" si="102"/>
        <v>5</v>
      </c>
      <c r="C10" s="71" t="s">
        <v>264</v>
      </c>
      <c r="E10" s="13">
        <v>0</v>
      </c>
      <c r="F10" s="13">
        <v>0</v>
      </c>
      <c r="G10" s="17">
        <f t="shared" ref="G10" si="185">+E10+F10</f>
        <v>0</v>
      </c>
      <c r="H10" s="49" t="s">
        <v>215</v>
      </c>
      <c r="I10" s="49" t="s">
        <v>216</v>
      </c>
      <c r="J10" s="49" t="s">
        <v>262</v>
      </c>
      <c r="K10" s="54">
        <v>4</v>
      </c>
      <c r="L10" s="54">
        <v>0</v>
      </c>
      <c r="M10" s="54">
        <v>0</v>
      </c>
      <c r="N10" s="54">
        <v>6</v>
      </c>
      <c r="O10" s="48">
        <f t="shared" si="10"/>
        <v>7</v>
      </c>
      <c r="P10" s="48">
        <f t="shared" si="11"/>
        <v>4</v>
      </c>
      <c r="R10" s="59">
        <f t="shared" si="12"/>
        <v>0</v>
      </c>
      <c r="S10" s="59">
        <f t="shared" si="13"/>
        <v>0</v>
      </c>
      <c r="T10" s="59">
        <f t="shared" si="13"/>
        <v>0</v>
      </c>
      <c r="U10" s="59">
        <f t="shared" si="13"/>
        <v>0</v>
      </c>
      <c r="V10" s="59">
        <f t="shared" si="13"/>
        <v>0</v>
      </c>
      <c r="W10" s="59">
        <f t="shared" si="13"/>
        <v>0</v>
      </c>
      <c r="X10" s="59">
        <f t="shared" si="13"/>
        <v>0</v>
      </c>
      <c r="Y10" s="59">
        <f t="shared" si="13"/>
        <v>0</v>
      </c>
      <c r="Z10" s="59">
        <f t="shared" si="13"/>
        <v>0</v>
      </c>
      <c r="AA10" s="59">
        <f t="shared" si="13"/>
        <v>0</v>
      </c>
      <c r="AB10" s="59">
        <f t="shared" si="13"/>
        <v>0</v>
      </c>
      <c r="AC10" s="59">
        <f t="shared" si="13"/>
        <v>0</v>
      </c>
      <c r="AD10" s="59">
        <f t="shared" ref="AD10" si="186">SUM(R10:T10)</f>
        <v>0</v>
      </c>
      <c r="AE10" s="59">
        <f t="shared" ref="AE10" si="187">SUM(U10:W10)</f>
        <v>0</v>
      </c>
      <c r="AF10" s="59">
        <f t="shared" ref="AF10" si="188">SUM(X10:Z10)</f>
        <v>0</v>
      </c>
      <c r="AG10" s="59">
        <f t="shared" ref="AG10" si="189">SUM(AA10:AC10)</f>
        <v>0</v>
      </c>
      <c r="AH10" s="59">
        <f t="shared" ref="AH10" si="190">SUM(AD10:AG10)</f>
        <v>0</v>
      </c>
      <c r="AI10" s="59"/>
      <c r="AJ10" s="59">
        <f t="shared" si="19"/>
        <v>0</v>
      </c>
      <c r="AK10" s="59">
        <f t="shared" si="20"/>
        <v>0</v>
      </c>
      <c r="AL10" s="59">
        <f t="shared" si="20"/>
        <v>0</v>
      </c>
      <c r="AM10" s="59">
        <f t="shared" si="20"/>
        <v>0</v>
      </c>
      <c r="AN10" s="59">
        <f t="shared" si="20"/>
        <v>0</v>
      </c>
      <c r="AO10" s="59">
        <f t="shared" si="20"/>
        <v>0</v>
      </c>
      <c r="AP10" s="59">
        <f t="shared" si="20"/>
        <v>0</v>
      </c>
      <c r="AQ10" s="59">
        <f t="shared" si="20"/>
        <v>0</v>
      </c>
      <c r="AR10" s="59">
        <f t="shared" si="20"/>
        <v>0</v>
      </c>
      <c r="AS10" s="59">
        <f t="shared" si="20"/>
        <v>0</v>
      </c>
      <c r="AT10" s="59">
        <f t="shared" si="20"/>
        <v>0</v>
      </c>
      <c r="AU10" s="59">
        <f t="shared" si="20"/>
        <v>0</v>
      </c>
      <c r="AV10" s="59">
        <f t="shared" ref="AV10" si="191">SUM(AJ10:AL10)</f>
        <v>0</v>
      </c>
      <c r="AW10" s="59">
        <f t="shared" ref="AW10" si="192">SUM(AM10:AO10)</f>
        <v>0</v>
      </c>
      <c r="AX10" s="59">
        <f t="shared" ref="AX10" si="193">SUM(AP10:AR10)</f>
        <v>0</v>
      </c>
      <c r="AY10" s="59">
        <f t="shared" ref="AY10" si="194">SUM(AS10:AU10)</f>
        <v>0</v>
      </c>
      <c r="AZ10" s="59">
        <f t="shared" ref="AZ10" si="195">SUM(AV10:AY10)</f>
        <v>0</v>
      </c>
      <c r="BA10" s="59"/>
      <c r="BB10" s="59">
        <f t="shared" ref="BB10" si="196">+R10+AJ10</f>
        <v>0</v>
      </c>
      <c r="BC10" s="59">
        <f t="shared" ref="BC10" si="197">+S10+AK10</f>
        <v>0</v>
      </c>
      <c r="BD10" s="59">
        <f t="shared" ref="BD10" si="198">+T10+AL10</f>
        <v>0</v>
      </c>
      <c r="BE10" s="59">
        <f t="shared" ref="BE10" si="199">+U10+AM10</f>
        <v>0</v>
      </c>
      <c r="BF10" s="59">
        <f t="shared" ref="BF10" si="200">+V10+AN10</f>
        <v>0</v>
      </c>
      <c r="BG10" s="59">
        <f t="shared" ref="BG10" si="201">+W10+AO10</f>
        <v>0</v>
      </c>
      <c r="BH10" s="59">
        <f t="shared" ref="BH10" si="202">+X10+AP10</f>
        <v>0</v>
      </c>
      <c r="BI10" s="59">
        <f t="shared" ref="BI10" si="203">+Y10+AQ10</f>
        <v>0</v>
      </c>
      <c r="BJ10" s="59">
        <f t="shared" ref="BJ10" si="204">+Z10+AR10</f>
        <v>0</v>
      </c>
      <c r="BK10" s="59">
        <f t="shared" ref="BK10" si="205">+AA10+AS10</f>
        <v>0</v>
      </c>
      <c r="BL10" s="59">
        <f t="shared" ref="BL10" si="206">+AB10+AT10</f>
        <v>0</v>
      </c>
      <c r="BM10" s="59">
        <f t="shared" ref="BM10" si="207">+AC10+AU10</f>
        <v>0</v>
      </c>
      <c r="BN10" s="59">
        <f t="shared" ref="BN10" si="208">SUM(BB10:BD10)</f>
        <v>0</v>
      </c>
      <c r="BO10" s="59">
        <f t="shared" ref="BO10" si="209">SUM(BE10:BG10)</f>
        <v>0</v>
      </c>
      <c r="BP10" s="59">
        <f t="shared" ref="BP10" si="210">SUM(BH10:BJ10)</f>
        <v>0</v>
      </c>
      <c r="BQ10" s="59">
        <f t="shared" ref="BQ10" si="211">SUM(BK10:BM10)</f>
        <v>0</v>
      </c>
      <c r="BR10" s="59">
        <f t="shared" ref="BR10" si="212">SUM(BN10:BQ10)</f>
        <v>0</v>
      </c>
      <c r="BS10" s="59"/>
      <c r="BT10" s="59">
        <f t="shared" si="43"/>
        <v>0</v>
      </c>
      <c r="BU10" s="59">
        <f t="shared" si="44"/>
        <v>0</v>
      </c>
      <c r="BV10" s="59">
        <f t="shared" si="44"/>
        <v>0</v>
      </c>
      <c r="BW10" s="59">
        <f t="shared" si="44"/>
        <v>0</v>
      </c>
      <c r="BX10" s="59">
        <f t="shared" si="44"/>
        <v>0</v>
      </c>
      <c r="BY10" s="59">
        <f t="shared" si="44"/>
        <v>0</v>
      </c>
      <c r="BZ10" s="59">
        <f t="shared" si="44"/>
        <v>0</v>
      </c>
      <c r="CA10" s="59">
        <f t="shared" si="44"/>
        <v>0</v>
      </c>
      <c r="CB10" s="59">
        <f t="shared" si="44"/>
        <v>0</v>
      </c>
      <c r="CC10" s="59">
        <f t="shared" si="44"/>
        <v>0</v>
      </c>
      <c r="CD10" s="59">
        <f t="shared" si="44"/>
        <v>0</v>
      </c>
      <c r="CE10" s="59">
        <f t="shared" si="44"/>
        <v>0</v>
      </c>
      <c r="CF10" s="59">
        <f t="shared" ref="CF10" si="213">SUM(BT10:BV10)</f>
        <v>0</v>
      </c>
      <c r="CG10" s="59">
        <f t="shared" ref="CG10" si="214">SUM(BW10:BY10)</f>
        <v>0</v>
      </c>
      <c r="CH10" s="59">
        <f t="shared" ref="CH10" si="215">SUM(BZ10:CB10)</f>
        <v>0</v>
      </c>
      <c r="CI10" s="59">
        <f t="shared" ref="CI10" si="216">SUM(CC10:CE10)</f>
        <v>0</v>
      </c>
      <c r="CJ10" s="59">
        <f t="shared" ref="CJ10" si="217">SUM(CF10:CI10)</f>
        <v>0</v>
      </c>
      <c r="CK10" s="59"/>
      <c r="CL10" s="59">
        <f t="shared" si="50"/>
        <v>0</v>
      </c>
      <c r="CM10" s="59">
        <f t="shared" si="50"/>
        <v>0</v>
      </c>
      <c r="CN10" s="59">
        <f t="shared" si="50"/>
        <v>0</v>
      </c>
      <c r="CO10" s="59">
        <f t="shared" si="50"/>
        <v>0</v>
      </c>
      <c r="CP10" s="59">
        <f t="shared" si="50"/>
        <v>0</v>
      </c>
      <c r="CQ10" s="59">
        <f t="shared" si="50"/>
        <v>0</v>
      </c>
      <c r="CR10" s="59">
        <f t="shared" si="50"/>
        <v>0</v>
      </c>
      <c r="CS10" s="59">
        <f t="shared" si="50"/>
        <v>0</v>
      </c>
      <c r="CT10" s="59">
        <f t="shared" si="50"/>
        <v>0</v>
      </c>
      <c r="CU10" s="59">
        <f t="shared" si="50"/>
        <v>0</v>
      </c>
      <c r="CV10" s="59">
        <f t="shared" si="50"/>
        <v>0</v>
      </c>
      <c r="CW10" s="59">
        <f t="shared" si="50"/>
        <v>0</v>
      </c>
      <c r="CX10" s="59">
        <f t="shared" ref="CX10" si="218">SUM(CL10:CN10)</f>
        <v>0</v>
      </c>
      <c r="CY10" s="59">
        <f t="shared" ref="CY10" si="219">SUM(CO10:CQ10)</f>
        <v>0</v>
      </c>
      <c r="CZ10" s="59">
        <f t="shared" ref="CZ10" si="220">SUM(CR10:CT10)</f>
        <v>0</v>
      </c>
      <c r="DA10" s="59">
        <f t="shared" ref="DA10" si="221">SUM(CU10:CW10)</f>
        <v>0</v>
      </c>
      <c r="DB10" s="59">
        <f t="shared" ref="DB10" si="222">SUM(CX10:DA10)</f>
        <v>0</v>
      </c>
      <c r="DC10" s="59"/>
      <c r="DD10" s="59">
        <f t="shared" ref="DD10" si="223">+BT10+CL10</f>
        <v>0</v>
      </c>
      <c r="DE10" s="59">
        <f t="shared" ref="DE10" si="224">+BU10+CM10</f>
        <v>0</v>
      </c>
      <c r="DF10" s="59">
        <f t="shared" ref="DF10" si="225">+BV10+CN10</f>
        <v>0</v>
      </c>
      <c r="DG10" s="59">
        <f t="shared" ref="DG10" si="226">+BW10+CO10</f>
        <v>0</v>
      </c>
      <c r="DH10" s="59">
        <f t="shared" ref="DH10" si="227">+BX10+CP10</f>
        <v>0</v>
      </c>
      <c r="DI10" s="59">
        <f t="shared" ref="DI10" si="228">+BY10+CQ10</f>
        <v>0</v>
      </c>
      <c r="DJ10" s="59">
        <f t="shared" ref="DJ10" si="229">+BZ10+CR10</f>
        <v>0</v>
      </c>
      <c r="DK10" s="59">
        <f t="shared" ref="DK10" si="230">+CA10+CS10</f>
        <v>0</v>
      </c>
      <c r="DL10" s="59">
        <f t="shared" ref="DL10" si="231">+CB10+CT10</f>
        <v>0</v>
      </c>
      <c r="DM10" s="59">
        <f t="shared" ref="DM10" si="232">+CC10+CU10</f>
        <v>0</v>
      </c>
      <c r="DN10" s="59">
        <f t="shared" ref="DN10" si="233">+CD10+CV10</f>
        <v>0</v>
      </c>
      <c r="DO10" s="59">
        <f t="shared" ref="DO10" si="234">+CE10+CW10</f>
        <v>0</v>
      </c>
      <c r="DP10" s="59">
        <f t="shared" ref="DP10" si="235">SUM(DD10:DF10)</f>
        <v>0</v>
      </c>
      <c r="DQ10" s="59">
        <f t="shared" ref="DQ10" si="236">SUM(DG10:DI10)</f>
        <v>0</v>
      </c>
      <c r="DR10" s="59">
        <f t="shared" ref="DR10" si="237">SUM(DJ10:DL10)</f>
        <v>0</v>
      </c>
      <c r="DS10" s="59">
        <f t="shared" ref="DS10" si="238">SUM(DM10:DO10)</f>
        <v>0</v>
      </c>
      <c r="DT10" s="59">
        <f t="shared" ref="DT10" si="239">SUM(DP10:DS10)</f>
        <v>0</v>
      </c>
      <c r="DU10" s="59"/>
      <c r="DV10" s="70">
        <v>0</v>
      </c>
      <c r="DW10" s="70">
        <v>0</v>
      </c>
      <c r="DX10" s="70">
        <v>0</v>
      </c>
      <c r="DY10" s="70">
        <v>0</v>
      </c>
      <c r="DZ10" s="70">
        <v>0</v>
      </c>
      <c r="EA10" s="70">
        <v>0</v>
      </c>
      <c r="EB10" s="59">
        <f t="shared" si="73"/>
        <v>0</v>
      </c>
      <c r="EC10" s="59">
        <f t="shared" si="73"/>
        <v>0</v>
      </c>
      <c r="ED10" s="59">
        <f t="shared" si="73"/>
        <v>0</v>
      </c>
      <c r="EE10" s="59">
        <f t="shared" si="73"/>
        <v>0</v>
      </c>
      <c r="EF10" s="59">
        <f t="shared" si="73"/>
        <v>0</v>
      </c>
      <c r="EG10" s="59">
        <f t="shared" si="73"/>
        <v>0</v>
      </c>
      <c r="EH10" s="59">
        <f t="shared" ref="EH10" si="240">SUM(DV10:DX10)</f>
        <v>0</v>
      </c>
      <c r="EI10" s="59">
        <f t="shared" ref="EI10" si="241">SUM(DY10:EA10)</f>
        <v>0</v>
      </c>
      <c r="EJ10" s="59">
        <f t="shared" ref="EJ10" si="242">SUM(EB10:ED10)</f>
        <v>0</v>
      </c>
      <c r="EK10" s="59">
        <f t="shared" ref="EK10" si="243">SUM(EE10:EG10)</f>
        <v>0</v>
      </c>
      <c r="EL10" s="59">
        <f t="shared" ref="EL10" si="244">SUM(EH10:EK10)</f>
        <v>0</v>
      </c>
      <c r="EM10" s="59"/>
      <c r="EN10" s="70">
        <v>0</v>
      </c>
      <c r="EO10" s="70">
        <v>0</v>
      </c>
      <c r="EP10" s="70">
        <v>0</v>
      </c>
      <c r="EQ10" s="70">
        <v>0</v>
      </c>
      <c r="ER10" s="70">
        <v>0</v>
      </c>
      <c r="ES10" s="59">
        <f t="shared" si="79"/>
        <v>0</v>
      </c>
      <c r="ET10" s="59">
        <f t="shared" si="79"/>
        <v>0</v>
      </c>
      <c r="EU10" s="59">
        <f t="shared" si="79"/>
        <v>0</v>
      </c>
      <c r="EV10" s="59">
        <f t="shared" si="79"/>
        <v>0</v>
      </c>
      <c r="EW10" s="59">
        <f t="shared" si="79"/>
        <v>0</v>
      </c>
      <c r="EX10" s="59">
        <f t="shared" si="79"/>
        <v>0</v>
      </c>
      <c r="EY10" s="59">
        <f t="shared" si="79"/>
        <v>0</v>
      </c>
      <c r="EZ10" s="59">
        <f t="shared" ref="EZ10" si="245">SUM(EN10:EP10)</f>
        <v>0</v>
      </c>
      <c r="FA10" s="59">
        <f t="shared" ref="FA10" si="246">SUM(EQ10:ES10)</f>
        <v>0</v>
      </c>
      <c r="FB10" s="59">
        <f t="shared" ref="FB10" si="247">SUM(ET10:EV10)</f>
        <v>0</v>
      </c>
      <c r="FC10" s="59">
        <f t="shared" ref="FC10" si="248">SUM(EW10:EY10)</f>
        <v>0</v>
      </c>
      <c r="FD10" s="59">
        <f t="shared" ref="FD10" si="249">SUM(EZ10:FC10)</f>
        <v>0</v>
      </c>
      <c r="FE10" s="59"/>
      <c r="FF10" s="59">
        <f t="shared" ref="FF10" si="250">+DV10+EN10</f>
        <v>0</v>
      </c>
      <c r="FG10" s="59">
        <f t="shared" ref="FG10" si="251">+DW10+EO10</f>
        <v>0</v>
      </c>
      <c r="FH10" s="59">
        <f t="shared" ref="FH10" si="252">+DX10+EP10</f>
        <v>0</v>
      </c>
      <c r="FI10" s="59">
        <f t="shared" ref="FI10" si="253">+DY10+EQ10</f>
        <v>0</v>
      </c>
      <c r="FJ10" s="59">
        <f t="shared" ref="FJ10" si="254">+DZ10+ER10</f>
        <v>0</v>
      </c>
      <c r="FK10" s="59">
        <f t="shared" ref="FK10" si="255">+EA10+ES10</f>
        <v>0</v>
      </c>
      <c r="FL10" s="59">
        <f t="shared" ref="FL10" si="256">+EB10+ET10</f>
        <v>0</v>
      </c>
      <c r="FM10" s="59">
        <f t="shared" ref="FM10" si="257">+EC10+EU10</f>
        <v>0</v>
      </c>
      <c r="FN10" s="59">
        <f t="shared" ref="FN10" si="258">+ED10+EV10</f>
        <v>0</v>
      </c>
      <c r="FO10" s="59">
        <f t="shared" ref="FO10" si="259">+EE10+EW10</f>
        <v>0</v>
      </c>
      <c r="FP10" s="59">
        <f t="shared" ref="FP10" si="260">+EF10+EX10</f>
        <v>0</v>
      </c>
      <c r="FQ10" s="59">
        <f t="shared" ref="FQ10" si="261">+EG10+EY10</f>
        <v>0</v>
      </c>
      <c r="FR10" s="59">
        <f t="shared" ref="FR10" si="262">SUM(FF10:FH10)</f>
        <v>0</v>
      </c>
      <c r="FS10" s="59">
        <f t="shared" ref="FS10" si="263">SUM(FI10:FK10)</f>
        <v>0</v>
      </c>
      <c r="FT10" s="59">
        <f t="shared" ref="FT10" si="264">SUM(FL10:FN10)</f>
        <v>0</v>
      </c>
      <c r="FU10" s="59">
        <f t="shared" ref="FU10" si="265">SUM(FO10:FQ10)</f>
        <v>0</v>
      </c>
      <c r="FV10" s="59">
        <f t="shared" ref="FV10" si="266">SUM(FR10:FU10)</f>
        <v>0</v>
      </c>
      <c r="FW10" s="15"/>
    </row>
    <row r="11" spans="1:179" ht="16" x14ac:dyDescent="0.2">
      <c r="B11" s="46">
        <f t="shared" si="102"/>
        <v>6</v>
      </c>
      <c r="C11" s="14" t="s">
        <v>66</v>
      </c>
      <c r="E11" s="13">
        <v>0</v>
      </c>
      <c r="F11" s="13">
        <v>0</v>
      </c>
      <c r="G11" s="17">
        <f t="shared" si="9"/>
        <v>0</v>
      </c>
      <c r="H11" s="49" t="s">
        <v>215</v>
      </c>
      <c r="I11" s="49" t="s">
        <v>216</v>
      </c>
      <c r="J11" s="49" t="s">
        <v>262</v>
      </c>
      <c r="K11" s="54">
        <v>0</v>
      </c>
      <c r="L11" s="54">
        <v>0</v>
      </c>
      <c r="M11" s="54">
        <v>0</v>
      </c>
      <c r="N11" s="54">
        <v>0</v>
      </c>
      <c r="O11" s="48">
        <f t="shared" si="10"/>
        <v>1</v>
      </c>
      <c r="P11" s="48">
        <f t="shared" si="11"/>
        <v>0</v>
      </c>
      <c r="R11" s="59">
        <f t="shared" si="12"/>
        <v>0</v>
      </c>
      <c r="S11" s="59">
        <f t="shared" si="13"/>
        <v>0</v>
      </c>
      <c r="T11" s="59">
        <f t="shared" si="13"/>
        <v>0</v>
      </c>
      <c r="U11" s="59">
        <f t="shared" si="13"/>
        <v>0</v>
      </c>
      <c r="V11" s="59">
        <f t="shared" si="13"/>
        <v>0</v>
      </c>
      <c r="W11" s="59">
        <f t="shared" si="13"/>
        <v>0</v>
      </c>
      <c r="X11" s="59">
        <f t="shared" si="13"/>
        <v>0</v>
      </c>
      <c r="Y11" s="59">
        <f t="shared" si="13"/>
        <v>0</v>
      </c>
      <c r="Z11" s="59">
        <f t="shared" si="13"/>
        <v>0</v>
      </c>
      <c r="AA11" s="59">
        <f t="shared" si="13"/>
        <v>0</v>
      </c>
      <c r="AB11" s="59">
        <f t="shared" si="13"/>
        <v>0</v>
      </c>
      <c r="AC11" s="59">
        <f t="shared" si="13"/>
        <v>0</v>
      </c>
      <c r="AD11" s="59">
        <f t="shared" si="14"/>
        <v>0</v>
      </c>
      <c r="AE11" s="59">
        <f t="shared" si="15"/>
        <v>0</v>
      </c>
      <c r="AF11" s="59">
        <f t="shared" si="16"/>
        <v>0</v>
      </c>
      <c r="AG11" s="59">
        <f t="shared" si="17"/>
        <v>0</v>
      </c>
      <c r="AH11" s="59">
        <f t="shared" si="18"/>
        <v>0</v>
      </c>
      <c r="AI11" s="59"/>
      <c r="AJ11" s="59">
        <f t="shared" si="19"/>
        <v>0</v>
      </c>
      <c r="AK11" s="59">
        <f t="shared" si="20"/>
        <v>0</v>
      </c>
      <c r="AL11" s="59">
        <f t="shared" si="20"/>
        <v>0</v>
      </c>
      <c r="AM11" s="59">
        <f t="shared" si="20"/>
        <v>0</v>
      </c>
      <c r="AN11" s="59">
        <f t="shared" si="20"/>
        <v>0</v>
      </c>
      <c r="AO11" s="59">
        <f t="shared" si="20"/>
        <v>0</v>
      </c>
      <c r="AP11" s="59">
        <f t="shared" si="20"/>
        <v>0</v>
      </c>
      <c r="AQ11" s="59">
        <f t="shared" si="20"/>
        <v>0</v>
      </c>
      <c r="AR11" s="59">
        <f t="shared" si="20"/>
        <v>0</v>
      </c>
      <c r="AS11" s="59">
        <f t="shared" si="20"/>
        <v>0</v>
      </c>
      <c r="AT11" s="59">
        <f t="shared" si="20"/>
        <v>0</v>
      </c>
      <c r="AU11" s="59">
        <f t="shared" si="20"/>
        <v>0</v>
      </c>
      <c r="AV11" s="59">
        <f t="shared" si="21"/>
        <v>0</v>
      </c>
      <c r="AW11" s="59">
        <f t="shared" si="22"/>
        <v>0</v>
      </c>
      <c r="AX11" s="59">
        <f t="shared" si="23"/>
        <v>0</v>
      </c>
      <c r="AY11" s="59">
        <f t="shared" si="24"/>
        <v>0</v>
      </c>
      <c r="AZ11" s="59">
        <f t="shared" si="25"/>
        <v>0</v>
      </c>
      <c r="BA11" s="59"/>
      <c r="BB11" s="59">
        <f t="shared" si="26"/>
        <v>0</v>
      </c>
      <c r="BC11" s="59">
        <f t="shared" si="27"/>
        <v>0</v>
      </c>
      <c r="BD11" s="59">
        <f t="shared" si="28"/>
        <v>0</v>
      </c>
      <c r="BE11" s="59">
        <f t="shared" si="29"/>
        <v>0</v>
      </c>
      <c r="BF11" s="59">
        <f t="shared" si="30"/>
        <v>0</v>
      </c>
      <c r="BG11" s="59">
        <f t="shared" si="31"/>
        <v>0</v>
      </c>
      <c r="BH11" s="59">
        <f t="shared" si="32"/>
        <v>0</v>
      </c>
      <c r="BI11" s="59">
        <f t="shared" si="33"/>
        <v>0</v>
      </c>
      <c r="BJ11" s="59">
        <f t="shared" si="34"/>
        <v>0</v>
      </c>
      <c r="BK11" s="59">
        <f t="shared" si="35"/>
        <v>0</v>
      </c>
      <c r="BL11" s="59">
        <f t="shared" si="36"/>
        <v>0</v>
      </c>
      <c r="BM11" s="59">
        <f t="shared" si="37"/>
        <v>0</v>
      </c>
      <c r="BN11" s="59">
        <f t="shared" si="38"/>
        <v>0</v>
      </c>
      <c r="BO11" s="59">
        <f t="shared" si="39"/>
        <v>0</v>
      </c>
      <c r="BP11" s="59">
        <f t="shared" si="40"/>
        <v>0</v>
      </c>
      <c r="BQ11" s="59">
        <f t="shared" si="41"/>
        <v>0</v>
      </c>
      <c r="BR11" s="59">
        <f t="shared" si="42"/>
        <v>0</v>
      </c>
      <c r="BS11" s="59"/>
      <c r="BT11" s="59">
        <f t="shared" si="43"/>
        <v>0</v>
      </c>
      <c r="BU11" s="59">
        <f t="shared" si="44"/>
        <v>0</v>
      </c>
      <c r="BV11" s="59">
        <f t="shared" si="44"/>
        <v>0</v>
      </c>
      <c r="BW11" s="59">
        <f t="shared" si="44"/>
        <v>0</v>
      </c>
      <c r="BX11" s="59">
        <f t="shared" si="44"/>
        <v>0</v>
      </c>
      <c r="BY11" s="59">
        <f t="shared" si="44"/>
        <v>0</v>
      </c>
      <c r="BZ11" s="59">
        <f t="shared" si="44"/>
        <v>0</v>
      </c>
      <c r="CA11" s="59">
        <f t="shared" si="44"/>
        <v>0</v>
      </c>
      <c r="CB11" s="59">
        <f t="shared" si="44"/>
        <v>0</v>
      </c>
      <c r="CC11" s="59">
        <f t="shared" si="44"/>
        <v>0</v>
      </c>
      <c r="CD11" s="59">
        <f t="shared" si="44"/>
        <v>0</v>
      </c>
      <c r="CE11" s="59">
        <f t="shared" si="44"/>
        <v>0</v>
      </c>
      <c r="CF11" s="59">
        <f t="shared" si="45"/>
        <v>0</v>
      </c>
      <c r="CG11" s="59">
        <f t="shared" si="46"/>
        <v>0</v>
      </c>
      <c r="CH11" s="59">
        <f t="shared" si="47"/>
        <v>0</v>
      </c>
      <c r="CI11" s="59">
        <f t="shared" si="48"/>
        <v>0</v>
      </c>
      <c r="CJ11" s="59">
        <f t="shared" si="49"/>
        <v>0</v>
      </c>
      <c r="CK11" s="59"/>
      <c r="CL11" s="59">
        <f t="shared" si="50"/>
        <v>0</v>
      </c>
      <c r="CM11" s="59">
        <f t="shared" si="50"/>
        <v>0</v>
      </c>
      <c r="CN11" s="59">
        <f t="shared" si="50"/>
        <v>0</v>
      </c>
      <c r="CO11" s="59">
        <f t="shared" si="50"/>
        <v>0</v>
      </c>
      <c r="CP11" s="59">
        <f t="shared" si="50"/>
        <v>0</v>
      </c>
      <c r="CQ11" s="59">
        <f t="shared" si="50"/>
        <v>0</v>
      </c>
      <c r="CR11" s="59">
        <f t="shared" si="50"/>
        <v>0</v>
      </c>
      <c r="CS11" s="59">
        <f t="shared" si="50"/>
        <v>0</v>
      </c>
      <c r="CT11" s="59">
        <f t="shared" si="50"/>
        <v>0</v>
      </c>
      <c r="CU11" s="59">
        <f t="shared" si="50"/>
        <v>0</v>
      </c>
      <c r="CV11" s="59">
        <f t="shared" si="50"/>
        <v>0</v>
      </c>
      <c r="CW11" s="59">
        <f t="shared" si="50"/>
        <v>0</v>
      </c>
      <c r="CX11" s="59">
        <f t="shared" si="51"/>
        <v>0</v>
      </c>
      <c r="CY11" s="59">
        <f t="shared" si="52"/>
        <v>0</v>
      </c>
      <c r="CZ11" s="59">
        <f t="shared" si="53"/>
        <v>0</v>
      </c>
      <c r="DA11" s="59">
        <f t="shared" si="54"/>
        <v>0</v>
      </c>
      <c r="DB11" s="59">
        <f t="shared" si="55"/>
        <v>0</v>
      </c>
      <c r="DC11" s="59"/>
      <c r="DD11" s="59">
        <f t="shared" si="56"/>
        <v>0</v>
      </c>
      <c r="DE11" s="59">
        <f t="shared" si="57"/>
        <v>0</v>
      </c>
      <c r="DF11" s="59">
        <f t="shared" si="58"/>
        <v>0</v>
      </c>
      <c r="DG11" s="59">
        <f t="shared" si="59"/>
        <v>0</v>
      </c>
      <c r="DH11" s="59">
        <f t="shared" si="60"/>
        <v>0</v>
      </c>
      <c r="DI11" s="59">
        <f t="shared" si="61"/>
        <v>0</v>
      </c>
      <c r="DJ11" s="59">
        <f t="shared" si="62"/>
        <v>0</v>
      </c>
      <c r="DK11" s="59">
        <f t="shared" si="63"/>
        <v>0</v>
      </c>
      <c r="DL11" s="59">
        <f t="shared" si="64"/>
        <v>0</v>
      </c>
      <c r="DM11" s="59">
        <f t="shared" si="65"/>
        <v>0</v>
      </c>
      <c r="DN11" s="59">
        <f t="shared" si="66"/>
        <v>0</v>
      </c>
      <c r="DO11" s="59">
        <f t="shared" si="67"/>
        <v>0</v>
      </c>
      <c r="DP11" s="59">
        <f t="shared" si="68"/>
        <v>0</v>
      </c>
      <c r="DQ11" s="59">
        <f t="shared" si="69"/>
        <v>0</v>
      </c>
      <c r="DR11" s="59">
        <f t="shared" si="70"/>
        <v>0</v>
      </c>
      <c r="DS11" s="59">
        <f t="shared" si="71"/>
        <v>0</v>
      </c>
      <c r="DT11" s="59">
        <f t="shared" si="72"/>
        <v>0</v>
      </c>
      <c r="DU11" s="59"/>
      <c r="DV11" s="70">
        <v>8.4</v>
      </c>
      <c r="DW11" s="70">
        <v>8.4</v>
      </c>
      <c r="DX11" s="70">
        <v>0</v>
      </c>
      <c r="DY11" s="70">
        <v>0</v>
      </c>
      <c r="DZ11" s="70">
        <v>0</v>
      </c>
      <c r="EA11" s="70">
        <v>0</v>
      </c>
      <c r="EB11" s="59">
        <f t="shared" si="73"/>
        <v>0</v>
      </c>
      <c r="EC11" s="59">
        <f t="shared" si="73"/>
        <v>0</v>
      </c>
      <c r="ED11" s="59">
        <f t="shared" si="73"/>
        <v>0</v>
      </c>
      <c r="EE11" s="59">
        <f t="shared" si="73"/>
        <v>0</v>
      </c>
      <c r="EF11" s="59">
        <f t="shared" si="73"/>
        <v>0</v>
      </c>
      <c r="EG11" s="59">
        <f t="shared" si="73"/>
        <v>0</v>
      </c>
      <c r="EH11" s="59">
        <f t="shared" si="74"/>
        <v>16.8</v>
      </c>
      <c r="EI11" s="59">
        <f t="shared" si="75"/>
        <v>0</v>
      </c>
      <c r="EJ11" s="59">
        <f t="shared" si="76"/>
        <v>0</v>
      </c>
      <c r="EK11" s="59">
        <f t="shared" si="77"/>
        <v>0</v>
      </c>
      <c r="EL11" s="59">
        <f t="shared" si="78"/>
        <v>16.8</v>
      </c>
      <c r="EM11" s="59"/>
      <c r="EN11" s="70">
        <v>0</v>
      </c>
      <c r="EO11" s="70">
        <v>0</v>
      </c>
      <c r="EP11" s="70">
        <v>0</v>
      </c>
      <c r="EQ11" s="70">
        <v>0</v>
      </c>
      <c r="ER11" s="70">
        <v>0</v>
      </c>
      <c r="ES11" s="59">
        <f t="shared" si="79"/>
        <v>0</v>
      </c>
      <c r="ET11" s="59">
        <f t="shared" si="79"/>
        <v>0</v>
      </c>
      <c r="EU11" s="59">
        <f t="shared" si="79"/>
        <v>0</v>
      </c>
      <c r="EV11" s="59">
        <f t="shared" si="79"/>
        <v>0</v>
      </c>
      <c r="EW11" s="59">
        <f t="shared" si="79"/>
        <v>0</v>
      </c>
      <c r="EX11" s="59">
        <f t="shared" si="79"/>
        <v>0</v>
      </c>
      <c r="EY11" s="59">
        <f t="shared" si="79"/>
        <v>0</v>
      </c>
      <c r="EZ11" s="59">
        <f t="shared" si="80"/>
        <v>0</v>
      </c>
      <c r="FA11" s="59">
        <f t="shared" si="81"/>
        <v>0</v>
      </c>
      <c r="FB11" s="59">
        <f t="shared" si="82"/>
        <v>0</v>
      </c>
      <c r="FC11" s="59">
        <f t="shared" si="83"/>
        <v>0</v>
      </c>
      <c r="FD11" s="59">
        <f t="shared" si="84"/>
        <v>0</v>
      </c>
      <c r="FE11" s="59"/>
      <c r="FF11" s="59">
        <f t="shared" si="85"/>
        <v>8.4</v>
      </c>
      <c r="FG11" s="59">
        <f t="shared" si="86"/>
        <v>8.4</v>
      </c>
      <c r="FH11" s="59">
        <f t="shared" si="87"/>
        <v>0</v>
      </c>
      <c r="FI11" s="59">
        <f t="shared" si="88"/>
        <v>0</v>
      </c>
      <c r="FJ11" s="59">
        <f t="shared" si="89"/>
        <v>0</v>
      </c>
      <c r="FK11" s="59">
        <f t="shared" si="90"/>
        <v>0</v>
      </c>
      <c r="FL11" s="59">
        <f t="shared" si="91"/>
        <v>0</v>
      </c>
      <c r="FM11" s="59">
        <f t="shared" si="92"/>
        <v>0</v>
      </c>
      <c r="FN11" s="59">
        <f t="shared" si="93"/>
        <v>0</v>
      </c>
      <c r="FO11" s="59">
        <f t="shared" si="94"/>
        <v>0</v>
      </c>
      <c r="FP11" s="59">
        <f t="shared" si="95"/>
        <v>0</v>
      </c>
      <c r="FQ11" s="59">
        <f t="shared" si="96"/>
        <v>0</v>
      </c>
      <c r="FR11" s="59">
        <f t="shared" si="97"/>
        <v>16.8</v>
      </c>
      <c r="FS11" s="59">
        <f t="shared" si="98"/>
        <v>0</v>
      </c>
      <c r="FT11" s="59">
        <f t="shared" si="99"/>
        <v>0</v>
      </c>
      <c r="FU11" s="59">
        <f t="shared" si="100"/>
        <v>0</v>
      </c>
      <c r="FV11" s="59">
        <f t="shared" si="101"/>
        <v>16.8</v>
      </c>
      <c r="FW11" s="15"/>
    </row>
    <row r="12" spans="1:179" ht="16" x14ac:dyDescent="0.2">
      <c r="B12" s="46">
        <f t="shared" si="102"/>
        <v>7</v>
      </c>
      <c r="C12" s="14" t="s">
        <v>483</v>
      </c>
      <c r="E12" s="13">
        <f>(5250*2)/1000</f>
        <v>10.5</v>
      </c>
      <c r="F12" s="13">
        <v>0</v>
      </c>
      <c r="G12" s="17">
        <f t="shared" ref="G12" si="267">+E12+F12</f>
        <v>10.5</v>
      </c>
      <c r="H12" s="49" t="s">
        <v>215</v>
      </c>
      <c r="I12" s="49" t="s">
        <v>216</v>
      </c>
      <c r="J12" s="49" t="s">
        <v>262</v>
      </c>
      <c r="K12" s="54">
        <v>2</v>
      </c>
      <c r="L12" s="54">
        <v>0</v>
      </c>
      <c r="M12" s="54">
        <v>0</v>
      </c>
      <c r="N12" s="54">
        <v>1</v>
      </c>
      <c r="O12" s="48">
        <f t="shared" ref="O12" si="268">+N12+1</f>
        <v>2</v>
      </c>
      <c r="P12" s="48">
        <f t="shared" ref="P12" si="269">+K12+L12</f>
        <v>2</v>
      </c>
      <c r="R12" s="59">
        <f t="shared" si="12"/>
        <v>10.5</v>
      </c>
      <c r="S12" s="59">
        <f t="shared" si="13"/>
        <v>0</v>
      </c>
      <c r="T12" s="59">
        <f t="shared" si="13"/>
        <v>0</v>
      </c>
      <c r="U12" s="59">
        <f t="shared" si="13"/>
        <v>0</v>
      </c>
      <c r="V12" s="59">
        <f t="shared" si="13"/>
        <v>0</v>
      </c>
      <c r="W12" s="59">
        <f t="shared" si="13"/>
        <v>0</v>
      </c>
      <c r="X12" s="59">
        <f t="shared" si="13"/>
        <v>0</v>
      </c>
      <c r="Y12" s="59">
        <f t="shared" si="13"/>
        <v>0</v>
      </c>
      <c r="Z12" s="59">
        <f t="shared" si="13"/>
        <v>0</v>
      </c>
      <c r="AA12" s="59">
        <f t="shared" si="13"/>
        <v>0</v>
      </c>
      <c r="AB12" s="59">
        <f t="shared" si="13"/>
        <v>0</v>
      </c>
      <c r="AC12" s="59">
        <f t="shared" si="13"/>
        <v>0</v>
      </c>
      <c r="AD12" s="59">
        <f t="shared" ref="AD12" si="270">SUM(R12:T12)</f>
        <v>10.5</v>
      </c>
      <c r="AE12" s="59">
        <f t="shared" ref="AE12" si="271">SUM(U12:W12)</f>
        <v>0</v>
      </c>
      <c r="AF12" s="59">
        <f t="shared" ref="AF12" si="272">SUM(X12:Z12)</f>
        <v>0</v>
      </c>
      <c r="AG12" s="59">
        <f t="shared" ref="AG12" si="273">SUM(AA12:AC12)</f>
        <v>0</v>
      </c>
      <c r="AH12" s="59">
        <f t="shared" ref="AH12" si="274">SUM(AD12:AG12)</f>
        <v>10.5</v>
      </c>
      <c r="AI12" s="59"/>
      <c r="AJ12" s="59">
        <f t="shared" si="19"/>
        <v>0</v>
      </c>
      <c r="AK12" s="59">
        <f t="shared" si="20"/>
        <v>0</v>
      </c>
      <c r="AL12" s="59">
        <f t="shared" si="20"/>
        <v>0</v>
      </c>
      <c r="AM12" s="59">
        <f t="shared" si="20"/>
        <v>0</v>
      </c>
      <c r="AN12" s="59">
        <f t="shared" si="20"/>
        <v>0</v>
      </c>
      <c r="AO12" s="59">
        <f t="shared" si="20"/>
        <v>0</v>
      </c>
      <c r="AP12" s="59">
        <f t="shared" si="20"/>
        <v>0</v>
      </c>
      <c r="AQ12" s="59">
        <f t="shared" si="20"/>
        <v>0</v>
      </c>
      <c r="AR12" s="59">
        <f t="shared" si="20"/>
        <v>0</v>
      </c>
      <c r="AS12" s="59">
        <f t="shared" si="20"/>
        <v>0</v>
      </c>
      <c r="AT12" s="59">
        <f t="shared" si="20"/>
        <v>0</v>
      </c>
      <c r="AU12" s="59">
        <f t="shared" si="20"/>
        <v>0</v>
      </c>
      <c r="AV12" s="59">
        <f t="shared" ref="AV12" si="275">SUM(AJ12:AL12)</f>
        <v>0</v>
      </c>
      <c r="AW12" s="59">
        <f t="shared" ref="AW12" si="276">SUM(AM12:AO12)</f>
        <v>0</v>
      </c>
      <c r="AX12" s="59">
        <f t="shared" ref="AX12" si="277">SUM(AP12:AR12)</f>
        <v>0</v>
      </c>
      <c r="AY12" s="59">
        <f t="shared" ref="AY12" si="278">SUM(AS12:AU12)</f>
        <v>0</v>
      </c>
      <c r="AZ12" s="59">
        <f t="shared" ref="AZ12" si="279">SUM(AV12:AY12)</f>
        <v>0</v>
      </c>
      <c r="BA12" s="59"/>
      <c r="BB12" s="59">
        <f t="shared" ref="BB12" si="280">+R12+AJ12</f>
        <v>10.5</v>
      </c>
      <c r="BC12" s="59">
        <f t="shared" ref="BC12" si="281">+S12+AK12</f>
        <v>0</v>
      </c>
      <c r="BD12" s="59">
        <f t="shared" ref="BD12" si="282">+T12+AL12</f>
        <v>0</v>
      </c>
      <c r="BE12" s="59">
        <f t="shared" ref="BE12" si="283">+U12+AM12</f>
        <v>0</v>
      </c>
      <c r="BF12" s="59">
        <f t="shared" ref="BF12" si="284">+V12+AN12</f>
        <v>0</v>
      </c>
      <c r="BG12" s="59">
        <f t="shared" ref="BG12" si="285">+W12+AO12</f>
        <v>0</v>
      </c>
      <c r="BH12" s="59">
        <f t="shared" ref="BH12" si="286">+X12+AP12</f>
        <v>0</v>
      </c>
      <c r="BI12" s="59">
        <f t="shared" ref="BI12" si="287">+Y12+AQ12</f>
        <v>0</v>
      </c>
      <c r="BJ12" s="59">
        <f t="shared" ref="BJ12" si="288">+Z12+AR12</f>
        <v>0</v>
      </c>
      <c r="BK12" s="59">
        <f t="shared" ref="BK12" si="289">+AA12+AS12</f>
        <v>0</v>
      </c>
      <c r="BL12" s="59">
        <f t="shared" ref="BL12" si="290">+AB12+AT12</f>
        <v>0</v>
      </c>
      <c r="BM12" s="59">
        <f t="shared" ref="BM12" si="291">+AC12+AU12</f>
        <v>0</v>
      </c>
      <c r="BN12" s="59">
        <f t="shared" ref="BN12" si="292">SUM(BB12:BD12)</f>
        <v>10.5</v>
      </c>
      <c r="BO12" s="59">
        <f t="shared" ref="BO12" si="293">SUM(BE12:BG12)</f>
        <v>0</v>
      </c>
      <c r="BP12" s="59">
        <f t="shared" ref="BP12" si="294">SUM(BH12:BJ12)</f>
        <v>0</v>
      </c>
      <c r="BQ12" s="59">
        <f t="shared" ref="BQ12" si="295">SUM(BK12:BM12)</f>
        <v>0</v>
      </c>
      <c r="BR12" s="59">
        <f t="shared" ref="BR12" si="296">SUM(BN12:BQ12)</f>
        <v>10.5</v>
      </c>
      <c r="BS12" s="59"/>
      <c r="BT12" s="59">
        <f t="shared" si="43"/>
        <v>0</v>
      </c>
      <c r="BU12" s="59">
        <f t="shared" si="44"/>
        <v>5.25</v>
      </c>
      <c r="BV12" s="59">
        <f t="shared" si="44"/>
        <v>5.25</v>
      </c>
      <c r="BW12" s="59">
        <f t="shared" si="44"/>
        <v>0</v>
      </c>
      <c r="BX12" s="59">
        <f t="shared" si="44"/>
        <v>0</v>
      </c>
      <c r="BY12" s="59">
        <f t="shared" si="44"/>
        <v>0</v>
      </c>
      <c r="BZ12" s="59">
        <f t="shared" si="44"/>
        <v>0</v>
      </c>
      <c r="CA12" s="59">
        <f t="shared" si="44"/>
        <v>0</v>
      </c>
      <c r="CB12" s="59">
        <f t="shared" si="44"/>
        <v>0</v>
      </c>
      <c r="CC12" s="59">
        <f t="shared" si="44"/>
        <v>0</v>
      </c>
      <c r="CD12" s="59">
        <f t="shared" si="44"/>
        <v>0</v>
      </c>
      <c r="CE12" s="59">
        <f t="shared" si="44"/>
        <v>0</v>
      </c>
      <c r="CF12" s="59">
        <f t="shared" ref="CF12" si="297">SUM(BT12:BV12)</f>
        <v>10.5</v>
      </c>
      <c r="CG12" s="59">
        <f t="shared" ref="CG12" si="298">SUM(BW12:BY12)</f>
        <v>0</v>
      </c>
      <c r="CH12" s="59">
        <f t="shared" ref="CH12" si="299">SUM(BZ12:CB12)</f>
        <v>0</v>
      </c>
      <c r="CI12" s="59">
        <f t="shared" ref="CI12" si="300">SUM(CC12:CE12)</f>
        <v>0</v>
      </c>
      <c r="CJ12" s="59">
        <f t="shared" ref="CJ12" si="301">SUM(CF12:CI12)</f>
        <v>10.5</v>
      </c>
      <c r="CK12" s="59"/>
      <c r="CL12" s="59">
        <f t="shared" si="50"/>
        <v>0</v>
      </c>
      <c r="CM12" s="59">
        <f t="shared" si="50"/>
        <v>0</v>
      </c>
      <c r="CN12" s="59">
        <f t="shared" si="50"/>
        <v>0</v>
      </c>
      <c r="CO12" s="59">
        <f t="shared" si="50"/>
        <v>0</v>
      </c>
      <c r="CP12" s="59">
        <f t="shared" si="50"/>
        <v>0</v>
      </c>
      <c r="CQ12" s="59">
        <f t="shared" si="50"/>
        <v>0</v>
      </c>
      <c r="CR12" s="59">
        <f t="shared" si="50"/>
        <v>0</v>
      </c>
      <c r="CS12" s="59">
        <f t="shared" si="50"/>
        <v>0</v>
      </c>
      <c r="CT12" s="59">
        <f t="shared" si="50"/>
        <v>0</v>
      </c>
      <c r="CU12" s="59">
        <f t="shared" si="50"/>
        <v>0</v>
      </c>
      <c r="CV12" s="59">
        <f t="shared" si="50"/>
        <v>0</v>
      </c>
      <c r="CW12" s="59">
        <f t="shared" si="50"/>
        <v>0</v>
      </c>
      <c r="CX12" s="59">
        <f t="shared" ref="CX12" si="302">SUM(CL12:CN12)</f>
        <v>0</v>
      </c>
      <c r="CY12" s="59">
        <f t="shared" ref="CY12" si="303">SUM(CO12:CQ12)</f>
        <v>0</v>
      </c>
      <c r="CZ12" s="59">
        <f t="shared" ref="CZ12" si="304">SUM(CR12:CT12)</f>
        <v>0</v>
      </c>
      <c r="DA12" s="59">
        <f t="shared" ref="DA12" si="305">SUM(CU12:CW12)</f>
        <v>0</v>
      </c>
      <c r="DB12" s="59">
        <f t="shared" ref="DB12" si="306">SUM(CX12:DA12)</f>
        <v>0</v>
      </c>
      <c r="DC12" s="59"/>
      <c r="DD12" s="59">
        <f t="shared" ref="DD12" si="307">+BT12+CL12</f>
        <v>0</v>
      </c>
      <c r="DE12" s="59">
        <f t="shared" ref="DE12" si="308">+BU12+CM12</f>
        <v>5.25</v>
      </c>
      <c r="DF12" s="59">
        <f t="shared" ref="DF12" si="309">+BV12+CN12</f>
        <v>5.25</v>
      </c>
      <c r="DG12" s="59">
        <f t="shared" ref="DG12" si="310">+BW12+CO12</f>
        <v>0</v>
      </c>
      <c r="DH12" s="59">
        <f t="shared" ref="DH12" si="311">+BX12+CP12</f>
        <v>0</v>
      </c>
      <c r="DI12" s="59">
        <f t="shared" ref="DI12" si="312">+BY12+CQ12</f>
        <v>0</v>
      </c>
      <c r="DJ12" s="59">
        <f t="shared" ref="DJ12" si="313">+BZ12+CR12</f>
        <v>0</v>
      </c>
      <c r="DK12" s="59">
        <f t="shared" ref="DK12" si="314">+CA12+CS12</f>
        <v>0</v>
      </c>
      <c r="DL12" s="59">
        <f t="shared" ref="DL12" si="315">+CB12+CT12</f>
        <v>0</v>
      </c>
      <c r="DM12" s="59">
        <f t="shared" ref="DM12" si="316">+CC12+CU12</f>
        <v>0</v>
      </c>
      <c r="DN12" s="59">
        <f t="shared" ref="DN12" si="317">+CD12+CV12</f>
        <v>0</v>
      </c>
      <c r="DO12" s="59">
        <f t="shared" ref="DO12" si="318">+CE12+CW12</f>
        <v>0</v>
      </c>
      <c r="DP12" s="59">
        <f t="shared" ref="DP12" si="319">SUM(DD12:DF12)</f>
        <v>10.5</v>
      </c>
      <c r="DQ12" s="59">
        <f t="shared" ref="DQ12" si="320">SUM(DG12:DI12)</f>
        <v>0</v>
      </c>
      <c r="DR12" s="59">
        <f t="shared" ref="DR12" si="321">SUM(DJ12:DL12)</f>
        <v>0</v>
      </c>
      <c r="DS12" s="59">
        <f t="shared" ref="DS12" si="322">SUM(DM12:DO12)</f>
        <v>0</v>
      </c>
      <c r="DT12" s="59">
        <f t="shared" ref="DT12" si="323">SUM(DP12:DS12)</f>
        <v>10.5</v>
      </c>
      <c r="DU12" s="59"/>
      <c r="DV12" s="70">
        <v>0</v>
      </c>
      <c r="DW12" s="70">
        <v>0</v>
      </c>
      <c r="DX12" s="70">
        <v>5.25</v>
      </c>
      <c r="DY12" s="70">
        <v>0</v>
      </c>
      <c r="DZ12" s="70">
        <v>10.5</v>
      </c>
      <c r="EA12" s="70">
        <v>0</v>
      </c>
      <c r="EB12" s="59">
        <f t="shared" si="73"/>
        <v>0</v>
      </c>
      <c r="EC12" s="59">
        <f t="shared" si="73"/>
        <v>0</v>
      </c>
      <c r="ED12" s="59">
        <f t="shared" si="73"/>
        <v>0</v>
      </c>
      <c r="EE12" s="59">
        <f t="shared" si="73"/>
        <v>0</v>
      </c>
      <c r="EF12" s="59">
        <f t="shared" si="73"/>
        <v>0</v>
      </c>
      <c r="EG12" s="59">
        <f t="shared" si="73"/>
        <v>0</v>
      </c>
      <c r="EH12" s="59">
        <f t="shared" ref="EH12" si="324">SUM(DV12:DX12)</f>
        <v>5.25</v>
      </c>
      <c r="EI12" s="59">
        <f t="shared" ref="EI12" si="325">SUM(DY12:EA12)</f>
        <v>10.5</v>
      </c>
      <c r="EJ12" s="59">
        <f t="shared" ref="EJ12" si="326">SUM(EB12:ED12)</f>
        <v>0</v>
      </c>
      <c r="EK12" s="59">
        <f t="shared" ref="EK12" si="327">SUM(EE12:EG12)</f>
        <v>0</v>
      </c>
      <c r="EL12" s="59">
        <f t="shared" ref="EL12" si="328">SUM(EH12:EK12)</f>
        <v>15.75</v>
      </c>
      <c r="EM12" s="59"/>
      <c r="EN12" s="70">
        <v>0</v>
      </c>
      <c r="EO12" s="70">
        <v>0</v>
      </c>
      <c r="EP12" s="70">
        <v>0</v>
      </c>
      <c r="EQ12" s="70">
        <v>0</v>
      </c>
      <c r="ER12" s="70">
        <v>0</v>
      </c>
      <c r="ES12" s="59">
        <f t="shared" si="79"/>
        <v>0</v>
      </c>
      <c r="ET12" s="59">
        <f t="shared" si="79"/>
        <v>0</v>
      </c>
      <c r="EU12" s="59">
        <f t="shared" si="79"/>
        <v>0</v>
      </c>
      <c r="EV12" s="59">
        <f t="shared" si="79"/>
        <v>0</v>
      </c>
      <c r="EW12" s="59">
        <f t="shared" si="79"/>
        <v>0</v>
      </c>
      <c r="EX12" s="59">
        <f t="shared" si="79"/>
        <v>0</v>
      </c>
      <c r="EY12" s="59">
        <f t="shared" si="79"/>
        <v>0</v>
      </c>
      <c r="EZ12" s="59">
        <f t="shared" ref="EZ12" si="329">SUM(EN12:EP12)</f>
        <v>0</v>
      </c>
      <c r="FA12" s="59">
        <f t="shared" ref="FA12" si="330">SUM(EQ12:ES12)</f>
        <v>0</v>
      </c>
      <c r="FB12" s="59">
        <f t="shared" ref="FB12" si="331">SUM(ET12:EV12)</f>
        <v>0</v>
      </c>
      <c r="FC12" s="59">
        <f t="shared" ref="FC12" si="332">SUM(EW12:EY12)</f>
        <v>0</v>
      </c>
      <c r="FD12" s="59">
        <f t="shared" ref="FD12" si="333">SUM(EZ12:FC12)</f>
        <v>0</v>
      </c>
      <c r="FE12" s="59"/>
      <c r="FF12" s="59">
        <f t="shared" ref="FF12" si="334">+DV12+EN12</f>
        <v>0</v>
      </c>
      <c r="FG12" s="59">
        <f t="shared" ref="FG12" si="335">+DW12+EO12</f>
        <v>0</v>
      </c>
      <c r="FH12" s="59">
        <f t="shared" ref="FH12" si="336">+DX12+EP12</f>
        <v>5.25</v>
      </c>
      <c r="FI12" s="59">
        <f t="shared" ref="FI12" si="337">+DY12+EQ12</f>
        <v>0</v>
      </c>
      <c r="FJ12" s="59">
        <f t="shared" ref="FJ12" si="338">+DZ12+ER12</f>
        <v>10.5</v>
      </c>
      <c r="FK12" s="59">
        <f t="shared" ref="FK12" si="339">+EA12+ES12</f>
        <v>0</v>
      </c>
      <c r="FL12" s="59">
        <f t="shared" ref="FL12" si="340">+EB12+ET12</f>
        <v>0</v>
      </c>
      <c r="FM12" s="59">
        <f t="shared" ref="FM12" si="341">+EC12+EU12</f>
        <v>0</v>
      </c>
      <c r="FN12" s="59">
        <f t="shared" ref="FN12" si="342">+ED12+EV12</f>
        <v>0</v>
      </c>
      <c r="FO12" s="59">
        <f t="shared" ref="FO12" si="343">+EE12+EW12</f>
        <v>0</v>
      </c>
      <c r="FP12" s="59">
        <f t="shared" ref="FP12" si="344">+EF12+EX12</f>
        <v>0</v>
      </c>
      <c r="FQ12" s="59">
        <f t="shared" ref="FQ12" si="345">+EG12+EY12</f>
        <v>0</v>
      </c>
      <c r="FR12" s="59">
        <f t="shared" ref="FR12" si="346">SUM(FF12:FH12)</f>
        <v>5.25</v>
      </c>
      <c r="FS12" s="59">
        <f t="shared" ref="FS12" si="347">SUM(FI12:FK12)</f>
        <v>10.5</v>
      </c>
      <c r="FT12" s="59">
        <f t="shared" ref="FT12" si="348">SUM(FL12:FN12)</f>
        <v>0</v>
      </c>
      <c r="FU12" s="59">
        <f t="shared" ref="FU12" si="349">SUM(FO12:FQ12)</f>
        <v>0</v>
      </c>
      <c r="FV12" s="59">
        <f t="shared" ref="FV12" si="350">SUM(FR12:FU12)</f>
        <v>15.75</v>
      </c>
      <c r="FW12" s="15"/>
    </row>
    <row r="13" spans="1:179" ht="16" x14ac:dyDescent="0.2">
      <c r="B13" s="46">
        <f t="shared" si="102"/>
        <v>8</v>
      </c>
      <c r="C13" s="14" t="s">
        <v>484</v>
      </c>
      <c r="E13" s="13">
        <f>(14500*5)/1000</f>
        <v>72.5</v>
      </c>
      <c r="F13" s="13">
        <v>0</v>
      </c>
      <c r="G13" s="17">
        <f t="shared" si="9"/>
        <v>72.5</v>
      </c>
      <c r="H13" s="49" t="s">
        <v>215</v>
      </c>
      <c r="I13" s="49" t="s">
        <v>216</v>
      </c>
      <c r="J13" s="49" t="s">
        <v>262</v>
      </c>
      <c r="K13" s="54">
        <v>5</v>
      </c>
      <c r="L13" s="54">
        <v>0</v>
      </c>
      <c r="M13" s="54">
        <v>0</v>
      </c>
      <c r="N13" s="54">
        <v>0</v>
      </c>
      <c r="O13" s="48">
        <f t="shared" si="10"/>
        <v>1</v>
      </c>
      <c r="P13" s="48">
        <f t="shared" si="11"/>
        <v>5</v>
      </c>
      <c r="R13" s="59">
        <f t="shared" si="12"/>
        <v>0</v>
      </c>
      <c r="S13" s="59">
        <f t="shared" si="13"/>
        <v>0</v>
      </c>
      <c r="T13" s="59">
        <f t="shared" si="13"/>
        <v>0</v>
      </c>
      <c r="U13" s="59">
        <f t="shared" si="13"/>
        <v>0</v>
      </c>
      <c r="V13" s="59">
        <f t="shared" si="13"/>
        <v>0</v>
      </c>
      <c r="W13" s="59">
        <f t="shared" si="13"/>
        <v>0</v>
      </c>
      <c r="X13" s="59">
        <f t="shared" si="13"/>
        <v>0</v>
      </c>
      <c r="Y13" s="59">
        <f t="shared" si="13"/>
        <v>0</v>
      </c>
      <c r="Z13" s="59">
        <f t="shared" si="13"/>
        <v>0</v>
      </c>
      <c r="AA13" s="59">
        <f t="shared" si="13"/>
        <v>0</v>
      </c>
      <c r="AB13" s="59">
        <f t="shared" si="13"/>
        <v>0</v>
      </c>
      <c r="AC13" s="59">
        <f t="shared" si="13"/>
        <v>0</v>
      </c>
      <c r="AD13" s="59">
        <f t="shared" si="14"/>
        <v>0</v>
      </c>
      <c r="AE13" s="59">
        <f t="shared" si="15"/>
        <v>0</v>
      </c>
      <c r="AF13" s="59">
        <f t="shared" si="16"/>
        <v>0</v>
      </c>
      <c r="AG13" s="59">
        <f t="shared" si="17"/>
        <v>0</v>
      </c>
      <c r="AH13" s="59">
        <f t="shared" si="18"/>
        <v>0</v>
      </c>
      <c r="AI13" s="59"/>
      <c r="AJ13" s="59">
        <f t="shared" si="19"/>
        <v>0</v>
      </c>
      <c r="AK13" s="59">
        <f t="shared" si="20"/>
        <v>0</v>
      </c>
      <c r="AL13" s="59">
        <f t="shared" si="20"/>
        <v>0</v>
      </c>
      <c r="AM13" s="59">
        <f t="shared" si="20"/>
        <v>0</v>
      </c>
      <c r="AN13" s="59">
        <f t="shared" si="20"/>
        <v>0</v>
      </c>
      <c r="AO13" s="59">
        <f t="shared" si="20"/>
        <v>0</v>
      </c>
      <c r="AP13" s="59">
        <f t="shared" si="20"/>
        <v>0</v>
      </c>
      <c r="AQ13" s="59">
        <f t="shared" si="20"/>
        <v>0</v>
      </c>
      <c r="AR13" s="59">
        <f t="shared" si="20"/>
        <v>0</v>
      </c>
      <c r="AS13" s="59">
        <f t="shared" si="20"/>
        <v>0</v>
      </c>
      <c r="AT13" s="59">
        <f t="shared" si="20"/>
        <v>0</v>
      </c>
      <c r="AU13" s="59">
        <f t="shared" si="20"/>
        <v>0</v>
      </c>
      <c r="AV13" s="59">
        <f t="shared" si="21"/>
        <v>0</v>
      </c>
      <c r="AW13" s="59">
        <f t="shared" si="22"/>
        <v>0</v>
      </c>
      <c r="AX13" s="59">
        <f t="shared" si="23"/>
        <v>0</v>
      </c>
      <c r="AY13" s="59">
        <f t="shared" si="24"/>
        <v>0</v>
      </c>
      <c r="AZ13" s="59">
        <f t="shared" si="25"/>
        <v>0</v>
      </c>
      <c r="BA13" s="59"/>
      <c r="BB13" s="59">
        <f t="shared" si="26"/>
        <v>0</v>
      </c>
      <c r="BC13" s="59">
        <f t="shared" si="27"/>
        <v>0</v>
      </c>
      <c r="BD13" s="59">
        <f t="shared" si="28"/>
        <v>0</v>
      </c>
      <c r="BE13" s="59">
        <f t="shared" si="29"/>
        <v>0</v>
      </c>
      <c r="BF13" s="59">
        <f t="shared" si="30"/>
        <v>0</v>
      </c>
      <c r="BG13" s="59">
        <f t="shared" si="31"/>
        <v>0</v>
      </c>
      <c r="BH13" s="59">
        <f t="shared" si="32"/>
        <v>0</v>
      </c>
      <c r="BI13" s="59">
        <f t="shared" si="33"/>
        <v>0</v>
      </c>
      <c r="BJ13" s="59">
        <f t="shared" si="34"/>
        <v>0</v>
      </c>
      <c r="BK13" s="59">
        <f t="shared" si="35"/>
        <v>0</v>
      </c>
      <c r="BL13" s="59">
        <f t="shared" si="36"/>
        <v>0</v>
      </c>
      <c r="BM13" s="59">
        <f t="shared" si="37"/>
        <v>0</v>
      </c>
      <c r="BN13" s="59">
        <f t="shared" si="38"/>
        <v>0</v>
      </c>
      <c r="BO13" s="59">
        <f t="shared" si="39"/>
        <v>0</v>
      </c>
      <c r="BP13" s="59">
        <f t="shared" si="40"/>
        <v>0</v>
      </c>
      <c r="BQ13" s="59">
        <f t="shared" si="41"/>
        <v>0</v>
      </c>
      <c r="BR13" s="59">
        <f t="shared" si="42"/>
        <v>0</v>
      </c>
      <c r="BS13" s="59"/>
      <c r="BT13" s="59">
        <f t="shared" si="43"/>
        <v>14.5</v>
      </c>
      <c r="BU13" s="59">
        <f t="shared" si="44"/>
        <v>14.5</v>
      </c>
      <c r="BV13" s="59">
        <f t="shared" si="44"/>
        <v>14.5</v>
      </c>
      <c r="BW13" s="59">
        <f t="shared" si="44"/>
        <v>14.5</v>
      </c>
      <c r="BX13" s="59">
        <f t="shared" si="44"/>
        <v>14.5</v>
      </c>
      <c r="BY13" s="59">
        <f t="shared" si="44"/>
        <v>0</v>
      </c>
      <c r="BZ13" s="59">
        <f t="shared" si="44"/>
        <v>0</v>
      </c>
      <c r="CA13" s="59">
        <f t="shared" si="44"/>
        <v>0</v>
      </c>
      <c r="CB13" s="59">
        <f t="shared" si="44"/>
        <v>0</v>
      </c>
      <c r="CC13" s="59">
        <f t="shared" si="44"/>
        <v>0</v>
      </c>
      <c r="CD13" s="59">
        <f t="shared" si="44"/>
        <v>0</v>
      </c>
      <c r="CE13" s="59">
        <f t="shared" si="44"/>
        <v>0</v>
      </c>
      <c r="CF13" s="59">
        <f t="shared" si="45"/>
        <v>43.5</v>
      </c>
      <c r="CG13" s="59">
        <f t="shared" si="46"/>
        <v>29</v>
      </c>
      <c r="CH13" s="59">
        <f t="shared" si="47"/>
        <v>0</v>
      </c>
      <c r="CI13" s="59">
        <f t="shared" si="48"/>
        <v>0</v>
      </c>
      <c r="CJ13" s="59">
        <f t="shared" si="49"/>
        <v>72.5</v>
      </c>
      <c r="CK13" s="59"/>
      <c r="CL13" s="59">
        <f t="shared" si="50"/>
        <v>0</v>
      </c>
      <c r="CM13" s="59">
        <f t="shared" si="50"/>
        <v>0</v>
      </c>
      <c r="CN13" s="59">
        <f t="shared" si="50"/>
        <v>0</v>
      </c>
      <c r="CO13" s="59">
        <f t="shared" si="50"/>
        <v>0</v>
      </c>
      <c r="CP13" s="59">
        <f t="shared" si="50"/>
        <v>0</v>
      </c>
      <c r="CQ13" s="59">
        <f t="shared" si="50"/>
        <v>0</v>
      </c>
      <c r="CR13" s="59">
        <f t="shared" si="50"/>
        <v>0</v>
      </c>
      <c r="CS13" s="59">
        <f t="shared" si="50"/>
        <v>0</v>
      </c>
      <c r="CT13" s="59">
        <f t="shared" si="50"/>
        <v>0</v>
      </c>
      <c r="CU13" s="59">
        <f t="shared" si="50"/>
        <v>0</v>
      </c>
      <c r="CV13" s="59">
        <f t="shared" si="50"/>
        <v>0</v>
      </c>
      <c r="CW13" s="59">
        <f t="shared" si="50"/>
        <v>0</v>
      </c>
      <c r="CX13" s="59">
        <f t="shared" si="51"/>
        <v>0</v>
      </c>
      <c r="CY13" s="59">
        <f t="shared" si="52"/>
        <v>0</v>
      </c>
      <c r="CZ13" s="59">
        <f t="shared" si="53"/>
        <v>0</v>
      </c>
      <c r="DA13" s="59">
        <f t="shared" si="54"/>
        <v>0</v>
      </c>
      <c r="DB13" s="59">
        <f t="shared" si="55"/>
        <v>0</v>
      </c>
      <c r="DC13" s="59"/>
      <c r="DD13" s="59">
        <f t="shared" si="56"/>
        <v>14.5</v>
      </c>
      <c r="DE13" s="59">
        <f t="shared" si="57"/>
        <v>14.5</v>
      </c>
      <c r="DF13" s="59">
        <f t="shared" si="58"/>
        <v>14.5</v>
      </c>
      <c r="DG13" s="59">
        <f t="shared" si="59"/>
        <v>14.5</v>
      </c>
      <c r="DH13" s="59">
        <f t="shared" si="60"/>
        <v>14.5</v>
      </c>
      <c r="DI13" s="59">
        <f t="shared" si="61"/>
        <v>0</v>
      </c>
      <c r="DJ13" s="59">
        <f t="shared" si="62"/>
        <v>0</v>
      </c>
      <c r="DK13" s="59">
        <f t="shared" si="63"/>
        <v>0</v>
      </c>
      <c r="DL13" s="59">
        <f t="shared" si="64"/>
        <v>0</v>
      </c>
      <c r="DM13" s="59">
        <f t="shared" si="65"/>
        <v>0</v>
      </c>
      <c r="DN13" s="59">
        <f t="shared" si="66"/>
        <v>0</v>
      </c>
      <c r="DO13" s="59">
        <f t="shared" si="67"/>
        <v>0</v>
      </c>
      <c r="DP13" s="59">
        <f t="shared" si="68"/>
        <v>43.5</v>
      </c>
      <c r="DQ13" s="59">
        <f t="shared" si="69"/>
        <v>29</v>
      </c>
      <c r="DR13" s="59">
        <f t="shared" si="70"/>
        <v>0</v>
      </c>
      <c r="DS13" s="59">
        <f t="shared" si="71"/>
        <v>0</v>
      </c>
      <c r="DT13" s="59">
        <f t="shared" si="72"/>
        <v>72.5</v>
      </c>
      <c r="DU13" s="59"/>
      <c r="DV13" s="70">
        <v>14.5</v>
      </c>
      <c r="DW13" s="70">
        <v>14.5</v>
      </c>
      <c r="DX13" s="70">
        <v>14.5</v>
      </c>
      <c r="DY13" s="70">
        <v>14.5</v>
      </c>
      <c r="DZ13" s="70">
        <v>0</v>
      </c>
      <c r="EA13" s="70">
        <v>14.5</v>
      </c>
      <c r="EB13" s="70">
        <f>14500/1000</f>
        <v>14.5</v>
      </c>
      <c r="EC13" s="70">
        <f>14500/1000</f>
        <v>14.5</v>
      </c>
      <c r="ED13" s="59">
        <f t="shared" si="73"/>
        <v>0</v>
      </c>
      <c r="EE13" s="59">
        <f t="shared" si="73"/>
        <v>0</v>
      </c>
      <c r="EF13" s="59">
        <f t="shared" si="73"/>
        <v>0</v>
      </c>
      <c r="EG13" s="59">
        <f t="shared" si="73"/>
        <v>0</v>
      </c>
      <c r="EH13" s="59">
        <f t="shared" si="74"/>
        <v>43.5</v>
      </c>
      <c r="EI13" s="59">
        <f t="shared" si="75"/>
        <v>29</v>
      </c>
      <c r="EJ13" s="59">
        <f t="shared" si="76"/>
        <v>29</v>
      </c>
      <c r="EK13" s="59">
        <f t="shared" si="77"/>
        <v>0</v>
      </c>
      <c r="EL13" s="59">
        <f t="shared" si="78"/>
        <v>101.5</v>
      </c>
      <c r="EM13" s="59"/>
      <c r="EN13" s="70">
        <v>0</v>
      </c>
      <c r="EO13" s="70">
        <v>0</v>
      </c>
      <c r="EP13" s="70">
        <v>0</v>
      </c>
      <c r="EQ13" s="70">
        <v>0</v>
      </c>
      <c r="ER13" s="70">
        <v>0</v>
      </c>
      <c r="ES13" s="59">
        <f t="shared" si="79"/>
        <v>0</v>
      </c>
      <c r="ET13" s="59">
        <f t="shared" si="79"/>
        <v>0</v>
      </c>
      <c r="EU13" s="59">
        <f t="shared" si="79"/>
        <v>0</v>
      </c>
      <c r="EV13" s="59">
        <f t="shared" si="79"/>
        <v>0</v>
      </c>
      <c r="EW13" s="59">
        <f t="shared" si="79"/>
        <v>0</v>
      </c>
      <c r="EX13" s="59">
        <f t="shared" si="79"/>
        <v>0</v>
      </c>
      <c r="EY13" s="59">
        <f t="shared" si="79"/>
        <v>0</v>
      </c>
      <c r="EZ13" s="59">
        <f t="shared" si="80"/>
        <v>0</v>
      </c>
      <c r="FA13" s="59">
        <f t="shared" si="81"/>
        <v>0</v>
      </c>
      <c r="FB13" s="59">
        <f t="shared" si="82"/>
        <v>0</v>
      </c>
      <c r="FC13" s="59">
        <f t="shared" si="83"/>
        <v>0</v>
      </c>
      <c r="FD13" s="59">
        <f t="shared" si="84"/>
        <v>0</v>
      </c>
      <c r="FE13" s="59"/>
      <c r="FF13" s="59">
        <f t="shared" si="85"/>
        <v>14.5</v>
      </c>
      <c r="FG13" s="59">
        <f t="shared" si="86"/>
        <v>14.5</v>
      </c>
      <c r="FH13" s="59">
        <f t="shared" si="87"/>
        <v>14.5</v>
      </c>
      <c r="FI13" s="59">
        <f t="shared" si="88"/>
        <v>14.5</v>
      </c>
      <c r="FJ13" s="59">
        <f t="shared" si="89"/>
        <v>0</v>
      </c>
      <c r="FK13" s="59">
        <f t="shared" si="90"/>
        <v>14.5</v>
      </c>
      <c r="FL13" s="59">
        <f t="shared" si="91"/>
        <v>14.5</v>
      </c>
      <c r="FM13" s="59">
        <f t="shared" si="92"/>
        <v>14.5</v>
      </c>
      <c r="FN13" s="59">
        <f t="shared" si="93"/>
        <v>0</v>
      </c>
      <c r="FO13" s="59">
        <f t="shared" si="94"/>
        <v>0</v>
      </c>
      <c r="FP13" s="59">
        <f t="shared" si="95"/>
        <v>0</v>
      </c>
      <c r="FQ13" s="59">
        <f t="shared" si="96"/>
        <v>0</v>
      </c>
      <c r="FR13" s="59">
        <f t="shared" si="97"/>
        <v>43.5</v>
      </c>
      <c r="FS13" s="59">
        <f t="shared" si="98"/>
        <v>29</v>
      </c>
      <c r="FT13" s="59">
        <f t="shared" si="99"/>
        <v>29</v>
      </c>
      <c r="FU13" s="59">
        <f t="shared" si="100"/>
        <v>0</v>
      </c>
      <c r="FV13" s="59">
        <f t="shared" si="101"/>
        <v>101.5</v>
      </c>
      <c r="FW13" s="15"/>
    </row>
    <row r="14" spans="1:179" ht="16" x14ac:dyDescent="0.2">
      <c r="B14" s="46">
        <f t="shared" si="102"/>
        <v>9</v>
      </c>
      <c r="C14" s="103" t="s">
        <v>485</v>
      </c>
      <c r="E14" s="13">
        <f>15000*12/1000</f>
        <v>180</v>
      </c>
      <c r="F14" s="13">
        <v>0</v>
      </c>
      <c r="G14" s="17">
        <f t="shared" ref="G14" si="351">+E14+F14</f>
        <v>180</v>
      </c>
      <c r="H14" s="49" t="s">
        <v>215</v>
      </c>
      <c r="I14" s="49" t="s">
        <v>216</v>
      </c>
      <c r="J14" s="49" t="s">
        <v>262</v>
      </c>
      <c r="K14" s="54">
        <v>12</v>
      </c>
      <c r="L14" s="54">
        <v>0</v>
      </c>
      <c r="M14" s="54">
        <v>5</v>
      </c>
      <c r="N14" s="54">
        <v>6</v>
      </c>
      <c r="O14" s="48">
        <f t="shared" ref="O14" si="352">+N14+1</f>
        <v>7</v>
      </c>
      <c r="P14" s="48">
        <f t="shared" ref="P14" si="353">+K14+L14</f>
        <v>12</v>
      </c>
      <c r="R14" s="59">
        <f t="shared" si="12"/>
        <v>0</v>
      </c>
      <c r="S14" s="59">
        <f t="shared" si="13"/>
        <v>0</v>
      </c>
      <c r="T14" s="59">
        <f t="shared" si="13"/>
        <v>0</v>
      </c>
      <c r="U14" s="59">
        <f t="shared" si="13"/>
        <v>0</v>
      </c>
      <c r="V14" s="59">
        <f t="shared" si="13"/>
        <v>0</v>
      </c>
      <c r="W14" s="59">
        <f t="shared" si="13"/>
        <v>180</v>
      </c>
      <c r="X14" s="59">
        <f t="shared" si="13"/>
        <v>0</v>
      </c>
      <c r="Y14" s="59">
        <f t="shared" si="13"/>
        <v>0</v>
      </c>
      <c r="Z14" s="59">
        <f t="shared" si="13"/>
        <v>0</v>
      </c>
      <c r="AA14" s="59">
        <f t="shared" si="13"/>
        <v>0</v>
      </c>
      <c r="AB14" s="59">
        <f t="shared" si="13"/>
        <v>0</v>
      </c>
      <c r="AC14" s="59">
        <f t="shared" si="13"/>
        <v>0</v>
      </c>
      <c r="AD14" s="59">
        <f t="shared" ref="AD14" si="354">SUM(R14:T14)</f>
        <v>0</v>
      </c>
      <c r="AE14" s="59">
        <f t="shared" ref="AE14" si="355">SUM(U14:W14)</f>
        <v>180</v>
      </c>
      <c r="AF14" s="59">
        <f t="shared" ref="AF14" si="356">SUM(X14:Z14)</f>
        <v>0</v>
      </c>
      <c r="AG14" s="59">
        <f t="shared" ref="AG14" si="357">SUM(AA14:AC14)</f>
        <v>0</v>
      </c>
      <c r="AH14" s="59">
        <f t="shared" ref="AH14" si="358">SUM(AD14:AG14)</f>
        <v>180</v>
      </c>
      <c r="AI14" s="59"/>
      <c r="AJ14" s="59">
        <f t="shared" si="19"/>
        <v>0</v>
      </c>
      <c r="AK14" s="59">
        <f t="shared" si="20"/>
        <v>0</v>
      </c>
      <c r="AL14" s="59">
        <f t="shared" si="20"/>
        <v>0</v>
      </c>
      <c r="AM14" s="59">
        <f t="shared" si="20"/>
        <v>0</v>
      </c>
      <c r="AN14" s="59">
        <f t="shared" si="20"/>
        <v>0</v>
      </c>
      <c r="AO14" s="59">
        <f t="shared" si="20"/>
        <v>0</v>
      </c>
      <c r="AP14" s="59">
        <f t="shared" si="20"/>
        <v>0</v>
      </c>
      <c r="AQ14" s="59">
        <f t="shared" si="20"/>
        <v>0</v>
      </c>
      <c r="AR14" s="59">
        <f t="shared" si="20"/>
        <v>0</v>
      </c>
      <c r="AS14" s="59">
        <f t="shared" si="20"/>
        <v>0</v>
      </c>
      <c r="AT14" s="59">
        <f t="shared" si="20"/>
        <v>0</v>
      </c>
      <c r="AU14" s="59">
        <f t="shared" si="20"/>
        <v>0</v>
      </c>
      <c r="AV14" s="59">
        <f t="shared" ref="AV14" si="359">SUM(AJ14:AL14)</f>
        <v>0</v>
      </c>
      <c r="AW14" s="59">
        <f t="shared" ref="AW14" si="360">SUM(AM14:AO14)</f>
        <v>0</v>
      </c>
      <c r="AX14" s="59">
        <f t="shared" ref="AX14" si="361">SUM(AP14:AR14)</f>
        <v>0</v>
      </c>
      <c r="AY14" s="59">
        <f t="shared" ref="AY14" si="362">SUM(AS14:AU14)</f>
        <v>0</v>
      </c>
      <c r="AZ14" s="59">
        <f t="shared" ref="AZ14" si="363">SUM(AV14:AY14)</f>
        <v>0</v>
      </c>
      <c r="BA14" s="59"/>
      <c r="BB14" s="59">
        <f t="shared" ref="BB14" si="364">+R14+AJ14</f>
        <v>0</v>
      </c>
      <c r="BC14" s="59">
        <f t="shared" ref="BC14" si="365">+S14+AK14</f>
        <v>0</v>
      </c>
      <c r="BD14" s="59">
        <f t="shared" ref="BD14" si="366">+T14+AL14</f>
        <v>0</v>
      </c>
      <c r="BE14" s="59">
        <f t="shared" ref="BE14" si="367">+U14+AM14</f>
        <v>0</v>
      </c>
      <c r="BF14" s="59">
        <f t="shared" ref="BF14" si="368">+V14+AN14</f>
        <v>0</v>
      </c>
      <c r="BG14" s="59">
        <f t="shared" ref="BG14" si="369">+W14+AO14</f>
        <v>180</v>
      </c>
      <c r="BH14" s="59">
        <f t="shared" ref="BH14" si="370">+X14+AP14</f>
        <v>0</v>
      </c>
      <c r="BI14" s="59">
        <f t="shared" ref="BI14" si="371">+Y14+AQ14</f>
        <v>0</v>
      </c>
      <c r="BJ14" s="59">
        <f t="shared" ref="BJ14" si="372">+Z14+AR14</f>
        <v>0</v>
      </c>
      <c r="BK14" s="59">
        <f t="shared" ref="BK14" si="373">+AA14+AS14</f>
        <v>0</v>
      </c>
      <c r="BL14" s="59">
        <f t="shared" ref="BL14" si="374">+AB14+AT14</f>
        <v>0</v>
      </c>
      <c r="BM14" s="59">
        <f t="shared" ref="BM14" si="375">+AC14+AU14</f>
        <v>0</v>
      </c>
      <c r="BN14" s="59">
        <f t="shared" ref="BN14" si="376">SUM(BB14:BD14)</f>
        <v>0</v>
      </c>
      <c r="BO14" s="59">
        <f t="shared" ref="BO14" si="377">SUM(BE14:BG14)</f>
        <v>180</v>
      </c>
      <c r="BP14" s="59">
        <f t="shared" ref="BP14" si="378">SUM(BH14:BJ14)</f>
        <v>0</v>
      </c>
      <c r="BQ14" s="59">
        <f t="shared" ref="BQ14" si="379">SUM(BK14:BM14)</f>
        <v>0</v>
      </c>
      <c r="BR14" s="59">
        <f t="shared" ref="BR14" si="380">SUM(BN14:BQ14)</f>
        <v>180</v>
      </c>
      <c r="BS14" s="59"/>
      <c r="BT14" s="59">
        <f t="shared" si="43"/>
        <v>0</v>
      </c>
      <c r="BU14" s="59">
        <f t="shared" si="44"/>
        <v>0</v>
      </c>
      <c r="BV14" s="59">
        <f t="shared" si="44"/>
        <v>0</v>
      </c>
      <c r="BW14" s="59">
        <f t="shared" si="44"/>
        <v>0</v>
      </c>
      <c r="BX14" s="59">
        <f t="shared" si="44"/>
        <v>0</v>
      </c>
      <c r="BY14" s="59">
        <f t="shared" si="44"/>
        <v>0</v>
      </c>
      <c r="BZ14" s="59">
        <f t="shared" si="44"/>
        <v>15</v>
      </c>
      <c r="CA14" s="59">
        <f t="shared" si="44"/>
        <v>15</v>
      </c>
      <c r="CB14" s="59">
        <f t="shared" si="44"/>
        <v>15</v>
      </c>
      <c r="CC14" s="59">
        <f t="shared" si="44"/>
        <v>15</v>
      </c>
      <c r="CD14" s="59">
        <f t="shared" si="44"/>
        <v>15</v>
      </c>
      <c r="CE14" s="59">
        <f t="shared" si="44"/>
        <v>15</v>
      </c>
      <c r="CF14" s="59">
        <f t="shared" ref="CF14" si="381">SUM(BT14:BV14)</f>
        <v>0</v>
      </c>
      <c r="CG14" s="59">
        <f t="shared" ref="CG14" si="382">SUM(BW14:BY14)</f>
        <v>0</v>
      </c>
      <c r="CH14" s="59">
        <f t="shared" ref="CH14" si="383">SUM(BZ14:CB14)</f>
        <v>45</v>
      </c>
      <c r="CI14" s="59">
        <f t="shared" ref="CI14" si="384">SUM(CC14:CE14)</f>
        <v>45</v>
      </c>
      <c r="CJ14" s="59">
        <f t="shared" ref="CJ14" si="385">SUM(CF14:CI14)</f>
        <v>90</v>
      </c>
      <c r="CK14" s="59"/>
      <c r="CL14" s="59">
        <f t="shared" si="50"/>
        <v>0</v>
      </c>
      <c r="CM14" s="59">
        <f t="shared" si="50"/>
        <v>0</v>
      </c>
      <c r="CN14" s="59">
        <f t="shared" si="50"/>
        <v>0</v>
      </c>
      <c r="CO14" s="59">
        <f t="shared" si="50"/>
        <v>0</v>
      </c>
      <c r="CP14" s="59">
        <f t="shared" si="50"/>
        <v>0</v>
      </c>
      <c r="CQ14" s="59">
        <f t="shared" si="50"/>
        <v>0</v>
      </c>
      <c r="CR14" s="59">
        <f t="shared" si="50"/>
        <v>0</v>
      </c>
      <c r="CS14" s="59">
        <f t="shared" si="50"/>
        <v>0</v>
      </c>
      <c r="CT14" s="59">
        <f t="shared" si="50"/>
        <v>0</v>
      </c>
      <c r="CU14" s="59">
        <f t="shared" si="50"/>
        <v>0</v>
      </c>
      <c r="CV14" s="59">
        <f t="shared" si="50"/>
        <v>0</v>
      </c>
      <c r="CW14" s="59">
        <f t="shared" si="50"/>
        <v>0</v>
      </c>
      <c r="CX14" s="59">
        <f t="shared" ref="CX14" si="386">SUM(CL14:CN14)</f>
        <v>0</v>
      </c>
      <c r="CY14" s="59">
        <f t="shared" ref="CY14" si="387">SUM(CO14:CQ14)</f>
        <v>0</v>
      </c>
      <c r="CZ14" s="59">
        <f t="shared" ref="CZ14" si="388">SUM(CR14:CT14)</f>
        <v>0</v>
      </c>
      <c r="DA14" s="59">
        <f t="shared" ref="DA14" si="389">SUM(CU14:CW14)</f>
        <v>0</v>
      </c>
      <c r="DB14" s="59">
        <f t="shared" ref="DB14" si="390">SUM(CX14:DA14)</f>
        <v>0</v>
      </c>
      <c r="DC14" s="59"/>
      <c r="DD14" s="59">
        <f t="shared" ref="DD14" si="391">+BT14+CL14</f>
        <v>0</v>
      </c>
      <c r="DE14" s="59">
        <f t="shared" ref="DE14" si="392">+BU14+CM14</f>
        <v>0</v>
      </c>
      <c r="DF14" s="59">
        <f t="shared" ref="DF14" si="393">+BV14+CN14</f>
        <v>0</v>
      </c>
      <c r="DG14" s="59">
        <f t="shared" ref="DG14" si="394">+BW14+CO14</f>
        <v>0</v>
      </c>
      <c r="DH14" s="59">
        <f t="shared" ref="DH14" si="395">+BX14+CP14</f>
        <v>0</v>
      </c>
      <c r="DI14" s="59">
        <f t="shared" ref="DI14" si="396">+BY14+CQ14</f>
        <v>0</v>
      </c>
      <c r="DJ14" s="59">
        <f t="shared" ref="DJ14" si="397">+BZ14+CR14</f>
        <v>15</v>
      </c>
      <c r="DK14" s="59">
        <f t="shared" ref="DK14" si="398">+CA14+CS14</f>
        <v>15</v>
      </c>
      <c r="DL14" s="59">
        <f t="shared" ref="DL14" si="399">+CB14+CT14</f>
        <v>15</v>
      </c>
      <c r="DM14" s="59">
        <f t="shared" ref="DM14" si="400">+CC14+CU14</f>
        <v>15</v>
      </c>
      <c r="DN14" s="59">
        <f t="shared" ref="DN14" si="401">+CD14+CV14</f>
        <v>15</v>
      </c>
      <c r="DO14" s="59">
        <f t="shared" ref="DO14" si="402">+CE14+CW14</f>
        <v>15</v>
      </c>
      <c r="DP14" s="59">
        <f t="shared" ref="DP14" si="403">SUM(DD14:DF14)</f>
        <v>0</v>
      </c>
      <c r="DQ14" s="59">
        <f t="shared" ref="DQ14" si="404">SUM(DG14:DI14)</f>
        <v>0</v>
      </c>
      <c r="DR14" s="59">
        <f t="shared" ref="DR14" si="405">SUM(DJ14:DL14)</f>
        <v>45</v>
      </c>
      <c r="DS14" s="59">
        <f t="shared" ref="DS14" si="406">SUM(DM14:DO14)</f>
        <v>45</v>
      </c>
      <c r="DT14" s="59">
        <f t="shared" ref="DT14" si="407">SUM(DP14:DS14)</f>
        <v>90</v>
      </c>
      <c r="DU14" s="59"/>
      <c r="DV14" s="70">
        <v>0</v>
      </c>
      <c r="DW14" s="70">
        <v>0</v>
      </c>
      <c r="DX14" s="70">
        <v>0</v>
      </c>
      <c r="DY14" s="70">
        <v>0</v>
      </c>
      <c r="DZ14" s="70">
        <v>0</v>
      </c>
      <c r="EA14" s="70">
        <v>0</v>
      </c>
      <c r="EB14" s="59">
        <f t="shared" si="73"/>
        <v>0</v>
      </c>
      <c r="EC14" s="59">
        <f t="shared" si="73"/>
        <v>0</v>
      </c>
      <c r="ED14" s="59">
        <f t="shared" si="73"/>
        <v>15</v>
      </c>
      <c r="EE14" s="59">
        <f t="shared" si="73"/>
        <v>15</v>
      </c>
      <c r="EF14" s="59">
        <f t="shared" si="73"/>
        <v>15</v>
      </c>
      <c r="EG14" s="59">
        <f t="shared" si="73"/>
        <v>15</v>
      </c>
      <c r="EH14" s="59">
        <f t="shared" ref="EH14" si="408">SUM(DV14:DX14)</f>
        <v>0</v>
      </c>
      <c r="EI14" s="59">
        <f t="shared" ref="EI14" si="409">SUM(DY14:EA14)</f>
        <v>0</v>
      </c>
      <c r="EJ14" s="59">
        <f t="shared" ref="EJ14" si="410">SUM(EB14:ED14)</f>
        <v>15</v>
      </c>
      <c r="EK14" s="59">
        <f t="shared" ref="EK14" si="411">SUM(EE14:EG14)</f>
        <v>45</v>
      </c>
      <c r="EL14" s="59">
        <f t="shared" ref="EL14" si="412">SUM(EH14:EK14)</f>
        <v>60</v>
      </c>
      <c r="EM14" s="59"/>
      <c r="EN14" s="70">
        <v>0</v>
      </c>
      <c r="EO14" s="70">
        <v>0</v>
      </c>
      <c r="EP14" s="70">
        <v>0</v>
      </c>
      <c r="EQ14" s="70">
        <v>0</v>
      </c>
      <c r="ER14" s="70">
        <v>0</v>
      </c>
      <c r="ES14" s="59">
        <f t="shared" si="79"/>
        <v>0</v>
      </c>
      <c r="ET14" s="59">
        <f t="shared" si="79"/>
        <v>0</v>
      </c>
      <c r="EU14" s="59">
        <f t="shared" si="79"/>
        <v>0</v>
      </c>
      <c r="EV14" s="59">
        <f t="shared" si="79"/>
        <v>0</v>
      </c>
      <c r="EW14" s="59">
        <f t="shared" si="79"/>
        <v>0</v>
      </c>
      <c r="EX14" s="59">
        <f t="shared" si="79"/>
        <v>0</v>
      </c>
      <c r="EY14" s="59">
        <f t="shared" si="79"/>
        <v>0</v>
      </c>
      <c r="EZ14" s="59">
        <f t="shared" ref="EZ14" si="413">SUM(EN14:EP14)</f>
        <v>0</v>
      </c>
      <c r="FA14" s="59">
        <f t="shared" ref="FA14" si="414">SUM(EQ14:ES14)</f>
        <v>0</v>
      </c>
      <c r="FB14" s="59">
        <f t="shared" ref="FB14" si="415">SUM(ET14:EV14)</f>
        <v>0</v>
      </c>
      <c r="FC14" s="59">
        <f t="shared" ref="FC14" si="416">SUM(EW14:EY14)</f>
        <v>0</v>
      </c>
      <c r="FD14" s="59">
        <f t="shared" ref="FD14" si="417">SUM(EZ14:FC14)</f>
        <v>0</v>
      </c>
      <c r="FE14" s="59"/>
      <c r="FF14" s="59">
        <f t="shared" ref="FF14" si="418">+DV14+EN14</f>
        <v>0</v>
      </c>
      <c r="FG14" s="59">
        <f t="shared" ref="FG14" si="419">+DW14+EO14</f>
        <v>0</v>
      </c>
      <c r="FH14" s="59">
        <f t="shared" ref="FH14" si="420">+DX14+EP14</f>
        <v>0</v>
      </c>
      <c r="FI14" s="59">
        <f t="shared" ref="FI14" si="421">+DY14+EQ14</f>
        <v>0</v>
      </c>
      <c r="FJ14" s="59">
        <f t="shared" ref="FJ14" si="422">+DZ14+ER14</f>
        <v>0</v>
      </c>
      <c r="FK14" s="59">
        <f t="shared" ref="FK14" si="423">+EA14+ES14</f>
        <v>0</v>
      </c>
      <c r="FL14" s="59">
        <f t="shared" ref="FL14" si="424">+EB14+ET14</f>
        <v>0</v>
      </c>
      <c r="FM14" s="59">
        <f t="shared" ref="FM14" si="425">+EC14+EU14</f>
        <v>0</v>
      </c>
      <c r="FN14" s="59">
        <f t="shared" ref="FN14" si="426">+ED14+EV14</f>
        <v>15</v>
      </c>
      <c r="FO14" s="59">
        <f t="shared" ref="FO14" si="427">+EE14+EW14</f>
        <v>15</v>
      </c>
      <c r="FP14" s="59">
        <f t="shared" ref="FP14" si="428">+EF14+EX14</f>
        <v>15</v>
      </c>
      <c r="FQ14" s="59">
        <f t="shared" ref="FQ14" si="429">+EG14+EY14</f>
        <v>15</v>
      </c>
      <c r="FR14" s="59">
        <f t="shared" ref="FR14" si="430">SUM(FF14:FH14)</f>
        <v>0</v>
      </c>
      <c r="FS14" s="59">
        <f t="shared" ref="FS14" si="431">SUM(FI14:FK14)</f>
        <v>0</v>
      </c>
      <c r="FT14" s="59">
        <f t="shared" ref="FT14" si="432">SUM(FL14:FN14)</f>
        <v>15</v>
      </c>
      <c r="FU14" s="59">
        <f t="shared" ref="FU14" si="433">SUM(FO14:FQ14)</f>
        <v>45</v>
      </c>
      <c r="FV14" s="59">
        <f t="shared" ref="FV14" si="434">SUM(FR14:FU14)</f>
        <v>60</v>
      </c>
      <c r="FW14" s="15"/>
    </row>
    <row r="15" spans="1:179" ht="16" x14ac:dyDescent="0.2">
      <c r="B15" s="46">
        <f t="shared" si="102"/>
        <v>10</v>
      </c>
      <c r="C15" s="14" t="s">
        <v>10</v>
      </c>
      <c r="E15" s="13">
        <f>4200/1000</f>
        <v>4.2</v>
      </c>
      <c r="F15" s="13">
        <v>0</v>
      </c>
      <c r="G15" s="17">
        <f t="shared" si="9"/>
        <v>4.2</v>
      </c>
      <c r="H15" s="49" t="s">
        <v>215</v>
      </c>
      <c r="I15" s="49" t="s">
        <v>216</v>
      </c>
      <c r="J15" s="49" t="s">
        <v>262</v>
      </c>
      <c r="K15" s="54">
        <v>1</v>
      </c>
      <c r="L15" s="54">
        <v>0</v>
      </c>
      <c r="M15" s="54">
        <v>0</v>
      </c>
      <c r="N15" s="54">
        <v>1</v>
      </c>
      <c r="O15" s="48">
        <f t="shared" si="10"/>
        <v>2</v>
      </c>
      <c r="P15" s="48">
        <f t="shared" si="11"/>
        <v>1</v>
      </c>
      <c r="R15" s="59">
        <f t="shared" si="12"/>
        <v>4.2</v>
      </c>
      <c r="S15" s="59">
        <f t="shared" si="13"/>
        <v>0</v>
      </c>
      <c r="T15" s="59">
        <f t="shared" si="13"/>
        <v>0</v>
      </c>
      <c r="U15" s="59">
        <f t="shared" si="13"/>
        <v>0</v>
      </c>
      <c r="V15" s="59">
        <f t="shared" si="13"/>
        <v>0</v>
      </c>
      <c r="W15" s="59">
        <f t="shared" si="13"/>
        <v>0</v>
      </c>
      <c r="X15" s="59">
        <f t="shared" si="13"/>
        <v>0</v>
      </c>
      <c r="Y15" s="59">
        <f t="shared" si="13"/>
        <v>0</v>
      </c>
      <c r="Z15" s="59">
        <f t="shared" si="13"/>
        <v>0</v>
      </c>
      <c r="AA15" s="59">
        <f t="shared" si="13"/>
        <v>0</v>
      </c>
      <c r="AB15" s="59">
        <f t="shared" si="13"/>
        <v>0</v>
      </c>
      <c r="AC15" s="59">
        <f t="shared" si="13"/>
        <v>0</v>
      </c>
      <c r="AD15" s="59">
        <f t="shared" si="14"/>
        <v>4.2</v>
      </c>
      <c r="AE15" s="59">
        <f t="shared" si="15"/>
        <v>0</v>
      </c>
      <c r="AF15" s="59">
        <f t="shared" si="16"/>
        <v>0</v>
      </c>
      <c r="AG15" s="59">
        <f t="shared" si="17"/>
        <v>0</v>
      </c>
      <c r="AH15" s="59">
        <f t="shared" si="18"/>
        <v>4.2</v>
      </c>
      <c r="AI15" s="59"/>
      <c r="AJ15" s="59">
        <f t="shared" si="19"/>
        <v>0</v>
      </c>
      <c r="AK15" s="59">
        <f t="shared" si="20"/>
        <v>0</v>
      </c>
      <c r="AL15" s="59">
        <f t="shared" si="20"/>
        <v>0</v>
      </c>
      <c r="AM15" s="59">
        <f t="shared" si="20"/>
        <v>0</v>
      </c>
      <c r="AN15" s="59">
        <f t="shared" si="20"/>
        <v>0</v>
      </c>
      <c r="AO15" s="59">
        <f t="shared" si="20"/>
        <v>0</v>
      </c>
      <c r="AP15" s="59">
        <f t="shared" si="20"/>
        <v>0</v>
      </c>
      <c r="AQ15" s="59">
        <f t="shared" si="20"/>
        <v>0</v>
      </c>
      <c r="AR15" s="59">
        <f t="shared" si="20"/>
        <v>0</v>
      </c>
      <c r="AS15" s="59">
        <f t="shared" si="20"/>
        <v>0</v>
      </c>
      <c r="AT15" s="59">
        <f t="shared" si="20"/>
        <v>0</v>
      </c>
      <c r="AU15" s="59">
        <f t="shared" si="20"/>
        <v>0</v>
      </c>
      <c r="AV15" s="59">
        <f t="shared" si="21"/>
        <v>0</v>
      </c>
      <c r="AW15" s="59">
        <f t="shared" si="22"/>
        <v>0</v>
      </c>
      <c r="AX15" s="59">
        <f t="shared" si="23"/>
        <v>0</v>
      </c>
      <c r="AY15" s="59">
        <f t="shared" si="24"/>
        <v>0</v>
      </c>
      <c r="AZ15" s="59">
        <f t="shared" si="25"/>
        <v>0</v>
      </c>
      <c r="BA15" s="59"/>
      <c r="BB15" s="59">
        <f t="shared" si="26"/>
        <v>4.2</v>
      </c>
      <c r="BC15" s="59">
        <f t="shared" si="27"/>
        <v>0</v>
      </c>
      <c r="BD15" s="59">
        <f t="shared" si="28"/>
        <v>0</v>
      </c>
      <c r="BE15" s="59">
        <f t="shared" si="29"/>
        <v>0</v>
      </c>
      <c r="BF15" s="59">
        <f t="shared" si="30"/>
        <v>0</v>
      </c>
      <c r="BG15" s="59">
        <f t="shared" si="31"/>
        <v>0</v>
      </c>
      <c r="BH15" s="59">
        <f t="shared" si="32"/>
        <v>0</v>
      </c>
      <c r="BI15" s="59">
        <f t="shared" si="33"/>
        <v>0</v>
      </c>
      <c r="BJ15" s="59">
        <f t="shared" si="34"/>
        <v>0</v>
      </c>
      <c r="BK15" s="59">
        <f t="shared" si="35"/>
        <v>0</v>
      </c>
      <c r="BL15" s="59">
        <f t="shared" si="36"/>
        <v>0</v>
      </c>
      <c r="BM15" s="59">
        <f t="shared" si="37"/>
        <v>0</v>
      </c>
      <c r="BN15" s="59">
        <f t="shared" si="38"/>
        <v>4.2</v>
      </c>
      <c r="BO15" s="59">
        <f t="shared" si="39"/>
        <v>0</v>
      </c>
      <c r="BP15" s="59">
        <f t="shared" si="40"/>
        <v>0</v>
      </c>
      <c r="BQ15" s="59">
        <f t="shared" si="41"/>
        <v>0</v>
      </c>
      <c r="BR15" s="59">
        <f t="shared" si="42"/>
        <v>4.2</v>
      </c>
      <c r="BS15" s="59"/>
      <c r="BT15" s="59">
        <f t="shared" si="43"/>
        <v>0</v>
      </c>
      <c r="BU15" s="59">
        <f t="shared" si="44"/>
        <v>4.2</v>
      </c>
      <c r="BV15" s="59">
        <f t="shared" si="44"/>
        <v>0</v>
      </c>
      <c r="BW15" s="59">
        <f t="shared" si="44"/>
        <v>0</v>
      </c>
      <c r="BX15" s="59">
        <f t="shared" si="44"/>
        <v>0</v>
      </c>
      <c r="BY15" s="59">
        <f t="shared" si="44"/>
        <v>0</v>
      </c>
      <c r="BZ15" s="59">
        <f t="shared" si="44"/>
        <v>0</v>
      </c>
      <c r="CA15" s="59">
        <f t="shared" si="44"/>
        <v>0</v>
      </c>
      <c r="CB15" s="59">
        <f t="shared" si="44"/>
        <v>0</v>
      </c>
      <c r="CC15" s="59">
        <f t="shared" si="44"/>
        <v>0</v>
      </c>
      <c r="CD15" s="59">
        <f t="shared" si="44"/>
        <v>0</v>
      </c>
      <c r="CE15" s="59">
        <f t="shared" si="44"/>
        <v>0</v>
      </c>
      <c r="CF15" s="59">
        <f t="shared" si="45"/>
        <v>4.2</v>
      </c>
      <c r="CG15" s="59">
        <f t="shared" si="46"/>
        <v>0</v>
      </c>
      <c r="CH15" s="59">
        <f t="shared" si="47"/>
        <v>0</v>
      </c>
      <c r="CI15" s="59">
        <f t="shared" si="48"/>
        <v>0</v>
      </c>
      <c r="CJ15" s="59">
        <f t="shared" si="49"/>
        <v>4.2</v>
      </c>
      <c r="CK15" s="59"/>
      <c r="CL15" s="59">
        <f t="shared" si="50"/>
        <v>0</v>
      </c>
      <c r="CM15" s="59">
        <f t="shared" si="50"/>
        <v>0</v>
      </c>
      <c r="CN15" s="59">
        <f t="shared" si="50"/>
        <v>0</v>
      </c>
      <c r="CO15" s="59">
        <f t="shared" si="50"/>
        <v>0</v>
      </c>
      <c r="CP15" s="59">
        <f t="shared" si="50"/>
        <v>0</v>
      </c>
      <c r="CQ15" s="59">
        <f t="shared" si="50"/>
        <v>0</v>
      </c>
      <c r="CR15" s="59">
        <f t="shared" si="50"/>
        <v>0</v>
      </c>
      <c r="CS15" s="59">
        <f t="shared" si="50"/>
        <v>0</v>
      </c>
      <c r="CT15" s="59">
        <f t="shared" si="50"/>
        <v>0</v>
      </c>
      <c r="CU15" s="59">
        <f t="shared" si="50"/>
        <v>0</v>
      </c>
      <c r="CV15" s="59">
        <f t="shared" si="50"/>
        <v>0</v>
      </c>
      <c r="CW15" s="59">
        <f t="shared" si="50"/>
        <v>0</v>
      </c>
      <c r="CX15" s="59">
        <f t="shared" si="51"/>
        <v>0</v>
      </c>
      <c r="CY15" s="59">
        <f t="shared" si="52"/>
        <v>0</v>
      </c>
      <c r="CZ15" s="59">
        <f t="shared" si="53"/>
        <v>0</v>
      </c>
      <c r="DA15" s="59">
        <f t="shared" si="54"/>
        <v>0</v>
      </c>
      <c r="DB15" s="59">
        <f t="shared" si="55"/>
        <v>0</v>
      </c>
      <c r="DC15" s="59"/>
      <c r="DD15" s="59">
        <f t="shared" si="56"/>
        <v>0</v>
      </c>
      <c r="DE15" s="59">
        <f t="shared" si="57"/>
        <v>4.2</v>
      </c>
      <c r="DF15" s="59">
        <f t="shared" si="58"/>
        <v>0</v>
      </c>
      <c r="DG15" s="59">
        <f t="shared" si="59"/>
        <v>0</v>
      </c>
      <c r="DH15" s="59">
        <f t="shared" si="60"/>
        <v>0</v>
      </c>
      <c r="DI15" s="59">
        <f t="shared" si="61"/>
        <v>0</v>
      </c>
      <c r="DJ15" s="59">
        <f t="shared" si="62"/>
        <v>0</v>
      </c>
      <c r="DK15" s="59">
        <f t="shared" si="63"/>
        <v>0</v>
      </c>
      <c r="DL15" s="59">
        <f t="shared" si="64"/>
        <v>0</v>
      </c>
      <c r="DM15" s="59">
        <f t="shared" si="65"/>
        <v>0</v>
      </c>
      <c r="DN15" s="59">
        <f t="shared" si="66"/>
        <v>0</v>
      </c>
      <c r="DO15" s="59">
        <f t="shared" si="67"/>
        <v>0</v>
      </c>
      <c r="DP15" s="59">
        <f t="shared" si="68"/>
        <v>4.2</v>
      </c>
      <c r="DQ15" s="59">
        <f t="shared" si="69"/>
        <v>0</v>
      </c>
      <c r="DR15" s="59">
        <f t="shared" si="70"/>
        <v>0</v>
      </c>
      <c r="DS15" s="59">
        <f t="shared" si="71"/>
        <v>0</v>
      </c>
      <c r="DT15" s="59">
        <f t="shared" si="72"/>
        <v>4.2</v>
      </c>
      <c r="DU15" s="59"/>
      <c r="DV15" s="70">
        <v>5.25</v>
      </c>
      <c r="DW15" s="70">
        <v>4.2</v>
      </c>
      <c r="DX15" s="70">
        <v>8.4</v>
      </c>
      <c r="DY15" s="70">
        <v>4.2</v>
      </c>
      <c r="DZ15" s="70">
        <v>4.2</v>
      </c>
      <c r="EA15" s="70">
        <v>0</v>
      </c>
      <c r="EB15" s="59">
        <f t="shared" si="73"/>
        <v>0</v>
      </c>
      <c r="EC15" s="59">
        <f t="shared" si="73"/>
        <v>0</v>
      </c>
      <c r="ED15" s="59">
        <f t="shared" si="73"/>
        <v>0</v>
      </c>
      <c r="EE15" s="59">
        <f t="shared" si="73"/>
        <v>0</v>
      </c>
      <c r="EF15" s="59">
        <f t="shared" si="73"/>
        <v>0</v>
      </c>
      <c r="EG15" s="59">
        <f t="shared" si="73"/>
        <v>0</v>
      </c>
      <c r="EH15" s="59">
        <f t="shared" si="74"/>
        <v>17.850000000000001</v>
      </c>
      <c r="EI15" s="59">
        <f t="shared" si="75"/>
        <v>8.4</v>
      </c>
      <c r="EJ15" s="59">
        <f t="shared" si="76"/>
        <v>0</v>
      </c>
      <c r="EK15" s="59">
        <f t="shared" si="77"/>
        <v>0</v>
      </c>
      <c r="EL15" s="59">
        <f t="shared" si="78"/>
        <v>26.25</v>
      </c>
      <c r="EM15" s="59"/>
      <c r="EN15" s="70">
        <v>0</v>
      </c>
      <c r="EO15" s="70">
        <v>0</v>
      </c>
      <c r="EP15" s="70">
        <v>0</v>
      </c>
      <c r="EQ15" s="70">
        <v>0</v>
      </c>
      <c r="ER15" s="70">
        <v>0</v>
      </c>
      <c r="ES15" s="59">
        <f t="shared" si="79"/>
        <v>0</v>
      </c>
      <c r="ET15" s="59">
        <f t="shared" si="79"/>
        <v>0</v>
      </c>
      <c r="EU15" s="59">
        <f t="shared" si="79"/>
        <v>0</v>
      </c>
      <c r="EV15" s="59">
        <f t="shared" si="79"/>
        <v>0</v>
      </c>
      <c r="EW15" s="59">
        <f t="shared" si="79"/>
        <v>0</v>
      </c>
      <c r="EX15" s="59">
        <f t="shared" si="79"/>
        <v>0</v>
      </c>
      <c r="EY15" s="59">
        <f t="shared" si="79"/>
        <v>0</v>
      </c>
      <c r="EZ15" s="59">
        <f t="shared" si="80"/>
        <v>0</v>
      </c>
      <c r="FA15" s="59">
        <f t="shared" si="81"/>
        <v>0</v>
      </c>
      <c r="FB15" s="59">
        <f t="shared" si="82"/>
        <v>0</v>
      </c>
      <c r="FC15" s="59">
        <f t="shared" si="83"/>
        <v>0</v>
      </c>
      <c r="FD15" s="59">
        <f t="shared" si="84"/>
        <v>0</v>
      </c>
      <c r="FE15" s="59"/>
      <c r="FF15" s="59">
        <f t="shared" si="85"/>
        <v>5.25</v>
      </c>
      <c r="FG15" s="59">
        <f t="shared" si="86"/>
        <v>4.2</v>
      </c>
      <c r="FH15" s="59">
        <f t="shared" si="87"/>
        <v>8.4</v>
      </c>
      <c r="FI15" s="59">
        <f t="shared" si="88"/>
        <v>4.2</v>
      </c>
      <c r="FJ15" s="59">
        <f t="shared" si="89"/>
        <v>4.2</v>
      </c>
      <c r="FK15" s="59">
        <f t="shared" si="90"/>
        <v>0</v>
      </c>
      <c r="FL15" s="59">
        <f t="shared" si="91"/>
        <v>0</v>
      </c>
      <c r="FM15" s="59">
        <f t="shared" si="92"/>
        <v>0</v>
      </c>
      <c r="FN15" s="59">
        <f t="shared" si="93"/>
        <v>0</v>
      </c>
      <c r="FO15" s="59">
        <f t="shared" si="94"/>
        <v>0</v>
      </c>
      <c r="FP15" s="59">
        <f t="shared" si="95"/>
        <v>0</v>
      </c>
      <c r="FQ15" s="59">
        <f t="shared" si="96"/>
        <v>0</v>
      </c>
      <c r="FR15" s="59">
        <f t="shared" si="97"/>
        <v>17.850000000000001</v>
      </c>
      <c r="FS15" s="59">
        <f t="shared" si="98"/>
        <v>8.4</v>
      </c>
      <c r="FT15" s="59">
        <f t="shared" si="99"/>
        <v>0</v>
      </c>
      <c r="FU15" s="59">
        <f t="shared" si="100"/>
        <v>0</v>
      </c>
      <c r="FV15" s="59">
        <f t="shared" si="101"/>
        <v>26.25</v>
      </c>
      <c r="FW15" s="15"/>
    </row>
    <row r="16" spans="1:179" ht="16" x14ac:dyDescent="0.2">
      <c r="B16" s="46">
        <f t="shared" si="102"/>
        <v>11</v>
      </c>
      <c r="C16" s="14" t="s">
        <v>668</v>
      </c>
      <c r="E16" s="13">
        <v>8.4</v>
      </c>
      <c r="F16" s="13">
        <v>0</v>
      </c>
      <c r="G16" s="17">
        <f t="shared" ref="G16" si="435">+E16+F16</f>
        <v>8.4</v>
      </c>
      <c r="H16" s="49" t="s">
        <v>215</v>
      </c>
      <c r="I16" s="49" t="s">
        <v>216</v>
      </c>
      <c r="J16" s="49" t="s">
        <v>262</v>
      </c>
      <c r="K16" s="54">
        <v>2</v>
      </c>
      <c r="L16" s="54">
        <v>0</v>
      </c>
      <c r="M16" s="54">
        <v>0</v>
      </c>
      <c r="N16" s="54">
        <v>3</v>
      </c>
      <c r="O16" s="48">
        <f t="shared" ref="O16" si="436">+N16+1</f>
        <v>4</v>
      </c>
      <c r="P16" s="48">
        <f t="shared" ref="P16" si="437">+K16+L16</f>
        <v>2</v>
      </c>
      <c r="R16" s="59">
        <f t="shared" si="12"/>
        <v>0</v>
      </c>
      <c r="S16" s="59">
        <f t="shared" si="13"/>
        <v>0</v>
      </c>
      <c r="T16" s="59">
        <f t="shared" si="13"/>
        <v>8.4</v>
      </c>
      <c r="U16" s="59">
        <f t="shared" si="13"/>
        <v>0</v>
      </c>
      <c r="V16" s="59">
        <f t="shared" si="13"/>
        <v>0</v>
      </c>
      <c r="W16" s="59">
        <f t="shared" si="13"/>
        <v>0</v>
      </c>
      <c r="X16" s="59">
        <f t="shared" si="13"/>
        <v>0</v>
      </c>
      <c r="Y16" s="59">
        <f t="shared" si="13"/>
        <v>0</v>
      </c>
      <c r="Z16" s="59">
        <f t="shared" si="13"/>
        <v>0</v>
      </c>
      <c r="AA16" s="59">
        <f t="shared" si="13"/>
        <v>0</v>
      </c>
      <c r="AB16" s="59">
        <f t="shared" si="13"/>
        <v>0</v>
      </c>
      <c r="AC16" s="59">
        <f t="shared" si="13"/>
        <v>0</v>
      </c>
      <c r="AD16" s="59">
        <f t="shared" ref="AD16" si="438">SUM(R16:T16)</f>
        <v>8.4</v>
      </c>
      <c r="AE16" s="59">
        <f t="shared" ref="AE16" si="439">SUM(U16:W16)</f>
        <v>0</v>
      </c>
      <c r="AF16" s="59">
        <f t="shared" ref="AF16" si="440">SUM(X16:Z16)</f>
        <v>0</v>
      </c>
      <c r="AG16" s="59">
        <f t="shared" ref="AG16" si="441">SUM(AA16:AC16)</f>
        <v>0</v>
      </c>
      <c r="AH16" s="59">
        <f t="shared" ref="AH16" si="442">SUM(AD16:AG16)</f>
        <v>8.4</v>
      </c>
      <c r="AI16" s="59"/>
      <c r="AJ16" s="59">
        <f t="shared" si="19"/>
        <v>0</v>
      </c>
      <c r="AK16" s="59">
        <f t="shared" si="20"/>
        <v>0</v>
      </c>
      <c r="AL16" s="59">
        <f t="shared" si="20"/>
        <v>0</v>
      </c>
      <c r="AM16" s="59">
        <f t="shared" si="20"/>
        <v>0</v>
      </c>
      <c r="AN16" s="59">
        <f t="shared" si="20"/>
        <v>0</v>
      </c>
      <c r="AO16" s="59">
        <f t="shared" si="20"/>
        <v>0</v>
      </c>
      <c r="AP16" s="59">
        <f t="shared" si="20"/>
        <v>0</v>
      </c>
      <c r="AQ16" s="59">
        <f t="shared" si="20"/>
        <v>0</v>
      </c>
      <c r="AR16" s="59">
        <f t="shared" si="20"/>
        <v>0</v>
      </c>
      <c r="AS16" s="59">
        <f t="shared" si="20"/>
        <v>0</v>
      </c>
      <c r="AT16" s="59">
        <f t="shared" si="20"/>
        <v>0</v>
      </c>
      <c r="AU16" s="59">
        <f t="shared" si="20"/>
        <v>0</v>
      </c>
      <c r="AV16" s="59">
        <f t="shared" ref="AV16" si="443">SUM(AJ16:AL16)</f>
        <v>0</v>
      </c>
      <c r="AW16" s="59">
        <f t="shared" ref="AW16" si="444">SUM(AM16:AO16)</f>
        <v>0</v>
      </c>
      <c r="AX16" s="59">
        <f t="shared" ref="AX16" si="445">SUM(AP16:AR16)</f>
        <v>0</v>
      </c>
      <c r="AY16" s="59">
        <f t="shared" ref="AY16" si="446">SUM(AS16:AU16)</f>
        <v>0</v>
      </c>
      <c r="AZ16" s="59">
        <f t="shared" ref="AZ16" si="447">SUM(AV16:AY16)</f>
        <v>0</v>
      </c>
      <c r="BA16" s="59"/>
      <c r="BB16" s="59">
        <f t="shared" ref="BB16" si="448">+R16+AJ16</f>
        <v>0</v>
      </c>
      <c r="BC16" s="59">
        <f t="shared" ref="BC16" si="449">+S16+AK16</f>
        <v>0</v>
      </c>
      <c r="BD16" s="59">
        <f t="shared" ref="BD16" si="450">+T16+AL16</f>
        <v>8.4</v>
      </c>
      <c r="BE16" s="59">
        <f t="shared" ref="BE16" si="451">+U16+AM16</f>
        <v>0</v>
      </c>
      <c r="BF16" s="59">
        <f t="shared" ref="BF16" si="452">+V16+AN16</f>
        <v>0</v>
      </c>
      <c r="BG16" s="59">
        <f t="shared" ref="BG16" si="453">+W16+AO16</f>
        <v>0</v>
      </c>
      <c r="BH16" s="59">
        <f t="shared" ref="BH16" si="454">+X16+AP16</f>
        <v>0</v>
      </c>
      <c r="BI16" s="59">
        <f t="shared" ref="BI16" si="455">+Y16+AQ16</f>
        <v>0</v>
      </c>
      <c r="BJ16" s="59">
        <f t="shared" ref="BJ16" si="456">+Z16+AR16</f>
        <v>0</v>
      </c>
      <c r="BK16" s="59">
        <f t="shared" ref="BK16" si="457">+AA16+AS16</f>
        <v>0</v>
      </c>
      <c r="BL16" s="59">
        <f t="shared" ref="BL16" si="458">+AB16+AT16</f>
        <v>0</v>
      </c>
      <c r="BM16" s="59">
        <f t="shared" ref="BM16" si="459">+AC16+AU16</f>
        <v>0</v>
      </c>
      <c r="BN16" s="59">
        <f t="shared" ref="BN16" si="460">SUM(BB16:BD16)</f>
        <v>8.4</v>
      </c>
      <c r="BO16" s="59">
        <f t="shared" ref="BO16" si="461">SUM(BE16:BG16)</f>
        <v>0</v>
      </c>
      <c r="BP16" s="59">
        <f t="shared" ref="BP16" si="462">SUM(BH16:BJ16)</f>
        <v>0</v>
      </c>
      <c r="BQ16" s="59">
        <f t="shared" ref="BQ16" si="463">SUM(BK16:BM16)</f>
        <v>0</v>
      </c>
      <c r="BR16" s="59">
        <f t="shared" ref="BR16" si="464">SUM(BN16:BQ16)</f>
        <v>8.4</v>
      </c>
      <c r="BS16" s="59"/>
      <c r="BT16" s="59">
        <f t="shared" si="43"/>
        <v>0</v>
      </c>
      <c r="BU16" s="59">
        <f t="shared" si="44"/>
        <v>0</v>
      </c>
      <c r="BV16" s="59">
        <f t="shared" si="44"/>
        <v>0</v>
      </c>
      <c r="BW16" s="59">
        <f t="shared" si="44"/>
        <v>4.2</v>
      </c>
      <c r="BX16" s="59">
        <f t="shared" si="44"/>
        <v>4.2</v>
      </c>
      <c r="BY16" s="59">
        <f t="shared" si="44"/>
        <v>0</v>
      </c>
      <c r="BZ16" s="59">
        <f t="shared" si="44"/>
        <v>0</v>
      </c>
      <c r="CA16" s="59">
        <f t="shared" si="44"/>
        <v>0</v>
      </c>
      <c r="CB16" s="59">
        <f t="shared" si="44"/>
        <v>0</v>
      </c>
      <c r="CC16" s="59">
        <f t="shared" si="44"/>
        <v>0</v>
      </c>
      <c r="CD16" s="59">
        <f t="shared" si="44"/>
        <v>0</v>
      </c>
      <c r="CE16" s="59">
        <f t="shared" si="44"/>
        <v>0</v>
      </c>
      <c r="CF16" s="59">
        <f t="shared" ref="CF16" si="465">SUM(BT16:BV16)</f>
        <v>0</v>
      </c>
      <c r="CG16" s="59">
        <f t="shared" ref="CG16" si="466">SUM(BW16:BY16)</f>
        <v>8.4</v>
      </c>
      <c r="CH16" s="59">
        <f t="shared" ref="CH16" si="467">SUM(BZ16:CB16)</f>
        <v>0</v>
      </c>
      <c r="CI16" s="59">
        <f t="shared" ref="CI16" si="468">SUM(CC16:CE16)</f>
        <v>0</v>
      </c>
      <c r="CJ16" s="59">
        <f t="shared" ref="CJ16" si="469">SUM(CF16:CI16)</f>
        <v>8.4</v>
      </c>
      <c r="CK16" s="59"/>
      <c r="CL16" s="59">
        <f t="shared" si="50"/>
        <v>0</v>
      </c>
      <c r="CM16" s="59">
        <f t="shared" si="50"/>
        <v>0</v>
      </c>
      <c r="CN16" s="59">
        <f t="shared" si="50"/>
        <v>0</v>
      </c>
      <c r="CO16" s="59">
        <f t="shared" si="50"/>
        <v>0</v>
      </c>
      <c r="CP16" s="59">
        <f t="shared" si="50"/>
        <v>0</v>
      </c>
      <c r="CQ16" s="59">
        <f t="shared" si="50"/>
        <v>0</v>
      </c>
      <c r="CR16" s="59">
        <f t="shared" si="50"/>
        <v>0</v>
      </c>
      <c r="CS16" s="59">
        <f t="shared" si="50"/>
        <v>0</v>
      </c>
      <c r="CT16" s="59">
        <f t="shared" si="50"/>
        <v>0</v>
      </c>
      <c r="CU16" s="59">
        <f t="shared" si="50"/>
        <v>0</v>
      </c>
      <c r="CV16" s="59">
        <f t="shared" si="50"/>
        <v>0</v>
      </c>
      <c r="CW16" s="59">
        <f t="shared" si="50"/>
        <v>0</v>
      </c>
      <c r="CX16" s="59">
        <f t="shared" ref="CX16" si="470">SUM(CL16:CN16)</f>
        <v>0</v>
      </c>
      <c r="CY16" s="59">
        <f t="shared" ref="CY16" si="471">SUM(CO16:CQ16)</f>
        <v>0</v>
      </c>
      <c r="CZ16" s="59">
        <f t="shared" ref="CZ16" si="472">SUM(CR16:CT16)</f>
        <v>0</v>
      </c>
      <c r="DA16" s="59">
        <f t="shared" ref="DA16" si="473">SUM(CU16:CW16)</f>
        <v>0</v>
      </c>
      <c r="DB16" s="59">
        <f t="shared" ref="DB16" si="474">SUM(CX16:DA16)</f>
        <v>0</v>
      </c>
      <c r="DC16" s="59"/>
      <c r="DD16" s="59">
        <f t="shared" ref="DD16" si="475">+BT16+CL16</f>
        <v>0</v>
      </c>
      <c r="DE16" s="59">
        <f t="shared" ref="DE16" si="476">+BU16+CM16</f>
        <v>0</v>
      </c>
      <c r="DF16" s="59">
        <f t="shared" ref="DF16" si="477">+BV16+CN16</f>
        <v>0</v>
      </c>
      <c r="DG16" s="59">
        <f t="shared" ref="DG16" si="478">+BW16+CO16</f>
        <v>4.2</v>
      </c>
      <c r="DH16" s="59">
        <f t="shared" ref="DH16" si="479">+BX16+CP16</f>
        <v>4.2</v>
      </c>
      <c r="DI16" s="59">
        <f t="shared" ref="DI16" si="480">+BY16+CQ16</f>
        <v>0</v>
      </c>
      <c r="DJ16" s="59">
        <f t="shared" ref="DJ16" si="481">+BZ16+CR16</f>
        <v>0</v>
      </c>
      <c r="DK16" s="59">
        <f t="shared" ref="DK16" si="482">+CA16+CS16</f>
        <v>0</v>
      </c>
      <c r="DL16" s="59">
        <f t="shared" ref="DL16" si="483">+CB16+CT16</f>
        <v>0</v>
      </c>
      <c r="DM16" s="59">
        <f t="shared" ref="DM16" si="484">+CC16+CU16</f>
        <v>0</v>
      </c>
      <c r="DN16" s="59">
        <f t="shared" ref="DN16" si="485">+CD16+CV16</f>
        <v>0</v>
      </c>
      <c r="DO16" s="59">
        <f t="shared" ref="DO16" si="486">+CE16+CW16</f>
        <v>0</v>
      </c>
      <c r="DP16" s="59">
        <f t="shared" ref="DP16" si="487">SUM(DD16:DF16)</f>
        <v>0</v>
      </c>
      <c r="DQ16" s="59">
        <f t="shared" ref="DQ16" si="488">SUM(DG16:DI16)</f>
        <v>8.4</v>
      </c>
      <c r="DR16" s="59">
        <f t="shared" ref="DR16" si="489">SUM(DJ16:DL16)</f>
        <v>0</v>
      </c>
      <c r="DS16" s="59">
        <f t="shared" ref="DS16" si="490">SUM(DM16:DO16)</f>
        <v>0</v>
      </c>
      <c r="DT16" s="59">
        <f t="shared" ref="DT16" si="491">SUM(DP16:DS16)</f>
        <v>8.4</v>
      </c>
      <c r="DU16" s="59"/>
      <c r="DV16" s="70">
        <v>0</v>
      </c>
      <c r="DW16" s="70">
        <v>0</v>
      </c>
      <c r="DX16" s="70">
        <v>0</v>
      </c>
      <c r="DY16" s="70">
        <v>0</v>
      </c>
      <c r="DZ16" s="70">
        <v>0</v>
      </c>
      <c r="EA16" s="70">
        <v>0</v>
      </c>
      <c r="EB16" s="59">
        <f t="shared" ref="EB16:EG18" si="492">IF(EB$4&lt;$O16+2,0,IF(AND(EB$4&gt;=$O16+2,EB$4&lt;=$K16+$N16+2),$E16/$K16,0))</f>
        <v>4.2</v>
      </c>
      <c r="EC16" s="59">
        <f t="shared" si="492"/>
        <v>0</v>
      </c>
      <c r="ED16" s="59">
        <f t="shared" si="492"/>
        <v>0</v>
      </c>
      <c r="EE16" s="59">
        <f t="shared" si="492"/>
        <v>0</v>
      </c>
      <c r="EF16" s="59">
        <f t="shared" si="492"/>
        <v>0</v>
      </c>
      <c r="EG16" s="59">
        <f t="shared" si="492"/>
        <v>0</v>
      </c>
      <c r="EH16" s="59">
        <f t="shared" ref="EH16" si="493">SUM(DV16:DX16)</f>
        <v>0</v>
      </c>
      <c r="EI16" s="59">
        <f t="shared" ref="EI16" si="494">SUM(DY16:EA16)</f>
        <v>0</v>
      </c>
      <c r="EJ16" s="59">
        <f t="shared" ref="EJ16" si="495">SUM(EB16:ED16)</f>
        <v>4.2</v>
      </c>
      <c r="EK16" s="59">
        <f t="shared" ref="EK16" si="496">SUM(EE16:EG16)</f>
        <v>0</v>
      </c>
      <c r="EL16" s="59">
        <f t="shared" ref="EL16" si="497">SUM(EH16:EK16)</f>
        <v>4.2</v>
      </c>
      <c r="EM16" s="59"/>
      <c r="EN16" s="70">
        <v>0</v>
      </c>
      <c r="EO16" s="70">
        <v>0</v>
      </c>
      <c r="EP16" s="70">
        <v>0</v>
      </c>
      <c r="EQ16" s="70">
        <v>0</v>
      </c>
      <c r="ER16" s="70">
        <v>0</v>
      </c>
      <c r="ES16" s="59">
        <f t="shared" si="79"/>
        <v>0</v>
      </c>
      <c r="ET16" s="59">
        <f t="shared" si="79"/>
        <v>0</v>
      </c>
      <c r="EU16" s="59">
        <f t="shared" si="79"/>
        <v>0</v>
      </c>
      <c r="EV16" s="59">
        <f t="shared" si="79"/>
        <v>0</v>
      </c>
      <c r="EW16" s="59">
        <f t="shared" si="79"/>
        <v>0</v>
      </c>
      <c r="EX16" s="59">
        <f t="shared" si="79"/>
        <v>0</v>
      </c>
      <c r="EY16" s="59">
        <f t="shared" si="79"/>
        <v>0</v>
      </c>
      <c r="EZ16" s="59">
        <f t="shared" ref="EZ16" si="498">SUM(EN16:EP16)</f>
        <v>0</v>
      </c>
      <c r="FA16" s="59">
        <f t="shared" ref="FA16" si="499">SUM(EQ16:ES16)</f>
        <v>0</v>
      </c>
      <c r="FB16" s="59">
        <f t="shared" ref="FB16" si="500">SUM(ET16:EV16)</f>
        <v>0</v>
      </c>
      <c r="FC16" s="59">
        <f t="shared" ref="FC16" si="501">SUM(EW16:EY16)</f>
        <v>0</v>
      </c>
      <c r="FD16" s="59">
        <f t="shared" ref="FD16" si="502">SUM(EZ16:FC16)</f>
        <v>0</v>
      </c>
      <c r="FE16" s="59"/>
      <c r="FF16" s="59">
        <f t="shared" ref="FF16" si="503">+DV16+EN16</f>
        <v>0</v>
      </c>
      <c r="FG16" s="59">
        <f t="shared" ref="FG16" si="504">+DW16+EO16</f>
        <v>0</v>
      </c>
      <c r="FH16" s="59">
        <f t="shared" ref="FH16" si="505">+DX16+EP16</f>
        <v>0</v>
      </c>
      <c r="FI16" s="59">
        <f t="shared" ref="FI16" si="506">+DY16+EQ16</f>
        <v>0</v>
      </c>
      <c r="FJ16" s="59">
        <f t="shared" ref="FJ16" si="507">+DZ16+ER16</f>
        <v>0</v>
      </c>
      <c r="FK16" s="59">
        <f t="shared" ref="FK16" si="508">+EA16+ES16</f>
        <v>0</v>
      </c>
      <c r="FL16" s="59">
        <f t="shared" ref="FL16" si="509">+EB16+ET16</f>
        <v>4.2</v>
      </c>
      <c r="FM16" s="59">
        <f t="shared" ref="FM16" si="510">+EC16+EU16</f>
        <v>0</v>
      </c>
      <c r="FN16" s="59">
        <f t="shared" ref="FN16" si="511">+ED16+EV16</f>
        <v>0</v>
      </c>
      <c r="FO16" s="59">
        <f t="shared" ref="FO16" si="512">+EE16+EW16</f>
        <v>0</v>
      </c>
      <c r="FP16" s="59">
        <f t="shared" ref="FP16" si="513">+EF16+EX16</f>
        <v>0</v>
      </c>
      <c r="FQ16" s="59">
        <f t="shared" ref="FQ16" si="514">+EG16+EY16</f>
        <v>0</v>
      </c>
      <c r="FR16" s="59">
        <f t="shared" ref="FR16" si="515">SUM(FF16:FH16)</f>
        <v>0</v>
      </c>
      <c r="FS16" s="59">
        <f t="shared" ref="FS16" si="516">SUM(FI16:FK16)</f>
        <v>0</v>
      </c>
      <c r="FT16" s="59">
        <f t="shared" ref="FT16" si="517">SUM(FL16:FN16)</f>
        <v>4.2</v>
      </c>
      <c r="FU16" s="59">
        <f t="shared" ref="FU16" si="518">SUM(FO16:FQ16)</f>
        <v>0</v>
      </c>
      <c r="FV16" s="59">
        <f t="shared" ref="FV16" si="519">SUM(FR16:FU16)</f>
        <v>4.2</v>
      </c>
      <c r="FW16" s="15"/>
    </row>
    <row r="17" spans="2:179" ht="16" x14ac:dyDescent="0.2">
      <c r="B17" s="46">
        <f t="shared" si="102"/>
        <v>12</v>
      </c>
      <c r="C17" s="71" t="s">
        <v>543</v>
      </c>
      <c r="E17" s="13">
        <v>100</v>
      </c>
      <c r="F17" s="13">
        <v>0</v>
      </c>
      <c r="G17" s="17">
        <f t="shared" si="9"/>
        <v>100</v>
      </c>
      <c r="H17" s="49" t="s">
        <v>215</v>
      </c>
      <c r="I17" s="49" t="s">
        <v>216</v>
      </c>
      <c r="J17" s="49" t="s">
        <v>262</v>
      </c>
      <c r="K17" s="54">
        <v>3</v>
      </c>
      <c r="L17" s="54">
        <v>0</v>
      </c>
      <c r="M17" s="54">
        <v>5</v>
      </c>
      <c r="N17" s="54">
        <v>8</v>
      </c>
      <c r="O17" s="48">
        <f t="shared" si="10"/>
        <v>9</v>
      </c>
      <c r="P17" s="48">
        <f t="shared" si="11"/>
        <v>3</v>
      </c>
      <c r="R17" s="59">
        <f t="shared" si="12"/>
        <v>0</v>
      </c>
      <c r="S17" s="59">
        <f t="shared" si="12"/>
        <v>0</v>
      </c>
      <c r="T17" s="59">
        <f t="shared" si="12"/>
        <v>0</v>
      </c>
      <c r="U17" s="59">
        <f t="shared" si="12"/>
        <v>0</v>
      </c>
      <c r="V17" s="59">
        <f t="shared" si="12"/>
        <v>0</v>
      </c>
      <c r="W17" s="59">
        <f t="shared" si="12"/>
        <v>0</v>
      </c>
      <c r="X17" s="59">
        <f t="shared" si="12"/>
        <v>0</v>
      </c>
      <c r="Y17" s="59">
        <f t="shared" si="12"/>
        <v>100</v>
      </c>
      <c r="Z17" s="59">
        <f t="shared" si="12"/>
        <v>0</v>
      </c>
      <c r="AA17" s="59">
        <f t="shared" si="12"/>
        <v>0</v>
      </c>
      <c r="AB17" s="59">
        <f t="shared" si="12"/>
        <v>0</v>
      </c>
      <c r="AC17" s="59">
        <f t="shared" si="12"/>
        <v>0</v>
      </c>
      <c r="AD17" s="59">
        <f t="shared" si="14"/>
        <v>0</v>
      </c>
      <c r="AE17" s="59">
        <f t="shared" si="15"/>
        <v>0</v>
      </c>
      <c r="AF17" s="59">
        <f t="shared" si="16"/>
        <v>100</v>
      </c>
      <c r="AG17" s="59">
        <f t="shared" si="17"/>
        <v>0</v>
      </c>
      <c r="AH17" s="59">
        <f t="shared" si="18"/>
        <v>100</v>
      </c>
      <c r="AI17" s="59"/>
      <c r="AJ17" s="59">
        <f t="shared" si="19"/>
        <v>0</v>
      </c>
      <c r="AK17" s="59">
        <f t="shared" si="19"/>
        <v>0</v>
      </c>
      <c r="AL17" s="59">
        <f t="shared" si="19"/>
        <v>0</v>
      </c>
      <c r="AM17" s="59">
        <f t="shared" si="19"/>
        <v>0</v>
      </c>
      <c r="AN17" s="59">
        <f t="shared" si="19"/>
        <v>0</v>
      </c>
      <c r="AO17" s="59">
        <f t="shared" si="19"/>
        <v>0</v>
      </c>
      <c r="AP17" s="59">
        <f t="shared" si="19"/>
        <v>0</v>
      </c>
      <c r="AQ17" s="59">
        <f t="shared" si="19"/>
        <v>0</v>
      </c>
      <c r="AR17" s="59">
        <f t="shared" si="19"/>
        <v>0</v>
      </c>
      <c r="AS17" s="59">
        <f t="shared" si="19"/>
        <v>0</v>
      </c>
      <c r="AT17" s="59">
        <f t="shared" si="19"/>
        <v>0</v>
      </c>
      <c r="AU17" s="59">
        <f t="shared" si="19"/>
        <v>0</v>
      </c>
      <c r="AV17" s="59">
        <f t="shared" si="21"/>
        <v>0</v>
      </c>
      <c r="AW17" s="59">
        <f t="shared" si="22"/>
        <v>0</v>
      </c>
      <c r="AX17" s="59">
        <f t="shared" si="23"/>
        <v>0</v>
      </c>
      <c r="AY17" s="59">
        <f t="shared" si="24"/>
        <v>0</v>
      </c>
      <c r="AZ17" s="59">
        <f t="shared" si="25"/>
        <v>0</v>
      </c>
      <c r="BA17" s="59"/>
      <c r="BB17" s="59">
        <f t="shared" si="26"/>
        <v>0</v>
      </c>
      <c r="BC17" s="59">
        <f t="shared" si="27"/>
        <v>0</v>
      </c>
      <c r="BD17" s="59">
        <f t="shared" si="28"/>
        <v>0</v>
      </c>
      <c r="BE17" s="59">
        <f t="shared" si="29"/>
        <v>0</v>
      </c>
      <c r="BF17" s="59">
        <f t="shared" si="30"/>
        <v>0</v>
      </c>
      <c r="BG17" s="59">
        <f t="shared" si="31"/>
        <v>0</v>
      </c>
      <c r="BH17" s="59">
        <f t="shared" si="32"/>
        <v>0</v>
      </c>
      <c r="BI17" s="59">
        <f t="shared" si="33"/>
        <v>100</v>
      </c>
      <c r="BJ17" s="59">
        <f t="shared" si="34"/>
        <v>0</v>
      </c>
      <c r="BK17" s="59">
        <f t="shared" si="35"/>
        <v>0</v>
      </c>
      <c r="BL17" s="59">
        <f t="shared" si="36"/>
        <v>0</v>
      </c>
      <c r="BM17" s="59">
        <f t="shared" si="37"/>
        <v>0</v>
      </c>
      <c r="BN17" s="59">
        <f t="shared" si="38"/>
        <v>0</v>
      </c>
      <c r="BO17" s="59">
        <f t="shared" si="39"/>
        <v>0</v>
      </c>
      <c r="BP17" s="59">
        <f t="shared" si="40"/>
        <v>100</v>
      </c>
      <c r="BQ17" s="59">
        <f t="shared" si="41"/>
        <v>0</v>
      </c>
      <c r="BR17" s="59">
        <f t="shared" si="42"/>
        <v>100</v>
      </c>
      <c r="BS17" s="59"/>
      <c r="BT17" s="59">
        <f t="shared" si="43"/>
        <v>0</v>
      </c>
      <c r="BU17" s="59">
        <f t="shared" si="43"/>
        <v>0</v>
      </c>
      <c r="BV17" s="59">
        <f t="shared" si="43"/>
        <v>0</v>
      </c>
      <c r="BW17" s="59">
        <f t="shared" si="43"/>
        <v>0</v>
      </c>
      <c r="BX17" s="59">
        <f t="shared" si="43"/>
        <v>0</v>
      </c>
      <c r="BY17" s="59">
        <f t="shared" si="43"/>
        <v>0</v>
      </c>
      <c r="BZ17" s="59">
        <f t="shared" si="43"/>
        <v>0</v>
      </c>
      <c r="CA17" s="59">
        <f t="shared" si="43"/>
        <v>0</v>
      </c>
      <c r="CB17" s="59">
        <f t="shared" si="43"/>
        <v>33.333333333333336</v>
      </c>
      <c r="CC17" s="59">
        <f t="shared" si="43"/>
        <v>33.333333333333336</v>
      </c>
      <c r="CD17" s="59">
        <f t="shared" si="43"/>
        <v>33.333333333333336</v>
      </c>
      <c r="CE17" s="59">
        <f t="shared" si="43"/>
        <v>0</v>
      </c>
      <c r="CF17" s="59">
        <f t="shared" si="45"/>
        <v>0</v>
      </c>
      <c r="CG17" s="59">
        <f t="shared" si="46"/>
        <v>0</v>
      </c>
      <c r="CH17" s="59">
        <f t="shared" si="47"/>
        <v>33.333333333333336</v>
      </c>
      <c r="CI17" s="59">
        <f t="shared" si="48"/>
        <v>66.666666666666671</v>
      </c>
      <c r="CJ17" s="59">
        <f t="shared" si="49"/>
        <v>100</v>
      </c>
      <c r="CK17" s="59"/>
      <c r="CL17" s="59">
        <f t="shared" si="50"/>
        <v>0</v>
      </c>
      <c r="CM17" s="59">
        <f t="shared" si="50"/>
        <v>0</v>
      </c>
      <c r="CN17" s="59">
        <f t="shared" si="50"/>
        <v>0</v>
      </c>
      <c r="CO17" s="59">
        <f t="shared" si="50"/>
        <v>0</v>
      </c>
      <c r="CP17" s="59">
        <f t="shared" si="50"/>
        <v>0</v>
      </c>
      <c r="CQ17" s="59">
        <f t="shared" si="50"/>
        <v>0</v>
      </c>
      <c r="CR17" s="59">
        <f t="shared" si="50"/>
        <v>0</v>
      </c>
      <c r="CS17" s="59">
        <f t="shared" si="50"/>
        <v>0</v>
      </c>
      <c r="CT17" s="59">
        <f t="shared" si="50"/>
        <v>0</v>
      </c>
      <c r="CU17" s="59">
        <f t="shared" si="50"/>
        <v>0</v>
      </c>
      <c r="CV17" s="59">
        <f t="shared" si="50"/>
        <v>0</v>
      </c>
      <c r="CW17" s="59">
        <f t="shared" si="50"/>
        <v>0</v>
      </c>
      <c r="CX17" s="59">
        <f t="shared" si="51"/>
        <v>0</v>
      </c>
      <c r="CY17" s="59">
        <f t="shared" si="52"/>
        <v>0</v>
      </c>
      <c r="CZ17" s="59">
        <f t="shared" si="53"/>
        <v>0</v>
      </c>
      <c r="DA17" s="59">
        <f t="shared" si="54"/>
        <v>0</v>
      </c>
      <c r="DB17" s="59">
        <f t="shared" si="55"/>
        <v>0</v>
      </c>
      <c r="DC17" s="59"/>
      <c r="DD17" s="59">
        <f t="shared" si="56"/>
        <v>0</v>
      </c>
      <c r="DE17" s="59">
        <f t="shared" si="57"/>
        <v>0</v>
      </c>
      <c r="DF17" s="59">
        <f t="shared" si="58"/>
        <v>0</v>
      </c>
      <c r="DG17" s="59">
        <f t="shared" si="59"/>
        <v>0</v>
      </c>
      <c r="DH17" s="59">
        <f t="shared" si="60"/>
        <v>0</v>
      </c>
      <c r="DI17" s="59">
        <f t="shared" si="61"/>
        <v>0</v>
      </c>
      <c r="DJ17" s="59">
        <f t="shared" si="62"/>
        <v>0</v>
      </c>
      <c r="DK17" s="59">
        <f t="shared" si="63"/>
        <v>0</v>
      </c>
      <c r="DL17" s="59">
        <f t="shared" si="64"/>
        <v>33.333333333333336</v>
      </c>
      <c r="DM17" s="59">
        <f t="shared" si="65"/>
        <v>33.333333333333336</v>
      </c>
      <c r="DN17" s="59">
        <f t="shared" si="66"/>
        <v>33.333333333333336</v>
      </c>
      <c r="DO17" s="59">
        <f t="shared" si="67"/>
        <v>0</v>
      </c>
      <c r="DP17" s="59">
        <f t="shared" si="68"/>
        <v>0</v>
      </c>
      <c r="DQ17" s="59">
        <f t="shared" si="69"/>
        <v>0</v>
      </c>
      <c r="DR17" s="59">
        <f t="shared" si="70"/>
        <v>33.333333333333336</v>
      </c>
      <c r="DS17" s="59">
        <f t="shared" si="71"/>
        <v>66.666666666666671</v>
      </c>
      <c r="DT17" s="59">
        <f t="shared" si="72"/>
        <v>100</v>
      </c>
      <c r="DU17" s="59"/>
      <c r="DV17" s="70">
        <v>0</v>
      </c>
      <c r="DW17" s="70">
        <v>0</v>
      </c>
      <c r="DX17" s="70">
        <v>0</v>
      </c>
      <c r="DY17" s="70">
        <v>0</v>
      </c>
      <c r="DZ17" s="70">
        <v>0</v>
      </c>
      <c r="EA17" s="70">
        <v>0</v>
      </c>
      <c r="EB17" s="59">
        <f t="shared" si="492"/>
        <v>0</v>
      </c>
      <c r="EC17" s="59">
        <f t="shared" si="492"/>
        <v>0</v>
      </c>
      <c r="ED17" s="59">
        <f t="shared" si="492"/>
        <v>0</v>
      </c>
      <c r="EE17" s="59">
        <f t="shared" si="492"/>
        <v>0</v>
      </c>
      <c r="EF17" s="59">
        <f t="shared" si="492"/>
        <v>33.333333333333336</v>
      </c>
      <c r="EG17" s="59">
        <f t="shared" si="492"/>
        <v>33.333333333333336</v>
      </c>
      <c r="EH17" s="59">
        <f t="shared" si="74"/>
        <v>0</v>
      </c>
      <c r="EI17" s="59">
        <f t="shared" si="75"/>
        <v>0</v>
      </c>
      <c r="EJ17" s="59">
        <f t="shared" si="76"/>
        <v>0</v>
      </c>
      <c r="EK17" s="59">
        <f t="shared" si="77"/>
        <v>66.666666666666671</v>
      </c>
      <c r="EL17" s="59">
        <f t="shared" si="78"/>
        <v>66.666666666666671</v>
      </c>
      <c r="EM17" s="59"/>
      <c r="EN17" s="70">
        <v>0</v>
      </c>
      <c r="EO17" s="70">
        <v>0</v>
      </c>
      <c r="EP17" s="70">
        <v>0</v>
      </c>
      <c r="EQ17" s="70">
        <v>0</v>
      </c>
      <c r="ER17" s="70">
        <v>0</v>
      </c>
      <c r="ES17" s="59">
        <f t="shared" si="79"/>
        <v>0</v>
      </c>
      <c r="ET17" s="59">
        <f t="shared" si="79"/>
        <v>0</v>
      </c>
      <c r="EU17" s="59">
        <f t="shared" si="79"/>
        <v>0</v>
      </c>
      <c r="EV17" s="59">
        <f t="shared" si="79"/>
        <v>0</v>
      </c>
      <c r="EW17" s="59">
        <f t="shared" si="79"/>
        <v>0</v>
      </c>
      <c r="EX17" s="59">
        <f t="shared" si="79"/>
        <v>0</v>
      </c>
      <c r="EY17" s="59">
        <f t="shared" si="79"/>
        <v>0</v>
      </c>
      <c r="EZ17" s="59">
        <f t="shared" si="80"/>
        <v>0</v>
      </c>
      <c r="FA17" s="59">
        <f t="shared" si="81"/>
        <v>0</v>
      </c>
      <c r="FB17" s="59">
        <f t="shared" si="82"/>
        <v>0</v>
      </c>
      <c r="FC17" s="59">
        <f t="shared" si="83"/>
        <v>0</v>
      </c>
      <c r="FD17" s="59">
        <f t="shared" si="84"/>
        <v>0</v>
      </c>
      <c r="FE17" s="59"/>
      <c r="FF17" s="59">
        <f t="shared" si="85"/>
        <v>0</v>
      </c>
      <c r="FG17" s="59">
        <f t="shared" si="86"/>
        <v>0</v>
      </c>
      <c r="FH17" s="59">
        <f t="shared" si="87"/>
        <v>0</v>
      </c>
      <c r="FI17" s="59">
        <f t="shared" si="88"/>
        <v>0</v>
      </c>
      <c r="FJ17" s="59">
        <f t="shared" si="89"/>
        <v>0</v>
      </c>
      <c r="FK17" s="59">
        <f t="shared" si="90"/>
        <v>0</v>
      </c>
      <c r="FL17" s="59">
        <f t="shared" si="91"/>
        <v>0</v>
      </c>
      <c r="FM17" s="59">
        <f t="shared" si="92"/>
        <v>0</v>
      </c>
      <c r="FN17" s="59">
        <f t="shared" si="93"/>
        <v>0</v>
      </c>
      <c r="FO17" s="59">
        <f t="shared" si="94"/>
        <v>0</v>
      </c>
      <c r="FP17" s="59">
        <f t="shared" si="95"/>
        <v>33.333333333333336</v>
      </c>
      <c r="FQ17" s="59">
        <f t="shared" si="96"/>
        <v>33.333333333333336</v>
      </c>
      <c r="FR17" s="59">
        <f t="shared" si="97"/>
        <v>0</v>
      </c>
      <c r="FS17" s="59">
        <f t="shared" si="98"/>
        <v>0</v>
      </c>
      <c r="FT17" s="59">
        <f t="shared" si="99"/>
        <v>0</v>
      </c>
      <c r="FU17" s="59">
        <f t="shared" si="100"/>
        <v>66.666666666666671</v>
      </c>
      <c r="FV17" s="59">
        <f t="shared" si="101"/>
        <v>66.666666666666671</v>
      </c>
      <c r="FW17" s="15"/>
    </row>
    <row r="18" spans="2:179" ht="16" x14ac:dyDescent="0.2">
      <c r="B18" s="46">
        <f t="shared" si="102"/>
        <v>13</v>
      </c>
      <c r="C18" s="71" t="s">
        <v>544</v>
      </c>
      <c r="E18" s="13">
        <v>100</v>
      </c>
      <c r="F18" s="13">
        <v>0</v>
      </c>
      <c r="G18" s="17">
        <f t="shared" si="9"/>
        <v>100</v>
      </c>
      <c r="H18" s="49" t="s">
        <v>215</v>
      </c>
      <c r="I18" s="49" t="s">
        <v>216</v>
      </c>
      <c r="J18" s="49" t="s">
        <v>262</v>
      </c>
      <c r="K18" s="54">
        <v>3</v>
      </c>
      <c r="L18" s="54">
        <v>0</v>
      </c>
      <c r="M18" s="54">
        <v>8</v>
      </c>
      <c r="N18" s="54">
        <v>11</v>
      </c>
      <c r="O18" s="48">
        <f t="shared" si="10"/>
        <v>12</v>
      </c>
      <c r="P18" s="48">
        <f t="shared" si="11"/>
        <v>3</v>
      </c>
      <c r="R18" s="59">
        <f t="shared" si="12"/>
        <v>0</v>
      </c>
      <c r="S18" s="59">
        <f t="shared" si="12"/>
        <v>0</v>
      </c>
      <c r="T18" s="59">
        <f t="shared" si="12"/>
        <v>0</v>
      </c>
      <c r="U18" s="59">
        <f t="shared" si="12"/>
        <v>0</v>
      </c>
      <c r="V18" s="59">
        <f t="shared" si="12"/>
        <v>0</v>
      </c>
      <c r="W18" s="59">
        <f t="shared" si="12"/>
        <v>0</v>
      </c>
      <c r="X18" s="59">
        <f t="shared" si="12"/>
        <v>0</v>
      </c>
      <c r="Y18" s="59">
        <f t="shared" si="12"/>
        <v>0</v>
      </c>
      <c r="Z18" s="59">
        <f t="shared" si="12"/>
        <v>0</v>
      </c>
      <c r="AA18" s="59">
        <f t="shared" si="12"/>
        <v>0</v>
      </c>
      <c r="AB18" s="59">
        <f t="shared" si="12"/>
        <v>100</v>
      </c>
      <c r="AC18" s="59">
        <f t="shared" si="12"/>
        <v>0</v>
      </c>
      <c r="AD18" s="59">
        <f t="shared" si="14"/>
        <v>0</v>
      </c>
      <c r="AE18" s="59">
        <f t="shared" si="15"/>
        <v>0</v>
      </c>
      <c r="AF18" s="59">
        <f t="shared" si="16"/>
        <v>0</v>
      </c>
      <c r="AG18" s="59">
        <f t="shared" si="17"/>
        <v>100</v>
      </c>
      <c r="AH18" s="59">
        <f t="shared" si="18"/>
        <v>100</v>
      </c>
      <c r="AI18" s="59"/>
      <c r="AJ18" s="59">
        <f t="shared" si="19"/>
        <v>0</v>
      </c>
      <c r="AK18" s="59">
        <f t="shared" si="19"/>
        <v>0</v>
      </c>
      <c r="AL18" s="59">
        <f t="shared" si="19"/>
        <v>0</v>
      </c>
      <c r="AM18" s="59">
        <f t="shared" si="19"/>
        <v>0</v>
      </c>
      <c r="AN18" s="59">
        <f t="shared" si="19"/>
        <v>0</v>
      </c>
      <c r="AO18" s="59">
        <f t="shared" si="19"/>
        <v>0</v>
      </c>
      <c r="AP18" s="59">
        <f t="shared" si="19"/>
        <v>0</v>
      </c>
      <c r="AQ18" s="59">
        <f t="shared" si="19"/>
        <v>0</v>
      </c>
      <c r="AR18" s="59">
        <f t="shared" si="19"/>
        <v>0</v>
      </c>
      <c r="AS18" s="59">
        <f t="shared" si="19"/>
        <v>0</v>
      </c>
      <c r="AT18" s="59">
        <f t="shared" si="19"/>
        <v>0</v>
      </c>
      <c r="AU18" s="59">
        <f t="shared" si="19"/>
        <v>0</v>
      </c>
      <c r="AV18" s="59">
        <f t="shared" si="21"/>
        <v>0</v>
      </c>
      <c r="AW18" s="59">
        <f t="shared" si="22"/>
        <v>0</v>
      </c>
      <c r="AX18" s="59">
        <f t="shared" si="23"/>
        <v>0</v>
      </c>
      <c r="AY18" s="59">
        <f t="shared" si="24"/>
        <v>0</v>
      </c>
      <c r="AZ18" s="59">
        <f t="shared" si="25"/>
        <v>0</v>
      </c>
      <c r="BA18" s="59"/>
      <c r="BB18" s="59">
        <f t="shared" si="26"/>
        <v>0</v>
      </c>
      <c r="BC18" s="59">
        <f t="shared" si="27"/>
        <v>0</v>
      </c>
      <c r="BD18" s="59">
        <f t="shared" si="28"/>
        <v>0</v>
      </c>
      <c r="BE18" s="59">
        <f t="shared" si="29"/>
        <v>0</v>
      </c>
      <c r="BF18" s="59">
        <f t="shared" si="30"/>
        <v>0</v>
      </c>
      <c r="BG18" s="59">
        <f t="shared" si="31"/>
        <v>0</v>
      </c>
      <c r="BH18" s="59">
        <f t="shared" si="32"/>
        <v>0</v>
      </c>
      <c r="BI18" s="59">
        <f t="shared" si="33"/>
        <v>0</v>
      </c>
      <c r="BJ18" s="59">
        <f t="shared" si="34"/>
        <v>0</v>
      </c>
      <c r="BK18" s="59">
        <f t="shared" si="35"/>
        <v>0</v>
      </c>
      <c r="BL18" s="59">
        <f t="shared" si="36"/>
        <v>100</v>
      </c>
      <c r="BM18" s="59">
        <f t="shared" si="37"/>
        <v>0</v>
      </c>
      <c r="BN18" s="59">
        <f t="shared" si="38"/>
        <v>0</v>
      </c>
      <c r="BO18" s="59">
        <f t="shared" si="39"/>
        <v>0</v>
      </c>
      <c r="BP18" s="59">
        <f t="shared" si="40"/>
        <v>0</v>
      </c>
      <c r="BQ18" s="59">
        <f t="shared" si="41"/>
        <v>100</v>
      </c>
      <c r="BR18" s="59">
        <f t="shared" si="42"/>
        <v>100</v>
      </c>
      <c r="BS18" s="59"/>
      <c r="BT18" s="59">
        <f t="shared" si="43"/>
        <v>0</v>
      </c>
      <c r="BU18" s="59">
        <f t="shared" si="43"/>
        <v>0</v>
      </c>
      <c r="BV18" s="59">
        <f t="shared" si="43"/>
        <v>0</v>
      </c>
      <c r="BW18" s="59">
        <f t="shared" si="43"/>
        <v>0</v>
      </c>
      <c r="BX18" s="59">
        <f t="shared" si="43"/>
        <v>0</v>
      </c>
      <c r="BY18" s="59">
        <f t="shared" si="43"/>
        <v>0</v>
      </c>
      <c r="BZ18" s="59">
        <f t="shared" si="43"/>
        <v>0</v>
      </c>
      <c r="CA18" s="59">
        <f t="shared" si="43"/>
        <v>0</v>
      </c>
      <c r="CB18" s="59">
        <f t="shared" si="43"/>
        <v>0</v>
      </c>
      <c r="CC18" s="59">
        <f t="shared" si="43"/>
        <v>0</v>
      </c>
      <c r="CD18" s="59">
        <f t="shared" si="43"/>
        <v>0</v>
      </c>
      <c r="CE18" s="59">
        <f t="shared" si="43"/>
        <v>33.333333333333336</v>
      </c>
      <c r="CF18" s="59">
        <f t="shared" si="45"/>
        <v>0</v>
      </c>
      <c r="CG18" s="59">
        <f t="shared" si="46"/>
        <v>0</v>
      </c>
      <c r="CH18" s="59">
        <f t="shared" si="47"/>
        <v>0</v>
      </c>
      <c r="CI18" s="59">
        <f t="shared" si="48"/>
        <v>33.333333333333336</v>
      </c>
      <c r="CJ18" s="59">
        <f t="shared" si="49"/>
        <v>33.333333333333336</v>
      </c>
      <c r="CK18" s="59"/>
      <c r="CL18" s="59">
        <f t="shared" si="50"/>
        <v>0</v>
      </c>
      <c r="CM18" s="59">
        <f t="shared" si="50"/>
        <v>0</v>
      </c>
      <c r="CN18" s="59">
        <f t="shared" si="50"/>
        <v>0</v>
      </c>
      <c r="CO18" s="59">
        <f t="shared" si="50"/>
        <v>0</v>
      </c>
      <c r="CP18" s="59">
        <f t="shared" si="50"/>
        <v>0</v>
      </c>
      <c r="CQ18" s="59">
        <f t="shared" si="50"/>
        <v>0</v>
      </c>
      <c r="CR18" s="59">
        <f t="shared" si="50"/>
        <v>0</v>
      </c>
      <c r="CS18" s="59">
        <f t="shared" si="50"/>
        <v>0</v>
      </c>
      <c r="CT18" s="59">
        <f t="shared" si="50"/>
        <v>0</v>
      </c>
      <c r="CU18" s="59">
        <f t="shared" si="50"/>
        <v>0</v>
      </c>
      <c r="CV18" s="59">
        <f t="shared" si="50"/>
        <v>0</v>
      </c>
      <c r="CW18" s="59">
        <f t="shared" si="50"/>
        <v>0</v>
      </c>
      <c r="CX18" s="59">
        <f t="shared" si="51"/>
        <v>0</v>
      </c>
      <c r="CY18" s="59">
        <f t="shared" si="52"/>
        <v>0</v>
      </c>
      <c r="CZ18" s="59">
        <f t="shared" si="53"/>
        <v>0</v>
      </c>
      <c r="DA18" s="59">
        <f t="shared" si="54"/>
        <v>0</v>
      </c>
      <c r="DB18" s="59">
        <f t="shared" si="55"/>
        <v>0</v>
      </c>
      <c r="DC18" s="59"/>
      <c r="DD18" s="59">
        <f t="shared" si="56"/>
        <v>0</v>
      </c>
      <c r="DE18" s="59">
        <f t="shared" si="57"/>
        <v>0</v>
      </c>
      <c r="DF18" s="59">
        <f t="shared" si="58"/>
        <v>0</v>
      </c>
      <c r="DG18" s="59">
        <f t="shared" si="59"/>
        <v>0</v>
      </c>
      <c r="DH18" s="59">
        <f t="shared" si="60"/>
        <v>0</v>
      </c>
      <c r="DI18" s="59">
        <f t="shared" si="61"/>
        <v>0</v>
      </c>
      <c r="DJ18" s="59">
        <f t="shared" si="62"/>
        <v>0</v>
      </c>
      <c r="DK18" s="59">
        <f t="shared" si="63"/>
        <v>0</v>
      </c>
      <c r="DL18" s="59">
        <f t="shared" si="64"/>
        <v>0</v>
      </c>
      <c r="DM18" s="59">
        <f t="shared" si="65"/>
        <v>0</v>
      </c>
      <c r="DN18" s="59">
        <f t="shared" si="66"/>
        <v>0</v>
      </c>
      <c r="DO18" s="59">
        <f t="shared" si="67"/>
        <v>33.333333333333336</v>
      </c>
      <c r="DP18" s="59">
        <f t="shared" si="68"/>
        <v>0</v>
      </c>
      <c r="DQ18" s="59">
        <f t="shared" si="69"/>
        <v>0</v>
      </c>
      <c r="DR18" s="59">
        <f t="shared" si="70"/>
        <v>0</v>
      </c>
      <c r="DS18" s="59">
        <f t="shared" si="71"/>
        <v>33.333333333333336</v>
      </c>
      <c r="DT18" s="59">
        <f t="shared" si="72"/>
        <v>33.333333333333336</v>
      </c>
      <c r="DU18" s="59"/>
      <c r="DV18" s="70">
        <v>0</v>
      </c>
      <c r="DW18" s="70">
        <v>0</v>
      </c>
      <c r="DX18" s="70">
        <v>0</v>
      </c>
      <c r="DY18" s="70">
        <v>0</v>
      </c>
      <c r="DZ18" s="70">
        <v>0</v>
      </c>
      <c r="EA18" s="70">
        <v>0</v>
      </c>
      <c r="EB18" s="59">
        <f t="shared" si="492"/>
        <v>0</v>
      </c>
      <c r="EC18" s="59">
        <f t="shared" si="492"/>
        <v>0</v>
      </c>
      <c r="ED18" s="59">
        <f t="shared" si="492"/>
        <v>0</v>
      </c>
      <c r="EE18" s="59">
        <f t="shared" si="492"/>
        <v>0</v>
      </c>
      <c r="EF18" s="59">
        <f t="shared" si="492"/>
        <v>0</v>
      </c>
      <c r="EG18" s="59">
        <f t="shared" si="492"/>
        <v>0</v>
      </c>
      <c r="EH18" s="59">
        <f t="shared" si="74"/>
        <v>0</v>
      </c>
      <c r="EI18" s="59">
        <f t="shared" si="75"/>
        <v>0</v>
      </c>
      <c r="EJ18" s="59">
        <f t="shared" si="76"/>
        <v>0</v>
      </c>
      <c r="EK18" s="59">
        <f t="shared" si="77"/>
        <v>0</v>
      </c>
      <c r="EL18" s="59">
        <f t="shared" si="78"/>
        <v>0</v>
      </c>
      <c r="EM18" s="59"/>
      <c r="EN18" s="70">
        <v>0</v>
      </c>
      <c r="EO18" s="70">
        <v>0</v>
      </c>
      <c r="EP18" s="70">
        <v>0</v>
      </c>
      <c r="EQ18" s="70">
        <v>0</v>
      </c>
      <c r="ER18" s="70">
        <v>0</v>
      </c>
      <c r="ES18" s="59">
        <f t="shared" si="79"/>
        <v>0</v>
      </c>
      <c r="ET18" s="59">
        <f t="shared" si="79"/>
        <v>0</v>
      </c>
      <c r="EU18" s="59">
        <f t="shared" si="79"/>
        <v>0</v>
      </c>
      <c r="EV18" s="59">
        <f t="shared" si="79"/>
        <v>0</v>
      </c>
      <c r="EW18" s="59">
        <f t="shared" si="79"/>
        <v>0</v>
      </c>
      <c r="EX18" s="59">
        <f t="shared" si="79"/>
        <v>0</v>
      </c>
      <c r="EY18" s="59">
        <f t="shared" si="79"/>
        <v>0</v>
      </c>
      <c r="EZ18" s="59">
        <f t="shared" si="80"/>
        <v>0</v>
      </c>
      <c r="FA18" s="59">
        <f t="shared" si="81"/>
        <v>0</v>
      </c>
      <c r="FB18" s="59">
        <f t="shared" si="82"/>
        <v>0</v>
      </c>
      <c r="FC18" s="59">
        <f t="shared" si="83"/>
        <v>0</v>
      </c>
      <c r="FD18" s="59">
        <f t="shared" si="84"/>
        <v>0</v>
      </c>
      <c r="FE18" s="59"/>
      <c r="FF18" s="59">
        <f t="shared" si="85"/>
        <v>0</v>
      </c>
      <c r="FG18" s="59">
        <f t="shared" si="86"/>
        <v>0</v>
      </c>
      <c r="FH18" s="59">
        <f t="shared" si="87"/>
        <v>0</v>
      </c>
      <c r="FI18" s="59">
        <f t="shared" si="88"/>
        <v>0</v>
      </c>
      <c r="FJ18" s="59">
        <f t="shared" si="89"/>
        <v>0</v>
      </c>
      <c r="FK18" s="59">
        <f t="shared" si="90"/>
        <v>0</v>
      </c>
      <c r="FL18" s="59">
        <f t="shared" si="91"/>
        <v>0</v>
      </c>
      <c r="FM18" s="59">
        <f t="shared" si="92"/>
        <v>0</v>
      </c>
      <c r="FN18" s="59">
        <f t="shared" si="93"/>
        <v>0</v>
      </c>
      <c r="FO18" s="59">
        <f t="shared" si="94"/>
        <v>0</v>
      </c>
      <c r="FP18" s="59">
        <f t="shared" si="95"/>
        <v>0</v>
      </c>
      <c r="FQ18" s="59">
        <f t="shared" si="96"/>
        <v>0</v>
      </c>
      <c r="FR18" s="59">
        <f t="shared" si="97"/>
        <v>0</v>
      </c>
      <c r="FS18" s="59">
        <f t="shared" si="98"/>
        <v>0</v>
      </c>
      <c r="FT18" s="59">
        <f t="shared" si="99"/>
        <v>0</v>
      </c>
      <c r="FU18" s="59">
        <f t="shared" si="100"/>
        <v>0</v>
      </c>
      <c r="FV18" s="59">
        <f t="shared" si="101"/>
        <v>0</v>
      </c>
      <c r="FW18" s="15"/>
    </row>
    <row r="19" spans="2:179" ht="16" x14ac:dyDescent="0.2"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15"/>
    </row>
    <row r="20" spans="2:179" ht="16" x14ac:dyDescent="0.2"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15"/>
    </row>
    <row r="21" spans="2:179" ht="20" customHeight="1" x14ac:dyDescent="0.2">
      <c r="B21" s="66" t="s">
        <v>250</v>
      </c>
      <c r="C21" s="67"/>
      <c r="D21" s="67"/>
      <c r="E21" s="68">
        <f>SUM(E22:E36)</f>
        <v>1931.1104</v>
      </c>
      <c r="F21" s="68">
        <f>SUM(F22:F36)</f>
        <v>0</v>
      </c>
      <c r="G21" s="68">
        <f>SUM(G22:G36)</f>
        <v>1931.1104</v>
      </c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9">
        <f t="shared" ref="R21:AH21" si="520">SUM(R22:R36)</f>
        <v>840</v>
      </c>
      <c r="S21" s="69">
        <f t="shared" si="520"/>
        <v>0</v>
      </c>
      <c r="T21" s="69">
        <f t="shared" si="520"/>
        <v>0</v>
      </c>
      <c r="U21" s="69">
        <f t="shared" si="520"/>
        <v>430</v>
      </c>
      <c r="V21" s="69">
        <f t="shared" si="520"/>
        <v>300</v>
      </c>
      <c r="W21" s="69">
        <f t="shared" si="520"/>
        <v>0</v>
      </c>
      <c r="X21" s="69">
        <f t="shared" si="520"/>
        <v>127</v>
      </c>
      <c r="Y21" s="69">
        <f t="shared" si="520"/>
        <v>0</v>
      </c>
      <c r="Z21" s="69">
        <f t="shared" si="520"/>
        <v>0</v>
      </c>
      <c r="AA21" s="69">
        <f t="shared" si="520"/>
        <v>0</v>
      </c>
      <c r="AB21" s="69">
        <f t="shared" si="520"/>
        <v>0</v>
      </c>
      <c r="AC21" s="69">
        <f t="shared" si="520"/>
        <v>0</v>
      </c>
      <c r="AD21" s="68">
        <f t="shared" si="520"/>
        <v>840</v>
      </c>
      <c r="AE21" s="68">
        <f t="shared" si="520"/>
        <v>730</v>
      </c>
      <c r="AF21" s="68">
        <f t="shared" si="520"/>
        <v>127</v>
      </c>
      <c r="AG21" s="68">
        <f t="shared" si="520"/>
        <v>0</v>
      </c>
      <c r="AH21" s="68">
        <f t="shared" si="520"/>
        <v>1697</v>
      </c>
      <c r="AI21" s="68"/>
      <c r="AJ21" s="69">
        <f t="shared" ref="AJ21:AZ21" si="521">SUM(AJ22:AJ36)</f>
        <v>0</v>
      </c>
      <c r="AK21" s="69">
        <f t="shared" si="521"/>
        <v>0</v>
      </c>
      <c r="AL21" s="69">
        <f t="shared" si="521"/>
        <v>0</v>
      </c>
      <c r="AM21" s="69">
        <f t="shared" si="521"/>
        <v>0</v>
      </c>
      <c r="AN21" s="69">
        <f t="shared" si="521"/>
        <v>0</v>
      </c>
      <c r="AO21" s="69">
        <f t="shared" si="521"/>
        <v>0</v>
      </c>
      <c r="AP21" s="69">
        <f t="shared" si="521"/>
        <v>0</v>
      </c>
      <c r="AQ21" s="69">
        <f t="shared" si="521"/>
        <v>0</v>
      </c>
      <c r="AR21" s="69">
        <f t="shared" si="521"/>
        <v>0</v>
      </c>
      <c r="AS21" s="69">
        <f t="shared" si="521"/>
        <v>0</v>
      </c>
      <c r="AT21" s="69">
        <f t="shared" si="521"/>
        <v>0</v>
      </c>
      <c r="AU21" s="69">
        <f t="shared" si="521"/>
        <v>0</v>
      </c>
      <c r="AV21" s="68">
        <f t="shared" si="521"/>
        <v>0</v>
      </c>
      <c r="AW21" s="68">
        <f t="shared" si="521"/>
        <v>0</v>
      </c>
      <c r="AX21" s="68">
        <f t="shared" si="521"/>
        <v>0</v>
      </c>
      <c r="AY21" s="68">
        <f t="shared" si="521"/>
        <v>0</v>
      </c>
      <c r="AZ21" s="68">
        <f t="shared" si="521"/>
        <v>0</v>
      </c>
      <c r="BA21" s="68"/>
      <c r="BB21" s="69">
        <f t="shared" ref="BB21:BR21" si="522">SUM(BB22:BB36)</f>
        <v>840</v>
      </c>
      <c r="BC21" s="69">
        <f t="shared" si="522"/>
        <v>0</v>
      </c>
      <c r="BD21" s="69">
        <f t="shared" si="522"/>
        <v>0</v>
      </c>
      <c r="BE21" s="69">
        <f t="shared" si="522"/>
        <v>430</v>
      </c>
      <c r="BF21" s="69">
        <f t="shared" si="522"/>
        <v>300</v>
      </c>
      <c r="BG21" s="69">
        <f t="shared" si="522"/>
        <v>0</v>
      </c>
      <c r="BH21" s="69">
        <f t="shared" si="522"/>
        <v>127</v>
      </c>
      <c r="BI21" s="69">
        <f t="shared" si="522"/>
        <v>0</v>
      </c>
      <c r="BJ21" s="69">
        <f t="shared" si="522"/>
        <v>0</v>
      </c>
      <c r="BK21" s="69">
        <f t="shared" si="522"/>
        <v>0</v>
      </c>
      <c r="BL21" s="69">
        <f t="shared" si="522"/>
        <v>0</v>
      </c>
      <c r="BM21" s="69">
        <f t="shared" si="522"/>
        <v>0</v>
      </c>
      <c r="BN21" s="68">
        <f t="shared" si="522"/>
        <v>840</v>
      </c>
      <c r="BO21" s="68">
        <f t="shared" si="522"/>
        <v>730</v>
      </c>
      <c r="BP21" s="68">
        <f t="shared" si="522"/>
        <v>127</v>
      </c>
      <c r="BQ21" s="68">
        <f t="shared" si="522"/>
        <v>0</v>
      </c>
      <c r="BR21" s="68">
        <f t="shared" si="522"/>
        <v>1697</v>
      </c>
      <c r="BS21" s="68"/>
      <c r="BT21" s="69">
        <f t="shared" ref="BT21:CJ21" si="523">SUM(BT22:BT36)</f>
        <v>69.777600000000007</v>
      </c>
      <c r="BU21" s="69">
        <f t="shared" si="523"/>
        <v>139.77760000000001</v>
      </c>
      <c r="BV21" s="69">
        <f t="shared" si="523"/>
        <v>139.77760000000001</v>
      </c>
      <c r="BW21" s="69">
        <f t="shared" si="523"/>
        <v>94.777600000000007</v>
      </c>
      <c r="BX21" s="69">
        <f t="shared" si="523"/>
        <v>115</v>
      </c>
      <c r="BY21" s="69">
        <f t="shared" si="523"/>
        <v>140</v>
      </c>
      <c r="BZ21" s="69">
        <f t="shared" si="523"/>
        <v>105</v>
      </c>
      <c r="CA21" s="69">
        <f t="shared" si="523"/>
        <v>136.75</v>
      </c>
      <c r="CB21" s="69">
        <f t="shared" si="523"/>
        <v>136.75</v>
      </c>
      <c r="CC21" s="69">
        <f t="shared" si="523"/>
        <v>136.75</v>
      </c>
      <c r="CD21" s="69">
        <f t="shared" si="523"/>
        <v>136.75</v>
      </c>
      <c r="CE21" s="69">
        <f t="shared" si="523"/>
        <v>105</v>
      </c>
      <c r="CF21" s="68">
        <f t="shared" si="523"/>
        <v>349.33280000000002</v>
      </c>
      <c r="CG21" s="68">
        <f t="shared" si="523"/>
        <v>349.77760000000001</v>
      </c>
      <c r="CH21" s="68">
        <f t="shared" si="523"/>
        <v>378.5</v>
      </c>
      <c r="CI21" s="68">
        <f t="shared" si="523"/>
        <v>378.5</v>
      </c>
      <c r="CJ21" s="68">
        <f t="shared" si="523"/>
        <v>1456.1104</v>
      </c>
      <c r="CK21" s="68"/>
      <c r="CL21" s="69">
        <f t="shared" ref="CL21:DB21" si="524">SUM(CL22:CL36)</f>
        <v>0</v>
      </c>
      <c r="CM21" s="69">
        <f t="shared" si="524"/>
        <v>0</v>
      </c>
      <c r="CN21" s="69">
        <f t="shared" si="524"/>
        <v>0</v>
      </c>
      <c r="CO21" s="69">
        <f t="shared" si="524"/>
        <v>0</v>
      </c>
      <c r="CP21" s="69">
        <f t="shared" si="524"/>
        <v>0</v>
      </c>
      <c r="CQ21" s="69">
        <f t="shared" si="524"/>
        <v>0</v>
      </c>
      <c r="CR21" s="69">
        <f t="shared" si="524"/>
        <v>0</v>
      </c>
      <c r="CS21" s="69">
        <f t="shared" si="524"/>
        <v>0</v>
      </c>
      <c r="CT21" s="69">
        <f t="shared" si="524"/>
        <v>0</v>
      </c>
      <c r="CU21" s="69">
        <f t="shared" si="524"/>
        <v>0</v>
      </c>
      <c r="CV21" s="69">
        <f t="shared" si="524"/>
        <v>0</v>
      </c>
      <c r="CW21" s="69">
        <f t="shared" si="524"/>
        <v>0</v>
      </c>
      <c r="CX21" s="68">
        <f t="shared" si="524"/>
        <v>0</v>
      </c>
      <c r="CY21" s="68">
        <f t="shared" si="524"/>
        <v>0</v>
      </c>
      <c r="CZ21" s="68">
        <f t="shared" si="524"/>
        <v>0</v>
      </c>
      <c r="DA21" s="68">
        <f t="shared" si="524"/>
        <v>0</v>
      </c>
      <c r="DB21" s="68">
        <f t="shared" si="524"/>
        <v>0</v>
      </c>
      <c r="DC21" s="68"/>
      <c r="DD21" s="69">
        <f t="shared" ref="DD21:DT21" si="525">SUM(DD22:DD36)</f>
        <v>69.777600000000007</v>
      </c>
      <c r="DE21" s="69">
        <f t="shared" si="525"/>
        <v>139.77760000000001</v>
      </c>
      <c r="DF21" s="69">
        <f t="shared" si="525"/>
        <v>139.77760000000001</v>
      </c>
      <c r="DG21" s="69">
        <f t="shared" si="525"/>
        <v>94.777600000000007</v>
      </c>
      <c r="DH21" s="69">
        <f t="shared" si="525"/>
        <v>115</v>
      </c>
      <c r="DI21" s="69">
        <f t="shared" si="525"/>
        <v>140</v>
      </c>
      <c r="DJ21" s="69">
        <f t="shared" si="525"/>
        <v>105</v>
      </c>
      <c r="DK21" s="69">
        <f t="shared" si="525"/>
        <v>136.75</v>
      </c>
      <c r="DL21" s="69">
        <f t="shared" si="525"/>
        <v>136.75</v>
      </c>
      <c r="DM21" s="69">
        <f t="shared" si="525"/>
        <v>136.75</v>
      </c>
      <c r="DN21" s="69">
        <f t="shared" si="525"/>
        <v>136.75</v>
      </c>
      <c r="DO21" s="69">
        <f t="shared" si="525"/>
        <v>105</v>
      </c>
      <c r="DP21" s="68">
        <f t="shared" si="525"/>
        <v>349.33280000000002</v>
      </c>
      <c r="DQ21" s="68">
        <f t="shared" si="525"/>
        <v>349.77760000000001</v>
      </c>
      <c r="DR21" s="68">
        <f t="shared" si="525"/>
        <v>378.5</v>
      </c>
      <c r="DS21" s="68">
        <f t="shared" si="525"/>
        <v>378.5</v>
      </c>
      <c r="DT21" s="68">
        <f t="shared" si="525"/>
        <v>1456.1104</v>
      </c>
      <c r="DU21" s="68"/>
      <c r="DV21" s="69">
        <f t="shared" ref="DV21:EL21" si="526">SUM(DV22:DV36)</f>
        <v>147.81959999999998</v>
      </c>
      <c r="DW21" s="69">
        <f t="shared" si="526"/>
        <v>87.137599999999992</v>
      </c>
      <c r="DX21" s="69">
        <f t="shared" si="526"/>
        <v>96.484499999999997</v>
      </c>
      <c r="DY21" s="69">
        <f t="shared" si="526"/>
        <v>130.6352</v>
      </c>
      <c r="DZ21" s="69">
        <f t="shared" si="526"/>
        <v>165.20359999999999</v>
      </c>
      <c r="EA21" s="69">
        <f t="shared" si="526"/>
        <v>24.7776</v>
      </c>
      <c r="EB21" s="69">
        <f t="shared" si="526"/>
        <v>139.27760000000001</v>
      </c>
      <c r="EC21" s="69">
        <f t="shared" si="526"/>
        <v>122.5</v>
      </c>
      <c r="ED21" s="69">
        <f t="shared" si="526"/>
        <v>122.5</v>
      </c>
      <c r="EE21" s="69">
        <f t="shared" si="526"/>
        <v>136.75</v>
      </c>
      <c r="EF21" s="69">
        <f t="shared" si="526"/>
        <v>136.75</v>
      </c>
      <c r="EG21" s="69">
        <f t="shared" si="526"/>
        <v>136.75</v>
      </c>
      <c r="EH21" s="68">
        <f t="shared" si="526"/>
        <v>331.44169999999997</v>
      </c>
      <c r="EI21" s="68">
        <f t="shared" si="526"/>
        <v>320.61639999999994</v>
      </c>
      <c r="EJ21" s="68">
        <f t="shared" si="526"/>
        <v>384.27760000000001</v>
      </c>
      <c r="EK21" s="68">
        <f t="shared" si="526"/>
        <v>410.25</v>
      </c>
      <c r="EL21" s="68">
        <f t="shared" si="526"/>
        <v>1446.5857000000001</v>
      </c>
      <c r="EM21" s="68"/>
      <c r="EN21" s="69">
        <f t="shared" ref="EN21:FD21" si="527">SUM(EN22:EN36)</f>
        <v>0</v>
      </c>
      <c r="EO21" s="69">
        <f t="shared" si="527"/>
        <v>0</v>
      </c>
      <c r="EP21" s="69">
        <f t="shared" si="527"/>
        <v>0</v>
      </c>
      <c r="EQ21" s="69">
        <f t="shared" si="527"/>
        <v>0</v>
      </c>
      <c r="ER21" s="69">
        <f t="shared" si="527"/>
        <v>0</v>
      </c>
      <c r="ES21" s="69">
        <f t="shared" si="527"/>
        <v>0</v>
      </c>
      <c r="ET21" s="69">
        <f t="shared" si="527"/>
        <v>0</v>
      </c>
      <c r="EU21" s="69">
        <f t="shared" si="527"/>
        <v>0</v>
      </c>
      <c r="EV21" s="69">
        <f t="shared" si="527"/>
        <v>0</v>
      </c>
      <c r="EW21" s="69">
        <f t="shared" si="527"/>
        <v>0</v>
      </c>
      <c r="EX21" s="69">
        <f t="shared" si="527"/>
        <v>0</v>
      </c>
      <c r="EY21" s="69">
        <f t="shared" si="527"/>
        <v>0</v>
      </c>
      <c r="EZ21" s="68">
        <f t="shared" si="527"/>
        <v>0</v>
      </c>
      <c r="FA21" s="68">
        <f t="shared" si="527"/>
        <v>0</v>
      </c>
      <c r="FB21" s="68">
        <f t="shared" si="527"/>
        <v>0</v>
      </c>
      <c r="FC21" s="68">
        <f t="shared" si="527"/>
        <v>0</v>
      </c>
      <c r="FD21" s="68">
        <f t="shared" si="527"/>
        <v>0</v>
      </c>
      <c r="FE21" s="68"/>
      <c r="FF21" s="69">
        <f t="shared" ref="FF21:FV21" si="528">SUM(FF22:FF36)</f>
        <v>147.81959999999998</v>
      </c>
      <c r="FG21" s="69">
        <f t="shared" si="528"/>
        <v>87.137599999999992</v>
      </c>
      <c r="FH21" s="69">
        <f t="shared" si="528"/>
        <v>96.484499999999997</v>
      </c>
      <c r="FI21" s="69">
        <f t="shared" si="528"/>
        <v>130.6352</v>
      </c>
      <c r="FJ21" s="69">
        <f t="shared" si="528"/>
        <v>165.20359999999999</v>
      </c>
      <c r="FK21" s="69">
        <f t="shared" si="528"/>
        <v>24.7776</v>
      </c>
      <c r="FL21" s="69">
        <f t="shared" si="528"/>
        <v>139.27760000000001</v>
      </c>
      <c r="FM21" s="69">
        <f t="shared" si="528"/>
        <v>122.5</v>
      </c>
      <c r="FN21" s="69">
        <f t="shared" si="528"/>
        <v>122.5</v>
      </c>
      <c r="FO21" s="69">
        <f t="shared" si="528"/>
        <v>136.75</v>
      </c>
      <c r="FP21" s="69">
        <f t="shared" si="528"/>
        <v>136.75</v>
      </c>
      <c r="FQ21" s="69">
        <f t="shared" si="528"/>
        <v>136.75</v>
      </c>
      <c r="FR21" s="68">
        <f t="shared" si="528"/>
        <v>331.44169999999997</v>
      </c>
      <c r="FS21" s="68">
        <f t="shared" si="528"/>
        <v>320.61639999999994</v>
      </c>
      <c r="FT21" s="68">
        <f t="shared" si="528"/>
        <v>384.27760000000001</v>
      </c>
      <c r="FU21" s="68">
        <f t="shared" si="528"/>
        <v>410.25</v>
      </c>
      <c r="FV21" s="68">
        <f t="shared" si="528"/>
        <v>1446.5857000000001</v>
      </c>
      <c r="FW21" s="15"/>
    </row>
    <row r="22" spans="2:179" ht="16" x14ac:dyDescent="0.2">
      <c r="B22" s="46">
        <v>1</v>
      </c>
      <c r="C22" s="14" t="s">
        <v>110</v>
      </c>
      <c r="E22" s="13">
        <v>135</v>
      </c>
      <c r="F22" s="13">
        <v>0</v>
      </c>
      <c r="G22" s="17">
        <f t="shared" ref="G22:G35" si="529">+E22+F22</f>
        <v>135</v>
      </c>
      <c r="H22" s="49" t="s">
        <v>215</v>
      </c>
      <c r="I22" s="49" t="s">
        <v>216</v>
      </c>
      <c r="J22" s="49" t="s">
        <v>262</v>
      </c>
      <c r="K22" s="54">
        <v>3</v>
      </c>
      <c r="L22" s="54">
        <v>0</v>
      </c>
      <c r="M22" s="54">
        <v>0</v>
      </c>
      <c r="N22" s="54">
        <v>0</v>
      </c>
      <c r="O22" s="48">
        <f t="shared" ref="O22:O35" si="530">+N22+1</f>
        <v>1</v>
      </c>
      <c r="P22" s="48">
        <f t="shared" ref="P22:P35" si="531">+K22+L22</f>
        <v>3</v>
      </c>
      <c r="R22" s="59">
        <f t="shared" ref="R22:AC35" si="532">IF($N22&lt;R$4,0,IF($N22=R$4,$E22,0))</f>
        <v>0</v>
      </c>
      <c r="S22" s="59">
        <f t="shared" si="532"/>
        <v>0</v>
      </c>
      <c r="T22" s="59">
        <f t="shared" si="532"/>
        <v>0</v>
      </c>
      <c r="U22" s="59">
        <f t="shared" si="532"/>
        <v>0</v>
      </c>
      <c r="V22" s="59">
        <f t="shared" si="532"/>
        <v>0</v>
      </c>
      <c r="W22" s="59">
        <f t="shared" si="532"/>
        <v>0</v>
      </c>
      <c r="X22" s="59">
        <f t="shared" si="532"/>
        <v>0</v>
      </c>
      <c r="Y22" s="59">
        <f t="shared" si="532"/>
        <v>0</v>
      </c>
      <c r="Z22" s="59">
        <f t="shared" si="532"/>
        <v>0</v>
      </c>
      <c r="AA22" s="59">
        <f t="shared" si="532"/>
        <v>0</v>
      </c>
      <c r="AB22" s="59">
        <f t="shared" si="532"/>
        <v>0</v>
      </c>
      <c r="AC22" s="59">
        <f t="shared" si="532"/>
        <v>0</v>
      </c>
      <c r="AD22" s="59">
        <f t="shared" ref="AD22:AD35" si="533">SUM(R22:T22)</f>
        <v>0</v>
      </c>
      <c r="AE22" s="59">
        <f t="shared" ref="AE22:AE35" si="534">SUM(U22:W22)</f>
        <v>0</v>
      </c>
      <c r="AF22" s="59">
        <f t="shared" ref="AF22:AF35" si="535">SUM(X22:Z22)</f>
        <v>0</v>
      </c>
      <c r="AG22" s="59">
        <f t="shared" ref="AG22:AG35" si="536">SUM(AA22:AC22)</f>
        <v>0</v>
      </c>
      <c r="AH22" s="59">
        <f t="shared" ref="AH22:AH35" si="537">SUM(AD22:AG22)</f>
        <v>0</v>
      </c>
      <c r="AI22" s="59"/>
      <c r="AJ22" s="59">
        <f t="shared" ref="AJ22:AU35" si="538">IF($N22&lt;AJ$4,0,IF($N22=AJ$4,$F22,0))</f>
        <v>0</v>
      </c>
      <c r="AK22" s="59">
        <f t="shared" si="538"/>
        <v>0</v>
      </c>
      <c r="AL22" s="59">
        <f t="shared" si="538"/>
        <v>0</v>
      </c>
      <c r="AM22" s="59">
        <f t="shared" si="538"/>
        <v>0</v>
      </c>
      <c r="AN22" s="59">
        <f t="shared" si="538"/>
        <v>0</v>
      </c>
      <c r="AO22" s="59">
        <f t="shared" si="538"/>
        <v>0</v>
      </c>
      <c r="AP22" s="59">
        <f t="shared" si="538"/>
        <v>0</v>
      </c>
      <c r="AQ22" s="59">
        <f t="shared" si="538"/>
        <v>0</v>
      </c>
      <c r="AR22" s="59">
        <f t="shared" si="538"/>
        <v>0</v>
      </c>
      <c r="AS22" s="59">
        <f t="shared" si="538"/>
        <v>0</v>
      </c>
      <c r="AT22" s="59">
        <f t="shared" si="538"/>
        <v>0</v>
      </c>
      <c r="AU22" s="59">
        <f t="shared" si="538"/>
        <v>0</v>
      </c>
      <c r="AV22" s="59">
        <f t="shared" ref="AV22:AV35" si="539">SUM(AJ22:AL22)</f>
        <v>0</v>
      </c>
      <c r="AW22" s="59">
        <f t="shared" ref="AW22:AW35" si="540">SUM(AM22:AO22)</f>
        <v>0</v>
      </c>
      <c r="AX22" s="59">
        <f t="shared" ref="AX22:AX35" si="541">SUM(AP22:AR22)</f>
        <v>0</v>
      </c>
      <c r="AY22" s="59">
        <f t="shared" ref="AY22:AY35" si="542">SUM(AS22:AU22)</f>
        <v>0</v>
      </c>
      <c r="AZ22" s="59">
        <f t="shared" ref="AZ22:AZ35" si="543">SUM(AV22:AY22)</f>
        <v>0</v>
      </c>
      <c r="BA22" s="59"/>
      <c r="BB22" s="59">
        <f t="shared" ref="BB22:BB35" si="544">+R22+AJ22</f>
        <v>0</v>
      </c>
      <c r="BC22" s="59">
        <f t="shared" ref="BC22:BC35" si="545">+S22+AK22</f>
        <v>0</v>
      </c>
      <c r="BD22" s="59">
        <f t="shared" ref="BD22:BD35" si="546">+T22+AL22</f>
        <v>0</v>
      </c>
      <c r="BE22" s="59">
        <f t="shared" ref="BE22:BE35" si="547">+U22+AM22</f>
        <v>0</v>
      </c>
      <c r="BF22" s="59">
        <f t="shared" ref="BF22:BF35" si="548">+V22+AN22</f>
        <v>0</v>
      </c>
      <c r="BG22" s="59">
        <f t="shared" ref="BG22:BG35" si="549">+W22+AO22</f>
        <v>0</v>
      </c>
      <c r="BH22" s="59">
        <f t="shared" ref="BH22:BH35" si="550">+X22+AP22</f>
        <v>0</v>
      </c>
      <c r="BI22" s="59">
        <f t="shared" ref="BI22:BI35" si="551">+Y22+AQ22</f>
        <v>0</v>
      </c>
      <c r="BJ22" s="59">
        <f t="shared" ref="BJ22:BJ35" si="552">+Z22+AR22</f>
        <v>0</v>
      </c>
      <c r="BK22" s="59">
        <f t="shared" ref="BK22:BK35" si="553">+AA22+AS22</f>
        <v>0</v>
      </c>
      <c r="BL22" s="59">
        <f t="shared" ref="BL22:BL35" si="554">+AB22+AT22</f>
        <v>0</v>
      </c>
      <c r="BM22" s="59">
        <f t="shared" ref="BM22:BM35" si="555">+AC22+AU22</f>
        <v>0</v>
      </c>
      <c r="BN22" s="59">
        <f t="shared" ref="BN22:BN35" si="556">SUM(BB22:BD22)</f>
        <v>0</v>
      </c>
      <c r="BO22" s="59">
        <f t="shared" ref="BO22:BO35" si="557">SUM(BE22:BG22)</f>
        <v>0</v>
      </c>
      <c r="BP22" s="59">
        <f t="shared" ref="BP22:BP35" si="558">SUM(BH22:BJ22)</f>
        <v>0</v>
      </c>
      <c r="BQ22" s="59">
        <f t="shared" ref="BQ22:BQ35" si="559">SUM(BK22:BM22)</f>
        <v>0</v>
      </c>
      <c r="BR22" s="59">
        <f t="shared" ref="BR22:BR35" si="560">SUM(BN22:BQ22)</f>
        <v>0</v>
      </c>
      <c r="BS22" s="59"/>
      <c r="BT22" s="59">
        <f t="shared" ref="BT22:CE35" si="561">IF(BT$4&lt;$O22,0,IF(AND(BT$4&gt;=$O22,BT$4&lt;=$K22+$N22),$E22/$K22,0))</f>
        <v>45</v>
      </c>
      <c r="BU22" s="59">
        <f t="shared" si="561"/>
        <v>45</v>
      </c>
      <c r="BV22" s="59">
        <f t="shared" si="561"/>
        <v>45</v>
      </c>
      <c r="BW22" s="59">
        <f t="shared" si="561"/>
        <v>0</v>
      </c>
      <c r="BX22" s="59">
        <f t="shared" si="561"/>
        <v>0</v>
      </c>
      <c r="BY22" s="59">
        <f t="shared" si="561"/>
        <v>0</v>
      </c>
      <c r="BZ22" s="59">
        <f t="shared" si="561"/>
        <v>0</v>
      </c>
      <c r="CA22" s="59">
        <f t="shared" si="561"/>
        <v>0</v>
      </c>
      <c r="CB22" s="59">
        <f t="shared" si="561"/>
        <v>0</v>
      </c>
      <c r="CC22" s="59">
        <f t="shared" si="561"/>
        <v>0</v>
      </c>
      <c r="CD22" s="59">
        <f t="shared" si="561"/>
        <v>0</v>
      </c>
      <c r="CE22" s="59">
        <f t="shared" si="561"/>
        <v>0</v>
      </c>
      <c r="CF22" s="59">
        <f t="shared" ref="CF22:CF35" si="562">SUM(BT22:BV22)</f>
        <v>135</v>
      </c>
      <c r="CG22" s="59">
        <f t="shared" ref="CG22:CG35" si="563">SUM(BW22:BY22)</f>
        <v>0</v>
      </c>
      <c r="CH22" s="59">
        <f t="shared" ref="CH22:CH35" si="564">SUM(BZ22:CB22)</f>
        <v>0</v>
      </c>
      <c r="CI22" s="59">
        <f t="shared" ref="CI22:CI35" si="565">SUM(CC22:CE22)</f>
        <v>0</v>
      </c>
      <c r="CJ22" s="59">
        <f t="shared" ref="CJ22:CJ35" si="566">SUM(CF22:CI22)</f>
        <v>135</v>
      </c>
      <c r="CK22" s="59"/>
      <c r="CL22" s="59">
        <f t="shared" ref="CL22:CW35" si="567">IF(CL$4&lt;$O22+$K22,0,IF(AND(CL$4&gt;=$O22+$K22,CL$4&lt;=$L22+$K22),$F22/$L22,0))</f>
        <v>0</v>
      </c>
      <c r="CM22" s="59">
        <f t="shared" si="567"/>
        <v>0</v>
      </c>
      <c r="CN22" s="59">
        <f t="shared" si="567"/>
        <v>0</v>
      </c>
      <c r="CO22" s="59">
        <f t="shared" si="567"/>
        <v>0</v>
      </c>
      <c r="CP22" s="59">
        <f t="shared" si="567"/>
        <v>0</v>
      </c>
      <c r="CQ22" s="59">
        <f t="shared" si="567"/>
        <v>0</v>
      </c>
      <c r="CR22" s="59">
        <f t="shared" si="567"/>
        <v>0</v>
      </c>
      <c r="CS22" s="59">
        <f t="shared" si="567"/>
        <v>0</v>
      </c>
      <c r="CT22" s="59">
        <f t="shared" si="567"/>
        <v>0</v>
      </c>
      <c r="CU22" s="59">
        <f t="shared" si="567"/>
        <v>0</v>
      </c>
      <c r="CV22" s="59">
        <f t="shared" si="567"/>
        <v>0</v>
      </c>
      <c r="CW22" s="59">
        <f t="shared" si="567"/>
        <v>0</v>
      </c>
      <c r="CX22" s="59">
        <f t="shared" ref="CX22:CX35" si="568">SUM(CL22:CN22)</f>
        <v>0</v>
      </c>
      <c r="CY22" s="59">
        <f t="shared" ref="CY22:CY35" si="569">SUM(CO22:CQ22)</f>
        <v>0</v>
      </c>
      <c r="CZ22" s="59">
        <f t="shared" ref="CZ22:CZ35" si="570">SUM(CR22:CT22)</f>
        <v>0</v>
      </c>
      <c r="DA22" s="59">
        <f t="shared" ref="DA22:DA35" si="571">SUM(CU22:CW22)</f>
        <v>0</v>
      </c>
      <c r="DB22" s="59">
        <f t="shared" ref="DB22:DB35" si="572">SUM(CX22:DA22)</f>
        <v>0</v>
      </c>
      <c r="DC22" s="59"/>
      <c r="DD22" s="59">
        <f t="shared" ref="DD22:DD35" si="573">+BT22+CL22</f>
        <v>45</v>
      </c>
      <c r="DE22" s="59">
        <f t="shared" ref="DE22:DE35" si="574">+BU22+CM22</f>
        <v>45</v>
      </c>
      <c r="DF22" s="59">
        <f t="shared" ref="DF22:DF35" si="575">+BV22+CN22</f>
        <v>45</v>
      </c>
      <c r="DG22" s="59">
        <f t="shared" ref="DG22:DG35" si="576">+BW22+CO22</f>
        <v>0</v>
      </c>
      <c r="DH22" s="59">
        <f t="shared" ref="DH22:DH35" si="577">+BX22+CP22</f>
        <v>0</v>
      </c>
      <c r="DI22" s="59">
        <f t="shared" ref="DI22:DI35" si="578">+BY22+CQ22</f>
        <v>0</v>
      </c>
      <c r="DJ22" s="59">
        <f t="shared" ref="DJ22:DJ35" si="579">+BZ22+CR22</f>
        <v>0</v>
      </c>
      <c r="DK22" s="59">
        <f t="shared" ref="DK22:DK35" si="580">+CA22+CS22</f>
        <v>0</v>
      </c>
      <c r="DL22" s="59">
        <f t="shared" ref="DL22:DL35" si="581">+CB22+CT22</f>
        <v>0</v>
      </c>
      <c r="DM22" s="59">
        <f t="shared" ref="DM22:DM35" si="582">+CC22+CU22</f>
        <v>0</v>
      </c>
      <c r="DN22" s="59">
        <f t="shared" ref="DN22:DN35" si="583">+CD22+CV22</f>
        <v>0</v>
      </c>
      <c r="DO22" s="59">
        <f t="shared" ref="DO22:DO35" si="584">+CE22+CW22</f>
        <v>0</v>
      </c>
      <c r="DP22" s="59">
        <f t="shared" ref="DP22:DP35" si="585">SUM(DD22:DF22)</f>
        <v>135</v>
      </c>
      <c r="DQ22" s="59">
        <f t="shared" ref="DQ22:DQ35" si="586">SUM(DG22:DI22)</f>
        <v>0</v>
      </c>
      <c r="DR22" s="59">
        <f t="shared" ref="DR22:DR35" si="587">SUM(DJ22:DL22)</f>
        <v>0</v>
      </c>
      <c r="DS22" s="59">
        <f t="shared" ref="DS22:DS35" si="588">SUM(DM22:DO22)</f>
        <v>0</v>
      </c>
      <c r="DT22" s="59">
        <f t="shared" ref="DT22:DT35" si="589">SUM(DP22:DS22)</f>
        <v>135</v>
      </c>
      <c r="DU22" s="59"/>
      <c r="DV22" s="70">
        <v>60.631999999999998</v>
      </c>
      <c r="DW22" s="70">
        <v>40.04</v>
      </c>
      <c r="DX22" s="70">
        <v>41.326999999999998</v>
      </c>
      <c r="DY22" s="70">
        <v>22.88</v>
      </c>
      <c r="DZ22" s="70">
        <v>0</v>
      </c>
      <c r="EA22" s="70">
        <v>0</v>
      </c>
      <c r="EB22" s="59">
        <f t="shared" ref="EB22:EG35" si="590">IF(EB$4&lt;$O22+2,0,IF(AND(EB$4&gt;=$O22+2,EB$4&lt;=$K22+$N22+2),$E22/$K22,0))</f>
        <v>0</v>
      </c>
      <c r="EC22" s="59">
        <f t="shared" si="590"/>
        <v>0</v>
      </c>
      <c r="ED22" s="59">
        <f t="shared" si="590"/>
        <v>0</v>
      </c>
      <c r="EE22" s="59">
        <f t="shared" si="590"/>
        <v>0</v>
      </c>
      <c r="EF22" s="59">
        <f t="shared" si="590"/>
        <v>0</v>
      </c>
      <c r="EG22" s="59">
        <f t="shared" si="590"/>
        <v>0</v>
      </c>
      <c r="EH22" s="59">
        <f t="shared" ref="EH22:EH35" si="591">SUM(DV22:DX22)</f>
        <v>141.999</v>
      </c>
      <c r="EI22" s="59">
        <f t="shared" ref="EI22:EI35" si="592">SUM(DY22:EA22)</f>
        <v>22.88</v>
      </c>
      <c r="EJ22" s="59">
        <f t="shared" ref="EJ22:EJ35" si="593">SUM(EB22:ED22)</f>
        <v>0</v>
      </c>
      <c r="EK22" s="59">
        <f t="shared" ref="EK22:EK35" si="594">SUM(EE22:EG22)</f>
        <v>0</v>
      </c>
      <c r="EL22" s="59">
        <f t="shared" ref="EL22:EL35" si="595">SUM(EH22:EK22)</f>
        <v>164.87899999999999</v>
      </c>
      <c r="EM22" s="59"/>
      <c r="EN22" s="70">
        <v>0</v>
      </c>
      <c r="EO22" s="70">
        <v>0</v>
      </c>
      <c r="EP22" s="70">
        <v>0</v>
      </c>
      <c r="EQ22" s="70">
        <v>0</v>
      </c>
      <c r="ER22" s="70">
        <v>0</v>
      </c>
      <c r="ES22" s="59">
        <f t="shared" ref="ES22:EY35" si="596">IF(ES$4&lt;$O22+$K22+1,0,IF(AND(ES$4=$O22+$K22+1,ES$4&lt;=$L22+$K22+1),$F22*0.5,IF(AND(ES$4&gt;$O22+$K22+1,ES$4&lt;=$L22+$K22+1),($F22*0.5)/$L22,0)))</f>
        <v>0</v>
      </c>
      <c r="ET22" s="59">
        <f t="shared" si="596"/>
        <v>0</v>
      </c>
      <c r="EU22" s="59">
        <f t="shared" si="596"/>
        <v>0</v>
      </c>
      <c r="EV22" s="59">
        <f t="shared" si="596"/>
        <v>0</v>
      </c>
      <c r="EW22" s="59">
        <f t="shared" si="596"/>
        <v>0</v>
      </c>
      <c r="EX22" s="59">
        <f t="shared" si="596"/>
        <v>0</v>
      </c>
      <c r="EY22" s="59">
        <f t="shared" si="596"/>
        <v>0</v>
      </c>
      <c r="EZ22" s="59">
        <f t="shared" ref="EZ22:EZ35" si="597">SUM(EN22:EP22)</f>
        <v>0</v>
      </c>
      <c r="FA22" s="59">
        <f t="shared" ref="FA22:FA35" si="598">SUM(EQ22:ES22)</f>
        <v>0</v>
      </c>
      <c r="FB22" s="59">
        <f t="shared" ref="FB22:FB35" si="599">SUM(ET22:EV22)</f>
        <v>0</v>
      </c>
      <c r="FC22" s="59">
        <f t="shared" ref="FC22:FC35" si="600">SUM(EW22:EY22)</f>
        <v>0</v>
      </c>
      <c r="FD22" s="59">
        <f t="shared" ref="FD22:FD35" si="601">SUM(EZ22:FC22)</f>
        <v>0</v>
      </c>
      <c r="FE22" s="59"/>
      <c r="FF22" s="59">
        <f t="shared" ref="FF22:FF35" si="602">+DV22+EN22</f>
        <v>60.631999999999998</v>
      </c>
      <c r="FG22" s="59">
        <f t="shared" ref="FG22:FG35" si="603">+DW22+EO22</f>
        <v>40.04</v>
      </c>
      <c r="FH22" s="59">
        <f t="shared" ref="FH22:FH35" si="604">+DX22+EP22</f>
        <v>41.326999999999998</v>
      </c>
      <c r="FI22" s="59">
        <f t="shared" ref="FI22:FI35" si="605">+DY22+EQ22</f>
        <v>22.88</v>
      </c>
      <c r="FJ22" s="59">
        <f t="shared" ref="FJ22:FJ35" si="606">+DZ22+ER22</f>
        <v>0</v>
      </c>
      <c r="FK22" s="59">
        <f t="shared" ref="FK22:FK35" si="607">+EA22+ES22</f>
        <v>0</v>
      </c>
      <c r="FL22" s="59">
        <f t="shared" ref="FL22:FL35" si="608">+EB22+ET22</f>
        <v>0</v>
      </c>
      <c r="FM22" s="59">
        <f t="shared" ref="FM22:FM35" si="609">+EC22+EU22</f>
        <v>0</v>
      </c>
      <c r="FN22" s="59">
        <f t="shared" ref="FN22:FN35" si="610">+ED22+EV22</f>
        <v>0</v>
      </c>
      <c r="FO22" s="59">
        <f t="shared" ref="FO22:FO35" si="611">+EE22+EW22</f>
        <v>0</v>
      </c>
      <c r="FP22" s="59">
        <f t="shared" ref="FP22:FP35" si="612">+EF22+EX22</f>
        <v>0</v>
      </c>
      <c r="FQ22" s="59">
        <f t="shared" ref="FQ22:FQ35" si="613">+EG22+EY22</f>
        <v>0</v>
      </c>
      <c r="FR22" s="59">
        <f t="shared" ref="FR22:FR35" si="614">SUM(FF22:FH22)</f>
        <v>141.999</v>
      </c>
      <c r="FS22" s="59">
        <f t="shared" ref="FS22:FS35" si="615">SUM(FI22:FK22)</f>
        <v>22.88</v>
      </c>
      <c r="FT22" s="59">
        <f t="shared" ref="FT22:FT35" si="616">SUM(FL22:FN22)</f>
        <v>0</v>
      </c>
      <c r="FU22" s="59">
        <f t="shared" ref="FU22:FU35" si="617">SUM(FO22:FQ22)</f>
        <v>0</v>
      </c>
      <c r="FV22" s="59">
        <f t="shared" ref="FV22:FV35" si="618">SUM(FR22:FU22)</f>
        <v>164.87899999999999</v>
      </c>
      <c r="FW22" s="15"/>
    </row>
    <row r="23" spans="2:179" ht="16" x14ac:dyDescent="0.2">
      <c r="B23" s="46">
        <f>+B22+1</f>
        <v>2</v>
      </c>
      <c r="C23" s="71" t="s">
        <v>486</v>
      </c>
      <c r="E23" s="13">
        <v>0</v>
      </c>
      <c r="F23" s="13">
        <v>0</v>
      </c>
      <c r="G23" s="17">
        <f t="shared" ref="G23:G24" si="619">+E23+F23</f>
        <v>0</v>
      </c>
      <c r="H23" s="49" t="s">
        <v>218</v>
      </c>
      <c r="I23" s="49" t="s">
        <v>216</v>
      </c>
      <c r="J23" s="49" t="s">
        <v>262</v>
      </c>
      <c r="K23" s="54">
        <v>7</v>
      </c>
      <c r="L23" s="54">
        <v>0</v>
      </c>
      <c r="M23" s="54">
        <v>0</v>
      </c>
      <c r="N23" s="54">
        <v>2</v>
      </c>
      <c r="O23" s="48">
        <f t="shared" si="530"/>
        <v>3</v>
      </c>
      <c r="P23" s="48">
        <f t="shared" ref="P23:P24" si="620">+K23+L23</f>
        <v>7</v>
      </c>
      <c r="R23" s="59">
        <f t="shared" si="532"/>
        <v>0</v>
      </c>
      <c r="S23" s="59">
        <f t="shared" si="532"/>
        <v>0</v>
      </c>
      <c r="T23" s="59">
        <f t="shared" si="532"/>
        <v>0</v>
      </c>
      <c r="U23" s="59">
        <f t="shared" si="532"/>
        <v>0</v>
      </c>
      <c r="V23" s="59">
        <f t="shared" si="532"/>
        <v>0</v>
      </c>
      <c r="W23" s="59">
        <f t="shared" si="532"/>
        <v>0</v>
      </c>
      <c r="X23" s="59">
        <f t="shared" si="532"/>
        <v>0</v>
      </c>
      <c r="Y23" s="59">
        <f t="shared" si="532"/>
        <v>0</v>
      </c>
      <c r="Z23" s="59">
        <f t="shared" si="532"/>
        <v>0</v>
      </c>
      <c r="AA23" s="59">
        <f t="shared" si="532"/>
        <v>0</v>
      </c>
      <c r="AB23" s="59">
        <f t="shared" si="532"/>
        <v>0</v>
      </c>
      <c r="AC23" s="59">
        <f t="shared" si="532"/>
        <v>0</v>
      </c>
      <c r="AD23" s="59">
        <f t="shared" ref="AD23:AD24" si="621">SUM(R23:T23)</f>
        <v>0</v>
      </c>
      <c r="AE23" s="59">
        <f t="shared" ref="AE23:AE24" si="622">SUM(U23:W23)</f>
        <v>0</v>
      </c>
      <c r="AF23" s="59">
        <f t="shared" ref="AF23:AF24" si="623">SUM(X23:Z23)</f>
        <v>0</v>
      </c>
      <c r="AG23" s="59">
        <f t="shared" ref="AG23:AG24" si="624">SUM(AA23:AC23)</f>
        <v>0</v>
      </c>
      <c r="AH23" s="59">
        <f t="shared" ref="AH23:AH24" si="625">SUM(AD23:AG23)</f>
        <v>0</v>
      </c>
      <c r="AI23" s="59"/>
      <c r="AJ23" s="59">
        <f t="shared" si="538"/>
        <v>0</v>
      </c>
      <c r="AK23" s="59">
        <f t="shared" si="538"/>
        <v>0</v>
      </c>
      <c r="AL23" s="59">
        <f t="shared" si="538"/>
        <v>0</v>
      </c>
      <c r="AM23" s="59">
        <f t="shared" si="538"/>
        <v>0</v>
      </c>
      <c r="AN23" s="59">
        <f t="shared" si="538"/>
        <v>0</v>
      </c>
      <c r="AO23" s="59">
        <f t="shared" si="538"/>
        <v>0</v>
      </c>
      <c r="AP23" s="59">
        <f t="shared" si="538"/>
        <v>0</v>
      </c>
      <c r="AQ23" s="59">
        <f t="shared" si="538"/>
        <v>0</v>
      </c>
      <c r="AR23" s="59">
        <f t="shared" si="538"/>
        <v>0</v>
      </c>
      <c r="AS23" s="59">
        <f t="shared" si="538"/>
        <v>0</v>
      </c>
      <c r="AT23" s="59">
        <f t="shared" si="538"/>
        <v>0</v>
      </c>
      <c r="AU23" s="59">
        <f t="shared" si="538"/>
        <v>0</v>
      </c>
      <c r="AV23" s="59">
        <f t="shared" ref="AV23:AV24" si="626">SUM(AJ23:AL23)</f>
        <v>0</v>
      </c>
      <c r="AW23" s="59">
        <f t="shared" ref="AW23:AW24" si="627">SUM(AM23:AO23)</f>
        <v>0</v>
      </c>
      <c r="AX23" s="59">
        <f t="shared" ref="AX23:AX24" si="628">SUM(AP23:AR23)</f>
        <v>0</v>
      </c>
      <c r="AY23" s="59">
        <f t="shared" ref="AY23:AY24" si="629">SUM(AS23:AU23)</f>
        <v>0</v>
      </c>
      <c r="AZ23" s="59">
        <f t="shared" ref="AZ23:AZ24" si="630">SUM(AV23:AY23)</f>
        <v>0</v>
      </c>
      <c r="BA23" s="59"/>
      <c r="BB23" s="59">
        <f t="shared" ref="BB23:BB24" si="631">+R23+AJ23</f>
        <v>0</v>
      </c>
      <c r="BC23" s="59">
        <f t="shared" ref="BC23:BC24" si="632">+S23+AK23</f>
        <v>0</v>
      </c>
      <c r="BD23" s="59">
        <f t="shared" ref="BD23:BD24" si="633">+T23+AL23</f>
        <v>0</v>
      </c>
      <c r="BE23" s="59">
        <f t="shared" ref="BE23:BE24" si="634">+U23+AM23</f>
        <v>0</v>
      </c>
      <c r="BF23" s="59">
        <f t="shared" ref="BF23:BF24" si="635">+V23+AN23</f>
        <v>0</v>
      </c>
      <c r="BG23" s="59">
        <f t="shared" ref="BG23:BG24" si="636">+W23+AO23</f>
        <v>0</v>
      </c>
      <c r="BH23" s="59">
        <f t="shared" ref="BH23:BH24" si="637">+X23+AP23</f>
        <v>0</v>
      </c>
      <c r="BI23" s="59">
        <f t="shared" ref="BI23:BI24" si="638">+Y23+AQ23</f>
        <v>0</v>
      </c>
      <c r="BJ23" s="59">
        <f t="shared" ref="BJ23:BJ24" si="639">+Z23+AR23</f>
        <v>0</v>
      </c>
      <c r="BK23" s="59">
        <f t="shared" ref="BK23:BK24" si="640">+AA23+AS23</f>
        <v>0</v>
      </c>
      <c r="BL23" s="59">
        <f t="shared" ref="BL23:BL24" si="641">+AB23+AT23</f>
        <v>0</v>
      </c>
      <c r="BM23" s="59">
        <f t="shared" ref="BM23:BM24" si="642">+AC23+AU23</f>
        <v>0</v>
      </c>
      <c r="BN23" s="59">
        <f t="shared" ref="BN23:BN24" si="643">SUM(BB23:BD23)</f>
        <v>0</v>
      </c>
      <c r="BO23" s="59">
        <f t="shared" ref="BO23:BO24" si="644">SUM(BE23:BG23)</f>
        <v>0</v>
      </c>
      <c r="BP23" s="59">
        <f t="shared" ref="BP23:BP24" si="645">SUM(BH23:BJ23)</f>
        <v>0</v>
      </c>
      <c r="BQ23" s="59">
        <f t="shared" ref="BQ23:BQ24" si="646">SUM(BK23:BM23)</f>
        <v>0</v>
      </c>
      <c r="BR23" s="59">
        <f t="shared" ref="BR23:BR24" si="647">SUM(BN23:BQ23)</f>
        <v>0</v>
      </c>
      <c r="BS23" s="59"/>
      <c r="BT23" s="59">
        <f t="shared" si="561"/>
        <v>0</v>
      </c>
      <c r="BU23" s="59">
        <f t="shared" si="561"/>
        <v>0</v>
      </c>
      <c r="BV23" s="59">
        <f t="shared" si="561"/>
        <v>0</v>
      </c>
      <c r="BW23" s="59">
        <f t="shared" si="561"/>
        <v>0</v>
      </c>
      <c r="BX23" s="59">
        <f t="shared" si="561"/>
        <v>0</v>
      </c>
      <c r="BY23" s="59">
        <f t="shared" si="561"/>
        <v>0</v>
      </c>
      <c r="BZ23" s="59">
        <f t="shared" si="561"/>
        <v>0</v>
      </c>
      <c r="CA23" s="59">
        <f t="shared" si="561"/>
        <v>0</v>
      </c>
      <c r="CB23" s="59">
        <f t="shared" si="561"/>
        <v>0</v>
      </c>
      <c r="CC23" s="59">
        <f t="shared" si="561"/>
        <v>0</v>
      </c>
      <c r="CD23" s="59">
        <f t="shared" si="561"/>
        <v>0</v>
      </c>
      <c r="CE23" s="59">
        <f t="shared" si="561"/>
        <v>0</v>
      </c>
      <c r="CF23" s="59">
        <f t="shared" ref="CF23:CF24" si="648">SUM(BT23:BV23)</f>
        <v>0</v>
      </c>
      <c r="CG23" s="59">
        <f t="shared" ref="CG23:CG24" si="649">SUM(BW23:BY23)</f>
        <v>0</v>
      </c>
      <c r="CH23" s="59">
        <f t="shared" ref="CH23:CH24" si="650">SUM(BZ23:CB23)</f>
        <v>0</v>
      </c>
      <c r="CI23" s="59">
        <f t="shared" ref="CI23:CI24" si="651">SUM(CC23:CE23)</f>
        <v>0</v>
      </c>
      <c r="CJ23" s="59">
        <f t="shared" ref="CJ23:CJ24" si="652">SUM(CF23:CI23)</f>
        <v>0</v>
      </c>
      <c r="CK23" s="59"/>
      <c r="CL23" s="59">
        <f t="shared" si="567"/>
        <v>0</v>
      </c>
      <c r="CM23" s="59">
        <f t="shared" si="567"/>
        <v>0</v>
      </c>
      <c r="CN23" s="59">
        <f t="shared" si="567"/>
        <v>0</v>
      </c>
      <c r="CO23" s="59">
        <f t="shared" si="567"/>
        <v>0</v>
      </c>
      <c r="CP23" s="59">
        <f t="shared" si="567"/>
        <v>0</v>
      </c>
      <c r="CQ23" s="59">
        <f t="shared" si="567"/>
        <v>0</v>
      </c>
      <c r="CR23" s="59">
        <f t="shared" si="567"/>
        <v>0</v>
      </c>
      <c r="CS23" s="59">
        <f t="shared" si="567"/>
        <v>0</v>
      </c>
      <c r="CT23" s="59">
        <f t="shared" si="567"/>
        <v>0</v>
      </c>
      <c r="CU23" s="59">
        <f t="shared" si="567"/>
        <v>0</v>
      </c>
      <c r="CV23" s="59">
        <f t="shared" si="567"/>
        <v>0</v>
      </c>
      <c r="CW23" s="59">
        <f t="shared" si="567"/>
        <v>0</v>
      </c>
      <c r="CX23" s="59">
        <f t="shared" ref="CX23:CX24" si="653">SUM(CL23:CN23)</f>
        <v>0</v>
      </c>
      <c r="CY23" s="59">
        <f t="shared" ref="CY23:CY24" si="654">SUM(CO23:CQ23)</f>
        <v>0</v>
      </c>
      <c r="CZ23" s="59">
        <f t="shared" ref="CZ23:CZ24" si="655">SUM(CR23:CT23)</f>
        <v>0</v>
      </c>
      <c r="DA23" s="59">
        <f t="shared" ref="DA23:DA24" si="656">SUM(CU23:CW23)</f>
        <v>0</v>
      </c>
      <c r="DB23" s="59">
        <f t="shared" ref="DB23:DB24" si="657">SUM(CX23:DA23)</f>
        <v>0</v>
      </c>
      <c r="DC23" s="59"/>
      <c r="DD23" s="59">
        <f t="shared" ref="DD23:DD24" si="658">+BT23+CL23</f>
        <v>0</v>
      </c>
      <c r="DE23" s="59">
        <f t="shared" ref="DE23:DE24" si="659">+BU23+CM23</f>
        <v>0</v>
      </c>
      <c r="DF23" s="59">
        <f t="shared" ref="DF23:DF24" si="660">+BV23+CN23</f>
        <v>0</v>
      </c>
      <c r="DG23" s="59">
        <f t="shared" ref="DG23:DG24" si="661">+BW23+CO23</f>
        <v>0</v>
      </c>
      <c r="DH23" s="59">
        <f t="shared" ref="DH23:DH24" si="662">+BX23+CP23</f>
        <v>0</v>
      </c>
      <c r="DI23" s="59">
        <f t="shared" ref="DI23:DI24" si="663">+BY23+CQ23</f>
        <v>0</v>
      </c>
      <c r="DJ23" s="59">
        <f t="shared" ref="DJ23:DJ24" si="664">+BZ23+CR23</f>
        <v>0</v>
      </c>
      <c r="DK23" s="59">
        <f t="shared" ref="DK23:DK24" si="665">+CA23+CS23</f>
        <v>0</v>
      </c>
      <c r="DL23" s="59">
        <f t="shared" ref="DL23:DL24" si="666">+CB23+CT23</f>
        <v>0</v>
      </c>
      <c r="DM23" s="59">
        <f t="shared" ref="DM23:DM24" si="667">+CC23+CU23</f>
        <v>0</v>
      </c>
      <c r="DN23" s="59">
        <f t="shared" ref="DN23:DN24" si="668">+CD23+CV23</f>
        <v>0</v>
      </c>
      <c r="DO23" s="59">
        <f t="shared" ref="DO23:DO24" si="669">+CE23+CW23</f>
        <v>0</v>
      </c>
      <c r="DP23" s="59">
        <f t="shared" ref="DP23:DP24" si="670">SUM(DD23:DF23)</f>
        <v>0</v>
      </c>
      <c r="DQ23" s="59">
        <f t="shared" ref="DQ23:DQ24" si="671">SUM(DG23:DI23)</f>
        <v>0</v>
      </c>
      <c r="DR23" s="59">
        <f t="shared" ref="DR23:DR24" si="672">SUM(DJ23:DL23)</f>
        <v>0</v>
      </c>
      <c r="DS23" s="59">
        <f t="shared" ref="DS23:DS24" si="673">SUM(DM23:DO23)</f>
        <v>0</v>
      </c>
      <c r="DT23" s="59">
        <f t="shared" ref="DT23:DT24" si="674">SUM(DP23:DS23)</f>
        <v>0</v>
      </c>
      <c r="DU23" s="59"/>
      <c r="DV23" s="70">
        <v>0</v>
      </c>
      <c r="DW23" s="70">
        <v>0</v>
      </c>
      <c r="DX23" s="70">
        <v>0</v>
      </c>
      <c r="DY23" s="70">
        <v>0</v>
      </c>
      <c r="DZ23" s="70">
        <v>0</v>
      </c>
      <c r="EA23" s="70">
        <v>0</v>
      </c>
      <c r="EB23" s="59">
        <f t="shared" si="590"/>
        <v>0</v>
      </c>
      <c r="EC23" s="59">
        <f t="shared" si="590"/>
        <v>0</v>
      </c>
      <c r="ED23" s="59">
        <f t="shared" si="590"/>
        <v>0</v>
      </c>
      <c r="EE23" s="59">
        <f t="shared" si="590"/>
        <v>0</v>
      </c>
      <c r="EF23" s="59">
        <f t="shared" si="590"/>
        <v>0</v>
      </c>
      <c r="EG23" s="59">
        <f t="shared" si="590"/>
        <v>0</v>
      </c>
      <c r="EH23" s="59">
        <f t="shared" ref="EH23:EH24" si="675">SUM(DV23:DX23)</f>
        <v>0</v>
      </c>
      <c r="EI23" s="59">
        <f t="shared" ref="EI23:EI24" si="676">SUM(DY23:EA23)</f>
        <v>0</v>
      </c>
      <c r="EJ23" s="59">
        <f t="shared" ref="EJ23:EJ24" si="677">SUM(EB23:ED23)</f>
        <v>0</v>
      </c>
      <c r="EK23" s="59">
        <f t="shared" ref="EK23:EK24" si="678">SUM(EE23:EG23)</f>
        <v>0</v>
      </c>
      <c r="EL23" s="59">
        <f t="shared" ref="EL23:EL24" si="679">SUM(EH23:EK23)</f>
        <v>0</v>
      </c>
      <c r="EM23" s="59"/>
      <c r="EN23" s="70">
        <v>0</v>
      </c>
      <c r="EO23" s="70">
        <v>0</v>
      </c>
      <c r="EP23" s="70">
        <v>0</v>
      </c>
      <c r="EQ23" s="70">
        <v>0</v>
      </c>
      <c r="ER23" s="70">
        <v>0</v>
      </c>
      <c r="ES23" s="59">
        <f t="shared" si="596"/>
        <v>0</v>
      </c>
      <c r="ET23" s="59">
        <f t="shared" si="596"/>
        <v>0</v>
      </c>
      <c r="EU23" s="59">
        <f t="shared" si="596"/>
        <v>0</v>
      </c>
      <c r="EV23" s="59">
        <f t="shared" si="596"/>
        <v>0</v>
      </c>
      <c r="EW23" s="59">
        <f t="shared" si="596"/>
        <v>0</v>
      </c>
      <c r="EX23" s="59">
        <f t="shared" si="596"/>
        <v>0</v>
      </c>
      <c r="EY23" s="59">
        <f t="shared" si="596"/>
        <v>0</v>
      </c>
      <c r="EZ23" s="59">
        <f t="shared" ref="EZ23:EZ24" si="680">SUM(EN23:EP23)</f>
        <v>0</v>
      </c>
      <c r="FA23" s="59">
        <f t="shared" ref="FA23:FA24" si="681">SUM(EQ23:ES23)</f>
        <v>0</v>
      </c>
      <c r="FB23" s="59">
        <f t="shared" ref="FB23:FB24" si="682">SUM(ET23:EV23)</f>
        <v>0</v>
      </c>
      <c r="FC23" s="59">
        <f t="shared" ref="FC23:FC24" si="683">SUM(EW23:EY23)</f>
        <v>0</v>
      </c>
      <c r="FD23" s="59">
        <f t="shared" ref="FD23:FD24" si="684">SUM(EZ23:FC23)</f>
        <v>0</v>
      </c>
      <c r="FE23" s="59"/>
      <c r="FF23" s="59">
        <f t="shared" ref="FF23:FF24" si="685">+DV23+EN23</f>
        <v>0</v>
      </c>
      <c r="FG23" s="59">
        <f t="shared" ref="FG23:FG24" si="686">+DW23+EO23</f>
        <v>0</v>
      </c>
      <c r="FH23" s="59">
        <f t="shared" ref="FH23:FH24" si="687">+DX23+EP23</f>
        <v>0</v>
      </c>
      <c r="FI23" s="59">
        <f t="shared" ref="FI23:FI24" si="688">+DY23+EQ23</f>
        <v>0</v>
      </c>
      <c r="FJ23" s="59">
        <f t="shared" ref="FJ23:FJ24" si="689">+DZ23+ER23</f>
        <v>0</v>
      </c>
      <c r="FK23" s="59">
        <f t="shared" ref="FK23:FK24" si="690">+EA23+ES23</f>
        <v>0</v>
      </c>
      <c r="FL23" s="59">
        <f t="shared" ref="FL23:FL24" si="691">+EB23+ET23</f>
        <v>0</v>
      </c>
      <c r="FM23" s="59">
        <f t="shared" ref="FM23:FM24" si="692">+EC23+EU23</f>
        <v>0</v>
      </c>
      <c r="FN23" s="59">
        <f t="shared" ref="FN23:FN24" si="693">+ED23+EV23</f>
        <v>0</v>
      </c>
      <c r="FO23" s="59">
        <f t="shared" ref="FO23:FO24" si="694">+EE23+EW23</f>
        <v>0</v>
      </c>
      <c r="FP23" s="59">
        <f t="shared" ref="FP23:FP24" si="695">+EF23+EX23</f>
        <v>0</v>
      </c>
      <c r="FQ23" s="59">
        <f t="shared" ref="FQ23:FQ24" si="696">+EG23+EY23</f>
        <v>0</v>
      </c>
      <c r="FR23" s="59">
        <f t="shared" ref="FR23:FR24" si="697">SUM(FF23:FH23)</f>
        <v>0</v>
      </c>
      <c r="FS23" s="59">
        <f t="shared" ref="FS23:FS24" si="698">SUM(FI23:FK23)</f>
        <v>0</v>
      </c>
      <c r="FT23" s="59">
        <f t="shared" ref="FT23:FT24" si="699">SUM(FL23:FN23)</f>
        <v>0</v>
      </c>
      <c r="FU23" s="59">
        <f t="shared" ref="FU23:FU24" si="700">SUM(FO23:FQ23)</f>
        <v>0</v>
      </c>
      <c r="FV23" s="59">
        <f t="shared" ref="FV23:FV24" si="701">SUM(FR23:FU23)</f>
        <v>0</v>
      </c>
      <c r="FW23" s="15"/>
    </row>
    <row r="24" spans="2:179" ht="16" x14ac:dyDescent="0.2">
      <c r="B24" s="46">
        <f t="shared" ref="B24:B35" si="702">+B23+1</f>
        <v>3</v>
      </c>
      <c r="C24" s="71" t="s">
        <v>487</v>
      </c>
      <c r="E24" s="13">
        <v>0</v>
      </c>
      <c r="F24" s="13">
        <v>0</v>
      </c>
      <c r="G24" s="17">
        <f t="shared" si="619"/>
        <v>0</v>
      </c>
      <c r="H24" s="49" t="s">
        <v>218</v>
      </c>
      <c r="I24" s="49" t="s">
        <v>216</v>
      </c>
      <c r="J24" s="49" t="s">
        <v>262</v>
      </c>
      <c r="K24" s="54">
        <v>3</v>
      </c>
      <c r="L24" s="54">
        <v>0</v>
      </c>
      <c r="M24" s="54">
        <v>6</v>
      </c>
      <c r="N24" s="54">
        <v>10</v>
      </c>
      <c r="O24" s="48">
        <f t="shared" si="530"/>
        <v>11</v>
      </c>
      <c r="P24" s="48">
        <f t="shared" si="620"/>
        <v>3</v>
      </c>
      <c r="R24" s="59">
        <f t="shared" si="532"/>
        <v>0</v>
      </c>
      <c r="S24" s="59">
        <f t="shared" si="532"/>
        <v>0</v>
      </c>
      <c r="T24" s="59">
        <f t="shared" si="532"/>
        <v>0</v>
      </c>
      <c r="U24" s="59">
        <f t="shared" si="532"/>
        <v>0</v>
      </c>
      <c r="V24" s="59">
        <f t="shared" si="532"/>
        <v>0</v>
      </c>
      <c r="W24" s="59">
        <f t="shared" si="532"/>
        <v>0</v>
      </c>
      <c r="X24" s="59">
        <f t="shared" si="532"/>
        <v>0</v>
      </c>
      <c r="Y24" s="59">
        <f t="shared" si="532"/>
        <v>0</v>
      </c>
      <c r="Z24" s="59">
        <f t="shared" si="532"/>
        <v>0</v>
      </c>
      <c r="AA24" s="59">
        <f t="shared" si="532"/>
        <v>0</v>
      </c>
      <c r="AB24" s="59">
        <f t="shared" si="532"/>
        <v>0</v>
      </c>
      <c r="AC24" s="59">
        <f t="shared" si="532"/>
        <v>0</v>
      </c>
      <c r="AD24" s="59">
        <f t="shared" si="621"/>
        <v>0</v>
      </c>
      <c r="AE24" s="59">
        <f t="shared" si="622"/>
        <v>0</v>
      </c>
      <c r="AF24" s="59">
        <f t="shared" si="623"/>
        <v>0</v>
      </c>
      <c r="AG24" s="59">
        <f t="shared" si="624"/>
        <v>0</v>
      </c>
      <c r="AH24" s="59">
        <f t="shared" si="625"/>
        <v>0</v>
      </c>
      <c r="AI24" s="59"/>
      <c r="AJ24" s="59">
        <f t="shared" si="538"/>
        <v>0</v>
      </c>
      <c r="AK24" s="59">
        <f t="shared" si="538"/>
        <v>0</v>
      </c>
      <c r="AL24" s="59">
        <f t="shared" si="538"/>
        <v>0</v>
      </c>
      <c r="AM24" s="59">
        <f t="shared" si="538"/>
        <v>0</v>
      </c>
      <c r="AN24" s="59">
        <f t="shared" si="538"/>
        <v>0</v>
      </c>
      <c r="AO24" s="59">
        <f t="shared" si="538"/>
        <v>0</v>
      </c>
      <c r="AP24" s="59">
        <f t="shared" si="538"/>
        <v>0</v>
      </c>
      <c r="AQ24" s="59">
        <f t="shared" si="538"/>
        <v>0</v>
      </c>
      <c r="AR24" s="59">
        <f t="shared" si="538"/>
        <v>0</v>
      </c>
      <c r="AS24" s="59">
        <f t="shared" si="538"/>
        <v>0</v>
      </c>
      <c r="AT24" s="59">
        <f t="shared" si="538"/>
        <v>0</v>
      </c>
      <c r="AU24" s="59">
        <f t="shared" si="538"/>
        <v>0</v>
      </c>
      <c r="AV24" s="59">
        <f t="shared" si="626"/>
        <v>0</v>
      </c>
      <c r="AW24" s="59">
        <f t="shared" si="627"/>
        <v>0</v>
      </c>
      <c r="AX24" s="59">
        <f t="shared" si="628"/>
        <v>0</v>
      </c>
      <c r="AY24" s="59">
        <f t="shared" si="629"/>
        <v>0</v>
      </c>
      <c r="AZ24" s="59">
        <f t="shared" si="630"/>
        <v>0</v>
      </c>
      <c r="BA24" s="59"/>
      <c r="BB24" s="59">
        <f t="shared" si="631"/>
        <v>0</v>
      </c>
      <c r="BC24" s="59">
        <f t="shared" si="632"/>
        <v>0</v>
      </c>
      <c r="BD24" s="59">
        <f t="shared" si="633"/>
        <v>0</v>
      </c>
      <c r="BE24" s="59">
        <f t="shared" si="634"/>
        <v>0</v>
      </c>
      <c r="BF24" s="59">
        <f t="shared" si="635"/>
        <v>0</v>
      </c>
      <c r="BG24" s="59">
        <f t="shared" si="636"/>
        <v>0</v>
      </c>
      <c r="BH24" s="59">
        <f t="shared" si="637"/>
        <v>0</v>
      </c>
      <c r="BI24" s="59">
        <f t="shared" si="638"/>
        <v>0</v>
      </c>
      <c r="BJ24" s="59">
        <f t="shared" si="639"/>
        <v>0</v>
      </c>
      <c r="BK24" s="59">
        <f t="shared" si="640"/>
        <v>0</v>
      </c>
      <c r="BL24" s="59">
        <f t="shared" si="641"/>
        <v>0</v>
      </c>
      <c r="BM24" s="59">
        <f t="shared" si="642"/>
        <v>0</v>
      </c>
      <c r="BN24" s="59">
        <f t="shared" si="643"/>
        <v>0</v>
      </c>
      <c r="BO24" s="59">
        <f t="shared" si="644"/>
        <v>0</v>
      </c>
      <c r="BP24" s="59">
        <f t="shared" si="645"/>
        <v>0</v>
      </c>
      <c r="BQ24" s="59">
        <f t="shared" si="646"/>
        <v>0</v>
      </c>
      <c r="BR24" s="59">
        <f t="shared" si="647"/>
        <v>0</v>
      </c>
      <c r="BS24" s="59"/>
      <c r="BT24" s="59">
        <f t="shared" si="561"/>
        <v>0</v>
      </c>
      <c r="BU24" s="59">
        <f t="shared" si="561"/>
        <v>0</v>
      </c>
      <c r="BV24" s="59">
        <f t="shared" si="561"/>
        <v>0</v>
      </c>
      <c r="BW24" s="59">
        <f t="shared" si="561"/>
        <v>0</v>
      </c>
      <c r="BX24" s="59">
        <f t="shared" si="561"/>
        <v>0</v>
      </c>
      <c r="BY24" s="59">
        <f t="shared" si="561"/>
        <v>0</v>
      </c>
      <c r="BZ24" s="59">
        <f t="shared" si="561"/>
        <v>0</v>
      </c>
      <c r="CA24" s="59">
        <f t="shared" si="561"/>
        <v>0</v>
      </c>
      <c r="CB24" s="59">
        <f t="shared" si="561"/>
        <v>0</v>
      </c>
      <c r="CC24" s="59">
        <f t="shared" si="561"/>
        <v>0</v>
      </c>
      <c r="CD24" s="59">
        <f t="shared" si="561"/>
        <v>0</v>
      </c>
      <c r="CE24" s="59">
        <f t="shared" si="561"/>
        <v>0</v>
      </c>
      <c r="CF24" s="59">
        <f t="shared" si="648"/>
        <v>0</v>
      </c>
      <c r="CG24" s="59">
        <f t="shared" si="649"/>
        <v>0</v>
      </c>
      <c r="CH24" s="59">
        <f t="shared" si="650"/>
        <v>0</v>
      </c>
      <c r="CI24" s="59">
        <f t="shared" si="651"/>
        <v>0</v>
      </c>
      <c r="CJ24" s="59">
        <f t="shared" si="652"/>
        <v>0</v>
      </c>
      <c r="CK24" s="59"/>
      <c r="CL24" s="59">
        <f t="shared" si="567"/>
        <v>0</v>
      </c>
      <c r="CM24" s="59">
        <f t="shared" si="567"/>
        <v>0</v>
      </c>
      <c r="CN24" s="59">
        <f t="shared" si="567"/>
        <v>0</v>
      </c>
      <c r="CO24" s="59">
        <f t="shared" si="567"/>
        <v>0</v>
      </c>
      <c r="CP24" s="59">
        <f t="shared" si="567"/>
        <v>0</v>
      </c>
      <c r="CQ24" s="59">
        <f t="shared" si="567"/>
        <v>0</v>
      </c>
      <c r="CR24" s="59">
        <f t="shared" si="567"/>
        <v>0</v>
      </c>
      <c r="CS24" s="59">
        <f t="shared" si="567"/>
        <v>0</v>
      </c>
      <c r="CT24" s="59">
        <f t="shared" si="567"/>
        <v>0</v>
      </c>
      <c r="CU24" s="59">
        <f t="shared" si="567"/>
        <v>0</v>
      </c>
      <c r="CV24" s="59">
        <f t="shared" si="567"/>
        <v>0</v>
      </c>
      <c r="CW24" s="59">
        <f t="shared" si="567"/>
        <v>0</v>
      </c>
      <c r="CX24" s="59">
        <f t="shared" si="653"/>
        <v>0</v>
      </c>
      <c r="CY24" s="59">
        <f t="shared" si="654"/>
        <v>0</v>
      </c>
      <c r="CZ24" s="59">
        <f t="shared" si="655"/>
        <v>0</v>
      </c>
      <c r="DA24" s="59">
        <f t="shared" si="656"/>
        <v>0</v>
      </c>
      <c r="DB24" s="59">
        <f t="shared" si="657"/>
        <v>0</v>
      </c>
      <c r="DC24" s="59"/>
      <c r="DD24" s="59">
        <f t="shared" si="658"/>
        <v>0</v>
      </c>
      <c r="DE24" s="59">
        <f t="shared" si="659"/>
        <v>0</v>
      </c>
      <c r="DF24" s="59">
        <f t="shared" si="660"/>
        <v>0</v>
      </c>
      <c r="DG24" s="59">
        <f t="shared" si="661"/>
        <v>0</v>
      </c>
      <c r="DH24" s="59">
        <f t="shared" si="662"/>
        <v>0</v>
      </c>
      <c r="DI24" s="59">
        <f t="shared" si="663"/>
        <v>0</v>
      </c>
      <c r="DJ24" s="59">
        <f t="shared" si="664"/>
        <v>0</v>
      </c>
      <c r="DK24" s="59">
        <f t="shared" si="665"/>
        <v>0</v>
      </c>
      <c r="DL24" s="59">
        <f t="shared" si="666"/>
        <v>0</v>
      </c>
      <c r="DM24" s="59">
        <f t="shared" si="667"/>
        <v>0</v>
      </c>
      <c r="DN24" s="59">
        <f t="shared" si="668"/>
        <v>0</v>
      </c>
      <c r="DO24" s="59">
        <f t="shared" si="669"/>
        <v>0</v>
      </c>
      <c r="DP24" s="59">
        <f t="shared" si="670"/>
        <v>0</v>
      </c>
      <c r="DQ24" s="59">
        <f t="shared" si="671"/>
        <v>0</v>
      </c>
      <c r="DR24" s="59">
        <f t="shared" si="672"/>
        <v>0</v>
      </c>
      <c r="DS24" s="59">
        <f t="shared" si="673"/>
        <v>0</v>
      </c>
      <c r="DT24" s="59">
        <f t="shared" si="674"/>
        <v>0</v>
      </c>
      <c r="DU24" s="59"/>
      <c r="DV24" s="70">
        <v>0</v>
      </c>
      <c r="DW24" s="70">
        <v>0</v>
      </c>
      <c r="DX24" s="70">
        <v>0</v>
      </c>
      <c r="DY24" s="70">
        <v>0</v>
      </c>
      <c r="DZ24" s="70">
        <v>0</v>
      </c>
      <c r="EA24" s="70">
        <v>0</v>
      </c>
      <c r="EB24" s="59">
        <f t="shared" si="590"/>
        <v>0</v>
      </c>
      <c r="EC24" s="59">
        <f t="shared" si="590"/>
        <v>0</v>
      </c>
      <c r="ED24" s="59">
        <f t="shared" si="590"/>
        <v>0</v>
      </c>
      <c r="EE24" s="59">
        <f t="shared" si="590"/>
        <v>0</v>
      </c>
      <c r="EF24" s="59">
        <f t="shared" si="590"/>
        <v>0</v>
      </c>
      <c r="EG24" s="59">
        <f t="shared" si="590"/>
        <v>0</v>
      </c>
      <c r="EH24" s="59">
        <f t="shared" si="675"/>
        <v>0</v>
      </c>
      <c r="EI24" s="59">
        <f t="shared" si="676"/>
        <v>0</v>
      </c>
      <c r="EJ24" s="59">
        <f t="shared" si="677"/>
        <v>0</v>
      </c>
      <c r="EK24" s="59">
        <f t="shared" si="678"/>
        <v>0</v>
      </c>
      <c r="EL24" s="59">
        <f t="shared" si="679"/>
        <v>0</v>
      </c>
      <c r="EM24" s="59"/>
      <c r="EN24" s="70">
        <v>0</v>
      </c>
      <c r="EO24" s="70">
        <v>0</v>
      </c>
      <c r="EP24" s="70">
        <v>0</v>
      </c>
      <c r="EQ24" s="70">
        <v>0</v>
      </c>
      <c r="ER24" s="70">
        <v>0</v>
      </c>
      <c r="ES24" s="59">
        <f t="shared" si="596"/>
        <v>0</v>
      </c>
      <c r="ET24" s="59">
        <f t="shared" si="596"/>
        <v>0</v>
      </c>
      <c r="EU24" s="59">
        <f t="shared" si="596"/>
        <v>0</v>
      </c>
      <c r="EV24" s="59">
        <f t="shared" si="596"/>
        <v>0</v>
      </c>
      <c r="EW24" s="59">
        <f t="shared" si="596"/>
        <v>0</v>
      </c>
      <c r="EX24" s="59">
        <f t="shared" si="596"/>
        <v>0</v>
      </c>
      <c r="EY24" s="59">
        <f t="shared" si="596"/>
        <v>0</v>
      </c>
      <c r="EZ24" s="59">
        <f t="shared" si="680"/>
        <v>0</v>
      </c>
      <c r="FA24" s="59">
        <f t="shared" si="681"/>
        <v>0</v>
      </c>
      <c r="FB24" s="59">
        <f t="shared" si="682"/>
        <v>0</v>
      </c>
      <c r="FC24" s="59">
        <f t="shared" si="683"/>
        <v>0</v>
      </c>
      <c r="FD24" s="59">
        <f t="shared" si="684"/>
        <v>0</v>
      </c>
      <c r="FE24" s="59"/>
      <c r="FF24" s="59">
        <f t="shared" si="685"/>
        <v>0</v>
      </c>
      <c r="FG24" s="59">
        <f t="shared" si="686"/>
        <v>0</v>
      </c>
      <c r="FH24" s="59">
        <f t="shared" si="687"/>
        <v>0</v>
      </c>
      <c r="FI24" s="59">
        <f t="shared" si="688"/>
        <v>0</v>
      </c>
      <c r="FJ24" s="59">
        <f t="shared" si="689"/>
        <v>0</v>
      </c>
      <c r="FK24" s="59">
        <f t="shared" si="690"/>
        <v>0</v>
      </c>
      <c r="FL24" s="59">
        <f t="shared" si="691"/>
        <v>0</v>
      </c>
      <c r="FM24" s="59">
        <f t="shared" si="692"/>
        <v>0</v>
      </c>
      <c r="FN24" s="59">
        <f t="shared" si="693"/>
        <v>0</v>
      </c>
      <c r="FO24" s="59">
        <f t="shared" si="694"/>
        <v>0</v>
      </c>
      <c r="FP24" s="59">
        <f t="shared" si="695"/>
        <v>0</v>
      </c>
      <c r="FQ24" s="59">
        <f t="shared" si="696"/>
        <v>0</v>
      </c>
      <c r="FR24" s="59">
        <f t="shared" si="697"/>
        <v>0</v>
      </c>
      <c r="FS24" s="59">
        <f t="shared" si="698"/>
        <v>0</v>
      </c>
      <c r="FT24" s="59">
        <f t="shared" si="699"/>
        <v>0</v>
      </c>
      <c r="FU24" s="59">
        <f t="shared" si="700"/>
        <v>0</v>
      </c>
      <c r="FV24" s="59">
        <f t="shared" si="701"/>
        <v>0</v>
      </c>
      <c r="FW24" s="15"/>
    </row>
    <row r="25" spans="2:179" ht="16" x14ac:dyDescent="0.2">
      <c r="B25" s="46">
        <f t="shared" si="702"/>
        <v>4</v>
      </c>
      <c r="C25" s="14" t="s">
        <v>68</v>
      </c>
      <c r="E25" s="13">
        <f>(70000*12/1000)</f>
        <v>840</v>
      </c>
      <c r="F25" s="13">
        <v>0</v>
      </c>
      <c r="G25" s="17">
        <f t="shared" si="529"/>
        <v>840</v>
      </c>
      <c r="H25" s="49" t="s">
        <v>215</v>
      </c>
      <c r="I25" s="49" t="s">
        <v>216</v>
      </c>
      <c r="J25" s="49" t="s">
        <v>262</v>
      </c>
      <c r="K25" s="54">
        <v>12</v>
      </c>
      <c r="L25" s="54">
        <v>0</v>
      </c>
      <c r="M25" s="54">
        <v>0</v>
      </c>
      <c r="N25" s="54">
        <v>1</v>
      </c>
      <c r="O25" s="48">
        <f t="shared" si="530"/>
        <v>2</v>
      </c>
      <c r="P25" s="48">
        <f t="shared" si="531"/>
        <v>12</v>
      </c>
      <c r="R25" s="59">
        <f t="shared" si="532"/>
        <v>840</v>
      </c>
      <c r="S25" s="59">
        <f t="shared" si="532"/>
        <v>0</v>
      </c>
      <c r="T25" s="59">
        <f t="shared" si="532"/>
        <v>0</v>
      </c>
      <c r="U25" s="59">
        <f t="shared" si="532"/>
        <v>0</v>
      </c>
      <c r="V25" s="59">
        <f t="shared" si="532"/>
        <v>0</v>
      </c>
      <c r="W25" s="59">
        <f t="shared" si="532"/>
        <v>0</v>
      </c>
      <c r="X25" s="59">
        <f t="shared" si="532"/>
        <v>0</v>
      </c>
      <c r="Y25" s="59">
        <f t="shared" si="532"/>
        <v>0</v>
      </c>
      <c r="Z25" s="59">
        <f t="shared" si="532"/>
        <v>0</v>
      </c>
      <c r="AA25" s="59">
        <f t="shared" si="532"/>
        <v>0</v>
      </c>
      <c r="AB25" s="59">
        <f t="shared" si="532"/>
        <v>0</v>
      </c>
      <c r="AC25" s="59">
        <f t="shared" si="532"/>
        <v>0</v>
      </c>
      <c r="AD25" s="59">
        <f t="shared" si="533"/>
        <v>840</v>
      </c>
      <c r="AE25" s="59">
        <f t="shared" si="534"/>
        <v>0</v>
      </c>
      <c r="AF25" s="59">
        <f t="shared" si="535"/>
        <v>0</v>
      </c>
      <c r="AG25" s="59">
        <f t="shared" si="536"/>
        <v>0</v>
      </c>
      <c r="AH25" s="59">
        <f t="shared" si="537"/>
        <v>840</v>
      </c>
      <c r="AI25" s="59"/>
      <c r="AJ25" s="59">
        <f t="shared" si="538"/>
        <v>0</v>
      </c>
      <c r="AK25" s="59">
        <f t="shared" si="538"/>
        <v>0</v>
      </c>
      <c r="AL25" s="59">
        <f t="shared" si="538"/>
        <v>0</v>
      </c>
      <c r="AM25" s="59">
        <f t="shared" si="538"/>
        <v>0</v>
      </c>
      <c r="AN25" s="59">
        <f t="shared" si="538"/>
        <v>0</v>
      </c>
      <c r="AO25" s="59">
        <f t="shared" si="538"/>
        <v>0</v>
      </c>
      <c r="AP25" s="59">
        <f t="shared" si="538"/>
        <v>0</v>
      </c>
      <c r="AQ25" s="59">
        <f t="shared" si="538"/>
        <v>0</v>
      </c>
      <c r="AR25" s="59">
        <f t="shared" si="538"/>
        <v>0</v>
      </c>
      <c r="AS25" s="59">
        <f t="shared" si="538"/>
        <v>0</v>
      </c>
      <c r="AT25" s="59">
        <f t="shared" si="538"/>
        <v>0</v>
      </c>
      <c r="AU25" s="59">
        <f t="shared" si="538"/>
        <v>0</v>
      </c>
      <c r="AV25" s="59">
        <f t="shared" si="539"/>
        <v>0</v>
      </c>
      <c r="AW25" s="59">
        <f t="shared" si="540"/>
        <v>0</v>
      </c>
      <c r="AX25" s="59">
        <f t="shared" si="541"/>
        <v>0</v>
      </c>
      <c r="AY25" s="59">
        <f t="shared" si="542"/>
        <v>0</v>
      </c>
      <c r="AZ25" s="59">
        <f t="shared" si="543"/>
        <v>0</v>
      </c>
      <c r="BA25" s="59"/>
      <c r="BB25" s="59">
        <f t="shared" si="544"/>
        <v>840</v>
      </c>
      <c r="BC25" s="59">
        <f t="shared" si="545"/>
        <v>0</v>
      </c>
      <c r="BD25" s="59">
        <f t="shared" si="546"/>
        <v>0</v>
      </c>
      <c r="BE25" s="59">
        <f t="shared" si="547"/>
        <v>0</v>
      </c>
      <c r="BF25" s="59">
        <f t="shared" si="548"/>
        <v>0</v>
      </c>
      <c r="BG25" s="59">
        <f t="shared" si="549"/>
        <v>0</v>
      </c>
      <c r="BH25" s="59">
        <f t="shared" si="550"/>
        <v>0</v>
      </c>
      <c r="BI25" s="59">
        <f t="shared" si="551"/>
        <v>0</v>
      </c>
      <c r="BJ25" s="59">
        <f t="shared" si="552"/>
        <v>0</v>
      </c>
      <c r="BK25" s="59">
        <f t="shared" si="553"/>
        <v>0</v>
      </c>
      <c r="BL25" s="59">
        <f t="shared" si="554"/>
        <v>0</v>
      </c>
      <c r="BM25" s="59">
        <f t="shared" si="555"/>
        <v>0</v>
      </c>
      <c r="BN25" s="59">
        <f t="shared" si="556"/>
        <v>840</v>
      </c>
      <c r="BO25" s="59">
        <f t="shared" si="557"/>
        <v>0</v>
      </c>
      <c r="BP25" s="59">
        <f t="shared" si="558"/>
        <v>0</v>
      </c>
      <c r="BQ25" s="59">
        <f t="shared" si="559"/>
        <v>0</v>
      </c>
      <c r="BR25" s="59">
        <f t="shared" si="560"/>
        <v>840</v>
      </c>
      <c r="BS25" s="59"/>
      <c r="BT25" s="59">
        <f t="shared" si="561"/>
        <v>0</v>
      </c>
      <c r="BU25" s="59">
        <f t="shared" si="561"/>
        <v>70</v>
      </c>
      <c r="BV25" s="59">
        <f t="shared" si="561"/>
        <v>70</v>
      </c>
      <c r="BW25" s="59">
        <f t="shared" si="561"/>
        <v>70</v>
      </c>
      <c r="BX25" s="59">
        <f t="shared" si="561"/>
        <v>70</v>
      </c>
      <c r="BY25" s="59">
        <f t="shared" si="561"/>
        <v>70</v>
      </c>
      <c r="BZ25" s="59">
        <f t="shared" si="561"/>
        <v>70</v>
      </c>
      <c r="CA25" s="59">
        <f t="shared" si="561"/>
        <v>70</v>
      </c>
      <c r="CB25" s="59">
        <f t="shared" si="561"/>
        <v>70</v>
      </c>
      <c r="CC25" s="59">
        <f t="shared" si="561"/>
        <v>70</v>
      </c>
      <c r="CD25" s="59">
        <f t="shared" si="561"/>
        <v>70</v>
      </c>
      <c r="CE25" s="59">
        <f t="shared" si="561"/>
        <v>70</v>
      </c>
      <c r="CF25" s="59">
        <f t="shared" si="562"/>
        <v>140</v>
      </c>
      <c r="CG25" s="59">
        <f t="shared" si="563"/>
        <v>210</v>
      </c>
      <c r="CH25" s="59">
        <f t="shared" si="564"/>
        <v>210</v>
      </c>
      <c r="CI25" s="59">
        <f t="shared" si="565"/>
        <v>210</v>
      </c>
      <c r="CJ25" s="59">
        <f t="shared" si="566"/>
        <v>770</v>
      </c>
      <c r="CK25" s="59"/>
      <c r="CL25" s="59">
        <f t="shared" si="567"/>
        <v>0</v>
      </c>
      <c r="CM25" s="59">
        <f t="shared" si="567"/>
        <v>0</v>
      </c>
      <c r="CN25" s="59">
        <f t="shared" si="567"/>
        <v>0</v>
      </c>
      <c r="CO25" s="59">
        <f t="shared" si="567"/>
        <v>0</v>
      </c>
      <c r="CP25" s="59">
        <f t="shared" si="567"/>
        <v>0</v>
      </c>
      <c r="CQ25" s="59">
        <f t="shared" si="567"/>
        <v>0</v>
      </c>
      <c r="CR25" s="59">
        <f t="shared" si="567"/>
        <v>0</v>
      </c>
      <c r="CS25" s="59">
        <f t="shared" si="567"/>
        <v>0</v>
      </c>
      <c r="CT25" s="59">
        <f t="shared" si="567"/>
        <v>0</v>
      </c>
      <c r="CU25" s="59">
        <f t="shared" si="567"/>
        <v>0</v>
      </c>
      <c r="CV25" s="59">
        <f t="shared" si="567"/>
        <v>0</v>
      </c>
      <c r="CW25" s="59">
        <f t="shared" si="567"/>
        <v>0</v>
      </c>
      <c r="CX25" s="59">
        <f t="shared" si="568"/>
        <v>0</v>
      </c>
      <c r="CY25" s="59">
        <f t="shared" si="569"/>
        <v>0</v>
      </c>
      <c r="CZ25" s="59">
        <f t="shared" si="570"/>
        <v>0</v>
      </c>
      <c r="DA25" s="59">
        <f t="shared" si="571"/>
        <v>0</v>
      </c>
      <c r="DB25" s="59">
        <f t="shared" si="572"/>
        <v>0</v>
      </c>
      <c r="DC25" s="59"/>
      <c r="DD25" s="59">
        <f t="shared" si="573"/>
        <v>0</v>
      </c>
      <c r="DE25" s="59">
        <f t="shared" si="574"/>
        <v>70</v>
      </c>
      <c r="DF25" s="59">
        <f t="shared" si="575"/>
        <v>70</v>
      </c>
      <c r="DG25" s="59">
        <f t="shared" si="576"/>
        <v>70</v>
      </c>
      <c r="DH25" s="59">
        <f t="shared" si="577"/>
        <v>70</v>
      </c>
      <c r="DI25" s="59">
        <f t="shared" si="578"/>
        <v>70</v>
      </c>
      <c r="DJ25" s="59">
        <f t="shared" si="579"/>
        <v>70</v>
      </c>
      <c r="DK25" s="59">
        <f t="shared" si="580"/>
        <v>70</v>
      </c>
      <c r="DL25" s="59">
        <f t="shared" si="581"/>
        <v>70</v>
      </c>
      <c r="DM25" s="59">
        <f t="shared" si="582"/>
        <v>70</v>
      </c>
      <c r="DN25" s="59">
        <f t="shared" si="583"/>
        <v>70</v>
      </c>
      <c r="DO25" s="59">
        <f t="shared" si="584"/>
        <v>70</v>
      </c>
      <c r="DP25" s="59">
        <f t="shared" si="585"/>
        <v>140</v>
      </c>
      <c r="DQ25" s="59">
        <f t="shared" si="586"/>
        <v>210</v>
      </c>
      <c r="DR25" s="59">
        <f t="shared" si="587"/>
        <v>210</v>
      </c>
      <c r="DS25" s="59">
        <f t="shared" si="588"/>
        <v>210</v>
      </c>
      <c r="DT25" s="59">
        <f t="shared" si="589"/>
        <v>770</v>
      </c>
      <c r="DU25" s="59"/>
      <c r="DV25" s="70">
        <v>33.58</v>
      </c>
      <c r="DW25" s="70">
        <v>0</v>
      </c>
      <c r="DX25" s="70">
        <v>30.357500000000002</v>
      </c>
      <c r="DY25" s="70">
        <v>38.36</v>
      </c>
      <c r="DZ25" s="70">
        <v>140.42599999999999</v>
      </c>
      <c r="EA25" s="70">
        <v>0</v>
      </c>
      <c r="EB25" s="59">
        <f t="shared" si="590"/>
        <v>70</v>
      </c>
      <c r="EC25" s="59">
        <f t="shared" si="590"/>
        <v>70</v>
      </c>
      <c r="ED25" s="59">
        <f t="shared" si="590"/>
        <v>70</v>
      </c>
      <c r="EE25" s="59">
        <f t="shared" si="590"/>
        <v>70</v>
      </c>
      <c r="EF25" s="59">
        <f t="shared" si="590"/>
        <v>70</v>
      </c>
      <c r="EG25" s="59">
        <f t="shared" si="590"/>
        <v>70</v>
      </c>
      <c r="EH25" s="59">
        <f t="shared" si="591"/>
        <v>63.9375</v>
      </c>
      <c r="EI25" s="59">
        <f t="shared" si="592"/>
        <v>178.786</v>
      </c>
      <c r="EJ25" s="59">
        <f t="shared" si="593"/>
        <v>210</v>
      </c>
      <c r="EK25" s="59">
        <f t="shared" si="594"/>
        <v>210</v>
      </c>
      <c r="EL25" s="59">
        <f t="shared" si="595"/>
        <v>662.72350000000006</v>
      </c>
      <c r="EM25" s="59"/>
      <c r="EN25" s="70">
        <v>0</v>
      </c>
      <c r="EO25" s="70">
        <v>0</v>
      </c>
      <c r="EP25" s="70">
        <v>0</v>
      </c>
      <c r="EQ25" s="70">
        <v>0</v>
      </c>
      <c r="ER25" s="70">
        <v>0</v>
      </c>
      <c r="ES25" s="59">
        <f t="shared" si="596"/>
        <v>0</v>
      </c>
      <c r="ET25" s="59">
        <f t="shared" si="596"/>
        <v>0</v>
      </c>
      <c r="EU25" s="59">
        <f t="shared" si="596"/>
        <v>0</v>
      </c>
      <c r="EV25" s="59">
        <f t="shared" si="596"/>
        <v>0</v>
      </c>
      <c r="EW25" s="59">
        <f t="shared" si="596"/>
        <v>0</v>
      </c>
      <c r="EX25" s="59">
        <f t="shared" si="596"/>
        <v>0</v>
      </c>
      <c r="EY25" s="59">
        <f t="shared" si="596"/>
        <v>0</v>
      </c>
      <c r="EZ25" s="59">
        <f t="shared" si="597"/>
        <v>0</v>
      </c>
      <c r="FA25" s="59">
        <f t="shared" si="598"/>
        <v>0</v>
      </c>
      <c r="FB25" s="59">
        <f t="shared" si="599"/>
        <v>0</v>
      </c>
      <c r="FC25" s="59">
        <f t="shared" si="600"/>
        <v>0</v>
      </c>
      <c r="FD25" s="59">
        <f t="shared" si="601"/>
        <v>0</v>
      </c>
      <c r="FE25" s="59"/>
      <c r="FF25" s="59">
        <f t="shared" si="602"/>
        <v>33.58</v>
      </c>
      <c r="FG25" s="59">
        <f t="shared" si="603"/>
        <v>0</v>
      </c>
      <c r="FH25" s="59">
        <f t="shared" si="604"/>
        <v>30.357500000000002</v>
      </c>
      <c r="FI25" s="59">
        <f t="shared" si="605"/>
        <v>38.36</v>
      </c>
      <c r="FJ25" s="59">
        <f t="shared" si="606"/>
        <v>140.42599999999999</v>
      </c>
      <c r="FK25" s="59">
        <f t="shared" si="607"/>
        <v>0</v>
      </c>
      <c r="FL25" s="59">
        <f t="shared" si="608"/>
        <v>70</v>
      </c>
      <c r="FM25" s="59">
        <f t="shared" si="609"/>
        <v>70</v>
      </c>
      <c r="FN25" s="59">
        <f t="shared" si="610"/>
        <v>70</v>
      </c>
      <c r="FO25" s="59">
        <f t="shared" si="611"/>
        <v>70</v>
      </c>
      <c r="FP25" s="59">
        <f t="shared" si="612"/>
        <v>70</v>
      </c>
      <c r="FQ25" s="59">
        <f t="shared" si="613"/>
        <v>70</v>
      </c>
      <c r="FR25" s="59">
        <f t="shared" si="614"/>
        <v>63.9375</v>
      </c>
      <c r="FS25" s="59">
        <f t="shared" si="615"/>
        <v>178.786</v>
      </c>
      <c r="FT25" s="59">
        <f t="shared" si="616"/>
        <v>210</v>
      </c>
      <c r="FU25" s="59">
        <f t="shared" si="617"/>
        <v>210</v>
      </c>
      <c r="FV25" s="59">
        <f t="shared" si="618"/>
        <v>662.72350000000006</v>
      </c>
      <c r="FW25" s="15"/>
    </row>
    <row r="26" spans="2:179" ht="16" x14ac:dyDescent="0.2">
      <c r="B26" s="46">
        <f t="shared" si="702"/>
        <v>5</v>
      </c>
      <c r="C26" s="71" t="s">
        <v>569</v>
      </c>
      <c r="E26" s="13">
        <v>127</v>
      </c>
      <c r="F26" s="13">
        <v>0</v>
      </c>
      <c r="G26" s="17">
        <f t="shared" si="529"/>
        <v>127</v>
      </c>
      <c r="H26" s="49" t="s">
        <v>540</v>
      </c>
      <c r="I26" s="49" t="s">
        <v>216</v>
      </c>
      <c r="J26" s="49" t="s">
        <v>262</v>
      </c>
      <c r="K26" s="54">
        <v>4</v>
      </c>
      <c r="L26" s="54">
        <v>0</v>
      </c>
      <c r="M26" s="54">
        <v>1</v>
      </c>
      <c r="N26" s="54">
        <v>7</v>
      </c>
      <c r="O26" s="48">
        <f t="shared" si="530"/>
        <v>8</v>
      </c>
      <c r="P26" s="48">
        <f t="shared" si="531"/>
        <v>4</v>
      </c>
      <c r="R26" s="59">
        <f t="shared" si="532"/>
        <v>0</v>
      </c>
      <c r="S26" s="59">
        <f t="shared" si="532"/>
        <v>0</v>
      </c>
      <c r="T26" s="59">
        <f t="shared" si="532"/>
        <v>0</v>
      </c>
      <c r="U26" s="59">
        <f t="shared" si="532"/>
        <v>0</v>
      </c>
      <c r="V26" s="59">
        <f t="shared" si="532"/>
        <v>0</v>
      </c>
      <c r="W26" s="59">
        <f t="shared" si="532"/>
        <v>0</v>
      </c>
      <c r="X26" s="59">
        <f t="shared" si="532"/>
        <v>127</v>
      </c>
      <c r="Y26" s="59">
        <f t="shared" si="532"/>
        <v>0</v>
      </c>
      <c r="Z26" s="59">
        <f t="shared" si="532"/>
        <v>0</v>
      </c>
      <c r="AA26" s="59">
        <f t="shared" si="532"/>
        <v>0</v>
      </c>
      <c r="AB26" s="59">
        <f t="shared" si="532"/>
        <v>0</v>
      </c>
      <c r="AC26" s="59">
        <f t="shared" si="532"/>
        <v>0</v>
      </c>
      <c r="AD26" s="59">
        <f t="shared" ref="AD26" si="703">SUM(R26:T26)</f>
        <v>0</v>
      </c>
      <c r="AE26" s="59">
        <f t="shared" ref="AE26" si="704">SUM(U26:W26)</f>
        <v>0</v>
      </c>
      <c r="AF26" s="59">
        <f t="shared" ref="AF26" si="705">SUM(X26:Z26)</f>
        <v>127</v>
      </c>
      <c r="AG26" s="59">
        <f t="shared" ref="AG26" si="706">SUM(AA26:AC26)</f>
        <v>0</v>
      </c>
      <c r="AH26" s="59">
        <f t="shared" ref="AH26" si="707">SUM(AD26:AG26)</f>
        <v>127</v>
      </c>
      <c r="AI26" s="59"/>
      <c r="AJ26" s="59">
        <f t="shared" si="538"/>
        <v>0</v>
      </c>
      <c r="AK26" s="59">
        <f t="shared" si="538"/>
        <v>0</v>
      </c>
      <c r="AL26" s="59">
        <f t="shared" si="538"/>
        <v>0</v>
      </c>
      <c r="AM26" s="59">
        <f t="shared" si="538"/>
        <v>0</v>
      </c>
      <c r="AN26" s="59">
        <f t="shared" si="538"/>
        <v>0</v>
      </c>
      <c r="AO26" s="59">
        <f t="shared" si="538"/>
        <v>0</v>
      </c>
      <c r="AP26" s="59">
        <f t="shared" si="538"/>
        <v>0</v>
      </c>
      <c r="AQ26" s="59">
        <f t="shared" si="538"/>
        <v>0</v>
      </c>
      <c r="AR26" s="59">
        <f t="shared" si="538"/>
        <v>0</v>
      </c>
      <c r="AS26" s="59">
        <f t="shared" si="538"/>
        <v>0</v>
      </c>
      <c r="AT26" s="59">
        <f t="shared" si="538"/>
        <v>0</v>
      </c>
      <c r="AU26" s="59">
        <f t="shared" si="538"/>
        <v>0</v>
      </c>
      <c r="AV26" s="59">
        <f t="shared" ref="AV26" si="708">SUM(AJ26:AL26)</f>
        <v>0</v>
      </c>
      <c r="AW26" s="59">
        <f t="shared" ref="AW26" si="709">SUM(AM26:AO26)</f>
        <v>0</v>
      </c>
      <c r="AX26" s="59">
        <f t="shared" ref="AX26" si="710">SUM(AP26:AR26)</f>
        <v>0</v>
      </c>
      <c r="AY26" s="59">
        <f t="shared" ref="AY26" si="711">SUM(AS26:AU26)</f>
        <v>0</v>
      </c>
      <c r="AZ26" s="59">
        <f t="shared" ref="AZ26" si="712">SUM(AV26:AY26)</f>
        <v>0</v>
      </c>
      <c r="BA26" s="59"/>
      <c r="BB26" s="59">
        <f t="shared" si="544"/>
        <v>0</v>
      </c>
      <c r="BC26" s="59">
        <f t="shared" si="545"/>
        <v>0</v>
      </c>
      <c r="BD26" s="59">
        <f t="shared" si="546"/>
        <v>0</v>
      </c>
      <c r="BE26" s="59">
        <f t="shared" si="547"/>
        <v>0</v>
      </c>
      <c r="BF26" s="59">
        <f t="shared" si="548"/>
        <v>0</v>
      </c>
      <c r="BG26" s="59">
        <f t="shared" si="549"/>
        <v>0</v>
      </c>
      <c r="BH26" s="59">
        <f t="shared" si="550"/>
        <v>127</v>
      </c>
      <c r="BI26" s="59">
        <f t="shared" si="551"/>
        <v>0</v>
      </c>
      <c r="BJ26" s="59">
        <f t="shared" si="552"/>
        <v>0</v>
      </c>
      <c r="BK26" s="59">
        <f t="shared" si="553"/>
        <v>0</v>
      </c>
      <c r="BL26" s="59">
        <f t="shared" si="554"/>
        <v>0</v>
      </c>
      <c r="BM26" s="59">
        <f t="shared" si="555"/>
        <v>0</v>
      </c>
      <c r="BN26" s="59">
        <f t="shared" ref="BN26" si="713">SUM(BB26:BD26)</f>
        <v>0</v>
      </c>
      <c r="BO26" s="59">
        <f t="shared" ref="BO26" si="714">SUM(BE26:BG26)</f>
        <v>0</v>
      </c>
      <c r="BP26" s="59">
        <f t="shared" ref="BP26" si="715">SUM(BH26:BJ26)</f>
        <v>127</v>
      </c>
      <c r="BQ26" s="59">
        <f t="shared" ref="BQ26" si="716">SUM(BK26:BM26)</f>
        <v>0</v>
      </c>
      <c r="BR26" s="59">
        <f t="shared" ref="BR26" si="717">SUM(BN26:BQ26)</f>
        <v>127</v>
      </c>
      <c r="BS26" s="59"/>
      <c r="BT26" s="59">
        <f t="shared" si="561"/>
        <v>0</v>
      </c>
      <c r="BU26" s="59">
        <f t="shared" si="561"/>
        <v>0</v>
      </c>
      <c r="BV26" s="59">
        <f t="shared" si="561"/>
        <v>0</v>
      </c>
      <c r="BW26" s="59">
        <f t="shared" si="561"/>
        <v>0</v>
      </c>
      <c r="BX26" s="59">
        <f t="shared" si="561"/>
        <v>0</v>
      </c>
      <c r="BY26" s="59">
        <f t="shared" si="561"/>
        <v>0</v>
      </c>
      <c r="BZ26" s="59">
        <f t="shared" si="561"/>
        <v>0</v>
      </c>
      <c r="CA26" s="59">
        <f t="shared" si="561"/>
        <v>31.75</v>
      </c>
      <c r="CB26" s="59">
        <f t="shared" si="561"/>
        <v>31.75</v>
      </c>
      <c r="CC26" s="59">
        <f t="shared" si="561"/>
        <v>31.75</v>
      </c>
      <c r="CD26" s="59">
        <f t="shared" si="561"/>
        <v>31.75</v>
      </c>
      <c r="CE26" s="59">
        <f t="shared" si="561"/>
        <v>0</v>
      </c>
      <c r="CF26" s="59">
        <f t="shared" ref="CF26" si="718">SUM(BT26:BV26)</f>
        <v>0</v>
      </c>
      <c r="CG26" s="59">
        <f t="shared" ref="CG26" si="719">SUM(BW26:BY26)</f>
        <v>0</v>
      </c>
      <c r="CH26" s="59">
        <f t="shared" ref="CH26" si="720">SUM(BZ26:CB26)</f>
        <v>63.5</v>
      </c>
      <c r="CI26" s="59">
        <f t="shared" ref="CI26" si="721">SUM(CC26:CE26)</f>
        <v>63.5</v>
      </c>
      <c r="CJ26" s="59">
        <f t="shared" ref="CJ26" si="722">SUM(CF26:CI26)</f>
        <v>127</v>
      </c>
      <c r="CK26" s="59"/>
      <c r="CL26" s="59">
        <f t="shared" si="567"/>
        <v>0</v>
      </c>
      <c r="CM26" s="59">
        <f t="shared" si="567"/>
        <v>0</v>
      </c>
      <c r="CN26" s="59">
        <f t="shared" si="567"/>
        <v>0</v>
      </c>
      <c r="CO26" s="59">
        <f t="shared" si="567"/>
        <v>0</v>
      </c>
      <c r="CP26" s="59">
        <f t="shared" si="567"/>
        <v>0</v>
      </c>
      <c r="CQ26" s="59">
        <f t="shared" si="567"/>
        <v>0</v>
      </c>
      <c r="CR26" s="59">
        <f t="shared" si="567"/>
        <v>0</v>
      </c>
      <c r="CS26" s="59">
        <f t="shared" si="567"/>
        <v>0</v>
      </c>
      <c r="CT26" s="59">
        <f t="shared" si="567"/>
        <v>0</v>
      </c>
      <c r="CU26" s="59">
        <f t="shared" si="567"/>
        <v>0</v>
      </c>
      <c r="CV26" s="59">
        <f t="shared" si="567"/>
        <v>0</v>
      </c>
      <c r="CW26" s="59">
        <f t="shared" si="567"/>
        <v>0</v>
      </c>
      <c r="CX26" s="59">
        <f t="shared" ref="CX26" si="723">SUM(CL26:CN26)</f>
        <v>0</v>
      </c>
      <c r="CY26" s="59">
        <f t="shared" ref="CY26" si="724">SUM(CO26:CQ26)</f>
        <v>0</v>
      </c>
      <c r="CZ26" s="59">
        <f t="shared" ref="CZ26" si="725">SUM(CR26:CT26)</f>
        <v>0</v>
      </c>
      <c r="DA26" s="59">
        <f t="shared" ref="DA26" si="726">SUM(CU26:CW26)</f>
        <v>0</v>
      </c>
      <c r="DB26" s="59">
        <f t="shared" ref="DB26" si="727">SUM(CX26:DA26)</f>
        <v>0</v>
      </c>
      <c r="DC26" s="59"/>
      <c r="DD26" s="59">
        <f t="shared" si="573"/>
        <v>0</v>
      </c>
      <c r="DE26" s="59">
        <f t="shared" si="574"/>
        <v>0</v>
      </c>
      <c r="DF26" s="59">
        <f t="shared" si="575"/>
        <v>0</v>
      </c>
      <c r="DG26" s="59">
        <f t="shared" si="576"/>
        <v>0</v>
      </c>
      <c r="DH26" s="59">
        <f t="shared" si="577"/>
        <v>0</v>
      </c>
      <c r="DI26" s="59">
        <f t="shared" si="578"/>
        <v>0</v>
      </c>
      <c r="DJ26" s="59">
        <f t="shared" si="579"/>
        <v>0</v>
      </c>
      <c r="DK26" s="59">
        <f t="shared" si="580"/>
        <v>31.75</v>
      </c>
      <c r="DL26" s="59">
        <f t="shared" si="581"/>
        <v>31.75</v>
      </c>
      <c r="DM26" s="59">
        <f t="shared" si="582"/>
        <v>31.75</v>
      </c>
      <c r="DN26" s="59">
        <f t="shared" si="583"/>
        <v>31.75</v>
      </c>
      <c r="DO26" s="59">
        <f t="shared" si="584"/>
        <v>0</v>
      </c>
      <c r="DP26" s="59">
        <f t="shared" ref="DP26" si="728">SUM(DD26:DF26)</f>
        <v>0</v>
      </c>
      <c r="DQ26" s="59">
        <f t="shared" ref="DQ26" si="729">SUM(DG26:DI26)</f>
        <v>0</v>
      </c>
      <c r="DR26" s="59">
        <f t="shared" ref="DR26" si="730">SUM(DJ26:DL26)</f>
        <v>63.5</v>
      </c>
      <c r="DS26" s="59">
        <f t="shared" ref="DS26" si="731">SUM(DM26:DO26)</f>
        <v>63.5</v>
      </c>
      <c r="DT26" s="59">
        <f t="shared" ref="DT26" si="732">SUM(DP26:DS26)</f>
        <v>127</v>
      </c>
      <c r="DU26" s="59"/>
      <c r="DV26" s="70">
        <v>0</v>
      </c>
      <c r="DW26" s="70">
        <v>0</v>
      </c>
      <c r="DX26" s="70">
        <v>0</v>
      </c>
      <c r="DY26" s="70">
        <v>0</v>
      </c>
      <c r="DZ26" s="70">
        <v>0</v>
      </c>
      <c r="EA26" s="70">
        <v>0</v>
      </c>
      <c r="EB26" s="59">
        <f t="shared" si="590"/>
        <v>0</v>
      </c>
      <c r="EC26" s="59">
        <f t="shared" si="590"/>
        <v>0</v>
      </c>
      <c r="ED26" s="59">
        <f t="shared" si="590"/>
        <v>0</v>
      </c>
      <c r="EE26" s="59">
        <f t="shared" si="590"/>
        <v>31.75</v>
      </c>
      <c r="EF26" s="59">
        <f t="shared" si="590"/>
        <v>31.75</v>
      </c>
      <c r="EG26" s="59">
        <f t="shared" si="590"/>
        <v>31.75</v>
      </c>
      <c r="EH26" s="59">
        <f t="shared" ref="EH26" si="733">SUM(DV26:DX26)</f>
        <v>0</v>
      </c>
      <c r="EI26" s="59">
        <f t="shared" ref="EI26" si="734">SUM(DY26:EA26)</f>
        <v>0</v>
      </c>
      <c r="EJ26" s="59">
        <f t="shared" ref="EJ26" si="735">SUM(EB26:ED26)</f>
        <v>0</v>
      </c>
      <c r="EK26" s="59">
        <f t="shared" ref="EK26" si="736">SUM(EE26:EG26)</f>
        <v>95.25</v>
      </c>
      <c r="EL26" s="59">
        <f t="shared" ref="EL26" si="737">SUM(EH26:EK26)</f>
        <v>95.25</v>
      </c>
      <c r="EM26" s="59"/>
      <c r="EN26" s="70">
        <v>0</v>
      </c>
      <c r="EO26" s="70">
        <v>0</v>
      </c>
      <c r="EP26" s="70">
        <v>0</v>
      </c>
      <c r="EQ26" s="70">
        <v>0</v>
      </c>
      <c r="ER26" s="70">
        <v>0</v>
      </c>
      <c r="ES26" s="59">
        <f t="shared" si="596"/>
        <v>0</v>
      </c>
      <c r="ET26" s="59">
        <f t="shared" si="596"/>
        <v>0</v>
      </c>
      <c r="EU26" s="59">
        <f t="shared" si="596"/>
        <v>0</v>
      </c>
      <c r="EV26" s="59">
        <f t="shared" si="596"/>
        <v>0</v>
      </c>
      <c r="EW26" s="59">
        <f t="shared" si="596"/>
        <v>0</v>
      </c>
      <c r="EX26" s="59">
        <f t="shared" si="596"/>
        <v>0</v>
      </c>
      <c r="EY26" s="59">
        <f t="shared" si="596"/>
        <v>0</v>
      </c>
      <c r="EZ26" s="59">
        <f t="shared" ref="EZ26" si="738">SUM(EN26:EP26)</f>
        <v>0</v>
      </c>
      <c r="FA26" s="59">
        <f t="shared" ref="FA26" si="739">SUM(EQ26:ES26)</f>
        <v>0</v>
      </c>
      <c r="FB26" s="59">
        <f t="shared" ref="FB26" si="740">SUM(ET26:EV26)</f>
        <v>0</v>
      </c>
      <c r="FC26" s="59">
        <f t="shared" ref="FC26" si="741">SUM(EW26:EY26)</f>
        <v>0</v>
      </c>
      <c r="FD26" s="59">
        <f t="shared" ref="FD26" si="742">SUM(EZ26:FC26)</f>
        <v>0</v>
      </c>
      <c r="FE26" s="59"/>
      <c r="FF26" s="59">
        <f t="shared" si="602"/>
        <v>0</v>
      </c>
      <c r="FG26" s="59">
        <f t="shared" si="603"/>
        <v>0</v>
      </c>
      <c r="FH26" s="59">
        <f t="shared" si="604"/>
        <v>0</v>
      </c>
      <c r="FI26" s="59">
        <f t="shared" si="605"/>
        <v>0</v>
      </c>
      <c r="FJ26" s="59">
        <f t="shared" si="606"/>
        <v>0</v>
      </c>
      <c r="FK26" s="59">
        <f t="shared" si="607"/>
        <v>0</v>
      </c>
      <c r="FL26" s="59">
        <f t="shared" si="608"/>
        <v>0</v>
      </c>
      <c r="FM26" s="59">
        <f t="shared" si="609"/>
        <v>0</v>
      </c>
      <c r="FN26" s="59">
        <f t="shared" si="610"/>
        <v>0</v>
      </c>
      <c r="FO26" s="59">
        <f t="shared" si="611"/>
        <v>31.75</v>
      </c>
      <c r="FP26" s="59">
        <f t="shared" si="612"/>
        <v>31.75</v>
      </c>
      <c r="FQ26" s="59">
        <f t="shared" si="613"/>
        <v>31.75</v>
      </c>
      <c r="FR26" s="59">
        <f t="shared" ref="FR26" si="743">SUM(FF26:FH26)</f>
        <v>0</v>
      </c>
      <c r="FS26" s="59">
        <f t="shared" ref="FS26" si="744">SUM(FI26:FK26)</f>
        <v>0</v>
      </c>
      <c r="FT26" s="59">
        <f t="shared" ref="FT26" si="745">SUM(FL26:FN26)</f>
        <v>0</v>
      </c>
      <c r="FU26" s="59">
        <f t="shared" ref="FU26" si="746">SUM(FO26:FQ26)</f>
        <v>95.25</v>
      </c>
      <c r="FV26" s="59">
        <f t="shared" ref="FV26" si="747">SUM(FR26:FU26)</f>
        <v>95.25</v>
      </c>
      <c r="FW26" s="15"/>
    </row>
    <row r="27" spans="2:179" ht="16" x14ac:dyDescent="0.2">
      <c r="B27" s="46">
        <f t="shared" si="702"/>
        <v>6</v>
      </c>
      <c r="C27" s="14" t="s">
        <v>67</v>
      </c>
      <c r="E27" s="13">
        <f>(24777.6*4)/1000</f>
        <v>99.110399999999998</v>
      </c>
      <c r="F27" s="13">
        <v>0</v>
      </c>
      <c r="G27" s="17">
        <f t="shared" si="529"/>
        <v>99.110399999999998</v>
      </c>
      <c r="H27" s="49" t="s">
        <v>215</v>
      </c>
      <c r="I27" s="49" t="s">
        <v>216</v>
      </c>
      <c r="J27" s="49" t="s">
        <v>262</v>
      </c>
      <c r="K27" s="54">
        <v>4</v>
      </c>
      <c r="L27" s="54">
        <v>0</v>
      </c>
      <c r="M27" s="54">
        <v>0</v>
      </c>
      <c r="N27" s="54">
        <v>0</v>
      </c>
      <c r="O27" s="48">
        <f t="shared" si="530"/>
        <v>1</v>
      </c>
      <c r="P27" s="48">
        <f t="shared" si="531"/>
        <v>4</v>
      </c>
      <c r="R27" s="59">
        <f t="shared" si="532"/>
        <v>0</v>
      </c>
      <c r="S27" s="59">
        <f t="shared" si="532"/>
        <v>0</v>
      </c>
      <c r="T27" s="59">
        <f t="shared" si="532"/>
        <v>0</v>
      </c>
      <c r="U27" s="59">
        <f t="shared" si="532"/>
        <v>0</v>
      </c>
      <c r="V27" s="59">
        <f t="shared" si="532"/>
        <v>0</v>
      </c>
      <c r="W27" s="59">
        <f t="shared" si="532"/>
        <v>0</v>
      </c>
      <c r="X27" s="59">
        <f t="shared" si="532"/>
        <v>0</v>
      </c>
      <c r="Y27" s="59">
        <f t="shared" si="532"/>
        <v>0</v>
      </c>
      <c r="Z27" s="59">
        <f t="shared" si="532"/>
        <v>0</v>
      </c>
      <c r="AA27" s="59">
        <f t="shared" si="532"/>
        <v>0</v>
      </c>
      <c r="AB27" s="59">
        <f t="shared" si="532"/>
        <v>0</v>
      </c>
      <c r="AC27" s="59">
        <f t="shared" si="532"/>
        <v>0</v>
      </c>
      <c r="AD27" s="59">
        <f t="shared" si="533"/>
        <v>0</v>
      </c>
      <c r="AE27" s="59">
        <f t="shared" si="534"/>
        <v>0</v>
      </c>
      <c r="AF27" s="59">
        <f t="shared" si="535"/>
        <v>0</v>
      </c>
      <c r="AG27" s="59">
        <f t="shared" si="536"/>
        <v>0</v>
      </c>
      <c r="AH27" s="59">
        <f t="shared" si="537"/>
        <v>0</v>
      </c>
      <c r="AI27" s="59"/>
      <c r="AJ27" s="59">
        <f t="shared" si="538"/>
        <v>0</v>
      </c>
      <c r="AK27" s="59">
        <f t="shared" si="538"/>
        <v>0</v>
      </c>
      <c r="AL27" s="59">
        <f t="shared" si="538"/>
        <v>0</v>
      </c>
      <c r="AM27" s="59">
        <f t="shared" si="538"/>
        <v>0</v>
      </c>
      <c r="AN27" s="59">
        <f t="shared" si="538"/>
        <v>0</v>
      </c>
      <c r="AO27" s="59">
        <f t="shared" si="538"/>
        <v>0</v>
      </c>
      <c r="AP27" s="59">
        <f t="shared" si="538"/>
        <v>0</v>
      </c>
      <c r="AQ27" s="59">
        <f t="shared" si="538"/>
        <v>0</v>
      </c>
      <c r="AR27" s="59">
        <f t="shared" si="538"/>
        <v>0</v>
      </c>
      <c r="AS27" s="59">
        <f t="shared" si="538"/>
        <v>0</v>
      </c>
      <c r="AT27" s="59">
        <f t="shared" si="538"/>
        <v>0</v>
      </c>
      <c r="AU27" s="59">
        <f t="shared" si="538"/>
        <v>0</v>
      </c>
      <c r="AV27" s="59">
        <f t="shared" si="539"/>
        <v>0</v>
      </c>
      <c r="AW27" s="59">
        <f t="shared" si="540"/>
        <v>0</v>
      </c>
      <c r="AX27" s="59">
        <f t="shared" si="541"/>
        <v>0</v>
      </c>
      <c r="AY27" s="59">
        <f t="shared" si="542"/>
        <v>0</v>
      </c>
      <c r="AZ27" s="59">
        <f t="shared" si="543"/>
        <v>0</v>
      </c>
      <c r="BA27" s="59"/>
      <c r="BB27" s="59">
        <f t="shared" si="544"/>
        <v>0</v>
      </c>
      <c r="BC27" s="59">
        <f t="shared" si="545"/>
        <v>0</v>
      </c>
      <c r="BD27" s="59">
        <f t="shared" si="546"/>
        <v>0</v>
      </c>
      <c r="BE27" s="59">
        <f t="shared" si="547"/>
        <v>0</v>
      </c>
      <c r="BF27" s="59">
        <f t="shared" si="548"/>
        <v>0</v>
      </c>
      <c r="BG27" s="59">
        <f t="shared" si="549"/>
        <v>0</v>
      </c>
      <c r="BH27" s="59">
        <f t="shared" si="550"/>
        <v>0</v>
      </c>
      <c r="BI27" s="59">
        <f t="shared" si="551"/>
        <v>0</v>
      </c>
      <c r="BJ27" s="59">
        <f t="shared" si="552"/>
        <v>0</v>
      </c>
      <c r="BK27" s="59">
        <f t="shared" si="553"/>
        <v>0</v>
      </c>
      <c r="BL27" s="59">
        <f t="shared" si="554"/>
        <v>0</v>
      </c>
      <c r="BM27" s="59">
        <f t="shared" si="555"/>
        <v>0</v>
      </c>
      <c r="BN27" s="59">
        <f t="shared" si="556"/>
        <v>0</v>
      </c>
      <c r="BO27" s="59">
        <f t="shared" si="557"/>
        <v>0</v>
      </c>
      <c r="BP27" s="59">
        <f t="shared" si="558"/>
        <v>0</v>
      </c>
      <c r="BQ27" s="59">
        <f t="shared" si="559"/>
        <v>0</v>
      </c>
      <c r="BR27" s="59">
        <f t="shared" si="560"/>
        <v>0</v>
      </c>
      <c r="BS27" s="59"/>
      <c r="BT27" s="59">
        <f t="shared" si="561"/>
        <v>24.7776</v>
      </c>
      <c r="BU27" s="59">
        <f t="shared" si="561"/>
        <v>24.7776</v>
      </c>
      <c r="BV27" s="59">
        <f t="shared" si="561"/>
        <v>24.7776</v>
      </c>
      <c r="BW27" s="59">
        <f t="shared" si="561"/>
        <v>24.7776</v>
      </c>
      <c r="BX27" s="59">
        <f t="shared" si="561"/>
        <v>0</v>
      </c>
      <c r="BY27" s="59">
        <f t="shared" si="561"/>
        <v>0</v>
      </c>
      <c r="BZ27" s="59">
        <f t="shared" si="561"/>
        <v>0</v>
      </c>
      <c r="CA27" s="59">
        <f t="shared" si="561"/>
        <v>0</v>
      </c>
      <c r="CB27" s="59">
        <f t="shared" si="561"/>
        <v>0</v>
      </c>
      <c r="CC27" s="59">
        <f t="shared" si="561"/>
        <v>0</v>
      </c>
      <c r="CD27" s="59">
        <f t="shared" si="561"/>
        <v>0</v>
      </c>
      <c r="CE27" s="59">
        <f t="shared" si="561"/>
        <v>0</v>
      </c>
      <c r="CF27" s="59">
        <f t="shared" si="562"/>
        <v>74.332799999999992</v>
      </c>
      <c r="CG27" s="59">
        <f t="shared" si="563"/>
        <v>24.7776</v>
      </c>
      <c r="CH27" s="59">
        <f t="shared" si="564"/>
        <v>0</v>
      </c>
      <c r="CI27" s="59">
        <f t="shared" si="565"/>
        <v>0</v>
      </c>
      <c r="CJ27" s="59">
        <f t="shared" si="566"/>
        <v>99.110399999999998</v>
      </c>
      <c r="CK27" s="59"/>
      <c r="CL27" s="59">
        <f t="shared" si="567"/>
        <v>0</v>
      </c>
      <c r="CM27" s="59">
        <f t="shared" si="567"/>
        <v>0</v>
      </c>
      <c r="CN27" s="59">
        <f t="shared" si="567"/>
        <v>0</v>
      </c>
      <c r="CO27" s="59">
        <f t="shared" si="567"/>
        <v>0</v>
      </c>
      <c r="CP27" s="59">
        <f t="shared" si="567"/>
        <v>0</v>
      </c>
      <c r="CQ27" s="59">
        <f t="shared" si="567"/>
        <v>0</v>
      </c>
      <c r="CR27" s="59">
        <f t="shared" si="567"/>
        <v>0</v>
      </c>
      <c r="CS27" s="59">
        <f t="shared" si="567"/>
        <v>0</v>
      </c>
      <c r="CT27" s="59">
        <f t="shared" si="567"/>
        <v>0</v>
      </c>
      <c r="CU27" s="59">
        <f t="shared" si="567"/>
        <v>0</v>
      </c>
      <c r="CV27" s="59">
        <f t="shared" si="567"/>
        <v>0</v>
      </c>
      <c r="CW27" s="59">
        <f t="shared" si="567"/>
        <v>0</v>
      </c>
      <c r="CX27" s="59">
        <f t="shared" si="568"/>
        <v>0</v>
      </c>
      <c r="CY27" s="59">
        <f t="shared" si="569"/>
        <v>0</v>
      </c>
      <c r="CZ27" s="59">
        <f t="shared" si="570"/>
        <v>0</v>
      </c>
      <c r="DA27" s="59">
        <f t="shared" si="571"/>
        <v>0</v>
      </c>
      <c r="DB27" s="59">
        <f t="shared" si="572"/>
        <v>0</v>
      </c>
      <c r="DC27" s="59"/>
      <c r="DD27" s="59">
        <f t="shared" si="573"/>
        <v>24.7776</v>
      </c>
      <c r="DE27" s="59">
        <f t="shared" si="574"/>
        <v>24.7776</v>
      </c>
      <c r="DF27" s="59">
        <f t="shared" si="575"/>
        <v>24.7776</v>
      </c>
      <c r="DG27" s="59">
        <f t="shared" si="576"/>
        <v>24.7776</v>
      </c>
      <c r="DH27" s="59">
        <f t="shared" si="577"/>
        <v>0</v>
      </c>
      <c r="DI27" s="59">
        <f t="shared" si="578"/>
        <v>0</v>
      </c>
      <c r="DJ27" s="59">
        <f t="shared" si="579"/>
        <v>0</v>
      </c>
      <c r="DK27" s="59">
        <f t="shared" si="580"/>
        <v>0</v>
      </c>
      <c r="DL27" s="59">
        <f t="shared" si="581"/>
        <v>0</v>
      </c>
      <c r="DM27" s="59">
        <f t="shared" si="582"/>
        <v>0</v>
      </c>
      <c r="DN27" s="59">
        <f t="shared" si="583"/>
        <v>0</v>
      </c>
      <c r="DO27" s="59">
        <f t="shared" si="584"/>
        <v>0</v>
      </c>
      <c r="DP27" s="59">
        <f t="shared" si="585"/>
        <v>74.332799999999992</v>
      </c>
      <c r="DQ27" s="59">
        <f t="shared" si="586"/>
        <v>24.7776</v>
      </c>
      <c r="DR27" s="59">
        <f t="shared" si="587"/>
        <v>0</v>
      </c>
      <c r="DS27" s="59">
        <f t="shared" si="588"/>
        <v>0</v>
      </c>
      <c r="DT27" s="59">
        <f t="shared" si="589"/>
        <v>99.110399999999998</v>
      </c>
      <c r="DU27" s="59"/>
      <c r="DV27" s="70">
        <v>24.7776</v>
      </c>
      <c r="DW27" s="70">
        <v>24.7776</v>
      </c>
      <c r="DX27" s="70">
        <v>0</v>
      </c>
      <c r="DY27" s="70">
        <v>49.555199999999999</v>
      </c>
      <c r="DZ27" s="70">
        <v>24.7776</v>
      </c>
      <c r="EA27" s="70">
        <v>24.7776</v>
      </c>
      <c r="EB27" s="70">
        <v>24.7776</v>
      </c>
      <c r="EC27" s="59">
        <f t="shared" si="590"/>
        <v>0</v>
      </c>
      <c r="ED27" s="59">
        <f t="shared" si="590"/>
        <v>0</v>
      </c>
      <c r="EE27" s="59">
        <f t="shared" si="590"/>
        <v>0</v>
      </c>
      <c r="EF27" s="59">
        <f t="shared" si="590"/>
        <v>0</v>
      </c>
      <c r="EG27" s="59">
        <f t="shared" si="590"/>
        <v>0</v>
      </c>
      <c r="EH27" s="59">
        <f t="shared" si="591"/>
        <v>49.555199999999999</v>
      </c>
      <c r="EI27" s="59">
        <f t="shared" si="592"/>
        <v>99.110399999999998</v>
      </c>
      <c r="EJ27" s="59">
        <f t="shared" si="593"/>
        <v>24.7776</v>
      </c>
      <c r="EK27" s="59">
        <f t="shared" si="594"/>
        <v>0</v>
      </c>
      <c r="EL27" s="59">
        <f t="shared" si="595"/>
        <v>173.44319999999999</v>
      </c>
      <c r="EM27" s="59"/>
      <c r="EN27" s="70">
        <v>0</v>
      </c>
      <c r="EO27" s="70">
        <v>0</v>
      </c>
      <c r="EP27" s="70">
        <v>0</v>
      </c>
      <c r="EQ27" s="70">
        <v>0</v>
      </c>
      <c r="ER27" s="70">
        <v>0</v>
      </c>
      <c r="ES27" s="59">
        <f t="shared" si="596"/>
        <v>0</v>
      </c>
      <c r="ET27" s="59">
        <f t="shared" si="596"/>
        <v>0</v>
      </c>
      <c r="EU27" s="59">
        <f t="shared" si="596"/>
        <v>0</v>
      </c>
      <c r="EV27" s="59">
        <f t="shared" si="596"/>
        <v>0</v>
      </c>
      <c r="EW27" s="59">
        <f t="shared" si="596"/>
        <v>0</v>
      </c>
      <c r="EX27" s="59">
        <f t="shared" si="596"/>
        <v>0</v>
      </c>
      <c r="EY27" s="59">
        <f t="shared" si="596"/>
        <v>0</v>
      </c>
      <c r="EZ27" s="59">
        <f t="shared" si="597"/>
        <v>0</v>
      </c>
      <c r="FA27" s="59">
        <f t="shared" si="598"/>
        <v>0</v>
      </c>
      <c r="FB27" s="59">
        <f t="shared" si="599"/>
        <v>0</v>
      </c>
      <c r="FC27" s="59">
        <f t="shared" si="600"/>
        <v>0</v>
      </c>
      <c r="FD27" s="59">
        <f t="shared" si="601"/>
        <v>0</v>
      </c>
      <c r="FE27" s="59"/>
      <c r="FF27" s="59">
        <f t="shared" si="602"/>
        <v>24.7776</v>
      </c>
      <c r="FG27" s="59">
        <f t="shared" si="603"/>
        <v>24.7776</v>
      </c>
      <c r="FH27" s="59">
        <f t="shared" si="604"/>
        <v>0</v>
      </c>
      <c r="FI27" s="59">
        <f t="shared" si="605"/>
        <v>49.555199999999999</v>
      </c>
      <c r="FJ27" s="59">
        <f t="shared" si="606"/>
        <v>24.7776</v>
      </c>
      <c r="FK27" s="59">
        <f t="shared" si="607"/>
        <v>24.7776</v>
      </c>
      <c r="FL27" s="59">
        <f t="shared" si="608"/>
        <v>24.7776</v>
      </c>
      <c r="FM27" s="59">
        <f t="shared" si="609"/>
        <v>0</v>
      </c>
      <c r="FN27" s="59">
        <f t="shared" si="610"/>
        <v>0</v>
      </c>
      <c r="FO27" s="59">
        <f t="shared" si="611"/>
        <v>0</v>
      </c>
      <c r="FP27" s="59">
        <f t="shared" si="612"/>
        <v>0</v>
      </c>
      <c r="FQ27" s="59">
        <f t="shared" si="613"/>
        <v>0</v>
      </c>
      <c r="FR27" s="59">
        <f t="shared" si="614"/>
        <v>49.555199999999999</v>
      </c>
      <c r="FS27" s="59">
        <f t="shared" si="615"/>
        <v>99.110399999999998</v>
      </c>
      <c r="FT27" s="59">
        <f t="shared" si="616"/>
        <v>24.7776</v>
      </c>
      <c r="FU27" s="59">
        <f t="shared" si="617"/>
        <v>0</v>
      </c>
      <c r="FV27" s="59">
        <f t="shared" si="618"/>
        <v>173.44319999999999</v>
      </c>
      <c r="FW27" s="15"/>
    </row>
    <row r="28" spans="2:179" ht="16" x14ac:dyDescent="0.2">
      <c r="B28" s="46">
        <f t="shared" si="702"/>
        <v>7</v>
      </c>
      <c r="C28" s="71" t="s">
        <v>488</v>
      </c>
      <c r="E28" s="13">
        <f>25000*12/1000</f>
        <v>300</v>
      </c>
      <c r="F28" s="13">
        <v>0</v>
      </c>
      <c r="G28" s="17">
        <f t="shared" ref="G28" si="748">+E28+F28</f>
        <v>300</v>
      </c>
      <c r="H28" s="49" t="s">
        <v>215</v>
      </c>
      <c r="I28" s="49" t="s">
        <v>216</v>
      </c>
      <c r="J28" s="49" t="s">
        <v>262</v>
      </c>
      <c r="K28" s="54">
        <v>12</v>
      </c>
      <c r="L28" s="54">
        <v>0</v>
      </c>
      <c r="M28" s="54">
        <v>0</v>
      </c>
      <c r="N28" s="54">
        <v>5</v>
      </c>
      <c r="O28" s="48">
        <f t="shared" ref="O28" si="749">+N28+1</f>
        <v>6</v>
      </c>
      <c r="P28" s="48">
        <f t="shared" ref="P28" si="750">+K28+L28</f>
        <v>12</v>
      </c>
      <c r="R28" s="59">
        <f t="shared" si="532"/>
        <v>0</v>
      </c>
      <c r="S28" s="59">
        <f t="shared" si="532"/>
        <v>0</v>
      </c>
      <c r="T28" s="59">
        <f t="shared" si="532"/>
        <v>0</v>
      </c>
      <c r="U28" s="59">
        <f t="shared" si="532"/>
        <v>0</v>
      </c>
      <c r="V28" s="59">
        <f t="shared" si="532"/>
        <v>300</v>
      </c>
      <c r="W28" s="59">
        <f t="shared" si="532"/>
        <v>0</v>
      </c>
      <c r="X28" s="59">
        <f t="shared" si="532"/>
        <v>0</v>
      </c>
      <c r="Y28" s="59">
        <f t="shared" si="532"/>
        <v>0</v>
      </c>
      <c r="Z28" s="59">
        <f t="shared" si="532"/>
        <v>0</v>
      </c>
      <c r="AA28" s="59">
        <f t="shared" si="532"/>
        <v>0</v>
      </c>
      <c r="AB28" s="59">
        <f t="shared" si="532"/>
        <v>0</v>
      </c>
      <c r="AC28" s="59">
        <f t="shared" si="532"/>
        <v>0</v>
      </c>
      <c r="AD28" s="59">
        <f t="shared" ref="AD28" si="751">SUM(R28:T28)</f>
        <v>0</v>
      </c>
      <c r="AE28" s="59">
        <f t="shared" ref="AE28" si="752">SUM(U28:W28)</f>
        <v>300</v>
      </c>
      <c r="AF28" s="59">
        <f t="shared" ref="AF28" si="753">SUM(X28:Z28)</f>
        <v>0</v>
      </c>
      <c r="AG28" s="59">
        <f t="shared" ref="AG28" si="754">SUM(AA28:AC28)</f>
        <v>0</v>
      </c>
      <c r="AH28" s="59">
        <f t="shared" ref="AH28" si="755">SUM(AD28:AG28)</f>
        <v>300</v>
      </c>
      <c r="AI28" s="59"/>
      <c r="AJ28" s="59">
        <f t="shared" si="538"/>
        <v>0</v>
      </c>
      <c r="AK28" s="59">
        <f t="shared" si="538"/>
        <v>0</v>
      </c>
      <c r="AL28" s="59">
        <f t="shared" si="538"/>
        <v>0</v>
      </c>
      <c r="AM28" s="59">
        <f t="shared" si="538"/>
        <v>0</v>
      </c>
      <c r="AN28" s="59">
        <f t="shared" si="538"/>
        <v>0</v>
      </c>
      <c r="AO28" s="59">
        <f t="shared" si="538"/>
        <v>0</v>
      </c>
      <c r="AP28" s="59">
        <f t="shared" si="538"/>
        <v>0</v>
      </c>
      <c r="AQ28" s="59">
        <f t="shared" si="538"/>
        <v>0</v>
      </c>
      <c r="AR28" s="59">
        <f t="shared" si="538"/>
        <v>0</v>
      </c>
      <c r="AS28" s="59">
        <f t="shared" si="538"/>
        <v>0</v>
      </c>
      <c r="AT28" s="59">
        <f t="shared" si="538"/>
        <v>0</v>
      </c>
      <c r="AU28" s="59">
        <f t="shared" si="538"/>
        <v>0</v>
      </c>
      <c r="AV28" s="59">
        <f t="shared" ref="AV28" si="756">SUM(AJ28:AL28)</f>
        <v>0</v>
      </c>
      <c r="AW28" s="59">
        <f t="shared" ref="AW28" si="757">SUM(AM28:AO28)</f>
        <v>0</v>
      </c>
      <c r="AX28" s="59">
        <f t="shared" ref="AX28" si="758">SUM(AP28:AR28)</f>
        <v>0</v>
      </c>
      <c r="AY28" s="59">
        <f t="shared" ref="AY28" si="759">SUM(AS28:AU28)</f>
        <v>0</v>
      </c>
      <c r="AZ28" s="59">
        <f t="shared" ref="AZ28" si="760">SUM(AV28:AY28)</f>
        <v>0</v>
      </c>
      <c r="BA28" s="59"/>
      <c r="BB28" s="59">
        <f t="shared" ref="BB28" si="761">+R28+AJ28</f>
        <v>0</v>
      </c>
      <c r="BC28" s="59">
        <f t="shared" ref="BC28" si="762">+S28+AK28</f>
        <v>0</v>
      </c>
      <c r="BD28" s="59">
        <f t="shared" ref="BD28" si="763">+T28+AL28</f>
        <v>0</v>
      </c>
      <c r="BE28" s="59">
        <f t="shared" ref="BE28" si="764">+U28+AM28</f>
        <v>0</v>
      </c>
      <c r="BF28" s="59">
        <f t="shared" ref="BF28" si="765">+V28+AN28</f>
        <v>300</v>
      </c>
      <c r="BG28" s="59">
        <f t="shared" ref="BG28" si="766">+W28+AO28</f>
        <v>0</v>
      </c>
      <c r="BH28" s="59">
        <f t="shared" ref="BH28" si="767">+X28+AP28</f>
        <v>0</v>
      </c>
      <c r="BI28" s="59">
        <f t="shared" ref="BI28" si="768">+Y28+AQ28</f>
        <v>0</v>
      </c>
      <c r="BJ28" s="59">
        <f t="shared" ref="BJ28" si="769">+Z28+AR28</f>
        <v>0</v>
      </c>
      <c r="BK28" s="59">
        <f t="shared" ref="BK28" si="770">+AA28+AS28</f>
        <v>0</v>
      </c>
      <c r="BL28" s="59">
        <f t="shared" ref="BL28" si="771">+AB28+AT28</f>
        <v>0</v>
      </c>
      <c r="BM28" s="59">
        <f t="shared" ref="BM28" si="772">+AC28+AU28</f>
        <v>0</v>
      </c>
      <c r="BN28" s="59">
        <f t="shared" ref="BN28" si="773">SUM(BB28:BD28)</f>
        <v>0</v>
      </c>
      <c r="BO28" s="59">
        <f t="shared" ref="BO28" si="774">SUM(BE28:BG28)</f>
        <v>300</v>
      </c>
      <c r="BP28" s="59">
        <f t="shared" ref="BP28" si="775">SUM(BH28:BJ28)</f>
        <v>0</v>
      </c>
      <c r="BQ28" s="59">
        <f t="shared" ref="BQ28" si="776">SUM(BK28:BM28)</f>
        <v>0</v>
      </c>
      <c r="BR28" s="59">
        <f t="shared" ref="BR28" si="777">SUM(BN28:BQ28)</f>
        <v>300</v>
      </c>
      <c r="BS28" s="59"/>
      <c r="BT28" s="59">
        <f t="shared" si="561"/>
        <v>0</v>
      </c>
      <c r="BU28" s="59">
        <f t="shared" si="561"/>
        <v>0</v>
      </c>
      <c r="BV28" s="59">
        <f t="shared" si="561"/>
        <v>0</v>
      </c>
      <c r="BW28" s="59">
        <f t="shared" si="561"/>
        <v>0</v>
      </c>
      <c r="BX28" s="59">
        <f t="shared" si="561"/>
        <v>0</v>
      </c>
      <c r="BY28" s="59">
        <f t="shared" si="561"/>
        <v>25</v>
      </c>
      <c r="BZ28" s="59">
        <f t="shared" si="561"/>
        <v>25</v>
      </c>
      <c r="CA28" s="59">
        <f t="shared" si="561"/>
        <v>25</v>
      </c>
      <c r="CB28" s="59">
        <f t="shared" si="561"/>
        <v>25</v>
      </c>
      <c r="CC28" s="59">
        <f t="shared" si="561"/>
        <v>25</v>
      </c>
      <c r="CD28" s="59">
        <f t="shared" si="561"/>
        <v>25</v>
      </c>
      <c r="CE28" s="59">
        <f t="shared" si="561"/>
        <v>25</v>
      </c>
      <c r="CF28" s="59">
        <f t="shared" ref="CF28" si="778">SUM(BT28:BV28)</f>
        <v>0</v>
      </c>
      <c r="CG28" s="59">
        <f t="shared" ref="CG28" si="779">SUM(BW28:BY28)</f>
        <v>25</v>
      </c>
      <c r="CH28" s="59">
        <f t="shared" ref="CH28" si="780">SUM(BZ28:CB28)</f>
        <v>75</v>
      </c>
      <c r="CI28" s="59">
        <f t="shared" ref="CI28" si="781">SUM(CC28:CE28)</f>
        <v>75</v>
      </c>
      <c r="CJ28" s="59">
        <f t="shared" ref="CJ28" si="782">SUM(CF28:CI28)</f>
        <v>175</v>
      </c>
      <c r="CK28" s="59"/>
      <c r="CL28" s="59">
        <f t="shared" si="567"/>
        <v>0</v>
      </c>
      <c r="CM28" s="59">
        <f t="shared" si="567"/>
        <v>0</v>
      </c>
      <c r="CN28" s="59">
        <f t="shared" si="567"/>
        <v>0</v>
      </c>
      <c r="CO28" s="59">
        <f t="shared" si="567"/>
        <v>0</v>
      </c>
      <c r="CP28" s="59">
        <f t="shared" si="567"/>
        <v>0</v>
      </c>
      <c r="CQ28" s="59">
        <f t="shared" si="567"/>
        <v>0</v>
      </c>
      <c r="CR28" s="59">
        <f t="shared" si="567"/>
        <v>0</v>
      </c>
      <c r="CS28" s="59">
        <f t="shared" si="567"/>
        <v>0</v>
      </c>
      <c r="CT28" s="59">
        <f t="shared" si="567"/>
        <v>0</v>
      </c>
      <c r="CU28" s="59">
        <f t="shared" si="567"/>
        <v>0</v>
      </c>
      <c r="CV28" s="59">
        <f t="shared" si="567"/>
        <v>0</v>
      </c>
      <c r="CW28" s="59">
        <f t="shared" si="567"/>
        <v>0</v>
      </c>
      <c r="CX28" s="59">
        <f t="shared" ref="CX28" si="783">SUM(CL28:CN28)</f>
        <v>0</v>
      </c>
      <c r="CY28" s="59">
        <f t="shared" ref="CY28" si="784">SUM(CO28:CQ28)</f>
        <v>0</v>
      </c>
      <c r="CZ28" s="59">
        <f t="shared" ref="CZ28" si="785">SUM(CR28:CT28)</f>
        <v>0</v>
      </c>
      <c r="DA28" s="59">
        <f t="shared" ref="DA28" si="786">SUM(CU28:CW28)</f>
        <v>0</v>
      </c>
      <c r="DB28" s="59">
        <f t="shared" ref="DB28" si="787">SUM(CX28:DA28)</f>
        <v>0</v>
      </c>
      <c r="DC28" s="59"/>
      <c r="DD28" s="59">
        <f t="shared" ref="DD28" si="788">+BT28+CL28</f>
        <v>0</v>
      </c>
      <c r="DE28" s="59">
        <f t="shared" ref="DE28" si="789">+BU28+CM28</f>
        <v>0</v>
      </c>
      <c r="DF28" s="59">
        <f t="shared" ref="DF28" si="790">+BV28+CN28</f>
        <v>0</v>
      </c>
      <c r="DG28" s="59">
        <f t="shared" ref="DG28" si="791">+BW28+CO28</f>
        <v>0</v>
      </c>
      <c r="DH28" s="59">
        <f t="shared" ref="DH28" si="792">+BX28+CP28</f>
        <v>0</v>
      </c>
      <c r="DI28" s="59">
        <f t="shared" ref="DI28" si="793">+BY28+CQ28</f>
        <v>25</v>
      </c>
      <c r="DJ28" s="59">
        <f t="shared" ref="DJ28" si="794">+BZ28+CR28</f>
        <v>25</v>
      </c>
      <c r="DK28" s="59">
        <f t="shared" ref="DK28" si="795">+CA28+CS28</f>
        <v>25</v>
      </c>
      <c r="DL28" s="59">
        <f t="shared" ref="DL28" si="796">+CB28+CT28</f>
        <v>25</v>
      </c>
      <c r="DM28" s="59">
        <f t="shared" ref="DM28" si="797">+CC28+CU28</f>
        <v>25</v>
      </c>
      <c r="DN28" s="59">
        <f t="shared" ref="DN28" si="798">+CD28+CV28</f>
        <v>25</v>
      </c>
      <c r="DO28" s="59">
        <f t="shared" ref="DO28" si="799">+CE28+CW28</f>
        <v>25</v>
      </c>
      <c r="DP28" s="59">
        <f t="shared" ref="DP28" si="800">SUM(DD28:DF28)</f>
        <v>0</v>
      </c>
      <c r="DQ28" s="59">
        <f t="shared" ref="DQ28" si="801">SUM(DG28:DI28)</f>
        <v>25</v>
      </c>
      <c r="DR28" s="59">
        <f t="shared" ref="DR28" si="802">SUM(DJ28:DL28)</f>
        <v>75</v>
      </c>
      <c r="DS28" s="59">
        <f t="shared" ref="DS28" si="803">SUM(DM28:DO28)</f>
        <v>75</v>
      </c>
      <c r="DT28" s="59">
        <f t="shared" ref="DT28" si="804">SUM(DP28:DS28)</f>
        <v>175</v>
      </c>
      <c r="DU28" s="59"/>
      <c r="DV28" s="70">
        <v>0</v>
      </c>
      <c r="DW28" s="70">
        <v>0</v>
      </c>
      <c r="DX28" s="70">
        <v>0</v>
      </c>
      <c r="DY28" s="70">
        <v>0</v>
      </c>
      <c r="DZ28" s="70">
        <v>0</v>
      </c>
      <c r="EA28" s="70">
        <v>0</v>
      </c>
      <c r="EB28" s="59">
        <f t="shared" si="590"/>
        <v>0</v>
      </c>
      <c r="EC28" s="59">
        <f t="shared" si="590"/>
        <v>25</v>
      </c>
      <c r="ED28" s="59">
        <f t="shared" si="590"/>
        <v>25</v>
      </c>
      <c r="EE28" s="59">
        <f t="shared" si="590"/>
        <v>25</v>
      </c>
      <c r="EF28" s="59">
        <f t="shared" si="590"/>
        <v>25</v>
      </c>
      <c r="EG28" s="59">
        <f t="shared" si="590"/>
        <v>25</v>
      </c>
      <c r="EH28" s="59">
        <f t="shared" ref="EH28" si="805">SUM(DV28:DX28)</f>
        <v>0</v>
      </c>
      <c r="EI28" s="59">
        <f t="shared" ref="EI28" si="806">SUM(DY28:EA28)</f>
        <v>0</v>
      </c>
      <c r="EJ28" s="59">
        <f t="shared" ref="EJ28" si="807">SUM(EB28:ED28)</f>
        <v>50</v>
      </c>
      <c r="EK28" s="59">
        <f t="shared" ref="EK28" si="808">SUM(EE28:EG28)</f>
        <v>75</v>
      </c>
      <c r="EL28" s="59">
        <f t="shared" ref="EL28" si="809">SUM(EH28:EK28)</f>
        <v>125</v>
      </c>
      <c r="EM28" s="59"/>
      <c r="EN28" s="70">
        <v>0</v>
      </c>
      <c r="EO28" s="70">
        <v>0</v>
      </c>
      <c r="EP28" s="70">
        <v>0</v>
      </c>
      <c r="EQ28" s="70">
        <v>0</v>
      </c>
      <c r="ER28" s="70">
        <v>0</v>
      </c>
      <c r="ES28" s="59">
        <f t="shared" si="596"/>
        <v>0</v>
      </c>
      <c r="ET28" s="59">
        <f t="shared" si="596"/>
        <v>0</v>
      </c>
      <c r="EU28" s="59">
        <f t="shared" si="596"/>
        <v>0</v>
      </c>
      <c r="EV28" s="59">
        <f t="shared" si="596"/>
        <v>0</v>
      </c>
      <c r="EW28" s="59">
        <f t="shared" si="596"/>
        <v>0</v>
      </c>
      <c r="EX28" s="59">
        <f t="shared" si="596"/>
        <v>0</v>
      </c>
      <c r="EY28" s="59">
        <f t="shared" si="596"/>
        <v>0</v>
      </c>
      <c r="EZ28" s="59">
        <f t="shared" ref="EZ28" si="810">SUM(EN28:EP28)</f>
        <v>0</v>
      </c>
      <c r="FA28" s="59">
        <f t="shared" ref="FA28" si="811">SUM(EQ28:ES28)</f>
        <v>0</v>
      </c>
      <c r="FB28" s="59">
        <f t="shared" ref="FB28" si="812">SUM(ET28:EV28)</f>
        <v>0</v>
      </c>
      <c r="FC28" s="59">
        <f t="shared" ref="FC28" si="813">SUM(EW28:EY28)</f>
        <v>0</v>
      </c>
      <c r="FD28" s="59">
        <f t="shared" ref="FD28" si="814">SUM(EZ28:FC28)</f>
        <v>0</v>
      </c>
      <c r="FE28" s="59"/>
      <c r="FF28" s="59">
        <f t="shared" ref="FF28" si="815">+DV28+EN28</f>
        <v>0</v>
      </c>
      <c r="FG28" s="59">
        <f t="shared" ref="FG28" si="816">+DW28+EO28</f>
        <v>0</v>
      </c>
      <c r="FH28" s="59">
        <f t="shared" ref="FH28" si="817">+DX28+EP28</f>
        <v>0</v>
      </c>
      <c r="FI28" s="59">
        <f t="shared" ref="FI28" si="818">+DY28+EQ28</f>
        <v>0</v>
      </c>
      <c r="FJ28" s="59">
        <f t="shared" ref="FJ28" si="819">+DZ28+ER28</f>
        <v>0</v>
      </c>
      <c r="FK28" s="59">
        <f t="shared" ref="FK28" si="820">+EA28+ES28</f>
        <v>0</v>
      </c>
      <c r="FL28" s="59">
        <f t="shared" ref="FL28" si="821">+EB28+ET28</f>
        <v>0</v>
      </c>
      <c r="FM28" s="59">
        <f t="shared" ref="FM28" si="822">+EC28+EU28</f>
        <v>25</v>
      </c>
      <c r="FN28" s="59">
        <f t="shared" ref="FN28" si="823">+ED28+EV28</f>
        <v>25</v>
      </c>
      <c r="FO28" s="59">
        <f t="shared" ref="FO28" si="824">+EE28+EW28</f>
        <v>25</v>
      </c>
      <c r="FP28" s="59">
        <f t="shared" ref="FP28" si="825">+EF28+EX28</f>
        <v>25</v>
      </c>
      <c r="FQ28" s="59">
        <f t="shared" ref="FQ28" si="826">+EG28+EY28</f>
        <v>25</v>
      </c>
      <c r="FR28" s="59">
        <f t="shared" ref="FR28" si="827">SUM(FF28:FH28)</f>
        <v>0</v>
      </c>
      <c r="FS28" s="59">
        <f t="shared" ref="FS28" si="828">SUM(FI28:FK28)</f>
        <v>0</v>
      </c>
      <c r="FT28" s="59">
        <f t="shared" ref="FT28" si="829">SUM(FL28:FN28)</f>
        <v>50</v>
      </c>
      <c r="FU28" s="59">
        <f t="shared" ref="FU28" si="830">SUM(FO28:FQ28)</f>
        <v>75</v>
      </c>
      <c r="FV28" s="59">
        <f t="shared" ref="FV28" si="831">SUM(FR28:FU28)</f>
        <v>125</v>
      </c>
      <c r="FW28" s="15"/>
    </row>
    <row r="29" spans="2:179" ht="16" x14ac:dyDescent="0.2">
      <c r="B29" s="46">
        <f t="shared" si="702"/>
        <v>8</v>
      </c>
      <c r="C29" s="71" t="s">
        <v>489</v>
      </c>
      <c r="E29" s="13">
        <v>0</v>
      </c>
      <c r="F29" s="13">
        <v>0</v>
      </c>
      <c r="G29" s="17">
        <f t="shared" si="529"/>
        <v>0</v>
      </c>
      <c r="H29" s="49" t="s">
        <v>215</v>
      </c>
      <c r="I29" s="49" t="s">
        <v>216</v>
      </c>
      <c r="J29" s="49" t="s">
        <v>262</v>
      </c>
      <c r="K29" s="54">
        <v>2</v>
      </c>
      <c r="L29" s="54">
        <v>0</v>
      </c>
      <c r="M29" s="54">
        <v>0</v>
      </c>
      <c r="N29" s="54">
        <v>1</v>
      </c>
      <c r="O29" s="48">
        <f t="shared" si="530"/>
        <v>2</v>
      </c>
      <c r="P29" s="48">
        <f t="shared" si="531"/>
        <v>2</v>
      </c>
      <c r="R29" s="59">
        <f t="shared" si="532"/>
        <v>0</v>
      </c>
      <c r="S29" s="59">
        <f t="shared" si="532"/>
        <v>0</v>
      </c>
      <c r="T29" s="59">
        <f t="shared" si="532"/>
        <v>0</v>
      </c>
      <c r="U29" s="59">
        <f t="shared" si="532"/>
        <v>0</v>
      </c>
      <c r="V29" s="59">
        <f t="shared" si="532"/>
        <v>0</v>
      </c>
      <c r="W29" s="59">
        <f t="shared" si="532"/>
        <v>0</v>
      </c>
      <c r="X29" s="59">
        <f t="shared" si="532"/>
        <v>0</v>
      </c>
      <c r="Y29" s="59">
        <f t="shared" si="532"/>
        <v>0</v>
      </c>
      <c r="Z29" s="59">
        <f t="shared" si="532"/>
        <v>0</v>
      </c>
      <c r="AA29" s="59">
        <f t="shared" si="532"/>
        <v>0</v>
      </c>
      <c r="AB29" s="59">
        <f t="shared" si="532"/>
        <v>0</v>
      </c>
      <c r="AC29" s="59">
        <f t="shared" si="532"/>
        <v>0</v>
      </c>
      <c r="AD29" s="59">
        <f t="shared" si="533"/>
        <v>0</v>
      </c>
      <c r="AE29" s="59">
        <f t="shared" si="534"/>
        <v>0</v>
      </c>
      <c r="AF29" s="59">
        <f t="shared" si="535"/>
        <v>0</v>
      </c>
      <c r="AG29" s="59">
        <f t="shared" si="536"/>
        <v>0</v>
      </c>
      <c r="AH29" s="59">
        <f t="shared" si="537"/>
        <v>0</v>
      </c>
      <c r="AI29" s="59"/>
      <c r="AJ29" s="59">
        <f t="shared" si="538"/>
        <v>0</v>
      </c>
      <c r="AK29" s="59">
        <f t="shared" si="538"/>
        <v>0</v>
      </c>
      <c r="AL29" s="59">
        <f t="shared" si="538"/>
        <v>0</v>
      </c>
      <c r="AM29" s="59">
        <f t="shared" si="538"/>
        <v>0</v>
      </c>
      <c r="AN29" s="59">
        <f t="shared" si="538"/>
        <v>0</v>
      </c>
      <c r="AO29" s="59">
        <f t="shared" si="538"/>
        <v>0</v>
      </c>
      <c r="AP29" s="59">
        <f t="shared" si="538"/>
        <v>0</v>
      </c>
      <c r="AQ29" s="59">
        <f t="shared" si="538"/>
        <v>0</v>
      </c>
      <c r="AR29" s="59">
        <f t="shared" si="538"/>
        <v>0</v>
      </c>
      <c r="AS29" s="59">
        <f t="shared" si="538"/>
        <v>0</v>
      </c>
      <c r="AT29" s="59">
        <f t="shared" si="538"/>
        <v>0</v>
      </c>
      <c r="AU29" s="59">
        <f t="shared" si="538"/>
        <v>0</v>
      </c>
      <c r="AV29" s="59">
        <f t="shared" si="539"/>
        <v>0</v>
      </c>
      <c r="AW29" s="59">
        <f t="shared" si="540"/>
        <v>0</v>
      </c>
      <c r="AX29" s="59">
        <f t="shared" si="541"/>
        <v>0</v>
      </c>
      <c r="AY29" s="59">
        <f t="shared" si="542"/>
        <v>0</v>
      </c>
      <c r="AZ29" s="59">
        <f t="shared" si="543"/>
        <v>0</v>
      </c>
      <c r="BA29" s="59"/>
      <c r="BB29" s="59">
        <f t="shared" si="544"/>
        <v>0</v>
      </c>
      <c r="BC29" s="59">
        <f t="shared" si="545"/>
        <v>0</v>
      </c>
      <c r="BD29" s="59">
        <f t="shared" si="546"/>
        <v>0</v>
      </c>
      <c r="BE29" s="59">
        <f t="shared" si="547"/>
        <v>0</v>
      </c>
      <c r="BF29" s="59">
        <f t="shared" si="548"/>
        <v>0</v>
      </c>
      <c r="BG29" s="59">
        <f t="shared" si="549"/>
        <v>0</v>
      </c>
      <c r="BH29" s="59">
        <f t="shared" si="550"/>
        <v>0</v>
      </c>
      <c r="BI29" s="59">
        <f t="shared" si="551"/>
        <v>0</v>
      </c>
      <c r="BJ29" s="59">
        <f t="shared" si="552"/>
        <v>0</v>
      </c>
      <c r="BK29" s="59">
        <f t="shared" si="553"/>
        <v>0</v>
      </c>
      <c r="BL29" s="59">
        <f t="shared" si="554"/>
        <v>0</v>
      </c>
      <c r="BM29" s="59">
        <f t="shared" si="555"/>
        <v>0</v>
      </c>
      <c r="BN29" s="59">
        <f t="shared" si="556"/>
        <v>0</v>
      </c>
      <c r="BO29" s="59">
        <f t="shared" si="557"/>
        <v>0</v>
      </c>
      <c r="BP29" s="59">
        <f t="shared" si="558"/>
        <v>0</v>
      </c>
      <c r="BQ29" s="59">
        <f t="shared" si="559"/>
        <v>0</v>
      </c>
      <c r="BR29" s="59">
        <f t="shared" si="560"/>
        <v>0</v>
      </c>
      <c r="BS29" s="59"/>
      <c r="BT29" s="59">
        <f t="shared" si="561"/>
        <v>0</v>
      </c>
      <c r="BU29" s="59">
        <f t="shared" si="561"/>
        <v>0</v>
      </c>
      <c r="BV29" s="59">
        <f t="shared" si="561"/>
        <v>0</v>
      </c>
      <c r="BW29" s="59">
        <f t="shared" si="561"/>
        <v>0</v>
      </c>
      <c r="BX29" s="59">
        <f t="shared" si="561"/>
        <v>0</v>
      </c>
      <c r="BY29" s="59">
        <f t="shared" si="561"/>
        <v>0</v>
      </c>
      <c r="BZ29" s="59">
        <f t="shared" si="561"/>
        <v>0</v>
      </c>
      <c r="CA29" s="59">
        <f t="shared" si="561"/>
        <v>0</v>
      </c>
      <c r="CB29" s="59">
        <f t="shared" si="561"/>
        <v>0</v>
      </c>
      <c r="CC29" s="59">
        <f t="shared" si="561"/>
        <v>0</v>
      </c>
      <c r="CD29" s="59">
        <f t="shared" si="561"/>
        <v>0</v>
      </c>
      <c r="CE29" s="59">
        <f t="shared" si="561"/>
        <v>0</v>
      </c>
      <c r="CF29" s="59">
        <f t="shared" si="562"/>
        <v>0</v>
      </c>
      <c r="CG29" s="59">
        <f t="shared" si="563"/>
        <v>0</v>
      </c>
      <c r="CH29" s="59">
        <f t="shared" si="564"/>
        <v>0</v>
      </c>
      <c r="CI29" s="59">
        <f t="shared" si="565"/>
        <v>0</v>
      </c>
      <c r="CJ29" s="59">
        <f t="shared" si="566"/>
        <v>0</v>
      </c>
      <c r="CK29" s="59"/>
      <c r="CL29" s="59">
        <f t="shared" si="567"/>
        <v>0</v>
      </c>
      <c r="CM29" s="59">
        <f t="shared" si="567"/>
        <v>0</v>
      </c>
      <c r="CN29" s="59">
        <f t="shared" si="567"/>
        <v>0</v>
      </c>
      <c r="CO29" s="59">
        <f t="shared" si="567"/>
        <v>0</v>
      </c>
      <c r="CP29" s="59">
        <f t="shared" si="567"/>
        <v>0</v>
      </c>
      <c r="CQ29" s="59">
        <f t="shared" si="567"/>
        <v>0</v>
      </c>
      <c r="CR29" s="59">
        <f t="shared" si="567"/>
        <v>0</v>
      </c>
      <c r="CS29" s="59">
        <f t="shared" si="567"/>
        <v>0</v>
      </c>
      <c r="CT29" s="59">
        <f t="shared" si="567"/>
        <v>0</v>
      </c>
      <c r="CU29" s="59">
        <f t="shared" si="567"/>
        <v>0</v>
      </c>
      <c r="CV29" s="59">
        <f t="shared" si="567"/>
        <v>0</v>
      </c>
      <c r="CW29" s="59">
        <f t="shared" si="567"/>
        <v>0</v>
      </c>
      <c r="CX29" s="59">
        <f t="shared" si="568"/>
        <v>0</v>
      </c>
      <c r="CY29" s="59">
        <f t="shared" si="569"/>
        <v>0</v>
      </c>
      <c r="CZ29" s="59">
        <f t="shared" si="570"/>
        <v>0</v>
      </c>
      <c r="DA29" s="59">
        <f t="shared" si="571"/>
        <v>0</v>
      </c>
      <c r="DB29" s="59">
        <f t="shared" si="572"/>
        <v>0</v>
      </c>
      <c r="DC29" s="59"/>
      <c r="DD29" s="59">
        <f t="shared" si="573"/>
        <v>0</v>
      </c>
      <c r="DE29" s="59">
        <f t="shared" si="574"/>
        <v>0</v>
      </c>
      <c r="DF29" s="59">
        <f t="shared" si="575"/>
        <v>0</v>
      </c>
      <c r="DG29" s="59">
        <f t="shared" si="576"/>
        <v>0</v>
      </c>
      <c r="DH29" s="59">
        <f t="shared" si="577"/>
        <v>0</v>
      </c>
      <c r="DI29" s="59">
        <f t="shared" si="578"/>
        <v>0</v>
      </c>
      <c r="DJ29" s="59">
        <f t="shared" si="579"/>
        <v>0</v>
      </c>
      <c r="DK29" s="59">
        <f t="shared" si="580"/>
        <v>0</v>
      </c>
      <c r="DL29" s="59">
        <f t="shared" si="581"/>
        <v>0</v>
      </c>
      <c r="DM29" s="59">
        <f t="shared" si="582"/>
        <v>0</v>
      </c>
      <c r="DN29" s="59">
        <f t="shared" si="583"/>
        <v>0</v>
      </c>
      <c r="DO29" s="59">
        <f t="shared" si="584"/>
        <v>0</v>
      </c>
      <c r="DP29" s="59">
        <f t="shared" si="585"/>
        <v>0</v>
      </c>
      <c r="DQ29" s="59">
        <f t="shared" si="586"/>
        <v>0</v>
      </c>
      <c r="DR29" s="59">
        <f t="shared" si="587"/>
        <v>0</v>
      </c>
      <c r="DS29" s="59">
        <f t="shared" si="588"/>
        <v>0</v>
      </c>
      <c r="DT29" s="59">
        <f t="shared" si="589"/>
        <v>0</v>
      </c>
      <c r="DU29" s="59"/>
      <c r="DV29" s="70">
        <v>0</v>
      </c>
      <c r="DW29" s="70">
        <v>0</v>
      </c>
      <c r="DX29" s="70">
        <v>0</v>
      </c>
      <c r="DY29" s="70">
        <v>0</v>
      </c>
      <c r="DZ29" s="70">
        <v>0</v>
      </c>
      <c r="EA29" s="70">
        <v>0</v>
      </c>
      <c r="EB29" s="59">
        <f t="shared" si="590"/>
        <v>0</v>
      </c>
      <c r="EC29" s="59">
        <f t="shared" si="590"/>
        <v>0</v>
      </c>
      <c r="ED29" s="59">
        <f t="shared" si="590"/>
        <v>0</v>
      </c>
      <c r="EE29" s="59">
        <f t="shared" si="590"/>
        <v>0</v>
      </c>
      <c r="EF29" s="59">
        <f t="shared" si="590"/>
        <v>0</v>
      </c>
      <c r="EG29" s="59">
        <f t="shared" si="590"/>
        <v>0</v>
      </c>
      <c r="EH29" s="59">
        <f t="shared" si="591"/>
        <v>0</v>
      </c>
      <c r="EI29" s="59">
        <f t="shared" si="592"/>
        <v>0</v>
      </c>
      <c r="EJ29" s="59">
        <f t="shared" si="593"/>
        <v>0</v>
      </c>
      <c r="EK29" s="59">
        <f t="shared" si="594"/>
        <v>0</v>
      </c>
      <c r="EL29" s="59">
        <f t="shared" si="595"/>
        <v>0</v>
      </c>
      <c r="EM29" s="59"/>
      <c r="EN29" s="70">
        <v>0</v>
      </c>
      <c r="EO29" s="70">
        <v>0</v>
      </c>
      <c r="EP29" s="70">
        <v>0</v>
      </c>
      <c r="EQ29" s="70">
        <v>0</v>
      </c>
      <c r="ER29" s="70">
        <v>0</v>
      </c>
      <c r="ES29" s="59">
        <f t="shared" si="596"/>
        <v>0</v>
      </c>
      <c r="ET29" s="59">
        <f t="shared" si="596"/>
        <v>0</v>
      </c>
      <c r="EU29" s="59">
        <f t="shared" si="596"/>
        <v>0</v>
      </c>
      <c r="EV29" s="59">
        <f t="shared" si="596"/>
        <v>0</v>
      </c>
      <c r="EW29" s="59">
        <f t="shared" si="596"/>
        <v>0</v>
      </c>
      <c r="EX29" s="59">
        <f t="shared" si="596"/>
        <v>0</v>
      </c>
      <c r="EY29" s="59">
        <f t="shared" si="596"/>
        <v>0</v>
      </c>
      <c r="EZ29" s="59">
        <f t="shared" si="597"/>
        <v>0</v>
      </c>
      <c r="FA29" s="59">
        <f t="shared" si="598"/>
        <v>0</v>
      </c>
      <c r="FB29" s="59">
        <f t="shared" si="599"/>
        <v>0</v>
      </c>
      <c r="FC29" s="59">
        <f t="shared" si="600"/>
        <v>0</v>
      </c>
      <c r="FD29" s="59">
        <f t="shared" si="601"/>
        <v>0</v>
      </c>
      <c r="FE29" s="59"/>
      <c r="FF29" s="59">
        <f t="shared" si="602"/>
        <v>0</v>
      </c>
      <c r="FG29" s="59">
        <f t="shared" si="603"/>
        <v>0</v>
      </c>
      <c r="FH29" s="59">
        <f t="shared" si="604"/>
        <v>0</v>
      </c>
      <c r="FI29" s="59">
        <f t="shared" si="605"/>
        <v>0</v>
      </c>
      <c r="FJ29" s="59">
        <f t="shared" si="606"/>
        <v>0</v>
      </c>
      <c r="FK29" s="59">
        <f t="shared" si="607"/>
        <v>0</v>
      </c>
      <c r="FL29" s="59">
        <f t="shared" si="608"/>
        <v>0</v>
      </c>
      <c r="FM29" s="59">
        <f t="shared" si="609"/>
        <v>0</v>
      </c>
      <c r="FN29" s="59">
        <f t="shared" si="610"/>
        <v>0</v>
      </c>
      <c r="FO29" s="59">
        <f t="shared" si="611"/>
        <v>0</v>
      </c>
      <c r="FP29" s="59">
        <f t="shared" si="612"/>
        <v>0</v>
      </c>
      <c r="FQ29" s="59">
        <f t="shared" si="613"/>
        <v>0</v>
      </c>
      <c r="FR29" s="59">
        <f t="shared" si="614"/>
        <v>0</v>
      </c>
      <c r="FS29" s="59">
        <f t="shared" si="615"/>
        <v>0</v>
      </c>
      <c r="FT29" s="59">
        <f t="shared" si="616"/>
        <v>0</v>
      </c>
      <c r="FU29" s="59">
        <f t="shared" si="617"/>
        <v>0</v>
      </c>
      <c r="FV29" s="59">
        <f t="shared" si="618"/>
        <v>0</v>
      </c>
      <c r="FW29" s="15"/>
    </row>
    <row r="30" spans="2:179" ht="16" x14ac:dyDescent="0.2">
      <c r="B30" s="46">
        <f t="shared" si="702"/>
        <v>9</v>
      </c>
      <c r="C30" s="71" t="s">
        <v>265</v>
      </c>
      <c r="E30" s="13">
        <v>0</v>
      </c>
      <c r="F30" s="13">
        <v>0</v>
      </c>
      <c r="G30" s="17">
        <f t="shared" ref="G30" si="832">+E30+F30</f>
        <v>0</v>
      </c>
      <c r="H30" s="49" t="s">
        <v>266</v>
      </c>
      <c r="I30" s="49" t="s">
        <v>219</v>
      </c>
      <c r="J30" s="49" t="s">
        <v>262</v>
      </c>
      <c r="K30" s="54">
        <v>5</v>
      </c>
      <c r="L30" s="54">
        <v>0</v>
      </c>
      <c r="M30" s="54">
        <v>4</v>
      </c>
      <c r="N30" s="54">
        <v>7</v>
      </c>
      <c r="O30" s="48">
        <f t="shared" si="530"/>
        <v>8</v>
      </c>
      <c r="P30" s="48">
        <f t="shared" ref="P30" si="833">+K30+L30</f>
        <v>5</v>
      </c>
      <c r="R30" s="59">
        <f t="shared" si="532"/>
        <v>0</v>
      </c>
      <c r="S30" s="59">
        <f t="shared" si="532"/>
        <v>0</v>
      </c>
      <c r="T30" s="59">
        <f t="shared" si="532"/>
        <v>0</v>
      </c>
      <c r="U30" s="59">
        <f t="shared" si="532"/>
        <v>0</v>
      </c>
      <c r="V30" s="59">
        <f t="shared" si="532"/>
        <v>0</v>
      </c>
      <c r="W30" s="59">
        <f t="shared" si="532"/>
        <v>0</v>
      </c>
      <c r="X30" s="59">
        <f t="shared" si="532"/>
        <v>0</v>
      </c>
      <c r="Y30" s="59">
        <f t="shared" si="532"/>
        <v>0</v>
      </c>
      <c r="Z30" s="59">
        <f t="shared" si="532"/>
        <v>0</v>
      </c>
      <c r="AA30" s="59">
        <f t="shared" si="532"/>
        <v>0</v>
      </c>
      <c r="AB30" s="59">
        <f t="shared" si="532"/>
        <v>0</v>
      </c>
      <c r="AC30" s="59">
        <f t="shared" si="532"/>
        <v>0</v>
      </c>
      <c r="AD30" s="59">
        <f t="shared" ref="AD30" si="834">SUM(R30:T30)</f>
        <v>0</v>
      </c>
      <c r="AE30" s="59">
        <f t="shared" ref="AE30" si="835">SUM(U30:W30)</f>
        <v>0</v>
      </c>
      <c r="AF30" s="59">
        <f t="shared" ref="AF30" si="836">SUM(X30:Z30)</f>
        <v>0</v>
      </c>
      <c r="AG30" s="59">
        <f t="shared" ref="AG30" si="837">SUM(AA30:AC30)</f>
        <v>0</v>
      </c>
      <c r="AH30" s="59">
        <f t="shared" ref="AH30" si="838">SUM(AD30:AG30)</f>
        <v>0</v>
      </c>
      <c r="AI30" s="59"/>
      <c r="AJ30" s="59">
        <f t="shared" si="538"/>
        <v>0</v>
      </c>
      <c r="AK30" s="59">
        <f t="shared" si="538"/>
        <v>0</v>
      </c>
      <c r="AL30" s="59">
        <f t="shared" si="538"/>
        <v>0</v>
      </c>
      <c r="AM30" s="59">
        <f t="shared" si="538"/>
        <v>0</v>
      </c>
      <c r="AN30" s="59">
        <f t="shared" si="538"/>
        <v>0</v>
      </c>
      <c r="AO30" s="59">
        <f t="shared" si="538"/>
        <v>0</v>
      </c>
      <c r="AP30" s="59">
        <f t="shared" si="538"/>
        <v>0</v>
      </c>
      <c r="AQ30" s="59">
        <f t="shared" si="538"/>
        <v>0</v>
      </c>
      <c r="AR30" s="59">
        <f t="shared" si="538"/>
        <v>0</v>
      </c>
      <c r="AS30" s="59">
        <f t="shared" si="538"/>
        <v>0</v>
      </c>
      <c r="AT30" s="59">
        <f t="shared" si="538"/>
        <v>0</v>
      </c>
      <c r="AU30" s="59">
        <f t="shared" si="538"/>
        <v>0</v>
      </c>
      <c r="AV30" s="59">
        <f t="shared" ref="AV30" si="839">SUM(AJ30:AL30)</f>
        <v>0</v>
      </c>
      <c r="AW30" s="59">
        <f t="shared" ref="AW30" si="840">SUM(AM30:AO30)</f>
        <v>0</v>
      </c>
      <c r="AX30" s="59">
        <f t="shared" ref="AX30" si="841">SUM(AP30:AR30)</f>
        <v>0</v>
      </c>
      <c r="AY30" s="59">
        <f t="shared" ref="AY30" si="842">SUM(AS30:AU30)</f>
        <v>0</v>
      </c>
      <c r="AZ30" s="59">
        <f t="shared" ref="AZ30" si="843">SUM(AV30:AY30)</f>
        <v>0</v>
      </c>
      <c r="BA30" s="59"/>
      <c r="BB30" s="59">
        <f t="shared" ref="BB30" si="844">+R30+AJ30</f>
        <v>0</v>
      </c>
      <c r="BC30" s="59">
        <f t="shared" ref="BC30" si="845">+S30+AK30</f>
        <v>0</v>
      </c>
      <c r="BD30" s="59">
        <f t="shared" ref="BD30" si="846">+T30+AL30</f>
        <v>0</v>
      </c>
      <c r="BE30" s="59">
        <f t="shared" ref="BE30" si="847">+U30+AM30</f>
        <v>0</v>
      </c>
      <c r="BF30" s="59">
        <f t="shared" ref="BF30" si="848">+V30+AN30</f>
        <v>0</v>
      </c>
      <c r="BG30" s="59">
        <f t="shared" ref="BG30" si="849">+W30+AO30</f>
        <v>0</v>
      </c>
      <c r="BH30" s="59">
        <f t="shared" ref="BH30" si="850">+X30+AP30</f>
        <v>0</v>
      </c>
      <c r="BI30" s="59">
        <f t="shared" ref="BI30" si="851">+Y30+AQ30</f>
        <v>0</v>
      </c>
      <c r="BJ30" s="59">
        <f t="shared" ref="BJ30" si="852">+Z30+AR30</f>
        <v>0</v>
      </c>
      <c r="BK30" s="59">
        <f t="shared" ref="BK30" si="853">+AA30+AS30</f>
        <v>0</v>
      </c>
      <c r="BL30" s="59">
        <f t="shared" ref="BL30" si="854">+AB30+AT30</f>
        <v>0</v>
      </c>
      <c r="BM30" s="59">
        <f t="shared" ref="BM30" si="855">+AC30+AU30</f>
        <v>0</v>
      </c>
      <c r="BN30" s="59">
        <f t="shared" ref="BN30" si="856">SUM(BB30:BD30)</f>
        <v>0</v>
      </c>
      <c r="BO30" s="59">
        <f t="shared" ref="BO30" si="857">SUM(BE30:BG30)</f>
        <v>0</v>
      </c>
      <c r="BP30" s="59">
        <f t="shared" ref="BP30" si="858">SUM(BH30:BJ30)</f>
        <v>0</v>
      </c>
      <c r="BQ30" s="59">
        <f t="shared" ref="BQ30" si="859">SUM(BK30:BM30)</f>
        <v>0</v>
      </c>
      <c r="BR30" s="59">
        <f t="shared" ref="BR30" si="860">SUM(BN30:BQ30)</f>
        <v>0</v>
      </c>
      <c r="BS30" s="59"/>
      <c r="BT30" s="59">
        <f t="shared" si="561"/>
        <v>0</v>
      </c>
      <c r="BU30" s="59">
        <f t="shared" si="561"/>
        <v>0</v>
      </c>
      <c r="BV30" s="59">
        <f t="shared" si="561"/>
        <v>0</v>
      </c>
      <c r="BW30" s="59">
        <f t="shared" si="561"/>
        <v>0</v>
      </c>
      <c r="BX30" s="59">
        <f t="shared" si="561"/>
        <v>0</v>
      </c>
      <c r="BY30" s="59">
        <f t="shared" si="561"/>
        <v>0</v>
      </c>
      <c r="BZ30" s="59">
        <f t="shared" si="561"/>
        <v>0</v>
      </c>
      <c r="CA30" s="59">
        <f t="shared" si="561"/>
        <v>0</v>
      </c>
      <c r="CB30" s="59">
        <f t="shared" si="561"/>
        <v>0</v>
      </c>
      <c r="CC30" s="59">
        <f t="shared" si="561"/>
        <v>0</v>
      </c>
      <c r="CD30" s="59">
        <f t="shared" si="561"/>
        <v>0</v>
      </c>
      <c r="CE30" s="59">
        <f t="shared" si="561"/>
        <v>0</v>
      </c>
      <c r="CF30" s="59">
        <f t="shared" ref="CF30" si="861">SUM(BT30:BV30)</f>
        <v>0</v>
      </c>
      <c r="CG30" s="59">
        <f t="shared" ref="CG30" si="862">SUM(BW30:BY30)</f>
        <v>0</v>
      </c>
      <c r="CH30" s="59">
        <f t="shared" ref="CH30" si="863">SUM(BZ30:CB30)</f>
        <v>0</v>
      </c>
      <c r="CI30" s="59">
        <f t="shared" ref="CI30" si="864">SUM(CC30:CE30)</f>
        <v>0</v>
      </c>
      <c r="CJ30" s="59">
        <f t="shared" ref="CJ30" si="865">SUM(CF30:CI30)</f>
        <v>0</v>
      </c>
      <c r="CK30" s="59"/>
      <c r="CL30" s="59">
        <f t="shared" si="567"/>
        <v>0</v>
      </c>
      <c r="CM30" s="59">
        <f t="shared" si="567"/>
        <v>0</v>
      </c>
      <c r="CN30" s="59">
        <f t="shared" si="567"/>
        <v>0</v>
      </c>
      <c r="CO30" s="59">
        <f t="shared" si="567"/>
        <v>0</v>
      </c>
      <c r="CP30" s="59">
        <f t="shared" si="567"/>
        <v>0</v>
      </c>
      <c r="CQ30" s="59">
        <f t="shared" si="567"/>
        <v>0</v>
      </c>
      <c r="CR30" s="59">
        <f t="shared" si="567"/>
        <v>0</v>
      </c>
      <c r="CS30" s="59">
        <f t="shared" si="567"/>
        <v>0</v>
      </c>
      <c r="CT30" s="59">
        <f t="shared" si="567"/>
        <v>0</v>
      </c>
      <c r="CU30" s="59">
        <f t="shared" si="567"/>
        <v>0</v>
      </c>
      <c r="CV30" s="59">
        <f t="shared" si="567"/>
        <v>0</v>
      </c>
      <c r="CW30" s="59">
        <f t="shared" si="567"/>
        <v>0</v>
      </c>
      <c r="CX30" s="59">
        <f t="shared" ref="CX30" si="866">SUM(CL30:CN30)</f>
        <v>0</v>
      </c>
      <c r="CY30" s="59">
        <f t="shared" ref="CY30" si="867">SUM(CO30:CQ30)</f>
        <v>0</v>
      </c>
      <c r="CZ30" s="59">
        <f t="shared" ref="CZ30" si="868">SUM(CR30:CT30)</f>
        <v>0</v>
      </c>
      <c r="DA30" s="59">
        <f t="shared" ref="DA30" si="869">SUM(CU30:CW30)</f>
        <v>0</v>
      </c>
      <c r="DB30" s="59">
        <f t="shared" ref="DB30" si="870">SUM(CX30:DA30)</f>
        <v>0</v>
      </c>
      <c r="DC30" s="59"/>
      <c r="DD30" s="59">
        <f t="shared" ref="DD30" si="871">+BT30+CL30</f>
        <v>0</v>
      </c>
      <c r="DE30" s="59">
        <f t="shared" ref="DE30" si="872">+BU30+CM30</f>
        <v>0</v>
      </c>
      <c r="DF30" s="59">
        <f t="shared" ref="DF30" si="873">+BV30+CN30</f>
        <v>0</v>
      </c>
      <c r="DG30" s="59">
        <f t="shared" ref="DG30" si="874">+BW30+CO30</f>
        <v>0</v>
      </c>
      <c r="DH30" s="59">
        <f t="shared" ref="DH30" si="875">+BX30+CP30</f>
        <v>0</v>
      </c>
      <c r="DI30" s="59">
        <f t="shared" ref="DI30" si="876">+BY30+CQ30</f>
        <v>0</v>
      </c>
      <c r="DJ30" s="59">
        <f t="shared" ref="DJ30" si="877">+BZ30+CR30</f>
        <v>0</v>
      </c>
      <c r="DK30" s="59">
        <f t="shared" ref="DK30" si="878">+CA30+CS30</f>
        <v>0</v>
      </c>
      <c r="DL30" s="59">
        <f t="shared" ref="DL30" si="879">+CB30+CT30</f>
        <v>0</v>
      </c>
      <c r="DM30" s="59">
        <f t="shared" ref="DM30" si="880">+CC30+CU30</f>
        <v>0</v>
      </c>
      <c r="DN30" s="59">
        <f t="shared" ref="DN30" si="881">+CD30+CV30</f>
        <v>0</v>
      </c>
      <c r="DO30" s="59">
        <f t="shared" ref="DO30" si="882">+CE30+CW30</f>
        <v>0</v>
      </c>
      <c r="DP30" s="59">
        <f t="shared" ref="DP30" si="883">SUM(DD30:DF30)</f>
        <v>0</v>
      </c>
      <c r="DQ30" s="59">
        <f t="shared" ref="DQ30" si="884">SUM(DG30:DI30)</f>
        <v>0</v>
      </c>
      <c r="DR30" s="59">
        <f t="shared" ref="DR30" si="885">SUM(DJ30:DL30)</f>
        <v>0</v>
      </c>
      <c r="DS30" s="59">
        <f t="shared" ref="DS30" si="886">SUM(DM30:DO30)</f>
        <v>0</v>
      </c>
      <c r="DT30" s="59">
        <f t="shared" ref="DT30" si="887">SUM(DP30:DS30)</f>
        <v>0</v>
      </c>
      <c r="DU30" s="59"/>
      <c r="DV30" s="70">
        <v>0</v>
      </c>
      <c r="DW30" s="70">
        <v>0</v>
      </c>
      <c r="DX30" s="70">
        <v>0</v>
      </c>
      <c r="DY30" s="70">
        <v>0</v>
      </c>
      <c r="DZ30" s="70">
        <v>0</v>
      </c>
      <c r="EA30" s="70">
        <v>0</v>
      </c>
      <c r="EB30" s="59">
        <f t="shared" si="590"/>
        <v>0</v>
      </c>
      <c r="EC30" s="59">
        <f t="shared" si="590"/>
        <v>0</v>
      </c>
      <c r="ED30" s="59">
        <f t="shared" si="590"/>
        <v>0</v>
      </c>
      <c r="EE30" s="59">
        <f t="shared" si="590"/>
        <v>0</v>
      </c>
      <c r="EF30" s="59">
        <f t="shared" si="590"/>
        <v>0</v>
      </c>
      <c r="EG30" s="59">
        <f t="shared" si="590"/>
        <v>0</v>
      </c>
      <c r="EH30" s="59">
        <f t="shared" ref="EH30" si="888">SUM(DV30:DX30)</f>
        <v>0</v>
      </c>
      <c r="EI30" s="59">
        <f t="shared" ref="EI30" si="889">SUM(DY30:EA30)</f>
        <v>0</v>
      </c>
      <c r="EJ30" s="59">
        <f t="shared" ref="EJ30" si="890">SUM(EB30:ED30)</f>
        <v>0</v>
      </c>
      <c r="EK30" s="59">
        <f t="shared" ref="EK30" si="891">SUM(EE30:EG30)</f>
        <v>0</v>
      </c>
      <c r="EL30" s="59">
        <f t="shared" ref="EL30" si="892">SUM(EH30:EK30)</f>
        <v>0</v>
      </c>
      <c r="EM30" s="59"/>
      <c r="EN30" s="70">
        <v>0</v>
      </c>
      <c r="EO30" s="70">
        <v>0</v>
      </c>
      <c r="EP30" s="70">
        <v>0</v>
      </c>
      <c r="EQ30" s="70">
        <v>0</v>
      </c>
      <c r="ER30" s="70">
        <v>0</v>
      </c>
      <c r="ES30" s="59">
        <f t="shared" si="596"/>
        <v>0</v>
      </c>
      <c r="ET30" s="59">
        <f t="shared" si="596"/>
        <v>0</v>
      </c>
      <c r="EU30" s="59">
        <f t="shared" si="596"/>
        <v>0</v>
      </c>
      <c r="EV30" s="59">
        <f t="shared" si="596"/>
        <v>0</v>
      </c>
      <c r="EW30" s="59">
        <f t="shared" si="596"/>
        <v>0</v>
      </c>
      <c r="EX30" s="59">
        <f t="shared" si="596"/>
        <v>0</v>
      </c>
      <c r="EY30" s="59">
        <f t="shared" si="596"/>
        <v>0</v>
      </c>
      <c r="EZ30" s="59">
        <f t="shared" ref="EZ30" si="893">SUM(EN30:EP30)</f>
        <v>0</v>
      </c>
      <c r="FA30" s="59">
        <f t="shared" ref="FA30" si="894">SUM(EQ30:ES30)</f>
        <v>0</v>
      </c>
      <c r="FB30" s="59">
        <f t="shared" ref="FB30" si="895">SUM(ET30:EV30)</f>
        <v>0</v>
      </c>
      <c r="FC30" s="59">
        <f t="shared" ref="FC30" si="896">SUM(EW30:EY30)</f>
        <v>0</v>
      </c>
      <c r="FD30" s="59">
        <f t="shared" ref="FD30" si="897">SUM(EZ30:FC30)</f>
        <v>0</v>
      </c>
      <c r="FE30" s="59"/>
      <c r="FF30" s="59">
        <f t="shared" ref="FF30" si="898">+DV30+EN30</f>
        <v>0</v>
      </c>
      <c r="FG30" s="59">
        <f t="shared" ref="FG30" si="899">+DW30+EO30</f>
        <v>0</v>
      </c>
      <c r="FH30" s="59">
        <f t="shared" ref="FH30" si="900">+DX30+EP30</f>
        <v>0</v>
      </c>
      <c r="FI30" s="59">
        <f t="shared" ref="FI30" si="901">+DY30+EQ30</f>
        <v>0</v>
      </c>
      <c r="FJ30" s="59">
        <f t="shared" ref="FJ30" si="902">+DZ30+ER30</f>
        <v>0</v>
      </c>
      <c r="FK30" s="59">
        <f t="shared" ref="FK30" si="903">+EA30+ES30</f>
        <v>0</v>
      </c>
      <c r="FL30" s="59">
        <f t="shared" ref="FL30" si="904">+EB30+ET30</f>
        <v>0</v>
      </c>
      <c r="FM30" s="59">
        <f t="shared" ref="FM30" si="905">+EC30+EU30</f>
        <v>0</v>
      </c>
      <c r="FN30" s="59">
        <f t="shared" ref="FN30" si="906">+ED30+EV30</f>
        <v>0</v>
      </c>
      <c r="FO30" s="59">
        <f t="shared" ref="FO30" si="907">+EE30+EW30</f>
        <v>0</v>
      </c>
      <c r="FP30" s="59">
        <f t="shared" ref="FP30" si="908">+EF30+EX30</f>
        <v>0</v>
      </c>
      <c r="FQ30" s="59">
        <f t="shared" ref="FQ30" si="909">+EG30+EY30</f>
        <v>0</v>
      </c>
      <c r="FR30" s="59">
        <f t="shared" ref="FR30" si="910">SUM(FF30:FH30)</f>
        <v>0</v>
      </c>
      <c r="FS30" s="59">
        <f t="shared" ref="FS30" si="911">SUM(FI30:FK30)</f>
        <v>0</v>
      </c>
      <c r="FT30" s="59">
        <f t="shared" ref="FT30" si="912">SUM(FL30:FN30)</f>
        <v>0</v>
      </c>
      <c r="FU30" s="59">
        <f t="shared" ref="FU30" si="913">SUM(FO30:FQ30)</f>
        <v>0</v>
      </c>
      <c r="FV30" s="59">
        <f t="shared" ref="FV30" si="914">SUM(FR30:FU30)</f>
        <v>0</v>
      </c>
      <c r="FW30" s="15"/>
    </row>
    <row r="31" spans="2:179" ht="16" x14ac:dyDescent="0.2">
      <c r="B31" s="46">
        <f t="shared" si="702"/>
        <v>10</v>
      </c>
      <c r="C31" s="14" t="s">
        <v>111</v>
      </c>
      <c r="E31" s="13">
        <v>0</v>
      </c>
      <c r="F31" s="13">
        <v>0</v>
      </c>
      <c r="G31" s="17">
        <f t="shared" si="529"/>
        <v>0</v>
      </c>
      <c r="H31" s="49" t="s">
        <v>215</v>
      </c>
      <c r="I31" s="49" t="s">
        <v>216</v>
      </c>
      <c r="J31" s="49" t="s">
        <v>262</v>
      </c>
      <c r="K31" s="54">
        <v>0</v>
      </c>
      <c r="L31" s="54">
        <v>0</v>
      </c>
      <c r="M31" s="54">
        <v>0</v>
      </c>
      <c r="N31" s="54">
        <v>0</v>
      </c>
      <c r="O31" s="48">
        <f t="shared" si="530"/>
        <v>1</v>
      </c>
      <c r="P31" s="48">
        <f t="shared" si="531"/>
        <v>0</v>
      </c>
      <c r="R31" s="59">
        <f t="shared" si="532"/>
        <v>0</v>
      </c>
      <c r="S31" s="59">
        <f t="shared" si="532"/>
        <v>0</v>
      </c>
      <c r="T31" s="59">
        <f t="shared" si="532"/>
        <v>0</v>
      </c>
      <c r="U31" s="59">
        <f t="shared" si="532"/>
        <v>0</v>
      </c>
      <c r="V31" s="59">
        <f t="shared" si="532"/>
        <v>0</v>
      </c>
      <c r="W31" s="59">
        <f t="shared" si="532"/>
        <v>0</v>
      </c>
      <c r="X31" s="59">
        <f t="shared" si="532"/>
        <v>0</v>
      </c>
      <c r="Y31" s="59">
        <f t="shared" si="532"/>
        <v>0</v>
      </c>
      <c r="Z31" s="59">
        <f t="shared" si="532"/>
        <v>0</v>
      </c>
      <c r="AA31" s="59">
        <f t="shared" si="532"/>
        <v>0</v>
      </c>
      <c r="AB31" s="59">
        <f t="shared" si="532"/>
        <v>0</v>
      </c>
      <c r="AC31" s="59">
        <f t="shared" si="532"/>
        <v>0</v>
      </c>
      <c r="AD31" s="59">
        <f t="shared" si="533"/>
        <v>0</v>
      </c>
      <c r="AE31" s="59">
        <f t="shared" si="534"/>
        <v>0</v>
      </c>
      <c r="AF31" s="59">
        <f t="shared" si="535"/>
        <v>0</v>
      </c>
      <c r="AG31" s="59">
        <f t="shared" si="536"/>
        <v>0</v>
      </c>
      <c r="AH31" s="59">
        <f t="shared" si="537"/>
        <v>0</v>
      </c>
      <c r="AI31" s="59"/>
      <c r="AJ31" s="59">
        <f t="shared" si="538"/>
        <v>0</v>
      </c>
      <c r="AK31" s="59">
        <f t="shared" si="538"/>
        <v>0</v>
      </c>
      <c r="AL31" s="59">
        <f t="shared" si="538"/>
        <v>0</v>
      </c>
      <c r="AM31" s="59">
        <f t="shared" si="538"/>
        <v>0</v>
      </c>
      <c r="AN31" s="59">
        <f t="shared" si="538"/>
        <v>0</v>
      </c>
      <c r="AO31" s="59">
        <f t="shared" si="538"/>
        <v>0</v>
      </c>
      <c r="AP31" s="59">
        <f t="shared" si="538"/>
        <v>0</v>
      </c>
      <c r="AQ31" s="59">
        <f t="shared" si="538"/>
        <v>0</v>
      </c>
      <c r="AR31" s="59">
        <f t="shared" si="538"/>
        <v>0</v>
      </c>
      <c r="AS31" s="59">
        <f t="shared" si="538"/>
        <v>0</v>
      </c>
      <c r="AT31" s="59">
        <f t="shared" si="538"/>
        <v>0</v>
      </c>
      <c r="AU31" s="59">
        <f t="shared" si="538"/>
        <v>0</v>
      </c>
      <c r="AV31" s="59">
        <f t="shared" si="539"/>
        <v>0</v>
      </c>
      <c r="AW31" s="59">
        <f t="shared" si="540"/>
        <v>0</v>
      </c>
      <c r="AX31" s="59">
        <f t="shared" si="541"/>
        <v>0</v>
      </c>
      <c r="AY31" s="59">
        <f t="shared" si="542"/>
        <v>0</v>
      </c>
      <c r="AZ31" s="59">
        <f t="shared" si="543"/>
        <v>0</v>
      </c>
      <c r="BA31" s="59"/>
      <c r="BB31" s="59">
        <f t="shared" si="544"/>
        <v>0</v>
      </c>
      <c r="BC31" s="59">
        <f t="shared" si="545"/>
        <v>0</v>
      </c>
      <c r="BD31" s="59">
        <f t="shared" si="546"/>
        <v>0</v>
      </c>
      <c r="BE31" s="59">
        <f t="shared" si="547"/>
        <v>0</v>
      </c>
      <c r="BF31" s="59">
        <f t="shared" si="548"/>
        <v>0</v>
      </c>
      <c r="BG31" s="59">
        <f t="shared" si="549"/>
        <v>0</v>
      </c>
      <c r="BH31" s="59">
        <f t="shared" si="550"/>
        <v>0</v>
      </c>
      <c r="BI31" s="59">
        <f t="shared" si="551"/>
        <v>0</v>
      </c>
      <c r="BJ31" s="59">
        <f t="shared" si="552"/>
        <v>0</v>
      </c>
      <c r="BK31" s="59">
        <f t="shared" si="553"/>
        <v>0</v>
      </c>
      <c r="BL31" s="59">
        <f t="shared" si="554"/>
        <v>0</v>
      </c>
      <c r="BM31" s="59">
        <f t="shared" si="555"/>
        <v>0</v>
      </c>
      <c r="BN31" s="59">
        <f t="shared" si="556"/>
        <v>0</v>
      </c>
      <c r="BO31" s="59">
        <f t="shared" si="557"/>
        <v>0</v>
      </c>
      <c r="BP31" s="59">
        <f t="shared" si="558"/>
        <v>0</v>
      </c>
      <c r="BQ31" s="59">
        <f t="shared" si="559"/>
        <v>0</v>
      </c>
      <c r="BR31" s="59">
        <f t="shared" si="560"/>
        <v>0</v>
      </c>
      <c r="BS31" s="59"/>
      <c r="BT31" s="59">
        <f t="shared" si="561"/>
        <v>0</v>
      </c>
      <c r="BU31" s="59">
        <f t="shared" si="561"/>
        <v>0</v>
      </c>
      <c r="BV31" s="59">
        <f t="shared" si="561"/>
        <v>0</v>
      </c>
      <c r="BW31" s="59">
        <f t="shared" si="561"/>
        <v>0</v>
      </c>
      <c r="BX31" s="59">
        <f t="shared" si="561"/>
        <v>0</v>
      </c>
      <c r="BY31" s="59">
        <f t="shared" si="561"/>
        <v>0</v>
      </c>
      <c r="BZ31" s="59">
        <f t="shared" si="561"/>
        <v>0</v>
      </c>
      <c r="CA31" s="59">
        <f t="shared" si="561"/>
        <v>0</v>
      </c>
      <c r="CB31" s="59">
        <f t="shared" si="561"/>
        <v>0</v>
      </c>
      <c r="CC31" s="59">
        <f t="shared" si="561"/>
        <v>0</v>
      </c>
      <c r="CD31" s="59">
        <f t="shared" si="561"/>
        <v>0</v>
      </c>
      <c r="CE31" s="59">
        <f t="shared" si="561"/>
        <v>0</v>
      </c>
      <c r="CF31" s="59">
        <f t="shared" si="562"/>
        <v>0</v>
      </c>
      <c r="CG31" s="59">
        <f t="shared" si="563"/>
        <v>0</v>
      </c>
      <c r="CH31" s="59">
        <f t="shared" si="564"/>
        <v>0</v>
      </c>
      <c r="CI31" s="59">
        <f t="shared" si="565"/>
        <v>0</v>
      </c>
      <c r="CJ31" s="59">
        <f t="shared" si="566"/>
        <v>0</v>
      </c>
      <c r="CK31" s="59"/>
      <c r="CL31" s="59">
        <f t="shared" si="567"/>
        <v>0</v>
      </c>
      <c r="CM31" s="59">
        <f t="shared" si="567"/>
        <v>0</v>
      </c>
      <c r="CN31" s="59">
        <f t="shared" si="567"/>
        <v>0</v>
      </c>
      <c r="CO31" s="59">
        <f t="shared" si="567"/>
        <v>0</v>
      </c>
      <c r="CP31" s="59">
        <f t="shared" si="567"/>
        <v>0</v>
      </c>
      <c r="CQ31" s="59">
        <f t="shared" si="567"/>
        <v>0</v>
      </c>
      <c r="CR31" s="59">
        <f t="shared" si="567"/>
        <v>0</v>
      </c>
      <c r="CS31" s="59">
        <f t="shared" si="567"/>
        <v>0</v>
      </c>
      <c r="CT31" s="59">
        <f t="shared" si="567"/>
        <v>0</v>
      </c>
      <c r="CU31" s="59">
        <f t="shared" si="567"/>
        <v>0</v>
      </c>
      <c r="CV31" s="59">
        <f t="shared" si="567"/>
        <v>0</v>
      </c>
      <c r="CW31" s="59">
        <f t="shared" si="567"/>
        <v>0</v>
      </c>
      <c r="CX31" s="59">
        <f t="shared" si="568"/>
        <v>0</v>
      </c>
      <c r="CY31" s="59">
        <f t="shared" si="569"/>
        <v>0</v>
      </c>
      <c r="CZ31" s="59">
        <f t="shared" si="570"/>
        <v>0</v>
      </c>
      <c r="DA31" s="59">
        <f t="shared" si="571"/>
        <v>0</v>
      </c>
      <c r="DB31" s="59">
        <f t="shared" si="572"/>
        <v>0</v>
      </c>
      <c r="DC31" s="59"/>
      <c r="DD31" s="59">
        <f t="shared" si="573"/>
        <v>0</v>
      </c>
      <c r="DE31" s="59">
        <f t="shared" si="574"/>
        <v>0</v>
      </c>
      <c r="DF31" s="59">
        <f t="shared" si="575"/>
        <v>0</v>
      </c>
      <c r="DG31" s="59">
        <f t="shared" si="576"/>
        <v>0</v>
      </c>
      <c r="DH31" s="59">
        <f t="shared" si="577"/>
        <v>0</v>
      </c>
      <c r="DI31" s="59">
        <f t="shared" si="578"/>
        <v>0</v>
      </c>
      <c r="DJ31" s="59">
        <f t="shared" si="579"/>
        <v>0</v>
      </c>
      <c r="DK31" s="59">
        <f t="shared" si="580"/>
        <v>0</v>
      </c>
      <c r="DL31" s="59">
        <f t="shared" si="581"/>
        <v>0</v>
      </c>
      <c r="DM31" s="59">
        <f t="shared" si="582"/>
        <v>0</v>
      </c>
      <c r="DN31" s="59">
        <f t="shared" si="583"/>
        <v>0</v>
      </c>
      <c r="DO31" s="59">
        <f t="shared" si="584"/>
        <v>0</v>
      </c>
      <c r="DP31" s="59">
        <f t="shared" si="585"/>
        <v>0</v>
      </c>
      <c r="DQ31" s="59">
        <f t="shared" si="586"/>
        <v>0</v>
      </c>
      <c r="DR31" s="59">
        <f t="shared" si="587"/>
        <v>0</v>
      </c>
      <c r="DS31" s="59">
        <f t="shared" si="588"/>
        <v>0</v>
      </c>
      <c r="DT31" s="59">
        <f t="shared" si="589"/>
        <v>0</v>
      </c>
      <c r="DU31" s="59"/>
      <c r="DV31" s="70">
        <v>28.83</v>
      </c>
      <c r="DW31" s="70">
        <v>22.32</v>
      </c>
      <c r="DX31" s="70">
        <v>24.8</v>
      </c>
      <c r="DY31" s="70">
        <v>19.84</v>
      </c>
      <c r="DZ31" s="70">
        <v>0</v>
      </c>
      <c r="EA31" s="70">
        <v>0</v>
      </c>
      <c r="EB31" s="59">
        <f t="shared" si="590"/>
        <v>0</v>
      </c>
      <c r="EC31" s="59">
        <f t="shared" si="590"/>
        <v>0</v>
      </c>
      <c r="ED31" s="59">
        <f t="shared" si="590"/>
        <v>0</v>
      </c>
      <c r="EE31" s="59">
        <f t="shared" si="590"/>
        <v>0</v>
      </c>
      <c r="EF31" s="59">
        <f t="shared" si="590"/>
        <v>0</v>
      </c>
      <c r="EG31" s="59">
        <f t="shared" si="590"/>
        <v>0</v>
      </c>
      <c r="EH31" s="59">
        <f t="shared" si="591"/>
        <v>75.95</v>
      </c>
      <c r="EI31" s="59">
        <f t="shared" si="592"/>
        <v>19.84</v>
      </c>
      <c r="EJ31" s="59">
        <f t="shared" si="593"/>
        <v>0</v>
      </c>
      <c r="EK31" s="59">
        <f t="shared" si="594"/>
        <v>0</v>
      </c>
      <c r="EL31" s="59">
        <f t="shared" si="595"/>
        <v>95.79</v>
      </c>
      <c r="EM31" s="59"/>
      <c r="EN31" s="70">
        <v>0</v>
      </c>
      <c r="EO31" s="70">
        <v>0</v>
      </c>
      <c r="EP31" s="70">
        <v>0</v>
      </c>
      <c r="EQ31" s="70">
        <v>0</v>
      </c>
      <c r="ER31" s="70">
        <v>0</v>
      </c>
      <c r="ES31" s="59">
        <f t="shared" si="596"/>
        <v>0</v>
      </c>
      <c r="ET31" s="59">
        <f t="shared" si="596"/>
        <v>0</v>
      </c>
      <c r="EU31" s="59">
        <f t="shared" si="596"/>
        <v>0</v>
      </c>
      <c r="EV31" s="59">
        <f t="shared" si="596"/>
        <v>0</v>
      </c>
      <c r="EW31" s="59">
        <f t="shared" si="596"/>
        <v>0</v>
      </c>
      <c r="EX31" s="59">
        <f t="shared" si="596"/>
        <v>0</v>
      </c>
      <c r="EY31" s="59">
        <f t="shared" si="596"/>
        <v>0</v>
      </c>
      <c r="EZ31" s="59">
        <f t="shared" si="597"/>
        <v>0</v>
      </c>
      <c r="FA31" s="59">
        <f t="shared" si="598"/>
        <v>0</v>
      </c>
      <c r="FB31" s="59">
        <f t="shared" si="599"/>
        <v>0</v>
      </c>
      <c r="FC31" s="59">
        <f t="shared" si="600"/>
        <v>0</v>
      </c>
      <c r="FD31" s="59">
        <f t="shared" si="601"/>
        <v>0</v>
      </c>
      <c r="FE31" s="59"/>
      <c r="FF31" s="59">
        <f t="shared" si="602"/>
        <v>28.83</v>
      </c>
      <c r="FG31" s="59">
        <f t="shared" si="603"/>
        <v>22.32</v>
      </c>
      <c r="FH31" s="59">
        <f t="shared" si="604"/>
        <v>24.8</v>
      </c>
      <c r="FI31" s="59">
        <f t="shared" si="605"/>
        <v>19.84</v>
      </c>
      <c r="FJ31" s="59">
        <f t="shared" si="606"/>
        <v>0</v>
      </c>
      <c r="FK31" s="59">
        <f t="shared" si="607"/>
        <v>0</v>
      </c>
      <c r="FL31" s="59">
        <f t="shared" si="608"/>
        <v>0</v>
      </c>
      <c r="FM31" s="59">
        <f t="shared" si="609"/>
        <v>0</v>
      </c>
      <c r="FN31" s="59">
        <f t="shared" si="610"/>
        <v>0</v>
      </c>
      <c r="FO31" s="59">
        <f t="shared" si="611"/>
        <v>0</v>
      </c>
      <c r="FP31" s="59">
        <f t="shared" si="612"/>
        <v>0</v>
      </c>
      <c r="FQ31" s="59">
        <f t="shared" si="613"/>
        <v>0</v>
      </c>
      <c r="FR31" s="59">
        <f t="shared" si="614"/>
        <v>75.95</v>
      </c>
      <c r="FS31" s="59">
        <f t="shared" si="615"/>
        <v>19.84</v>
      </c>
      <c r="FT31" s="59">
        <f t="shared" si="616"/>
        <v>0</v>
      </c>
      <c r="FU31" s="59">
        <f t="shared" si="617"/>
        <v>0</v>
      </c>
      <c r="FV31" s="59">
        <f t="shared" si="618"/>
        <v>95.79</v>
      </c>
      <c r="FW31" s="15"/>
    </row>
    <row r="32" spans="2:179" ht="16" x14ac:dyDescent="0.2">
      <c r="B32" s="46">
        <f t="shared" si="702"/>
        <v>11</v>
      </c>
      <c r="C32" s="71" t="s">
        <v>490</v>
      </c>
      <c r="E32" s="13">
        <v>0</v>
      </c>
      <c r="F32" s="13">
        <v>0</v>
      </c>
      <c r="G32" s="17">
        <f t="shared" si="529"/>
        <v>0</v>
      </c>
      <c r="H32" s="49" t="s">
        <v>266</v>
      </c>
      <c r="I32" s="49" t="s">
        <v>219</v>
      </c>
      <c r="J32" s="49" t="s">
        <v>262</v>
      </c>
      <c r="K32" s="54">
        <v>7</v>
      </c>
      <c r="L32" s="54">
        <v>0</v>
      </c>
      <c r="M32" s="54">
        <v>2</v>
      </c>
      <c r="N32" s="54">
        <v>6</v>
      </c>
      <c r="O32" s="48">
        <f t="shared" si="530"/>
        <v>7</v>
      </c>
      <c r="P32" s="48">
        <f t="shared" si="531"/>
        <v>7</v>
      </c>
      <c r="R32" s="59">
        <f t="shared" si="532"/>
        <v>0</v>
      </c>
      <c r="S32" s="59">
        <f t="shared" si="532"/>
        <v>0</v>
      </c>
      <c r="T32" s="59">
        <f t="shared" si="532"/>
        <v>0</v>
      </c>
      <c r="U32" s="59">
        <f t="shared" si="532"/>
        <v>0</v>
      </c>
      <c r="V32" s="59">
        <f t="shared" si="532"/>
        <v>0</v>
      </c>
      <c r="W32" s="59">
        <f t="shared" si="532"/>
        <v>0</v>
      </c>
      <c r="X32" s="59">
        <f t="shared" si="532"/>
        <v>0</v>
      </c>
      <c r="Y32" s="59">
        <f t="shared" si="532"/>
        <v>0</v>
      </c>
      <c r="Z32" s="59">
        <f t="shared" si="532"/>
        <v>0</v>
      </c>
      <c r="AA32" s="59">
        <f t="shared" si="532"/>
        <v>0</v>
      </c>
      <c r="AB32" s="59">
        <f t="shared" si="532"/>
        <v>0</v>
      </c>
      <c r="AC32" s="59">
        <f t="shared" si="532"/>
        <v>0</v>
      </c>
      <c r="AD32" s="59">
        <f t="shared" si="533"/>
        <v>0</v>
      </c>
      <c r="AE32" s="59">
        <f t="shared" si="534"/>
        <v>0</v>
      </c>
      <c r="AF32" s="59">
        <f t="shared" si="535"/>
        <v>0</v>
      </c>
      <c r="AG32" s="59">
        <f t="shared" si="536"/>
        <v>0</v>
      </c>
      <c r="AH32" s="59">
        <f t="shared" si="537"/>
        <v>0</v>
      </c>
      <c r="AI32" s="59"/>
      <c r="AJ32" s="59">
        <f t="shared" si="538"/>
        <v>0</v>
      </c>
      <c r="AK32" s="59">
        <f t="shared" si="538"/>
        <v>0</v>
      </c>
      <c r="AL32" s="59">
        <f t="shared" si="538"/>
        <v>0</v>
      </c>
      <c r="AM32" s="59">
        <f t="shared" si="538"/>
        <v>0</v>
      </c>
      <c r="AN32" s="59">
        <f t="shared" si="538"/>
        <v>0</v>
      </c>
      <c r="AO32" s="59">
        <f t="shared" si="538"/>
        <v>0</v>
      </c>
      <c r="AP32" s="59">
        <f t="shared" si="538"/>
        <v>0</v>
      </c>
      <c r="AQ32" s="59">
        <f t="shared" si="538"/>
        <v>0</v>
      </c>
      <c r="AR32" s="59">
        <f t="shared" si="538"/>
        <v>0</v>
      </c>
      <c r="AS32" s="59">
        <f t="shared" si="538"/>
        <v>0</v>
      </c>
      <c r="AT32" s="59">
        <f t="shared" si="538"/>
        <v>0</v>
      </c>
      <c r="AU32" s="59">
        <f t="shared" si="538"/>
        <v>0</v>
      </c>
      <c r="AV32" s="59">
        <f t="shared" si="539"/>
        <v>0</v>
      </c>
      <c r="AW32" s="59">
        <f t="shared" si="540"/>
        <v>0</v>
      </c>
      <c r="AX32" s="59">
        <f t="shared" si="541"/>
        <v>0</v>
      </c>
      <c r="AY32" s="59">
        <f t="shared" si="542"/>
        <v>0</v>
      </c>
      <c r="AZ32" s="59">
        <f t="shared" si="543"/>
        <v>0</v>
      </c>
      <c r="BA32" s="59"/>
      <c r="BB32" s="59">
        <f t="shared" si="544"/>
        <v>0</v>
      </c>
      <c r="BC32" s="59">
        <f t="shared" si="545"/>
        <v>0</v>
      </c>
      <c r="BD32" s="59">
        <f t="shared" si="546"/>
        <v>0</v>
      </c>
      <c r="BE32" s="59">
        <f t="shared" si="547"/>
        <v>0</v>
      </c>
      <c r="BF32" s="59">
        <f t="shared" si="548"/>
        <v>0</v>
      </c>
      <c r="BG32" s="59">
        <f t="shared" si="549"/>
        <v>0</v>
      </c>
      <c r="BH32" s="59">
        <f t="shared" si="550"/>
        <v>0</v>
      </c>
      <c r="BI32" s="59">
        <f t="shared" si="551"/>
        <v>0</v>
      </c>
      <c r="BJ32" s="59">
        <f t="shared" si="552"/>
        <v>0</v>
      </c>
      <c r="BK32" s="59">
        <f t="shared" si="553"/>
        <v>0</v>
      </c>
      <c r="BL32" s="59">
        <f t="shared" si="554"/>
        <v>0</v>
      </c>
      <c r="BM32" s="59">
        <f t="shared" si="555"/>
        <v>0</v>
      </c>
      <c r="BN32" s="59">
        <f t="shared" si="556"/>
        <v>0</v>
      </c>
      <c r="BO32" s="59">
        <f t="shared" si="557"/>
        <v>0</v>
      </c>
      <c r="BP32" s="59">
        <f t="shared" si="558"/>
        <v>0</v>
      </c>
      <c r="BQ32" s="59">
        <f t="shared" si="559"/>
        <v>0</v>
      </c>
      <c r="BR32" s="59">
        <f t="shared" si="560"/>
        <v>0</v>
      </c>
      <c r="BS32" s="59"/>
      <c r="BT32" s="59">
        <f t="shared" si="561"/>
        <v>0</v>
      </c>
      <c r="BU32" s="59">
        <f t="shared" si="561"/>
        <v>0</v>
      </c>
      <c r="BV32" s="59">
        <f t="shared" si="561"/>
        <v>0</v>
      </c>
      <c r="BW32" s="59">
        <f t="shared" si="561"/>
        <v>0</v>
      </c>
      <c r="BX32" s="59">
        <f t="shared" si="561"/>
        <v>0</v>
      </c>
      <c r="BY32" s="59">
        <f t="shared" si="561"/>
        <v>0</v>
      </c>
      <c r="BZ32" s="59">
        <f t="shared" si="561"/>
        <v>0</v>
      </c>
      <c r="CA32" s="59">
        <f t="shared" si="561"/>
        <v>0</v>
      </c>
      <c r="CB32" s="59">
        <f t="shared" si="561"/>
        <v>0</v>
      </c>
      <c r="CC32" s="59">
        <f t="shared" si="561"/>
        <v>0</v>
      </c>
      <c r="CD32" s="59">
        <f t="shared" si="561"/>
        <v>0</v>
      </c>
      <c r="CE32" s="59">
        <f t="shared" si="561"/>
        <v>0</v>
      </c>
      <c r="CF32" s="59">
        <f t="shared" si="562"/>
        <v>0</v>
      </c>
      <c r="CG32" s="59">
        <f t="shared" si="563"/>
        <v>0</v>
      </c>
      <c r="CH32" s="59">
        <f t="shared" si="564"/>
        <v>0</v>
      </c>
      <c r="CI32" s="59">
        <f t="shared" si="565"/>
        <v>0</v>
      </c>
      <c r="CJ32" s="59">
        <f t="shared" si="566"/>
        <v>0</v>
      </c>
      <c r="CK32" s="59"/>
      <c r="CL32" s="59">
        <f t="shared" si="567"/>
        <v>0</v>
      </c>
      <c r="CM32" s="59">
        <f t="shared" si="567"/>
        <v>0</v>
      </c>
      <c r="CN32" s="59">
        <f t="shared" si="567"/>
        <v>0</v>
      </c>
      <c r="CO32" s="59">
        <f t="shared" si="567"/>
        <v>0</v>
      </c>
      <c r="CP32" s="59">
        <f t="shared" si="567"/>
        <v>0</v>
      </c>
      <c r="CQ32" s="59">
        <f t="shared" si="567"/>
        <v>0</v>
      </c>
      <c r="CR32" s="59">
        <f t="shared" si="567"/>
        <v>0</v>
      </c>
      <c r="CS32" s="59">
        <f t="shared" si="567"/>
        <v>0</v>
      </c>
      <c r="CT32" s="59">
        <f t="shared" si="567"/>
        <v>0</v>
      </c>
      <c r="CU32" s="59">
        <f t="shared" si="567"/>
        <v>0</v>
      </c>
      <c r="CV32" s="59">
        <f t="shared" si="567"/>
        <v>0</v>
      </c>
      <c r="CW32" s="59">
        <f t="shared" si="567"/>
        <v>0</v>
      </c>
      <c r="CX32" s="59">
        <f t="shared" si="568"/>
        <v>0</v>
      </c>
      <c r="CY32" s="59">
        <f t="shared" si="569"/>
        <v>0</v>
      </c>
      <c r="CZ32" s="59">
        <f t="shared" si="570"/>
        <v>0</v>
      </c>
      <c r="DA32" s="59">
        <f t="shared" si="571"/>
        <v>0</v>
      </c>
      <c r="DB32" s="59">
        <f t="shared" si="572"/>
        <v>0</v>
      </c>
      <c r="DC32" s="59"/>
      <c r="DD32" s="59">
        <f t="shared" si="573"/>
        <v>0</v>
      </c>
      <c r="DE32" s="59">
        <f t="shared" si="574"/>
        <v>0</v>
      </c>
      <c r="DF32" s="59">
        <f t="shared" si="575"/>
        <v>0</v>
      </c>
      <c r="DG32" s="59">
        <f t="shared" si="576"/>
        <v>0</v>
      </c>
      <c r="DH32" s="59">
        <f t="shared" si="577"/>
        <v>0</v>
      </c>
      <c r="DI32" s="59">
        <f t="shared" si="578"/>
        <v>0</v>
      </c>
      <c r="DJ32" s="59">
        <f t="shared" si="579"/>
        <v>0</v>
      </c>
      <c r="DK32" s="59">
        <f t="shared" si="580"/>
        <v>0</v>
      </c>
      <c r="DL32" s="59">
        <f t="shared" si="581"/>
        <v>0</v>
      </c>
      <c r="DM32" s="59">
        <f t="shared" si="582"/>
        <v>0</v>
      </c>
      <c r="DN32" s="59">
        <f t="shared" si="583"/>
        <v>0</v>
      </c>
      <c r="DO32" s="59">
        <f t="shared" si="584"/>
        <v>0</v>
      </c>
      <c r="DP32" s="59">
        <f t="shared" si="585"/>
        <v>0</v>
      </c>
      <c r="DQ32" s="59">
        <f t="shared" si="586"/>
        <v>0</v>
      </c>
      <c r="DR32" s="59">
        <f t="shared" si="587"/>
        <v>0</v>
      </c>
      <c r="DS32" s="59">
        <f t="shared" si="588"/>
        <v>0</v>
      </c>
      <c r="DT32" s="59">
        <f t="shared" si="589"/>
        <v>0</v>
      </c>
      <c r="DU32" s="59"/>
      <c r="DV32" s="70">
        <v>0</v>
      </c>
      <c r="DW32" s="70">
        <v>0</v>
      </c>
      <c r="DX32" s="70">
        <v>0</v>
      </c>
      <c r="DY32" s="70">
        <v>0</v>
      </c>
      <c r="DZ32" s="70">
        <v>0</v>
      </c>
      <c r="EA32" s="70">
        <v>0</v>
      </c>
      <c r="EB32" s="59">
        <f t="shared" si="590"/>
        <v>0</v>
      </c>
      <c r="EC32" s="59">
        <f t="shared" si="590"/>
        <v>0</v>
      </c>
      <c r="ED32" s="59">
        <f t="shared" si="590"/>
        <v>0</v>
      </c>
      <c r="EE32" s="59">
        <f t="shared" si="590"/>
        <v>0</v>
      </c>
      <c r="EF32" s="59">
        <f t="shared" si="590"/>
        <v>0</v>
      </c>
      <c r="EG32" s="59">
        <f t="shared" si="590"/>
        <v>0</v>
      </c>
      <c r="EH32" s="59">
        <f t="shared" si="591"/>
        <v>0</v>
      </c>
      <c r="EI32" s="59">
        <f t="shared" si="592"/>
        <v>0</v>
      </c>
      <c r="EJ32" s="59">
        <f t="shared" si="593"/>
        <v>0</v>
      </c>
      <c r="EK32" s="59">
        <f t="shared" si="594"/>
        <v>0</v>
      </c>
      <c r="EL32" s="59">
        <f t="shared" si="595"/>
        <v>0</v>
      </c>
      <c r="EM32" s="59"/>
      <c r="EN32" s="70">
        <v>0</v>
      </c>
      <c r="EO32" s="70">
        <v>0</v>
      </c>
      <c r="EP32" s="70">
        <v>0</v>
      </c>
      <c r="EQ32" s="70">
        <v>0</v>
      </c>
      <c r="ER32" s="70">
        <v>0</v>
      </c>
      <c r="ES32" s="59">
        <f t="shared" si="596"/>
        <v>0</v>
      </c>
      <c r="ET32" s="59">
        <f t="shared" si="596"/>
        <v>0</v>
      </c>
      <c r="EU32" s="59">
        <f t="shared" si="596"/>
        <v>0</v>
      </c>
      <c r="EV32" s="59">
        <f t="shared" si="596"/>
        <v>0</v>
      </c>
      <c r="EW32" s="59">
        <f t="shared" si="596"/>
        <v>0</v>
      </c>
      <c r="EX32" s="59">
        <f t="shared" si="596"/>
        <v>0</v>
      </c>
      <c r="EY32" s="59">
        <f t="shared" si="596"/>
        <v>0</v>
      </c>
      <c r="EZ32" s="59">
        <f t="shared" si="597"/>
        <v>0</v>
      </c>
      <c r="FA32" s="59">
        <f t="shared" si="598"/>
        <v>0</v>
      </c>
      <c r="FB32" s="59">
        <f t="shared" si="599"/>
        <v>0</v>
      </c>
      <c r="FC32" s="59">
        <f t="shared" si="600"/>
        <v>0</v>
      </c>
      <c r="FD32" s="59">
        <f t="shared" si="601"/>
        <v>0</v>
      </c>
      <c r="FE32" s="59"/>
      <c r="FF32" s="59">
        <f t="shared" si="602"/>
        <v>0</v>
      </c>
      <c r="FG32" s="59">
        <f t="shared" si="603"/>
        <v>0</v>
      </c>
      <c r="FH32" s="59">
        <f t="shared" si="604"/>
        <v>0</v>
      </c>
      <c r="FI32" s="59">
        <f t="shared" si="605"/>
        <v>0</v>
      </c>
      <c r="FJ32" s="59">
        <f t="shared" si="606"/>
        <v>0</v>
      </c>
      <c r="FK32" s="59">
        <f t="shared" si="607"/>
        <v>0</v>
      </c>
      <c r="FL32" s="59">
        <f t="shared" si="608"/>
        <v>0</v>
      </c>
      <c r="FM32" s="59">
        <f t="shared" si="609"/>
        <v>0</v>
      </c>
      <c r="FN32" s="59">
        <f t="shared" si="610"/>
        <v>0</v>
      </c>
      <c r="FO32" s="59">
        <f t="shared" si="611"/>
        <v>0</v>
      </c>
      <c r="FP32" s="59">
        <f t="shared" si="612"/>
        <v>0</v>
      </c>
      <c r="FQ32" s="59">
        <f t="shared" si="613"/>
        <v>0</v>
      </c>
      <c r="FR32" s="59">
        <f t="shared" si="614"/>
        <v>0</v>
      </c>
      <c r="FS32" s="59">
        <f t="shared" si="615"/>
        <v>0</v>
      </c>
      <c r="FT32" s="59">
        <f t="shared" si="616"/>
        <v>0</v>
      </c>
      <c r="FU32" s="59">
        <f t="shared" si="617"/>
        <v>0</v>
      </c>
      <c r="FV32" s="59">
        <f t="shared" si="618"/>
        <v>0</v>
      </c>
      <c r="FW32" s="15"/>
    </row>
    <row r="33" spans="2:178" x14ac:dyDescent="0.2">
      <c r="B33" s="46">
        <f t="shared" si="702"/>
        <v>12</v>
      </c>
      <c r="C33" s="71" t="s">
        <v>670</v>
      </c>
      <c r="E33" s="13">
        <v>70</v>
      </c>
      <c r="F33" s="13">
        <v>0</v>
      </c>
      <c r="G33" s="17">
        <f t="shared" si="529"/>
        <v>70</v>
      </c>
      <c r="H33" s="49" t="s">
        <v>215</v>
      </c>
      <c r="I33" s="49" t="s">
        <v>219</v>
      </c>
      <c r="J33" s="49" t="s">
        <v>262</v>
      </c>
      <c r="K33" s="54">
        <v>2</v>
      </c>
      <c r="L33" s="54">
        <v>0</v>
      </c>
      <c r="M33" s="54">
        <v>3</v>
      </c>
      <c r="N33" s="54">
        <v>4</v>
      </c>
      <c r="O33" s="48">
        <f t="shared" si="530"/>
        <v>5</v>
      </c>
      <c r="P33" s="48">
        <f t="shared" si="531"/>
        <v>2</v>
      </c>
      <c r="R33" s="59">
        <f t="shared" si="532"/>
        <v>0</v>
      </c>
      <c r="S33" s="59">
        <f t="shared" si="532"/>
        <v>0</v>
      </c>
      <c r="T33" s="59">
        <f t="shared" si="532"/>
        <v>0</v>
      </c>
      <c r="U33" s="59">
        <f t="shared" si="532"/>
        <v>70</v>
      </c>
      <c r="V33" s="59">
        <f t="shared" si="532"/>
        <v>0</v>
      </c>
      <c r="W33" s="59">
        <f t="shared" si="532"/>
        <v>0</v>
      </c>
      <c r="X33" s="59">
        <f t="shared" si="532"/>
        <v>0</v>
      </c>
      <c r="Y33" s="59">
        <f t="shared" si="532"/>
        <v>0</v>
      </c>
      <c r="Z33" s="59">
        <f t="shared" si="532"/>
        <v>0</v>
      </c>
      <c r="AA33" s="59">
        <f t="shared" si="532"/>
        <v>0</v>
      </c>
      <c r="AB33" s="59">
        <f t="shared" si="532"/>
        <v>0</v>
      </c>
      <c r="AC33" s="59">
        <f t="shared" si="532"/>
        <v>0</v>
      </c>
      <c r="AD33" s="59">
        <f t="shared" si="533"/>
        <v>0</v>
      </c>
      <c r="AE33" s="59">
        <f t="shared" si="534"/>
        <v>70</v>
      </c>
      <c r="AF33" s="59">
        <f t="shared" si="535"/>
        <v>0</v>
      </c>
      <c r="AG33" s="59">
        <f t="shared" si="536"/>
        <v>0</v>
      </c>
      <c r="AH33" s="59">
        <f t="shared" si="537"/>
        <v>70</v>
      </c>
      <c r="AI33" s="59"/>
      <c r="AJ33" s="59">
        <f t="shared" si="538"/>
        <v>0</v>
      </c>
      <c r="AK33" s="59">
        <f t="shared" si="538"/>
        <v>0</v>
      </c>
      <c r="AL33" s="59">
        <f t="shared" si="538"/>
        <v>0</v>
      </c>
      <c r="AM33" s="59">
        <f t="shared" si="538"/>
        <v>0</v>
      </c>
      <c r="AN33" s="59">
        <f t="shared" si="538"/>
        <v>0</v>
      </c>
      <c r="AO33" s="59">
        <f t="shared" si="538"/>
        <v>0</v>
      </c>
      <c r="AP33" s="59">
        <f t="shared" si="538"/>
        <v>0</v>
      </c>
      <c r="AQ33" s="59">
        <f t="shared" si="538"/>
        <v>0</v>
      </c>
      <c r="AR33" s="59">
        <f t="shared" si="538"/>
        <v>0</v>
      </c>
      <c r="AS33" s="59">
        <f t="shared" si="538"/>
        <v>0</v>
      </c>
      <c r="AT33" s="59">
        <f t="shared" si="538"/>
        <v>0</v>
      </c>
      <c r="AU33" s="59">
        <f t="shared" si="538"/>
        <v>0</v>
      </c>
      <c r="AV33" s="59">
        <f t="shared" si="539"/>
        <v>0</v>
      </c>
      <c r="AW33" s="59">
        <f t="shared" si="540"/>
        <v>0</v>
      </c>
      <c r="AX33" s="59">
        <f t="shared" si="541"/>
        <v>0</v>
      </c>
      <c r="AY33" s="59">
        <f t="shared" si="542"/>
        <v>0</v>
      </c>
      <c r="AZ33" s="59">
        <f t="shared" si="543"/>
        <v>0</v>
      </c>
      <c r="BA33" s="59"/>
      <c r="BB33" s="59">
        <f t="shared" si="544"/>
        <v>0</v>
      </c>
      <c r="BC33" s="59">
        <f t="shared" si="545"/>
        <v>0</v>
      </c>
      <c r="BD33" s="59">
        <f t="shared" si="546"/>
        <v>0</v>
      </c>
      <c r="BE33" s="59">
        <f t="shared" si="547"/>
        <v>70</v>
      </c>
      <c r="BF33" s="59">
        <f t="shared" si="548"/>
        <v>0</v>
      </c>
      <c r="BG33" s="59">
        <f t="shared" si="549"/>
        <v>0</v>
      </c>
      <c r="BH33" s="59">
        <f t="shared" si="550"/>
        <v>0</v>
      </c>
      <c r="BI33" s="59">
        <f t="shared" si="551"/>
        <v>0</v>
      </c>
      <c r="BJ33" s="59">
        <f t="shared" si="552"/>
        <v>0</v>
      </c>
      <c r="BK33" s="59">
        <f t="shared" si="553"/>
        <v>0</v>
      </c>
      <c r="BL33" s="59">
        <f t="shared" si="554"/>
        <v>0</v>
      </c>
      <c r="BM33" s="59">
        <f t="shared" si="555"/>
        <v>0</v>
      </c>
      <c r="BN33" s="59">
        <f t="shared" si="556"/>
        <v>0</v>
      </c>
      <c r="BO33" s="59">
        <f t="shared" si="557"/>
        <v>70</v>
      </c>
      <c r="BP33" s="59">
        <f t="shared" si="558"/>
        <v>0</v>
      </c>
      <c r="BQ33" s="59">
        <f t="shared" si="559"/>
        <v>0</v>
      </c>
      <c r="BR33" s="59">
        <f t="shared" si="560"/>
        <v>70</v>
      </c>
      <c r="BS33" s="59"/>
      <c r="BT33" s="59">
        <f t="shared" si="561"/>
        <v>0</v>
      </c>
      <c r="BU33" s="59">
        <f t="shared" si="561"/>
        <v>0</v>
      </c>
      <c r="BV33" s="59">
        <f t="shared" si="561"/>
        <v>0</v>
      </c>
      <c r="BW33" s="59">
        <f t="shared" si="561"/>
        <v>0</v>
      </c>
      <c r="BX33" s="59">
        <f t="shared" si="561"/>
        <v>35</v>
      </c>
      <c r="BY33" s="59">
        <f t="shared" si="561"/>
        <v>35</v>
      </c>
      <c r="BZ33" s="59">
        <f t="shared" si="561"/>
        <v>0</v>
      </c>
      <c r="CA33" s="59">
        <f t="shared" si="561"/>
        <v>0</v>
      </c>
      <c r="CB33" s="59">
        <f t="shared" si="561"/>
        <v>0</v>
      </c>
      <c r="CC33" s="59">
        <f t="shared" si="561"/>
        <v>0</v>
      </c>
      <c r="CD33" s="59">
        <f t="shared" si="561"/>
        <v>0</v>
      </c>
      <c r="CE33" s="59">
        <f t="shared" si="561"/>
        <v>0</v>
      </c>
      <c r="CF33" s="59">
        <f t="shared" si="562"/>
        <v>0</v>
      </c>
      <c r="CG33" s="59">
        <f t="shared" si="563"/>
        <v>70</v>
      </c>
      <c r="CH33" s="59">
        <f t="shared" si="564"/>
        <v>0</v>
      </c>
      <c r="CI33" s="59">
        <f t="shared" si="565"/>
        <v>0</v>
      </c>
      <c r="CJ33" s="59">
        <f t="shared" si="566"/>
        <v>70</v>
      </c>
      <c r="CK33" s="59"/>
      <c r="CL33" s="59">
        <f t="shared" si="567"/>
        <v>0</v>
      </c>
      <c r="CM33" s="59">
        <f t="shared" si="567"/>
        <v>0</v>
      </c>
      <c r="CN33" s="59">
        <f t="shared" si="567"/>
        <v>0</v>
      </c>
      <c r="CO33" s="59">
        <f t="shared" si="567"/>
        <v>0</v>
      </c>
      <c r="CP33" s="59">
        <f t="shared" si="567"/>
        <v>0</v>
      </c>
      <c r="CQ33" s="59">
        <f t="shared" si="567"/>
        <v>0</v>
      </c>
      <c r="CR33" s="59">
        <f t="shared" si="567"/>
        <v>0</v>
      </c>
      <c r="CS33" s="59">
        <f t="shared" si="567"/>
        <v>0</v>
      </c>
      <c r="CT33" s="59">
        <f t="shared" si="567"/>
        <v>0</v>
      </c>
      <c r="CU33" s="59">
        <f t="shared" si="567"/>
        <v>0</v>
      </c>
      <c r="CV33" s="59">
        <f t="shared" si="567"/>
        <v>0</v>
      </c>
      <c r="CW33" s="59">
        <f t="shared" si="567"/>
        <v>0</v>
      </c>
      <c r="CX33" s="59">
        <f t="shared" si="568"/>
        <v>0</v>
      </c>
      <c r="CY33" s="59">
        <f t="shared" si="569"/>
        <v>0</v>
      </c>
      <c r="CZ33" s="59">
        <f t="shared" si="570"/>
        <v>0</v>
      </c>
      <c r="DA33" s="59">
        <f t="shared" si="571"/>
        <v>0</v>
      </c>
      <c r="DB33" s="59">
        <f t="shared" si="572"/>
        <v>0</v>
      </c>
      <c r="DC33" s="59"/>
      <c r="DD33" s="59">
        <f t="shared" si="573"/>
        <v>0</v>
      </c>
      <c r="DE33" s="59">
        <f t="shared" si="574"/>
        <v>0</v>
      </c>
      <c r="DF33" s="59">
        <f t="shared" si="575"/>
        <v>0</v>
      </c>
      <c r="DG33" s="59">
        <f t="shared" si="576"/>
        <v>0</v>
      </c>
      <c r="DH33" s="59">
        <f t="shared" si="577"/>
        <v>35</v>
      </c>
      <c r="DI33" s="59">
        <f t="shared" si="578"/>
        <v>35</v>
      </c>
      <c r="DJ33" s="59">
        <f t="shared" si="579"/>
        <v>0</v>
      </c>
      <c r="DK33" s="59">
        <f t="shared" si="580"/>
        <v>0</v>
      </c>
      <c r="DL33" s="59">
        <f t="shared" si="581"/>
        <v>0</v>
      </c>
      <c r="DM33" s="59">
        <f t="shared" si="582"/>
        <v>0</v>
      </c>
      <c r="DN33" s="59">
        <f t="shared" si="583"/>
        <v>0</v>
      </c>
      <c r="DO33" s="59">
        <f t="shared" si="584"/>
        <v>0</v>
      </c>
      <c r="DP33" s="59">
        <f t="shared" si="585"/>
        <v>0</v>
      </c>
      <c r="DQ33" s="59">
        <f t="shared" si="586"/>
        <v>70</v>
      </c>
      <c r="DR33" s="59">
        <f t="shared" si="587"/>
        <v>0</v>
      </c>
      <c r="DS33" s="59">
        <f t="shared" si="588"/>
        <v>0</v>
      </c>
      <c r="DT33" s="59">
        <f t="shared" si="589"/>
        <v>70</v>
      </c>
      <c r="DU33" s="59"/>
      <c r="DV33" s="70">
        <v>0</v>
      </c>
      <c r="DW33" s="70">
        <v>0</v>
      </c>
      <c r="DX33" s="70">
        <v>0</v>
      </c>
      <c r="DY33" s="70">
        <v>0</v>
      </c>
      <c r="DZ33" s="70">
        <v>0</v>
      </c>
      <c r="EA33" s="70">
        <v>0</v>
      </c>
      <c r="EB33" s="70">
        <f>34500/1000</f>
        <v>34.5</v>
      </c>
      <c r="EC33" s="70">
        <f>17500/1000</f>
        <v>17.5</v>
      </c>
      <c r="ED33" s="70">
        <f>17500/1000</f>
        <v>17.5</v>
      </c>
      <c r="EE33" s="59">
        <f t="shared" si="590"/>
        <v>0</v>
      </c>
      <c r="EF33" s="59">
        <f t="shared" si="590"/>
        <v>0</v>
      </c>
      <c r="EG33" s="59">
        <f t="shared" si="590"/>
        <v>0</v>
      </c>
      <c r="EH33" s="59">
        <f t="shared" si="591"/>
        <v>0</v>
      </c>
      <c r="EI33" s="59">
        <f t="shared" si="592"/>
        <v>0</v>
      </c>
      <c r="EJ33" s="59">
        <f t="shared" si="593"/>
        <v>69.5</v>
      </c>
      <c r="EK33" s="59">
        <f t="shared" si="594"/>
        <v>0</v>
      </c>
      <c r="EL33" s="59">
        <f t="shared" si="595"/>
        <v>69.5</v>
      </c>
      <c r="EM33" s="59"/>
      <c r="EN33" s="70">
        <v>0</v>
      </c>
      <c r="EO33" s="70">
        <v>0</v>
      </c>
      <c r="EP33" s="70">
        <v>0</v>
      </c>
      <c r="EQ33" s="70">
        <v>0</v>
      </c>
      <c r="ER33" s="70">
        <v>0</v>
      </c>
      <c r="ES33" s="59">
        <f t="shared" si="596"/>
        <v>0</v>
      </c>
      <c r="ET33" s="59">
        <f t="shared" si="596"/>
        <v>0</v>
      </c>
      <c r="EU33" s="59">
        <f t="shared" si="596"/>
        <v>0</v>
      </c>
      <c r="EV33" s="59">
        <f t="shared" si="596"/>
        <v>0</v>
      </c>
      <c r="EW33" s="59">
        <f t="shared" si="596"/>
        <v>0</v>
      </c>
      <c r="EX33" s="59">
        <f t="shared" si="596"/>
        <v>0</v>
      </c>
      <c r="EY33" s="59">
        <f t="shared" si="596"/>
        <v>0</v>
      </c>
      <c r="EZ33" s="59">
        <f t="shared" si="597"/>
        <v>0</v>
      </c>
      <c r="FA33" s="59">
        <f t="shared" si="598"/>
        <v>0</v>
      </c>
      <c r="FB33" s="59">
        <f t="shared" si="599"/>
        <v>0</v>
      </c>
      <c r="FC33" s="59">
        <f t="shared" si="600"/>
        <v>0</v>
      </c>
      <c r="FD33" s="59">
        <f t="shared" si="601"/>
        <v>0</v>
      </c>
      <c r="FE33" s="59"/>
      <c r="FF33" s="59">
        <f t="shared" si="602"/>
        <v>0</v>
      </c>
      <c r="FG33" s="59">
        <f t="shared" si="603"/>
        <v>0</v>
      </c>
      <c r="FH33" s="59">
        <f t="shared" si="604"/>
        <v>0</v>
      </c>
      <c r="FI33" s="59">
        <f t="shared" si="605"/>
        <v>0</v>
      </c>
      <c r="FJ33" s="59">
        <f t="shared" si="606"/>
        <v>0</v>
      </c>
      <c r="FK33" s="59">
        <f t="shared" si="607"/>
        <v>0</v>
      </c>
      <c r="FL33" s="59">
        <f t="shared" si="608"/>
        <v>34.5</v>
      </c>
      <c r="FM33" s="59">
        <f t="shared" si="609"/>
        <v>17.5</v>
      </c>
      <c r="FN33" s="59">
        <f t="shared" si="610"/>
        <v>17.5</v>
      </c>
      <c r="FO33" s="59">
        <f t="shared" si="611"/>
        <v>0</v>
      </c>
      <c r="FP33" s="59">
        <f t="shared" si="612"/>
        <v>0</v>
      </c>
      <c r="FQ33" s="59">
        <f t="shared" si="613"/>
        <v>0</v>
      </c>
      <c r="FR33" s="59">
        <f t="shared" si="614"/>
        <v>0</v>
      </c>
      <c r="FS33" s="59">
        <f t="shared" si="615"/>
        <v>0</v>
      </c>
      <c r="FT33" s="59">
        <f t="shared" si="616"/>
        <v>69.5</v>
      </c>
      <c r="FU33" s="59">
        <f t="shared" si="617"/>
        <v>0</v>
      </c>
      <c r="FV33" s="59">
        <f t="shared" si="618"/>
        <v>69.5</v>
      </c>
    </row>
    <row r="34" spans="2:178" x14ac:dyDescent="0.2">
      <c r="B34" s="46">
        <f t="shared" si="702"/>
        <v>13</v>
      </c>
      <c r="C34" s="71" t="s">
        <v>669</v>
      </c>
      <c r="E34" s="13">
        <v>360</v>
      </c>
      <c r="F34" s="13">
        <v>0</v>
      </c>
      <c r="G34" s="17">
        <f t="shared" ref="G34" si="915">+E34+F34</f>
        <v>360</v>
      </c>
      <c r="H34" s="49" t="s">
        <v>215</v>
      </c>
      <c r="I34" s="49" t="s">
        <v>219</v>
      </c>
      <c r="J34" s="49" t="s">
        <v>262</v>
      </c>
      <c r="K34" s="54">
        <v>36</v>
      </c>
      <c r="L34" s="54">
        <v>0</v>
      </c>
      <c r="M34" s="54">
        <v>3</v>
      </c>
      <c r="N34" s="54">
        <v>4</v>
      </c>
      <c r="O34" s="48">
        <f t="shared" ref="O34" si="916">+N34+1</f>
        <v>5</v>
      </c>
      <c r="P34" s="48">
        <f t="shared" ref="P34" si="917">+K34+L34</f>
        <v>36</v>
      </c>
      <c r="R34" s="59">
        <f t="shared" si="532"/>
        <v>0</v>
      </c>
      <c r="S34" s="59">
        <f t="shared" si="532"/>
        <v>0</v>
      </c>
      <c r="T34" s="59">
        <f t="shared" si="532"/>
        <v>0</v>
      </c>
      <c r="U34" s="59">
        <f t="shared" si="532"/>
        <v>360</v>
      </c>
      <c r="V34" s="59">
        <f t="shared" si="532"/>
        <v>0</v>
      </c>
      <c r="W34" s="59">
        <f t="shared" si="532"/>
        <v>0</v>
      </c>
      <c r="X34" s="59">
        <f t="shared" si="532"/>
        <v>0</v>
      </c>
      <c r="Y34" s="59">
        <f t="shared" si="532"/>
        <v>0</v>
      </c>
      <c r="Z34" s="59">
        <f t="shared" si="532"/>
        <v>0</v>
      </c>
      <c r="AA34" s="59">
        <f t="shared" si="532"/>
        <v>0</v>
      </c>
      <c r="AB34" s="59">
        <f t="shared" si="532"/>
        <v>0</v>
      </c>
      <c r="AC34" s="59">
        <f t="shared" si="532"/>
        <v>0</v>
      </c>
      <c r="AD34" s="59">
        <f t="shared" ref="AD34" si="918">SUM(R34:T34)</f>
        <v>0</v>
      </c>
      <c r="AE34" s="59">
        <f t="shared" ref="AE34" si="919">SUM(U34:W34)</f>
        <v>360</v>
      </c>
      <c r="AF34" s="59">
        <f t="shared" ref="AF34" si="920">SUM(X34:Z34)</f>
        <v>0</v>
      </c>
      <c r="AG34" s="59">
        <f t="shared" ref="AG34" si="921">SUM(AA34:AC34)</f>
        <v>0</v>
      </c>
      <c r="AH34" s="59">
        <f t="shared" ref="AH34" si="922">SUM(AD34:AG34)</f>
        <v>360</v>
      </c>
      <c r="AI34" s="59"/>
      <c r="AJ34" s="59">
        <f t="shared" si="538"/>
        <v>0</v>
      </c>
      <c r="AK34" s="59">
        <f t="shared" si="538"/>
        <v>0</v>
      </c>
      <c r="AL34" s="59">
        <f t="shared" si="538"/>
        <v>0</v>
      </c>
      <c r="AM34" s="59">
        <f t="shared" si="538"/>
        <v>0</v>
      </c>
      <c r="AN34" s="59">
        <f t="shared" si="538"/>
        <v>0</v>
      </c>
      <c r="AO34" s="59">
        <f t="shared" si="538"/>
        <v>0</v>
      </c>
      <c r="AP34" s="59">
        <f t="shared" si="538"/>
        <v>0</v>
      </c>
      <c r="AQ34" s="59">
        <f t="shared" si="538"/>
        <v>0</v>
      </c>
      <c r="AR34" s="59">
        <f t="shared" si="538"/>
        <v>0</v>
      </c>
      <c r="AS34" s="59">
        <f t="shared" si="538"/>
        <v>0</v>
      </c>
      <c r="AT34" s="59">
        <f t="shared" si="538"/>
        <v>0</v>
      </c>
      <c r="AU34" s="59">
        <f t="shared" si="538"/>
        <v>0</v>
      </c>
      <c r="AV34" s="59">
        <f t="shared" ref="AV34" si="923">SUM(AJ34:AL34)</f>
        <v>0</v>
      </c>
      <c r="AW34" s="59">
        <f t="shared" ref="AW34" si="924">SUM(AM34:AO34)</f>
        <v>0</v>
      </c>
      <c r="AX34" s="59">
        <f t="shared" ref="AX34" si="925">SUM(AP34:AR34)</f>
        <v>0</v>
      </c>
      <c r="AY34" s="59">
        <f t="shared" ref="AY34" si="926">SUM(AS34:AU34)</f>
        <v>0</v>
      </c>
      <c r="AZ34" s="59">
        <f t="shared" ref="AZ34" si="927">SUM(AV34:AY34)</f>
        <v>0</v>
      </c>
      <c r="BA34" s="59"/>
      <c r="BB34" s="59">
        <f t="shared" ref="BB34" si="928">+R34+AJ34</f>
        <v>0</v>
      </c>
      <c r="BC34" s="59">
        <f t="shared" ref="BC34" si="929">+S34+AK34</f>
        <v>0</v>
      </c>
      <c r="BD34" s="59">
        <f t="shared" ref="BD34" si="930">+T34+AL34</f>
        <v>0</v>
      </c>
      <c r="BE34" s="59">
        <f t="shared" ref="BE34" si="931">+U34+AM34</f>
        <v>360</v>
      </c>
      <c r="BF34" s="59">
        <f t="shared" ref="BF34" si="932">+V34+AN34</f>
        <v>0</v>
      </c>
      <c r="BG34" s="59">
        <f t="shared" ref="BG34" si="933">+W34+AO34</f>
        <v>0</v>
      </c>
      <c r="BH34" s="59">
        <f t="shared" ref="BH34" si="934">+X34+AP34</f>
        <v>0</v>
      </c>
      <c r="BI34" s="59">
        <f t="shared" ref="BI34" si="935">+Y34+AQ34</f>
        <v>0</v>
      </c>
      <c r="BJ34" s="59">
        <f t="shared" ref="BJ34" si="936">+Z34+AR34</f>
        <v>0</v>
      </c>
      <c r="BK34" s="59">
        <f t="shared" ref="BK34" si="937">+AA34+AS34</f>
        <v>0</v>
      </c>
      <c r="BL34" s="59">
        <f t="shared" ref="BL34" si="938">+AB34+AT34</f>
        <v>0</v>
      </c>
      <c r="BM34" s="59">
        <f t="shared" ref="BM34" si="939">+AC34+AU34</f>
        <v>0</v>
      </c>
      <c r="BN34" s="59">
        <f t="shared" ref="BN34" si="940">SUM(BB34:BD34)</f>
        <v>0</v>
      </c>
      <c r="BO34" s="59">
        <f t="shared" ref="BO34" si="941">SUM(BE34:BG34)</f>
        <v>360</v>
      </c>
      <c r="BP34" s="59">
        <f t="shared" ref="BP34" si="942">SUM(BH34:BJ34)</f>
        <v>0</v>
      </c>
      <c r="BQ34" s="59">
        <f t="shared" ref="BQ34" si="943">SUM(BK34:BM34)</f>
        <v>0</v>
      </c>
      <c r="BR34" s="59">
        <f t="shared" ref="BR34" si="944">SUM(BN34:BQ34)</f>
        <v>360</v>
      </c>
      <c r="BS34" s="59"/>
      <c r="BT34" s="59">
        <f t="shared" si="561"/>
        <v>0</v>
      </c>
      <c r="BU34" s="59">
        <f t="shared" si="561"/>
        <v>0</v>
      </c>
      <c r="BV34" s="59">
        <f t="shared" si="561"/>
        <v>0</v>
      </c>
      <c r="BW34" s="59">
        <f t="shared" si="561"/>
        <v>0</v>
      </c>
      <c r="BX34" s="59">
        <f t="shared" si="561"/>
        <v>10</v>
      </c>
      <c r="BY34" s="59">
        <f t="shared" si="561"/>
        <v>10</v>
      </c>
      <c r="BZ34" s="59">
        <f t="shared" si="561"/>
        <v>10</v>
      </c>
      <c r="CA34" s="59">
        <f t="shared" si="561"/>
        <v>10</v>
      </c>
      <c r="CB34" s="59">
        <f t="shared" si="561"/>
        <v>10</v>
      </c>
      <c r="CC34" s="59">
        <f t="shared" si="561"/>
        <v>10</v>
      </c>
      <c r="CD34" s="59">
        <f t="shared" si="561"/>
        <v>10</v>
      </c>
      <c r="CE34" s="59">
        <f t="shared" si="561"/>
        <v>10</v>
      </c>
      <c r="CF34" s="59">
        <f t="shared" ref="CF34" si="945">SUM(BT34:BV34)</f>
        <v>0</v>
      </c>
      <c r="CG34" s="59">
        <f t="shared" ref="CG34" si="946">SUM(BW34:BY34)</f>
        <v>20</v>
      </c>
      <c r="CH34" s="59">
        <f t="shared" ref="CH34" si="947">SUM(BZ34:CB34)</f>
        <v>30</v>
      </c>
      <c r="CI34" s="59">
        <f t="shared" ref="CI34" si="948">SUM(CC34:CE34)</f>
        <v>30</v>
      </c>
      <c r="CJ34" s="59">
        <f t="shared" ref="CJ34" si="949">SUM(CF34:CI34)</f>
        <v>80</v>
      </c>
      <c r="CK34" s="59"/>
      <c r="CL34" s="59">
        <f t="shared" si="567"/>
        <v>0</v>
      </c>
      <c r="CM34" s="59">
        <f t="shared" si="567"/>
        <v>0</v>
      </c>
      <c r="CN34" s="59">
        <f t="shared" si="567"/>
        <v>0</v>
      </c>
      <c r="CO34" s="59">
        <f t="shared" si="567"/>
        <v>0</v>
      </c>
      <c r="CP34" s="59">
        <f t="shared" si="567"/>
        <v>0</v>
      </c>
      <c r="CQ34" s="59">
        <f t="shared" si="567"/>
        <v>0</v>
      </c>
      <c r="CR34" s="59">
        <f t="shared" si="567"/>
        <v>0</v>
      </c>
      <c r="CS34" s="59">
        <f t="shared" si="567"/>
        <v>0</v>
      </c>
      <c r="CT34" s="59">
        <f t="shared" si="567"/>
        <v>0</v>
      </c>
      <c r="CU34" s="59">
        <f t="shared" si="567"/>
        <v>0</v>
      </c>
      <c r="CV34" s="59">
        <f t="shared" si="567"/>
        <v>0</v>
      </c>
      <c r="CW34" s="59">
        <f t="shared" si="567"/>
        <v>0</v>
      </c>
      <c r="CX34" s="59">
        <f t="shared" ref="CX34" si="950">SUM(CL34:CN34)</f>
        <v>0</v>
      </c>
      <c r="CY34" s="59">
        <f t="shared" ref="CY34" si="951">SUM(CO34:CQ34)</f>
        <v>0</v>
      </c>
      <c r="CZ34" s="59">
        <f t="shared" ref="CZ34" si="952">SUM(CR34:CT34)</f>
        <v>0</v>
      </c>
      <c r="DA34" s="59">
        <f t="shared" ref="DA34" si="953">SUM(CU34:CW34)</f>
        <v>0</v>
      </c>
      <c r="DB34" s="59">
        <f t="shared" ref="DB34" si="954">SUM(CX34:DA34)</f>
        <v>0</v>
      </c>
      <c r="DC34" s="59"/>
      <c r="DD34" s="59">
        <f t="shared" ref="DD34" si="955">+BT34+CL34</f>
        <v>0</v>
      </c>
      <c r="DE34" s="59">
        <f t="shared" ref="DE34" si="956">+BU34+CM34</f>
        <v>0</v>
      </c>
      <c r="DF34" s="59">
        <f t="shared" ref="DF34" si="957">+BV34+CN34</f>
        <v>0</v>
      </c>
      <c r="DG34" s="59">
        <f t="shared" ref="DG34" si="958">+BW34+CO34</f>
        <v>0</v>
      </c>
      <c r="DH34" s="59">
        <f t="shared" ref="DH34" si="959">+BX34+CP34</f>
        <v>10</v>
      </c>
      <c r="DI34" s="59">
        <f t="shared" ref="DI34" si="960">+BY34+CQ34</f>
        <v>10</v>
      </c>
      <c r="DJ34" s="59">
        <f t="shared" ref="DJ34" si="961">+BZ34+CR34</f>
        <v>10</v>
      </c>
      <c r="DK34" s="59">
        <f t="shared" ref="DK34" si="962">+CA34+CS34</f>
        <v>10</v>
      </c>
      <c r="DL34" s="59">
        <f t="shared" ref="DL34" si="963">+CB34+CT34</f>
        <v>10</v>
      </c>
      <c r="DM34" s="59">
        <f t="shared" ref="DM34" si="964">+CC34+CU34</f>
        <v>10</v>
      </c>
      <c r="DN34" s="59">
        <f t="shared" ref="DN34" si="965">+CD34+CV34</f>
        <v>10</v>
      </c>
      <c r="DO34" s="59">
        <f t="shared" ref="DO34" si="966">+CE34+CW34</f>
        <v>10</v>
      </c>
      <c r="DP34" s="59">
        <f t="shared" ref="DP34" si="967">SUM(DD34:DF34)</f>
        <v>0</v>
      </c>
      <c r="DQ34" s="59">
        <f t="shared" ref="DQ34" si="968">SUM(DG34:DI34)</f>
        <v>20</v>
      </c>
      <c r="DR34" s="59">
        <f t="shared" ref="DR34" si="969">SUM(DJ34:DL34)</f>
        <v>30</v>
      </c>
      <c r="DS34" s="59">
        <f t="shared" ref="DS34" si="970">SUM(DM34:DO34)</f>
        <v>30</v>
      </c>
      <c r="DT34" s="59">
        <f t="shared" ref="DT34" si="971">SUM(DP34:DS34)</f>
        <v>80</v>
      </c>
      <c r="DU34" s="59"/>
      <c r="DV34" s="70">
        <v>0</v>
      </c>
      <c r="DW34" s="70">
        <v>0</v>
      </c>
      <c r="DX34" s="70">
        <v>0</v>
      </c>
      <c r="DY34" s="70">
        <v>0</v>
      </c>
      <c r="DZ34" s="70">
        <v>0</v>
      </c>
      <c r="EA34" s="70">
        <v>0</v>
      </c>
      <c r="EB34" s="59">
        <f t="shared" si="590"/>
        <v>10</v>
      </c>
      <c r="EC34" s="59">
        <f t="shared" si="590"/>
        <v>10</v>
      </c>
      <c r="ED34" s="59">
        <f t="shared" si="590"/>
        <v>10</v>
      </c>
      <c r="EE34" s="59">
        <f t="shared" si="590"/>
        <v>10</v>
      </c>
      <c r="EF34" s="59">
        <f t="shared" si="590"/>
        <v>10</v>
      </c>
      <c r="EG34" s="59">
        <f t="shared" si="590"/>
        <v>10</v>
      </c>
      <c r="EH34" s="59">
        <f t="shared" ref="EH34" si="972">SUM(DV34:DX34)</f>
        <v>0</v>
      </c>
      <c r="EI34" s="59">
        <f t="shared" ref="EI34" si="973">SUM(DY34:EA34)</f>
        <v>0</v>
      </c>
      <c r="EJ34" s="59">
        <f t="shared" ref="EJ34" si="974">SUM(EB34:ED34)</f>
        <v>30</v>
      </c>
      <c r="EK34" s="59">
        <f t="shared" ref="EK34" si="975">SUM(EE34:EG34)</f>
        <v>30</v>
      </c>
      <c r="EL34" s="59">
        <f t="shared" ref="EL34" si="976">SUM(EH34:EK34)</f>
        <v>60</v>
      </c>
      <c r="EM34" s="59"/>
      <c r="EN34" s="70">
        <v>0</v>
      </c>
      <c r="EO34" s="70">
        <v>0</v>
      </c>
      <c r="EP34" s="70">
        <v>0</v>
      </c>
      <c r="EQ34" s="70">
        <v>0</v>
      </c>
      <c r="ER34" s="70">
        <v>0</v>
      </c>
      <c r="ES34" s="59">
        <f t="shared" si="596"/>
        <v>0</v>
      </c>
      <c r="ET34" s="59">
        <f t="shared" si="596"/>
        <v>0</v>
      </c>
      <c r="EU34" s="59">
        <f t="shared" si="596"/>
        <v>0</v>
      </c>
      <c r="EV34" s="59">
        <f t="shared" si="596"/>
        <v>0</v>
      </c>
      <c r="EW34" s="59">
        <f t="shared" si="596"/>
        <v>0</v>
      </c>
      <c r="EX34" s="59">
        <f t="shared" si="596"/>
        <v>0</v>
      </c>
      <c r="EY34" s="59">
        <f t="shared" si="596"/>
        <v>0</v>
      </c>
      <c r="EZ34" s="59">
        <f t="shared" ref="EZ34" si="977">SUM(EN34:EP34)</f>
        <v>0</v>
      </c>
      <c r="FA34" s="59">
        <f t="shared" ref="FA34" si="978">SUM(EQ34:ES34)</f>
        <v>0</v>
      </c>
      <c r="FB34" s="59">
        <f t="shared" ref="FB34" si="979">SUM(ET34:EV34)</f>
        <v>0</v>
      </c>
      <c r="FC34" s="59">
        <f t="shared" ref="FC34" si="980">SUM(EW34:EY34)</f>
        <v>0</v>
      </c>
      <c r="FD34" s="59">
        <f t="shared" ref="FD34" si="981">SUM(EZ34:FC34)</f>
        <v>0</v>
      </c>
      <c r="FE34" s="59"/>
      <c r="FF34" s="59">
        <f t="shared" ref="FF34" si="982">+DV34+EN34</f>
        <v>0</v>
      </c>
      <c r="FG34" s="59">
        <f t="shared" ref="FG34" si="983">+DW34+EO34</f>
        <v>0</v>
      </c>
      <c r="FH34" s="59">
        <f t="shared" ref="FH34" si="984">+DX34+EP34</f>
        <v>0</v>
      </c>
      <c r="FI34" s="59">
        <f t="shared" ref="FI34" si="985">+DY34+EQ34</f>
        <v>0</v>
      </c>
      <c r="FJ34" s="59">
        <f t="shared" ref="FJ34" si="986">+DZ34+ER34</f>
        <v>0</v>
      </c>
      <c r="FK34" s="59">
        <f t="shared" ref="FK34" si="987">+EA34+ES34</f>
        <v>0</v>
      </c>
      <c r="FL34" s="59">
        <f t="shared" ref="FL34" si="988">+EB34+ET34</f>
        <v>10</v>
      </c>
      <c r="FM34" s="59">
        <f t="shared" ref="FM34" si="989">+EC34+EU34</f>
        <v>10</v>
      </c>
      <c r="FN34" s="59">
        <f t="shared" ref="FN34" si="990">+ED34+EV34</f>
        <v>10</v>
      </c>
      <c r="FO34" s="59">
        <f t="shared" ref="FO34" si="991">+EE34+EW34</f>
        <v>10</v>
      </c>
      <c r="FP34" s="59">
        <f t="shared" ref="FP34" si="992">+EF34+EX34</f>
        <v>10</v>
      </c>
      <c r="FQ34" s="59">
        <f t="shared" ref="FQ34" si="993">+EG34+EY34</f>
        <v>10</v>
      </c>
      <c r="FR34" s="59">
        <f t="shared" ref="FR34" si="994">SUM(FF34:FH34)</f>
        <v>0</v>
      </c>
      <c r="FS34" s="59">
        <f t="shared" ref="FS34" si="995">SUM(FI34:FK34)</f>
        <v>0</v>
      </c>
      <c r="FT34" s="59">
        <f t="shared" ref="FT34" si="996">SUM(FL34:FN34)</f>
        <v>30</v>
      </c>
      <c r="FU34" s="59">
        <f t="shared" ref="FU34" si="997">SUM(FO34:FQ34)</f>
        <v>30</v>
      </c>
      <c r="FV34" s="59">
        <f t="shared" ref="FV34" si="998">SUM(FR34:FU34)</f>
        <v>60</v>
      </c>
    </row>
    <row r="35" spans="2:178" x14ac:dyDescent="0.2">
      <c r="B35" s="46">
        <f t="shared" si="702"/>
        <v>14</v>
      </c>
      <c r="C35" s="71" t="s">
        <v>86</v>
      </c>
      <c r="E35" s="13">
        <v>0</v>
      </c>
      <c r="F35" s="13">
        <v>0</v>
      </c>
      <c r="G35" s="17">
        <f t="shared" si="529"/>
        <v>0</v>
      </c>
      <c r="H35" s="49" t="s">
        <v>215</v>
      </c>
      <c r="I35" s="49" t="s">
        <v>216</v>
      </c>
      <c r="J35" s="49" t="s">
        <v>262</v>
      </c>
      <c r="K35" s="54">
        <v>0</v>
      </c>
      <c r="L35" s="54">
        <v>0</v>
      </c>
      <c r="M35" s="54">
        <v>0</v>
      </c>
      <c r="N35" s="54">
        <v>0</v>
      </c>
      <c r="O35" s="48">
        <f t="shared" si="530"/>
        <v>1</v>
      </c>
      <c r="P35" s="48">
        <f t="shared" si="531"/>
        <v>0</v>
      </c>
      <c r="R35" s="59">
        <f t="shared" si="532"/>
        <v>0</v>
      </c>
      <c r="S35" s="59">
        <f t="shared" si="532"/>
        <v>0</v>
      </c>
      <c r="T35" s="59">
        <f t="shared" si="532"/>
        <v>0</v>
      </c>
      <c r="U35" s="59">
        <f t="shared" si="532"/>
        <v>0</v>
      </c>
      <c r="V35" s="59">
        <f t="shared" si="532"/>
        <v>0</v>
      </c>
      <c r="W35" s="59">
        <f t="shared" si="532"/>
        <v>0</v>
      </c>
      <c r="X35" s="59">
        <f t="shared" si="532"/>
        <v>0</v>
      </c>
      <c r="Y35" s="59">
        <f t="shared" si="532"/>
        <v>0</v>
      </c>
      <c r="Z35" s="59">
        <f t="shared" si="532"/>
        <v>0</v>
      </c>
      <c r="AA35" s="59">
        <f t="shared" si="532"/>
        <v>0</v>
      </c>
      <c r="AB35" s="59">
        <f t="shared" si="532"/>
        <v>0</v>
      </c>
      <c r="AC35" s="59">
        <f t="shared" si="532"/>
        <v>0</v>
      </c>
      <c r="AD35" s="59">
        <f t="shared" si="533"/>
        <v>0</v>
      </c>
      <c r="AE35" s="59">
        <f t="shared" si="534"/>
        <v>0</v>
      </c>
      <c r="AF35" s="59">
        <f t="shared" si="535"/>
        <v>0</v>
      </c>
      <c r="AG35" s="59">
        <f t="shared" si="536"/>
        <v>0</v>
      </c>
      <c r="AH35" s="59">
        <f t="shared" si="537"/>
        <v>0</v>
      </c>
      <c r="AI35" s="59"/>
      <c r="AJ35" s="59">
        <f t="shared" si="538"/>
        <v>0</v>
      </c>
      <c r="AK35" s="59">
        <f t="shared" si="538"/>
        <v>0</v>
      </c>
      <c r="AL35" s="59">
        <f t="shared" si="538"/>
        <v>0</v>
      </c>
      <c r="AM35" s="59">
        <f t="shared" si="538"/>
        <v>0</v>
      </c>
      <c r="AN35" s="59">
        <f t="shared" si="538"/>
        <v>0</v>
      </c>
      <c r="AO35" s="59">
        <f t="shared" si="538"/>
        <v>0</v>
      </c>
      <c r="AP35" s="59">
        <f t="shared" si="538"/>
        <v>0</v>
      </c>
      <c r="AQ35" s="59">
        <f t="shared" si="538"/>
        <v>0</v>
      </c>
      <c r="AR35" s="59">
        <f t="shared" si="538"/>
        <v>0</v>
      </c>
      <c r="AS35" s="59">
        <f t="shared" si="538"/>
        <v>0</v>
      </c>
      <c r="AT35" s="59">
        <f t="shared" si="538"/>
        <v>0</v>
      </c>
      <c r="AU35" s="59">
        <f t="shared" si="538"/>
        <v>0</v>
      </c>
      <c r="AV35" s="59">
        <f t="shared" si="539"/>
        <v>0</v>
      </c>
      <c r="AW35" s="59">
        <f t="shared" si="540"/>
        <v>0</v>
      </c>
      <c r="AX35" s="59">
        <f t="shared" si="541"/>
        <v>0</v>
      </c>
      <c r="AY35" s="59">
        <f t="shared" si="542"/>
        <v>0</v>
      </c>
      <c r="AZ35" s="59">
        <f t="shared" si="543"/>
        <v>0</v>
      </c>
      <c r="BA35" s="59"/>
      <c r="BB35" s="59">
        <f t="shared" si="544"/>
        <v>0</v>
      </c>
      <c r="BC35" s="59">
        <f t="shared" si="545"/>
        <v>0</v>
      </c>
      <c r="BD35" s="59">
        <f t="shared" si="546"/>
        <v>0</v>
      </c>
      <c r="BE35" s="59">
        <f t="shared" si="547"/>
        <v>0</v>
      </c>
      <c r="BF35" s="59">
        <f t="shared" si="548"/>
        <v>0</v>
      </c>
      <c r="BG35" s="59">
        <f t="shared" si="549"/>
        <v>0</v>
      </c>
      <c r="BH35" s="59">
        <f t="shared" si="550"/>
        <v>0</v>
      </c>
      <c r="BI35" s="59">
        <f t="shared" si="551"/>
        <v>0</v>
      </c>
      <c r="BJ35" s="59">
        <f t="shared" si="552"/>
        <v>0</v>
      </c>
      <c r="BK35" s="59">
        <f t="shared" si="553"/>
        <v>0</v>
      </c>
      <c r="BL35" s="59">
        <f t="shared" si="554"/>
        <v>0</v>
      </c>
      <c r="BM35" s="59">
        <f t="shared" si="555"/>
        <v>0</v>
      </c>
      <c r="BN35" s="59">
        <f t="shared" si="556"/>
        <v>0</v>
      </c>
      <c r="BO35" s="59">
        <f t="shared" si="557"/>
        <v>0</v>
      </c>
      <c r="BP35" s="59">
        <f t="shared" si="558"/>
        <v>0</v>
      </c>
      <c r="BQ35" s="59">
        <f t="shared" si="559"/>
        <v>0</v>
      </c>
      <c r="BR35" s="59">
        <f t="shared" si="560"/>
        <v>0</v>
      </c>
      <c r="BS35" s="59"/>
      <c r="BT35" s="59">
        <f t="shared" si="561"/>
        <v>0</v>
      </c>
      <c r="BU35" s="59">
        <f t="shared" si="561"/>
        <v>0</v>
      </c>
      <c r="BV35" s="59">
        <f t="shared" si="561"/>
        <v>0</v>
      </c>
      <c r="BW35" s="59">
        <f t="shared" si="561"/>
        <v>0</v>
      </c>
      <c r="BX35" s="59">
        <f t="shared" si="561"/>
        <v>0</v>
      </c>
      <c r="BY35" s="59">
        <f t="shared" si="561"/>
        <v>0</v>
      </c>
      <c r="BZ35" s="59">
        <f t="shared" si="561"/>
        <v>0</v>
      </c>
      <c r="CA35" s="59">
        <f t="shared" si="561"/>
        <v>0</v>
      </c>
      <c r="CB35" s="59">
        <f t="shared" si="561"/>
        <v>0</v>
      </c>
      <c r="CC35" s="59">
        <f t="shared" si="561"/>
        <v>0</v>
      </c>
      <c r="CD35" s="59">
        <f t="shared" si="561"/>
        <v>0</v>
      </c>
      <c r="CE35" s="59">
        <f t="shared" si="561"/>
        <v>0</v>
      </c>
      <c r="CF35" s="59">
        <f t="shared" si="562"/>
        <v>0</v>
      </c>
      <c r="CG35" s="59">
        <f t="shared" si="563"/>
        <v>0</v>
      </c>
      <c r="CH35" s="59">
        <f t="shared" si="564"/>
        <v>0</v>
      </c>
      <c r="CI35" s="59">
        <f t="shared" si="565"/>
        <v>0</v>
      </c>
      <c r="CJ35" s="59">
        <f t="shared" si="566"/>
        <v>0</v>
      </c>
      <c r="CK35" s="59"/>
      <c r="CL35" s="59">
        <f t="shared" si="567"/>
        <v>0</v>
      </c>
      <c r="CM35" s="59">
        <f t="shared" si="567"/>
        <v>0</v>
      </c>
      <c r="CN35" s="59">
        <f t="shared" si="567"/>
        <v>0</v>
      </c>
      <c r="CO35" s="59">
        <f t="shared" si="567"/>
        <v>0</v>
      </c>
      <c r="CP35" s="59">
        <f t="shared" si="567"/>
        <v>0</v>
      </c>
      <c r="CQ35" s="59">
        <f t="shared" si="567"/>
        <v>0</v>
      </c>
      <c r="CR35" s="59">
        <f t="shared" si="567"/>
        <v>0</v>
      </c>
      <c r="CS35" s="59">
        <f t="shared" si="567"/>
        <v>0</v>
      </c>
      <c r="CT35" s="59">
        <f t="shared" si="567"/>
        <v>0</v>
      </c>
      <c r="CU35" s="59">
        <f t="shared" si="567"/>
        <v>0</v>
      </c>
      <c r="CV35" s="59">
        <f t="shared" si="567"/>
        <v>0</v>
      </c>
      <c r="CW35" s="59">
        <f t="shared" si="567"/>
        <v>0</v>
      </c>
      <c r="CX35" s="59">
        <f t="shared" si="568"/>
        <v>0</v>
      </c>
      <c r="CY35" s="59">
        <f t="shared" si="569"/>
        <v>0</v>
      </c>
      <c r="CZ35" s="59">
        <f t="shared" si="570"/>
        <v>0</v>
      </c>
      <c r="DA35" s="59">
        <f t="shared" si="571"/>
        <v>0</v>
      </c>
      <c r="DB35" s="59">
        <f t="shared" si="572"/>
        <v>0</v>
      </c>
      <c r="DC35" s="59"/>
      <c r="DD35" s="59">
        <f t="shared" si="573"/>
        <v>0</v>
      </c>
      <c r="DE35" s="59">
        <f t="shared" si="574"/>
        <v>0</v>
      </c>
      <c r="DF35" s="59">
        <f t="shared" si="575"/>
        <v>0</v>
      </c>
      <c r="DG35" s="59">
        <f t="shared" si="576"/>
        <v>0</v>
      </c>
      <c r="DH35" s="59">
        <f t="shared" si="577"/>
        <v>0</v>
      </c>
      <c r="DI35" s="59">
        <f t="shared" si="578"/>
        <v>0</v>
      </c>
      <c r="DJ35" s="59">
        <f t="shared" si="579"/>
        <v>0</v>
      </c>
      <c r="DK35" s="59">
        <f t="shared" si="580"/>
        <v>0</v>
      </c>
      <c r="DL35" s="59">
        <f t="shared" si="581"/>
        <v>0</v>
      </c>
      <c r="DM35" s="59">
        <f t="shared" si="582"/>
        <v>0</v>
      </c>
      <c r="DN35" s="59">
        <f t="shared" si="583"/>
        <v>0</v>
      </c>
      <c r="DO35" s="59">
        <f t="shared" si="584"/>
        <v>0</v>
      </c>
      <c r="DP35" s="59">
        <f t="shared" si="585"/>
        <v>0</v>
      </c>
      <c r="DQ35" s="59">
        <f t="shared" si="586"/>
        <v>0</v>
      </c>
      <c r="DR35" s="59">
        <f t="shared" si="587"/>
        <v>0</v>
      </c>
      <c r="DS35" s="59">
        <f t="shared" si="588"/>
        <v>0</v>
      </c>
      <c r="DT35" s="59">
        <f t="shared" si="589"/>
        <v>0</v>
      </c>
      <c r="DU35" s="59"/>
      <c r="DV35" s="70">
        <v>0</v>
      </c>
      <c r="DW35" s="70">
        <v>0</v>
      </c>
      <c r="DX35" s="70">
        <v>0</v>
      </c>
      <c r="DY35" s="70">
        <v>0</v>
      </c>
      <c r="DZ35" s="70">
        <v>0</v>
      </c>
      <c r="EA35" s="70">
        <v>0</v>
      </c>
      <c r="EB35" s="59">
        <f t="shared" si="590"/>
        <v>0</v>
      </c>
      <c r="EC35" s="59">
        <f t="shared" si="590"/>
        <v>0</v>
      </c>
      <c r="ED35" s="59">
        <f t="shared" si="590"/>
        <v>0</v>
      </c>
      <c r="EE35" s="59">
        <f t="shared" si="590"/>
        <v>0</v>
      </c>
      <c r="EF35" s="59">
        <f t="shared" si="590"/>
        <v>0</v>
      </c>
      <c r="EG35" s="59">
        <f t="shared" si="590"/>
        <v>0</v>
      </c>
      <c r="EH35" s="59">
        <f t="shared" si="591"/>
        <v>0</v>
      </c>
      <c r="EI35" s="59">
        <f t="shared" si="592"/>
        <v>0</v>
      </c>
      <c r="EJ35" s="59">
        <f t="shared" si="593"/>
        <v>0</v>
      </c>
      <c r="EK35" s="59">
        <f t="shared" si="594"/>
        <v>0</v>
      </c>
      <c r="EL35" s="59">
        <f t="shared" si="595"/>
        <v>0</v>
      </c>
      <c r="EM35" s="59"/>
      <c r="EN35" s="70">
        <v>0</v>
      </c>
      <c r="EO35" s="70">
        <v>0</v>
      </c>
      <c r="EP35" s="70">
        <v>0</v>
      </c>
      <c r="EQ35" s="70">
        <v>0</v>
      </c>
      <c r="ER35" s="70">
        <v>0</v>
      </c>
      <c r="ES35" s="59">
        <f t="shared" si="596"/>
        <v>0</v>
      </c>
      <c r="ET35" s="59">
        <f t="shared" si="596"/>
        <v>0</v>
      </c>
      <c r="EU35" s="59">
        <f t="shared" si="596"/>
        <v>0</v>
      </c>
      <c r="EV35" s="59">
        <f t="shared" si="596"/>
        <v>0</v>
      </c>
      <c r="EW35" s="59">
        <f t="shared" si="596"/>
        <v>0</v>
      </c>
      <c r="EX35" s="59">
        <f t="shared" si="596"/>
        <v>0</v>
      </c>
      <c r="EY35" s="59">
        <f t="shared" si="596"/>
        <v>0</v>
      </c>
      <c r="EZ35" s="59">
        <f t="shared" si="597"/>
        <v>0</v>
      </c>
      <c r="FA35" s="59">
        <f t="shared" si="598"/>
        <v>0</v>
      </c>
      <c r="FB35" s="59">
        <f t="shared" si="599"/>
        <v>0</v>
      </c>
      <c r="FC35" s="59">
        <f t="shared" si="600"/>
        <v>0</v>
      </c>
      <c r="FD35" s="59">
        <f t="shared" si="601"/>
        <v>0</v>
      </c>
      <c r="FE35" s="59"/>
      <c r="FF35" s="59">
        <f t="shared" si="602"/>
        <v>0</v>
      </c>
      <c r="FG35" s="59">
        <f t="shared" si="603"/>
        <v>0</v>
      </c>
      <c r="FH35" s="59">
        <f t="shared" si="604"/>
        <v>0</v>
      </c>
      <c r="FI35" s="59">
        <f t="shared" si="605"/>
        <v>0</v>
      </c>
      <c r="FJ35" s="59">
        <f t="shared" si="606"/>
        <v>0</v>
      </c>
      <c r="FK35" s="59">
        <f t="shared" si="607"/>
        <v>0</v>
      </c>
      <c r="FL35" s="59">
        <f t="shared" si="608"/>
        <v>0</v>
      </c>
      <c r="FM35" s="59">
        <f t="shared" si="609"/>
        <v>0</v>
      </c>
      <c r="FN35" s="59">
        <f t="shared" si="610"/>
        <v>0</v>
      </c>
      <c r="FO35" s="59">
        <f t="shared" si="611"/>
        <v>0</v>
      </c>
      <c r="FP35" s="59">
        <f t="shared" si="612"/>
        <v>0</v>
      </c>
      <c r="FQ35" s="59">
        <f t="shared" si="613"/>
        <v>0</v>
      </c>
      <c r="FR35" s="59">
        <f t="shared" si="614"/>
        <v>0</v>
      </c>
      <c r="FS35" s="59">
        <f t="shared" si="615"/>
        <v>0</v>
      </c>
      <c r="FT35" s="59">
        <f t="shared" si="616"/>
        <v>0</v>
      </c>
      <c r="FU35" s="59">
        <f t="shared" si="617"/>
        <v>0</v>
      </c>
      <c r="FV35" s="59">
        <f t="shared" si="618"/>
        <v>0</v>
      </c>
    </row>
    <row r="36" spans="2:178" x14ac:dyDescent="0.2"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60"/>
      <c r="FF36" s="60"/>
      <c r="FG36" s="60"/>
      <c r="FH36" s="60"/>
      <c r="FI36" s="60"/>
      <c r="FJ36" s="60"/>
      <c r="FK36" s="60"/>
      <c r="FL36" s="60"/>
      <c r="FM36" s="60"/>
      <c r="FN36" s="60"/>
      <c r="FO36" s="60"/>
      <c r="FP36" s="60"/>
      <c r="FQ36" s="60"/>
      <c r="FR36" s="60"/>
      <c r="FS36" s="60"/>
      <c r="FT36" s="60"/>
      <c r="FU36" s="60"/>
      <c r="FV36" s="60"/>
    </row>
    <row r="37" spans="2:178" x14ac:dyDescent="0.2"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60"/>
      <c r="FF37" s="60"/>
      <c r="FG37" s="60"/>
      <c r="FH37" s="60"/>
      <c r="FI37" s="60"/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0"/>
      <c r="FU37" s="60"/>
      <c r="FV37" s="60"/>
    </row>
    <row r="38" spans="2:178" ht="20" customHeight="1" x14ac:dyDescent="0.2">
      <c r="B38" s="66" t="s">
        <v>545</v>
      </c>
      <c r="C38" s="67"/>
      <c r="D38" s="67"/>
      <c r="E38" s="68">
        <f>SUM(E39:E44)</f>
        <v>215</v>
      </c>
      <c r="F38" s="68">
        <f>SUM(F39:F44)</f>
        <v>0</v>
      </c>
      <c r="G38" s="68">
        <f>SUM(G39:G44)</f>
        <v>215</v>
      </c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9">
        <f t="shared" ref="R38:AH38" si="999">SUM(R39:R44)</f>
        <v>0</v>
      </c>
      <c r="S38" s="69">
        <f t="shared" si="999"/>
        <v>3</v>
      </c>
      <c r="T38" s="69">
        <f t="shared" si="999"/>
        <v>0</v>
      </c>
      <c r="U38" s="69">
        <f t="shared" si="999"/>
        <v>0</v>
      </c>
      <c r="V38" s="69">
        <f t="shared" si="999"/>
        <v>0</v>
      </c>
      <c r="W38" s="69">
        <f t="shared" si="999"/>
        <v>0</v>
      </c>
      <c r="X38" s="69">
        <f t="shared" si="999"/>
        <v>212</v>
      </c>
      <c r="Y38" s="69">
        <f t="shared" si="999"/>
        <v>0</v>
      </c>
      <c r="Z38" s="69">
        <f t="shared" si="999"/>
        <v>0</v>
      </c>
      <c r="AA38" s="69">
        <f t="shared" si="999"/>
        <v>0</v>
      </c>
      <c r="AB38" s="69">
        <f t="shared" si="999"/>
        <v>0</v>
      </c>
      <c r="AC38" s="69">
        <f t="shared" si="999"/>
        <v>0</v>
      </c>
      <c r="AD38" s="68">
        <f t="shared" si="999"/>
        <v>3</v>
      </c>
      <c r="AE38" s="68">
        <f t="shared" si="999"/>
        <v>0</v>
      </c>
      <c r="AF38" s="68">
        <f t="shared" si="999"/>
        <v>212</v>
      </c>
      <c r="AG38" s="68">
        <f t="shared" si="999"/>
        <v>0</v>
      </c>
      <c r="AH38" s="68">
        <f t="shared" si="999"/>
        <v>215</v>
      </c>
      <c r="AI38" s="68"/>
      <c r="AJ38" s="69">
        <f t="shared" ref="AJ38:AZ38" si="1000">SUM(AJ39:AJ44)</f>
        <v>0</v>
      </c>
      <c r="AK38" s="69">
        <f t="shared" si="1000"/>
        <v>0</v>
      </c>
      <c r="AL38" s="69">
        <f t="shared" si="1000"/>
        <v>0</v>
      </c>
      <c r="AM38" s="69">
        <f t="shared" si="1000"/>
        <v>0</v>
      </c>
      <c r="AN38" s="69">
        <f t="shared" si="1000"/>
        <v>0</v>
      </c>
      <c r="AO38" s="69">
        <f t="shared" si="1000"/>
        <v>0</v>
      </c>
      <c r="AP38" s="69">
        <f t="shared" si="1000"/>
        <v>0</v>
      </c>
      <c r="AQ38" s="69">
        <f t="shared" si="1000"/>
        <v>0</v>
      </c>
      <c r="AR38" s="69">
        <f t="shared" si="1000"/>
        <v>0</v>
      </c>
      <c r="AS38" s="69">
        <f t="shared" si="1000"/>
        <v>0</v>
      </c>
      <c r="AT38" s="69">
        <f t="shared" si="1000"/>
        <v>0</v>
      </c>
      <c r="AU38" s="69">
        <f t="shared" si="1000"/>
        <v>0</v>
      </c>
      <c r="AV38" s="68">
        <f t="shared" si="1000"/>
        <v>0</v>
      </c>
      <c r="AW38" s="68">
        <f t="shared" si="1000"/>
        <v>0</v>
      </c>
      <c r="AX38" s="68">
        <f t="shared" si="1000"/>
        <v>0</v>
      </c>
      <c r="AY38" s="68">
        <f t="shared" si="1000"/>
        <v>0</v>
      </c>
      <c r="AZ38" s="68">
        <f t="shared" si="1000"/>
        <v>0</v>
      </c>
      <c r="BA38" s="68"/>
      <c r="BB38" s="69">
        <f t="shared" ref="BB38:BR38" si="1001">SUM(BB39:BB44)</f>
        <v>0</v>
      </c>
      <c r="BC38" s="69">
        <f t="shared" si="1001"/>
        <v>3</v>
      </c>
      <c r="BD38" s="69">
        <f t="shared" si="1001"/>
        <v>0</v>
      </c>
      <c r="BE38" s="69">
        <f t="shared" si="1001"/>
        <v>0</v>
      </c>
      <c r="BF38" s="69">
        <f t="shared" si="1001"/>
        <v>0</v>
      </c>
      <c r="BG38" s="69">
        <f t="shared" si="1001"/>
        <v>0</v>
      </c>
      <c r="BH38" s="69">
        <f t="shared" si="1001"/>
        <v>212</v>
      </c>
      <c r="BI38" s="69">
        <f t="shared" si="1001"/>
        <v>0</v>
      </c>
      <c r="BJ38" s="69">
        <f t="shared" si="1001"/>
        <v>0</v>
      </c>
      <c r="BK38" s="69">
        <f t="shared" si="1001"/>
        <v>0</v>
      </c>
      <c r="BL38" s="69">
        <f t="shared" si="1001"/>
        <v>0</v>
      </c>
      <c r="BM38" s="69">
        <f t="shared" si="1001"/>
        <v>0</v>
      </c>
      <c r="BN38" s="68">
        <f t="shared" si="1001"/>
        <v>3</v>
      </c>
      <c r="BO38" s="68">
        <f t="shared" si="1001"/>
        <v>0</v>
      </c>
      <c r="BP38" s="68">
        <f t="shared" si="1001"/>
        <v>212</v>
      </c>
      <c r="BQ38" s="68">
        <f t="shared" si="1001"/>
        <v>0</v>
      </c>
      <c r="BR38" s="68">
        <f t="shared" si="1001"/>
        <v>215</v>
      </c>
      <c r="BS38" s="68"/>
      <c r="BT38" s="69">
        <f t="shared" ref="BT38:CJ38" si="1002">SUM(BT39:BT44)</f>
        <v>0</v>
      </c>
      <c r="BU38" s="69">
        <f t="shared" si="1002"/>
        <v>0</v>
      </c>
      <c r="BV38" s="69">
        <f t="shared" si="1002"/>
        <v>1.5</v>
      </c>
      <c r="BW38" s="69">
        <f t="shared" si="1002"/>
        <v>1.5</v>
      </c>
      <c r="BX38" s="69">
        <f t="shared" si="1002"/>
        <v>0</v>
      </c>
      <c r="BY38" s="69">
        <f t="shared" si="1002"/>
        <v>0</v>
      </c>
      <c r="BZ38" s="69">
        <f t="shared" si="1002"/>
        <v>0</v>
      </c>
      <c r="CA38" s="69">
        <f t="shared" si="1002"/>
        <v>53</v>
      </c>
      <c r="CB38" s="69">
        <f t="shared" si="1002"/>
        <v>53</v>
      </c>
      <c r="CC38" s="69">
        <f t="shared" si="1002"/>
        <v>53</v>
      </c>
      <c r="CD38" s="69">
        <f t="shared" si="1002"/>
        <v>53</v>
      </c>
      <c r="CE38" s="69">
        <f t="shared" si="1002"/>
        <v>0</v>
      </c>
      <c r="CF38" s="68">
        <f t="shared" si="1002"/>
        <v>1.5</v>
      </c>
      <c r="CG38" s="68">
        <f t="shared" si="1002"/>
        <v>1.5</v>
      </c>
      <c r="CH38" s="68">
        <f t="shared" si="1002"/>
        <v>106</v>
      </c>
      <c r="CI38" s="68">
        <f t="shared" si="1002"/>
        <v>106</v>
      </c>
      <c r="CJ38" s="68">
        <f t="shared" si="1002"/>
        <v>215</v>
      </c>
      <c r="CK38" s="68"/>
      <c r="CL38" s="69">
        <f t="shared" ref="CL38:DB38" si="1003">SUM(CL39:CL44)</f>
        <v>0</v>
      </c>
      <c r="CM38" s="69">
        <f t="shared" si="1003"/>
        <v>0</v>
      </c>
      <c r="CN38" s="69">
        <f t="shared" si="1003"/>
        <v>0</v>
      </c>
      <c r="CO38" s="69">
        <f t="shared" si="1003"/>
        <v>0</v>
      </c>
      <c r="CP38" s="69">
        <f t="shared" si="1003"/>
        <v>0</v>
      </c>
      <c r="CQ38" s="69">
        <f t="shared" si="1003"/>
        <v>0</v>
      </c>
      <c r="CR38" s="69">
        <f t="shared" si="1003"/>
        <v>0</v>
      </c>
      <c r="CS38" s="69">
        <f t="shared" si="1003"/>
        <v>0</v>
      </c>
      <c r="CT38" s="69">
        <f t="shared" si="1003"/>
        <v>0</v>
      </c>
      <c r="CU38" s="69">
        <f t="shared" si="1003"/>
        <v>0</v>
      </c>
      <c r="CV38" s="69">
        <f t="shared" si="1003"/>
        <v>0</v>
      </c>
      <c r="CW38" s="69">
        <f t="shared" si="1003"/>
        <v>0</v>
      </c>
      <c r="CX38" s="68">
        <f t="shared" si="1003"/>
        <v>0</v>
      </c>
      <c r="CY38" s="68">
        <f t="shared" si="1003"/>
        <v>0</v>
      </c>
      <c r="CZ38" s="68">
        <f t="shared" si="1003"/>
        <v>0</v>
      </c>
      <c r="DA38" s="68">
        <f t="shared" si="1003"/>
        <v>0</v>
      </c>
      <c r="DB38" s="68">
        <f t="shared" si="1003"/>
        <v>0</v>
      </c>
      <c r="DC38" s="68"/>
      <c r="DD38" s="69">
        <f t="shared" ref="DD38:DT38" si="1004">SUM(DD39:DD44)</f>
        <v>0</v>
      </c>
      <c r="DE38" s="69">
        <f t="shared" si="1004"/>
        <v>0</v>
      </c>
      <c r="DF38" s="69">
        <f t="shared" si="1004"/>
        <v>1.5</v>
      </c>
      <c r="DG38" s="69">
        <f t="shared" si="1004"/>
        <v>1.5</v>
      </c>
      <c r="DH38" s="69">
        <f t="shared" si="1004"/>
        <v>0</v>
      </c>
      <c r="DI38" s="69">
        <f t="shared" si="1004"/>
        <v>0</v>
      </c>
      <c r="DJ38" s="69">
        <f t="shared" si="1004"/>
        <v>0</v>
      </c>
      <c r="DK38" s="69">
        <f t="shared" si="1004"/>
        <v>53</v>
      </c>
      <c r="DL38" s="69">
        <f t="shared" si="1004"/>
        <v>53</v>
      </c>
      <c r="DM38" s="69">
        <f t="shared" si="1004"/>
        <v>53</v>
      </c>
      <c r="DN38" s="69">
        <f t="shared" si="1004"/>
        <v>53</v>
      </c>
      <c r="DO38" s="69">
        <f t="shared" si="1004"/>
        <v>0</v>
      </c>
      <c r="DP38" s="68">
        <f t="shared" si="1004"/>
        <v>1.5</v>
      </c>
      <c r="DQ38" s="68">
        <f t="shared" si="1004"/>
        <v>1.5</v>
      </c>
      <c r="DR38" s="68">
        <f t="shared" si="1004"/>
        <v>106</v>
      </c>
      <c r="DS38" s="68">
        <f t="shared" si="1004"/>
        <v>106</v>
      </c>
      <c r="DT38" s="68">
        <f t="shared" si="1004"/>
        <v>215</v>
      </c>
      <c r="DU38" s="68"/>
      <c r="DV38" s="69">
        <f t="shared" ref="DV38:EL38" si="1005">SUM(DV39:DV44)</f>
        <v>29.877359999999999</v>
      </c>
      <c r="DW38" s="69">
        <f t="shared" si="1005"/>
        <v>166.88399999999999</v>
      </c>
      <c r="DX38" s="69">
        <f t="shared" si="1005"/>
        <v>0</v>
      </c>
      <c r="DY38" s="69">
        <f t="shared" si="1005"/>
        <v>1.5</v>
      </c>
      <c r="DZ38" s="69">
        <f t="shared" si="1005"/>
        <v>1.5</v>
      </c>
      <c r="EA38" s="69">
        <f t="shared" si="1005"/>
        <v>7.2222499999999998</v>
      </c>
      <c r="EB38" s="69">
        <f t="shared" si="1005"/>
        <v>42.956499999999998</v>
      </c>
      <c r="EC38" s="69">
        <f t="shared" si="1005"/>
        <v>11.5345</v>
      </c>
      <c r="ED38" s="69">
        <f t="shared" si="1005"/>
        <v>16.689</v>
      </c>
      <c r="EE38" s="69">
        <f t="shared" si="1005"/>
        <v>53</v>
      </c>
      <c r="EF38" s="69">
        <f t="shared" si="1005"/>
        <v>53</v>
      </c>
      <c r="EG38" s="69">
        <f t="shared" si="1005"/>
        <v>53</v>
      </c>
      <c r="EH38" s="68">
        <f t="shared" si="1005"/>
        <v>196.76136</v>
      </c>
      <c r="EI38" s="68">
        <f t="shared" si="1005"/>
        <v>10.222249999999999</v>
      </c>
      <c r="EJ38" s="68">
        <f t="shared" si="1005"/>
        <v>71.180000000000007</v>
      </c>
      <c r="EK38" s="68">
        <f t="shared" si="1005"/>
        <v>159</v>
      </c>
      <c r="EL38" s="68">
        <f t="shared" si="1005"/>
        <v>437.16361000000001</v>
      </c>
      <c r="EM38" s="68"/>
      <c r="EN38" s="69">
        <f t="shared" ref="EN38:FD38" si="1006">SUM(EN39:EN44)</f>
        <v>0</v>
      </c>
      <c r="EO38" s="69">
        <f t="shared" si="1006"/>
        <v>0</v>
      </c>
      <c r="EP38" s="69">
        <f t="shared" si="1006"/>
        <v>0</v>
      </c>
      <c r="EQ38" s="69">
        <f t="shared" si="1006"/>
        <v>0</v>
      </c>
      <c r="ER38" s="69">
        <f t="shared" si="1006"/>
        <v>0</v>
      </c>
      <c r="ES38" s="69">
        <f t="shared" si="1006"/>
        <v>0</v>
      </c>
      <c r="ET38" s="69">
        <f t="shared" si="1006"/>
        <v>0</v>
      </c>
      <c r="EU38" s="69">
        <f t="shared" si="1006"/>
        <v>0</v>
      </c>
      <c r="EV38" s="69">
        <f t="shared" si="1006"/>
        <v>0</v>
      </c>
      <c r="EW38" s="69">
        <f t="shared" si="1006"/>
        <v>0</v>
      </c>
      <c r="EX38" s="69">
        <f t="shared" si="1006"/>
        <v>0</v>
      </c>
      <c r="EY38" s="69">
        <f t="shared" si="1006"/>
        <v>0</v>
      </c>
      <c r="EZ38" s="68">
        <f t="shared" si="1006"/>
        <v>0</v>
      </c>
      <c r="FA38" s="68">
        <f t="shared" si="1006"/>
        <v>0</v>
      </c>
      <c r="FB38" s="68">
        <f t="shared" si="1006"/>
        <v>0</v>
      </c>
      <c r="FC38" s="68">
        <f t="shared" si="1006"/>
        <v>0</v>
      </c>
      <c r="FD38" s="68">
        <f t="shared" si="1006"/>
        <v>0</v>
      </c>
      <c r="FE38" s="68"/>
      <c r="FF38" s="69">
        <f t="shared" ref="FF38:FV38" si="1007">SUM(FF39:FF44)</f>
        <v>29.877359999999999</v>
      </c>
      <c r="FG38" s="69">
        <f t="shared" si="1007"/>
        <v>166.88399999999999</v>
      </c>
      <c r="FH38" s="69">
        <f t="shared" si="1007"/>
        <v>0</v>
      </c>
      <c r="FI38" s="69">
        <f t="shared" si="1007"/>
        <v>1.5</v>
      </c>
      <c r="FJ38" s="69">
        <f t="shared" si="1007"/>
        <v>1.5</v>
      </c>
      <c r="FK38" s="69">
        <f t="shared" si="1007"/>
        <v>7.2222499999999998</v>
      </c>
      <c r="FL38" s="69">
        <f t="shared" si="1007"/>
        <v>42.956499999999998</v>
      </c>
      <c r="FM38" s="69">
        <f t="shared" si="1007"/>
        <v>11.5345</v>
      </c>
      <c r="FN38" s="69">
        <f t="shared" si="1007"/>
        <v>16.689</v>
      </c>
      <c r="FO38" s="69">
        <f t="shared" si="1007"/>
        <v>53</v>
      </c>
      <c r="FP38" s="69">
        <f t="shared" si="1007"/>
        <v>53</v>
      </c>
      <c r="FQ38" s="69">
        <f t="shared" si="1007"/>
        <v>53</v>
      </c>
      <c r="FR38" s="68">
        <f t="shared" si="1007"/>
        <v>196.76136</v>
      </c>
      <c r="FS38" s="68">
        <f t="shared" si="1007"/>
        <v>10.222249999999999</v>
      </c>
      <c r="FT38" s="68">
        <f t="shared" si="1007"/>
        <v>71.180000000000007</v>
      </c>
      <c r="FU38" s="68">
        <f t="shared" si="1007"/>
        <v>159</v>
      </c>
      <c r="FV38" s="68">
        <f t="shared" si="1007"/>
        <v>437.16361000000001</v>
      </c>
    </row>
    <row r="39" spans="2:178" x14ac:dyDescent="0.2">
      <c r="B39" s="46">
        <v>1</v>
      </c>
      <c r="C39" s="14" t="s">
        <v>3</v>
      </c>
      <c r="E39" s="13">
        <v>0</v>
      </c>
      <c r="F39" s="13">
        <v>0</v>
      </c>
      <c r="G39" s="17">
        <f t="shared" ref="G39:G42" si="1008">+E39+F39</f>
        <v>0</v>
      </c>
      <c r="H39" s="49" t="s">
        <v>215</v>
      </c>
      <c r="I39" s="49" t="s">
        <v>216</v>
      </c>
      <c r="J39" s="49" t="s">
        <v>262</v>
      </c>
      <c r="K39" s="54">
        <v>1</v>
      </c>
      <c r="L39" s="54">
        <v>0</v>
      </c>
      <c r="M39" s="54">
        <v>0</v>
      </c>
      <c r="N39" s="54">
        <v>0</v>
      </c>
      <c r="O39" s="48">
        <f t="shared" ref="O39:O43" si="1009">+N39+1</f>
        <v>1</v>
      </c>
      <c r="P39" s="48">
        <f t="shared" ref="P39:P42" si="1010">+K39+L39</f>
        <v>1</v>
      </c>
      <c r="R39" s="59">
        <f t="shared" ref="R39:AC43" si="1011">IF($N39&lt;R$4,0,IF($N39=R$4,$E39,0))</f>
        <v>0</v>
      </c>
      <c r="S39" s="59">
        <f t="shared" si="1011"/>
        <v>0</v>
      </c>
      <c r="T39" s="59">
        <f t="shared" si="1011"/>
        <v>0</v>
      </c>
      <c r="U39" s="59">
        <f t="shared" si="1011"/>
        <v>0</v>
      </c>
      <c r="V39" s="59">
        <f t="shared" si="1011"/>
        <v>0</v>
      </c>
      <c r="W39" s="59">
        <f t="shared" si="1011"/>
        <v>0</v>
      </c>
      <c r="X39" s="59">
        <f t="shared" si="1011"/>
        <v>0</v>
      </c>
      <c r="Y39" s="59">
        <f t="shared" si="1011"/>
        <v>0</v>
      </c>
      <c r="Z39" s="59">
        <f t="shared" si="1011"/>
        <v>0</v>
      </c>
      <c r="AA39" s="59">
        <f t="shared" si="1011"/>
        <v>0</v>
      </c>
      <c r="AB39" s="59">
        <f t="shared" si="1011"/>
        <v>0</v>
      </c>
      <c r="AC39" s="59">
        <f t="shared" si="1011"/>
        <v>0</v>
      </c>
      <c r="AD39" s="59">
        <f t="shared" ref="AD39:AD42" si="1012">SUM(R39:T39)</f>
        <v>0</v>
      </c>
      <c r="AE39" s="59">
        <f t="shared" ref="AE39:AE42" si="1013">SUM(U39:W39)</f>
        <v>0</v>
      </c>
      <c r="AF39" s="59">
        <f t="shared" ref="AF39:AF42" si="1014">SUM(X39:Z39)</f>
        <v>0</v>
      </c>
      <c r="AG39" s="59">
        <f t="shared" ref="AG39:AG42" si="1015">SUM(AA39:AC39)</f>
        <v>0</v>
      </c>
      <c r="AH39" s="59">
        <f t="shared" ref="AH39:AH42" si="1016">SUM(AD39:AG39)</f>
        <v>0</v>
      </c>
      <c r="AI39" s="59"/>
      <c r="AJ39" s="59">
        <f t="shared" ref="AJ39:AU43" si="1017">IF($N39&lt;AJ$4,0,IF($N39=AJ$4,$F39,0))</f>
        <v>0</v>
      </c>
      <c r="AK39" s="59">
        <f t="shared" si="1017"/>
        <v>0</v>
      </c>
      <c r="AL39" s="59">
        <f t="shared" si="1017"/>
        <v>0</v>
      </c>
      <c r="AM39" s="59">
        <f t="shared" si="1017"/>
        <v>0</v>
      </c>
      <c r="AN39" s="59">
        <f t="shared" si="1017"/>
        <v>0</v>
      </c>
      <c r="AO39" s="59">
        <f t="shared" si="1017"/>
        <v>0</v>
      </c>
      <c r="AP39" s="59">
        <f t="shared" si="1017"/>
        <v>0</v>
      </c>
      <c r="AQ39" s="59">
        <f t="shared" si="1017"/>
        <v>0</v>
      </c>
      <c r="AR39" s="59">
        <f t="shared" si="1017"/>
        <v>0</v>
      </c>
      <c r="AS39" s="59">
        <f t="shared" si="1017"/>
        <v>0</v>
      </c>
      <c r="AT39" s="59">
        <f t="shared" si="1017"/>
        <v>0</v>
      </c>
      <c r="AU39" s="59">
        <f t="shared" si="1017"/>
        <v>0</v>
      </c>
      <c r="AV39" s="59">
        <f t="shared" ref="AV39:AV42" si="1018">SUM(AJ39:AL39)</f>
        <v>0</v>
      </c>
      <c r="AW39" s="59">
        <f t="shared" ref="AW39:AW42" si="1019">SUM(AM39:AO39)</f>
        <v>0</v>
      </c>
      <c r="AX39" s="59">
        <f t="shared" ref="AX39:AX42" si="1020">SUM(AP39:AR39)</f>
        <v>0</v>
      </c>
      <c r="AY39" s="59">
        <f t="shared" ref="AY39:AY42" si="1021">SUM(AS39:AU39)</f>
        <v>0</v>
      </c>
      <c r="AZ39" s="59">
        <f t="shared" ref="AZ39:AZ42" si="1022">SUM(AV39:AY39)</f>
        <v>0</v>
      </c>
      <c r="BA39" s="59"/>
      <c r="BB39" s="59">
        <f t="shared" ref="BB39:BB42" si="1023">+R39+AJ39</f>
        <v>0</v>
      </c>
      <c r="BC39" s="59">
        <f t="shared" ref="BC39:BC42" si="1024">+S39+AK39</f>
        <v>0</v>
      </c>
      <c r="BD39" s="59">
        <f t="shared" ref="BD39:BD42" si="1025">+T39+AL39</f>
        <v>0</v>
      </c>
      <c r="BE39" s="59">
        <f t="shared" ref="BE39:BE42" si="1026">+U39+AM39</f>
        <v>0</v>
      </c>
      <c r="BF39" s="59">
        <f t="shared" ref="BF39:BF42" si="1027">+V39+AN39</f>
        <v>0</v>
      </c>
      <c r="BG39" s="59">
        <f t="shared" ref="BG39:BG42" si="1028">+W39+AO39</f>
        <v>0</v>
      </c>
      <c r="BH39" s="59">
        <f t="shared" ref="BH39:BH42" si="1029">+X39+AP39</f>
        <v>0</v>
      </c>
      <c r="BI39" s="59">
        <f t="shared" ref="BI39:BI42" si="1030">+Y39+AQ39</f>
        <v>0</v>
      </c>
      <c r="BJ39" s="59">
        <f t="shared" ref="BJ39:BJ42" si="1031">+Z39+AR39</f>
        <v>0</v>
      </c>
      <c r="BK39" s="59">
        <f t="shared" ref="BK39:BK42" si="1032">+AA39+AS39</f>
        <v>0</v>
      </c>
      <c r="BL39" s="59">
        <f t="shared" ref="BL39:BL42" si="1033">+AB39+AT39</f>
        <v>0</v>
      </c>
      <c r="BM39" s="59">
        <f t="shared" ref="BM39:BM42" si="1034">+AC39+AU39</f>
        <v>0</v>
      </c>
      <c r="BN39" s="59">
        <f t="shared" ref="BN39:BN42" si="1035">SUM(BB39:BD39)</f>
        <v>0</v>
      </c>
      <c r="BO39" s="59">
        <f t="shared" ref="BO39:BO42" si="1036">SUM(BE39:BG39)</f>
        <v>0</v>
      </c>
      <c r="BP39" s="59">
        <f t="shared" ref="BP39:BP42" si="1037">SUM(BH39:BJ39)</f>
        <v>0</v>
      </c>
      <c r="BQ39" s="59">
        <f t="shared" ref="BQ39:BQ42" si="1038">SUM(BK39:BM39)</f>
        <v>0</v>
      </c>
      <c r="BR39" s="59">
        <f t="shared" ref="BR39:BR42" si="1039">SUM(BN39:BQ39)</f>
        <v>0</v>
      </c>
      <c r="BS39" s="59"/>
      <c r="BT39" s="59">
        <f t="shared" ref="BT39:CE43" si="1040">IF(BT$4&lt;$O39,0,IF(AND(BT$4&gt;=$O39,BT$4&lt;=$K39+$N39),$E39/$K39,0))</f>
        <v>0</v>
      </c>
      <c r="BU39" s="59">
        <f t="shared" si="1040"/>
        <v>0</v>
      </c>
      <c r="BV39" s="59">
        <f t="shared" si="1040"/>
        <v>0</v>
      </c>
      <c r="BW39" s="59">
        <f t="shared" si="1040"/>
        <v>0</v>
      </c>
      <c r="BX39" s="59">
        <f t="shared" si="1040"/>
        <v>0</v>
      </c>
      <c r="BY39" s="59">
        <f t="shared" si="1040"/>
        <v>0</v>
      </c>
      <c r="BZ39" s="59">
        <f t="shared" si="1040"/>
        <v>0</v>
      </c>
      <c r="CA39" s="59">
        <f t="shared" si="1040"/>
        <v>0</v>
      </c>
      <c r="CB39" s="59">
        <f t="shared" si="1040"/>
        <v>0</v>
      </c>
      <c r="CC39" s="59">
        <f t="shared" si="1040"/>
        <v>0</v>
      </c>
      <c r="CD39" s="59">
        <f t="shared" si="1040"/>
        <v>0</v>
      </c>
      <c r="CE39" s="59">
        <f t="shared" si="1040"/>
        <v>0</v>
      </c>
      <c r="CF39" s="59">
        <f t="shared" ref="CF39:CF42" si="1041">SUM(BT39:BV39)</f>
        <v>0</v>
      </c>
      <c r="CG39" s="59">
        <f t="shared" ref="CG39:CG42" si="1042">SUM(BW39:BY39)</f>
        <v>0</v>
      </c>
      <c r="CH39" s="59">
        <f t="shared" ref="CH39:CH42" si="1043">SUM(BZ39:CB39)</f>
        <v>0</v>
      </c>
      <c r="CI39" s="59">
        <f t="shared" ref="CI39:CI42" si="1044">SUM(CC39:CE39)</f>
        <v>0</v>
      </c>
      <c r="CJ39" s="59">
        <f t="shared" ref="CJ39:CJ42" si="1045">SUM(CF39:CI39)</f>
        <v>0</v>
      </c>
      <c r="CK39" s="59"/>
      <c r="CL39" s="59">
        <f t="shared" ref="CL39:CW43" si="1046">IF(CL$4&lt;$O39+$K39,0,IF(AND(CL$4&gt;=$O39+$K39,CL$4&lt;=$L39+$K39),$F39/$L39,0))</f>
        <v>0</v>
      </c>
      <c r="CM39" s="59">
        <f t="shared" si="1046"/>
        <v>0</v>
      </c>
      <c r="CN39" s="59">
        <f t="shared" si="1046"/>
        <v>0</v>
      </c>
      <c r="CO39" s="59">
        <f t="shared" si="1046"/>
        <v>0</v>
      </c>
      <c r="CP39" s="59">
        <f t="shared" si="1046"/>
        <v>0</v>
      </c>
      <c r="CQ39" s="59">
        <f t="shared" si="1046"/>
        <v>0</v>
      </c>
      <c r="CR39" s="59">
        <f t="shared" si="1046"/>
        <v>0</v>
      </c>
      <c r="CS39" s="59">
        <f t="shared" si="1046"/>
        <v>0</v>
      </c>
      <c r="CT39" s="59">
        <f t="shared" si="1046"/>
        <v>0</v>
      </c>
      <c r="CU39" s="59">
        <f t="shared" si="1046"/>
        <v>0</v>
      </c>
      <c r="CV39" s="59">
        <f t="shared" si="1046"/>
        <v>0</v>
      </c>
      <c r="CW39" s="59">
        <f t="shared" si="1046"/>
        <v>0</v>
      </c>
      <c r="CX39" s="59">
        <f t="shared" ref="CX39:CX42" si="1047">SUM(CL39:CN39)</f>
        <v>0</v>
      </c>
      <c r="CY39" s="59">
        <f t="shared" ref="CY39:CY42" si="1048">SUM(CO39:CQ39)</f>
        <v>0</v>
      </c>
      <c r="CZ39" s="59">
        <f t="shared" ref="CZ39:CZ42" si="1049">SUM(CR39:CT39)</f>
        <v>0</v>
      </c>
      <c r="DA39" s="59">
        <f t="shared" ref="DA39:DA42" si="1050">SUM(CU39:CW39)</f>
        <v>0</v>
      </c>
      <c r="DB39" s="59">
        <f t="shared" ref="DB39:DB42" si="1051">SUM(CX39:DA39)</f>
        <v>0</v>
      </c>
      <c r="DC39" s="59"/>
      <c r="DD39" s="59">
        <f t="shared" ref="DD39:DD42" si="1052">+BT39+CL39</f>
        <v>0</v>
      </c>
      <c r="DE39" s="59">
        <f t="shared" ref="DE39:DE42" si="1053">+BU39+CM39</f>
        <v>0</v>
      </c>
      <c r="DF39" s="59">
        <f t="shared" ref="DF39:DF42" si="1054">+BV39+CN39</f>
        <v>0</v>
      </c>
      <c r="DG39" s="59">
        <f t="shared" ref="DG39:DG42" si="1055">+BW39+CO39</f>
        <v>0</v>
      </c>
      <c r="DH39" s="59">
        <f t="shared" ref="DH39:DH42" si="1056">+BX39+CP39</f>
        <v>0</v>
      </c>
      <c r="DI39" s="59">
        <f t="shared" ref="DI39:DI42" si="1057">+BY39+CQ39</f>
        <v>0</v>
      </c>
      <c r="DJ39" s="59">
        <f t="shared" ref="DJ39:DJ42" si="1058">+BZ39+CR39</f>
        <v>0</v>
      </c>
      <c r="DK39" s="59">
        <f t="shared" ref="DK39:DK42" si="1059">+CA39+CS39</f>
        <v>0</v>
      </c>
      <c r="DL39" s="59">
        <f t="shared" ref="DL39:DL42" si="1060">+CB39+CT39</f>
        <v>0</v>
      </c>
      <c r="DM39" s="59">
        <f t="shared" ref="DM39:DM42" si="1061">+CC39+CU39</f>
        <v>0</v>
      </c>
      <c r="DN39" s="59">
        <f t="shared" ref="DN39:DN42" si="1062">+CD39+CV39</f>
        <v>0</v>
      </c>
      <c r="DO39" s="59">
        <f t="shared" ref="DO39:DO42" si="1063">+CE39+CW39</f>
        <v>0</v>
      </c>
      <c r="DP39" s="59">
        <f t="shared" ref="DP39:DP42" si="1064">SUM(DD39:DF39)</f>
        <v>0</v>
      </c>
      <c r="DQ39" s="59">
        <f t="shared" ref="DQ39:DQ42" si="1065">SUM(DG39:DI39)</f>
        <v>0</v>
      </c>
      <c r="DR39" s="59">
        <f t="shared" ref="DR39:DR42" si="1066">SUM(DJ39:DL39)</f>
        <v>0</v>
      </c>
      <c r="DS39" s="59">
        <f t="shared" ref="DS39:DS42" si="1067">SUM(DM39:DO39)</f>
        <v>0</v>
      </c>
      <c r="DT39" s="59">
        <f t="shared" ref="DT39:DT42" si="1068">SUM(DP39:DS39)</f>
        <v>0</v>
      </c>
      <c r="DU39" s="59"/>
      <c r="DV39" s="70">
        <v>6.1950000000000003</v>
      </c>
      <c r="DW39" s="70">
        <v>0</v>
      </c>
      <c r="DX39" s="70">
        <v>0</v>
      </c>
      <c r="DY39" s="70">
        <v>0</v>
      </c>
      <c r="DZ39" s="70">
        <v>0</v>
      </c>
      <c r="EA39" s="70">
        <v>0</v>
      </c>
      <c r="EB39" s="59">
        <f t="shared" ref="EB39:EG43" si="1069">IF(EB$4&lt;$O39+2,0,IF(AND(EB$4&gt;=$O39+2,EB$4&lt;=$K39+$N39+2),$E39/$K39,0))</f>
        <v>0</v>
      </c>
      <c r="EC39" s="59">
        <f t="shared" si="1069"/>
        <v>0</v>
      </c>
      <c r="ED39" s="59">
        <f t="shared" si="1069"/>
        <v>0</v>
      </c>
      <c r="EE39" s="59">
        <f t="shared" si="1069"/>
        <v>0</v>
      </c>
      <c r="EF39" s="59">
        <f t="shared" si="1069"/>
        <v>0</v>
      </c>
      <c r="EG39" s="59">
        <f t="shared" si="1069"/>
        <v>0</v>
      </c>
      <c r="EH39" s="59">
        <f t="shared" ref="EH39:EH42" si="1070">SUM(DV39:DX39)</f>
        <v>6.1950000000000003</v>
      </c>
      <c r="EI39" s="59">
        <f t="shared" ref="EI39:EI42" si="1071">SUM(DY39:EA39)</f>
        <v>0</v>
      </c>
      <c r="EJ39" s="59">
        <f t="shared" ref="EJ39:EJ42" si="1072">SUM(EB39:ED39)</f>
        <v>0</v>
      </c>
      <c r="EK39" s="59">
        <f t="shared" ref="EK39:EK42" si="1073">SUM(EE39:EG39)</f>
        <v>0</v>
      </c>
      <c r="EL39" s="59">
        <f t="shared" ref="EL39:EL42" si="1074">SUM(EH39:EK39)</f>
        <v>6.1950000000000003</v>
      </c>
      <c r="EM39" s="59"/>
      <c r="EN39" s="70">
        <v>0</v>
      </c>
      <c r="EO39" s="70">
        <v>0</v>
      </c>
      <c r="EP39" s="70">
        <v>0</v>
      </c>
      <c r="EQ39" s="70">
        <v>0</v>
      </c>
      <c r="ER39" s="70">
        <v>0</v>
      </c>
      <c r="ES39" s="59">
        <f t="shared" ref="ES39:EY43" si="1075">IF(ES$4&lt;$O39+$K39+1,0,IF(AND(ES$4=$O39+$K39+1,ES$4&lt;=$L39+$K39+1),$F39*0.5,IF(AND(ES$4&gt;$O39+$K39+1,ES$4&lt;=$L39+$K39+1),($F39*0.5)/$L39,0)))</f>
        <v>0</v>
      </c>
      <c r="ET39" s="59">
        <f t="shared" si="1075"/>
        <v>0</v>
      </c>
      <c r="EU39" s="59">
        <f t="shared" si="1075"/>
        <v>0</v>
      </c>
      <c r="EV39" s="59">
        <f t="shared" si="1075"/>
        <v>0</v>
      </c>
      <c r="EW39" s="59">
        <f t="shared" si="1075"/>
        <v>0</v>
      </c>
      <c r="EX39" s="59">
        <f t="shared" si="1075"/>
        <v>0</v>
      </c>
      <c r="EY39" s="59">
        <f t="shared" si="1075"/>
        <v>0</v>
      </c>
      <c r="EZ39" s="59">
        <f t="shared" ref="EZ39:EZ42" si="1076">SUM(EN39:EP39)</f>
        <v>0</v>
      </c>
      <c r="FA39" s="59">
        <f t="shared" ref="FA39:FA42" si="1077">SUM(EQ39:ES39)</f>
        <v>0</v>
      </c>
      <c r="FB39" s="59">
        <f t="shared" ref="FB39:FB42" si="1078">SUM(ET39:EV39)</f>
        <v>0</v>
      </c>
      <c r="FC39" s="59">
        <f t="shared" ref="FC39:FC42" si="1079">SUM(EW39:EY39)</f>
        <v>0</v>
      </c>
      <c r="FD39" s="59">
        <f t="shared" ref="FD39:FD42" si="1080">SUM(EZ39:FC39)</f>
        <v>0</v>
      </c>
      <c r="FE39" s="59"/>
      <c r="FF39" s="59">
        <f t="shared" ref="FF39:FF42" si="1081">+DV39+EN39</f>
        <v>6.1950000000000003</v>
      </c>
      <c r="FG39" s="59">
        <f t="shared" ref="FG39:FG42" si="1082">+DW39+EO39</f>
        <v>0</v>
      </c>
      <c r="FH39" s="59">
        <f t="shared" ref="FH39:FH42" si="1083">+DX39+EP39</f>
        <v>0</v>
      </c>
      <c r="FI39" s="59">
        <f t="shared" ref="FI39:FI42" si="1084">+DY39+EQ39</f>
        <v>0</v>
      </c>
      <c r="FJ39" s="59">
        <f t="shared" ref="FJ39:FJ42" si="1085">+DZ39+ER39</f>
        <v>0</v>
      </c>
      <c r="FK39" s="59">
        <f t="shared" ref="FK39:FK42" si="1086">+EA39+ES39</f>
        <v>0</v>
      </c>
      <c r="FL39" s="59">
        <f t="shared" ref="FL39:FL42" si="1087">+EB39+ET39</f>
        <v>0</v>
      </c>
      <c r="FM39" s="59">
        <f t="shared" ref="FM39:FM42" si="1088">+EC39+EU39</f>
        <v>0</v>
      </c>
      <c r="FN39" s="59">
        <f t="shared" ref="FN39:FN42" si="1089">+ED39+EV39</f>
        <v>0</v>
      </c>
      <c r="FO39" s="59">
        <f t="shared" ref="FO39:FO42" si="1090">+EE39+EW39</f>
        <v>0</v>
      </c>
      <c r="FP39" s="59">
        <f t="shared" ref="FP39:FP42" si="1091">+EF39+EX39</f>
        <v>0</v>
      </c>
      <c r="FQ39" s="59">
        <f t="shared" ref="FQ39:FQ42" si="1092">+EG39+EY39</f>
        <v>0</v>
      </c>
      <c r="FR39" s="59">
        <f t="shared" ref="FR39:FR42" si="1093">SUM(FF39:FH39)</f>
        <v>6.1950000000000003</v>
      </c>
      <c r="FS39" s="59">
        <f t="shared" ref="FS39:FS42" si="1094">SUM(FI39:FK39)</f>
        <v>0</v>
      </c>
      <c r="FT39" s="59">
        <f t="shared" ref="FT39:FT42" si="1095">SUM(FL39:FN39)</f>
        <v>0</v>
      </c>
      <c r="FU39" s="59">
        <f t="shared" ref="FU39:FU42" si="1096">SUM(FO39:FQ39)</f>
        <v>0</v>
      </c>
      <c r="FV39" s="59">
        <f t="shared" ref="FV39:FV42" si="1097">SUM(FR39:FU39)</f>
        <v>6.1950000000000003</v>
      </c>
    </row>
    <row r="40" spans="2:178" x14ac:dyDescent="0.2">
      <c r="B40" s="46">
        <f>+B39+1</f>
        <v>2</v>
      </c>
      <c r="C40" s="14" t="s">
        <v>12</v>
      </c>
      <c r="E40" s="13">
        <v>3</v>
      </c>
      <c r="F40" s="13">
        <v>0</v>
      </c>
      <c r="G40" s="17">
        <f t="shared" si="1008"/>
        <v>3</v>
      </c>
      <c r="H40" s="49" t="s">
        <v>215</v>
      </c>
      <c r="I40" s="49" t="s">
        <v>216</v>
      </c>
      <c r="J40" s="49" t="s">
        <v>262</v>
      </c>
      <c r="K40" s="54">
        <v>2</v>
      </c>
      <c r="L40" s="54">
        <v>0</v>
      </c>
      <c r="M40" s="54">
        <v>0</v>
      </c>
      <c r="N40" s="54">
        <v>2</v>
      </c>
      <c r="O40" s="48">
        <f t="shared" si="1009"/>
        <v>3</v>
      </c>
      <c r="P40" s="48">
        <f t="shared" si="1010"/>
        <v>2</v>
      </c>
      <c r="R40" s="59">
        <f t="shared" si="1011"/>
        <v>0</v>
      </c>
      <c r="S40" s="59">
        <f t="shared" si="1011"/>
        <v>3</v>
      </c>
      <c r="T40" s="59">
        <f t="shared" si="1011"/>
        <v>0</v>
      </c>
      <c r="U40" s="59">
        <f t="shared" si="1011"/>
        <v>0</v>
      </c>
      <c r="V40" s="59">
        <f t="shared" si="1011"/>
        <v>0</v>
      </c>
      <c r="W40" s="59">
        <f t="shared" si="1011"/>
        <v>0</v>
      </c>
      <c r="X40" s="59">
        <f t="shared" si="1011"/>
        <v>0</v>
      </c>
      <c r="Y40" s="59">
        <f t="shared" si="1011"/>
        <v>0</v>
      </c>
      <c r="Z40" s="59">
        <f t="shared" si="1011"/>
        <v>0</v>
      </c>
      <c r="AA40" s="59">
        <f t="shared" si="1011"/>
        <v>0</v>
      </c>
      <c r="AB40" s="59">
        <f t="shared" si="1011"/>
        <v>0</v>
      </c>
      <c r="AC40" s="59">
        <f t="shared" si="1011"/>
        <v>0</v>
      </c>
      <c r="AD40" s="59">
        <f t="shared" si="1012"/>
        <v>3</v>
      </c>
      <c r="AE40" s="59">
        <f t="shared" si="1013"/>
        <v>0</v>
      </c>
      <c r="AF40" s="59">
        <f t="shared" si="1014"/>
        <v>0</v>
      </c>
      <c r="AG40" s="59">
        <f t="shared" si="1015"/>
        <v>0</v>
      </c>
      <c r="AH40" s="59">
        <f t="shared" si="1016"/>
        <v>3</v>
      </c>
      <c r="AI40" s="59"/>
      <c r="AJ40" s="59">
        <f t="shared" si="1017"/>
        <v>0</v>
      </c>
      <c r="AK40" s="59">
        <f t="shared" si="1017"/>
        <v>0</v>
      </c>
      <c r="AL40" s="59">
        <f t="shared" si="1017"/>
        <v>0</v>
      </c>
      <c r="AM40" s="59">
        <f t="shared" si="1017"/>
        <v>0</v>
      </c>
      <c r="AN40" s="59">
        <f t="shared" si="1017"/>
        <v>0</v>
      </c>
      <c r="AO40" s="59">
        <f t="shared" si="1017"/>
        <v>0</v>
      </c>
      <c r="AP40" s="59">
        <f t="shared" si="1017"/>
        <v>0</v>
      </c>
      <c r="AQ40" s="59">
        <f t="shared" si="1017"/>
        <v>0</v>
      </c>
      <c r="AR40" s="59">
        <f t="shared" si="1017"/>
        <v>0</v>
      </c>
      <c r="AS40" s="59">
        <f t="shared" si="1017"/>
        <v>0</v>
      </c>
      <c r="AT40" s="59">
        <f t="shared" si="1017"/>
        <v>0</v>
      </c>
      <c r="AU40" s="59">
        <f t="shared" si="1017"/>
        <v>0</v>
      </c>
      <c r="AV40" s="59">
        <f t="shared" si="1018"/>
        <v>0</v>
      </c>
      <c r="AW40" s="59">
        <f t="shared" si="1019"/>
        <v>0</v>
      </c>
      <c r="AX40" s="59">
        <f t="shared" si="1020"/>
        <v>0</v>
      </c>
      <c r="AY40" s="59">
        <f t="shared" si="1021"/>
        <v>0</v>
      </c>
      <c r="AZ40" s="59">
        <f t="shared" si="1022"/>
        <v>0</v>
      </c>
      <c r="BA40" s="59"/>
      <c r="BB40" s="59">
        <f t="shared" si="1023"/>
        <v>0</v>
      </c>
      <c r="BC40" s="59">
        <f t="shared" si="1024"/>
        <v>3</v>
      </c>
      <c r="BD40" s="59">
        <f t="shared" si="1025"/>
        <v>0</v>
      </c>
      <c r="BE40" s="59">
        <f t="shared" si="1026"/>
        <v>0</v>
      </c>
      <c r="BF40" s="59">
        <f t="shared" si="1027"/>
        <v>0</v>
      </c>
      <c r="BG40" s="59">
        <f t="shared" si="1028"/>
        <v>0</v>
      </c>
      <c r="BH40" s="59">
        <f t="shared" si="1029"/>
        <v>0</v>
      </c>
      <c r="BI40" s="59">
        <f t="shared" si="1030"/>
        <v>0</v>
      </c>
      <c r="BJ40" s="59">
        <f t="shared" si="1031"/>
        <v>0</v>
      </c>
      <c r="BK40" s="59">
        <f t="shared" si="1032"/>
        <v>0</v>
      </c>
      <c r="BL40" s="59">
        <f t="shared" si="1033"/>
        <v>0</v>
      </c>
      <c r="BM40" s="59">
        <f t="shared" si="1034"/>
        <v>0</v>
      </c>
      <c r="BN40" s="59">
        <f t="shared" si="1035"/>
        <v>3</v>
      </c>
      <c r="BO40" s="59">
        <f t="shared" si="1036"/>
        <v>0</v>
      </c>
      <c r="BP40" s="59">
        <f t="shared" si="1037"/>
        <v>0</v>
      </c>
      <c r="BQ40" s="59">
        <f t="shared" si="1038"/>
        <v>0</v>
      </c>
      <c r="BR40" s="59">
        <f t="shared" si="1039"/>
        <v>3</v>
      </c>
      <c r="BS40" s="59"/>
      <c r="BT40" s="59">
        <f t="shared" si="1040"/>
        <v>0</v>
      </c>
      <c r="BU40" s="59">
        <f t="shared" si="1040"/>
        <v>0</v>
      </c>
      <c r="BV40" s="59">
        <f t="shared" si="1040"/>
        <v>1.5</v>
      </c>
      <c r="BW40" s="59">
        <f t="shared" si="1040"/>
        <v>1.5</v>
      </c>
      <c r="BX40" s="59">
        <f t="shared" si="1040"/>
        <v>0</v>
      </c>
      <c r="BY40" s="59">
        <f t="shared" si="1040"/>
        <v>0</v>
      </c>
      <c r="BZ40" s="59">
        <f t="shared" si="1040"/>
        <v>0</v>
      </c>
      <c r="CA40" s="59">
        <f t="shared" si="1040"/>
        <v>0</v>
      </c>
      <c r="CB40" s="59">
        <f t="shared" si="1040"/>
        <v>0</v>
      </c>
      <c r="CC40" s="59">
        <f t="shared" si="1040"/>
        <v>0</v>
      </c>
      <c r="CD40" s="59">
        <f t="shared" si="1040"/>
        <v>0</v>
      </c>
      <c r="CE40" s="59">
        <f t="shared" si="1040"/>
        <v>0</v>
      </c>
      <c r="CF40" s="59">
        <f t="shared" si="1041"/>
        <v>1.5</v>
      </c>
      <c r="CG40" s="59">
        <f t="shared" si="1042"/>
        <v>1.5</v>
      </c>
      <c r="CH40" s="59">
        <f t="shared" si="1043"/>
        <v>0</v>
      </c>
      <c r="CI40" s="59">
        <f t="shared" si="1044"/>
        <v>0</v>
      </c>
      <c r="CJ40" s="59">
        <f t="shared" si="1045"/>
        <v>3</v>
      </c>
      <c r="CK40" s="59"/>
      <c r="CL40" s="59">
        <f t="shared" si="1046"/>
        <v>0</v>
      </c>
      <c r="CM40" s="59">
        <f t="shared" si="1046"/>
        <v>0</v>
      </c>
      <c r="CN40" s="59">
        <f t="shared" si="1046"/>
        <v>0</v>
      </c>
      <c r="CO40" s="59">
        <f t="shared" si="1046"/>
        <v>0</v>
      </c>
      <c r="CP40" s="59">
        <f t="shared" si="1046"/>
        <v>0</v>
      </c>
      <c r="CQ40" s="59">
        <f t="shared" si="1046"/>
        <v>0</v>
      </c>
      <c r="CR40" s="59">
        <f t="shared" si="1046"/>
        <v>0</v>
      </c>
      <c r="CS40" s="59">
        <f t="shared" si="1046"/>
        <v>0</v>
      </c>
      <c r="CT40" s="59">
        <f t="shared" si="1046"/>
        <v>0</v>
      </c>
      <c r="CU40" s="59">
        <f t="shared" si="1046"/>
        <v>0</v>
      </c>
      <c r="CV40" s="59">
        <f t="shared" si="1046"/>
        <v>0</v>
      </c>
      <c r="CW40" s="59">
        <f t="shared" si="1046"/>
        <v>0</v>
      </c>
      <c r="CX40" s="59">
        <f t="shared" si="1047"/>
        <v>0</v>
      </c>
      <c r="CY40" s="59">
        <f t="shared" si="1048"/>
        <v>0</v>
      </c>
      <c r="CZ40" s="59">
        <f t="shared" si="1049"/>
        <v>0</v>
      </c>
      <c r="DA40" s="59">
        <f t="shared" si="1050"/>
        <v>0</v>
      </c>
      <c r="DB40" s="59">
        <f t="shared" si="1051"/>
        <v>0</v>
      </c>
      <c r="DC40" s="59"/>
      <c r="DD40" s="59">
        <f t="shared" si="1052"/>
        <v>0</v>
      </c>
      <c r="DE40" s="59">
        <f t="shared" si="1053"/>
        <v>0</v>
      </c>
      <c r="DF40" s="59">
        <f t="shared" si="1054"/>
        <v>1.5</v>
      </c>
      <c r="DG40" s="59">
        <f t="shared" si="1055"/>
        <v>1.5</v>
      </c>
      <c r="DH40" s="59">
        <f t="shared" si="1056"/>
        <v>0</v>
      </c>
      <c r="DI40" s="59">
        <f t="shared" si="1057"/>
        <v>0</v>
      </c>
      <c r="DJ40" s="59">
        <f t="shared" si="1058"/>
        <v>0</v>
      </c>
      <c r="DK40" s="59">
        <f t="shared" si="1059"/>
        <v>0</v>
      </c>
      <c r="DL40" s="59">
        <f t="shared" si="1060"/>
        <v>0</v>
      </c>
      <c r="DM40" s="59">
        <f t="shared" si="1061"/>
        <v>0</v>
      </c>
      <c r="DN40" s="59">
        <f t="shared" si="1062"/>
        <v>0</v>
      </c>
      <c r="DO40" s="59">
        <f t="shared" si="1063"/>
        <v>0</v>
      </c>
      <c r="DP40" s="59">
        <f t="shared" si="1064"/>
        <v>1.5</v>
      </c>
      <c r="DQ40" s="59">
        <f t="shared" si="1065"/>
        <v>1.5</v>
      </c>
      <c r="DR40" s="59">
        <f t="shared" si="1066"/>
        <v>0</v>
      </c>
      <c r="DS40" s="59">
        <f t="shared" si="1067"/>
        <v>0</v>
      </c>
      <c r="DT40" s="59">
        <f t="shared" si="1068"/>
        <v>3</v>
      </c>
      <c r="DU40" s="59"/>
      <c r="DV40" s="70">
        <v>1.5</v>
      </c>
      <c r="DW40" s="70">
        <v>1.5</v>
      </c>
      <c r="DX40" s="70">
        <v>0</v>
      </c>
      <c r="DY40" s="70">
        <v>1.5</v>
      </c>
      <c r="DZ40" s="70">
        <v>1.5</v>
      </c>
      <c r="EA40" s="70">
        <v>1.5</v>
      </c>
      <c r="EB40" s="70">
        <v>1.5</v>
      </c>
      <c r="EC40" s="59">
        <f t="shared" si="1069"/>
        <v>0</v>
      </c>
      <c r="ED40" s="59">
        <f t="shared" si="1069"/>
        <v>0</v>
      </c>
      <c r="EE40" s="59">
        <f t="shared" si="1069"/>
        <v>0</v>
      </c>
      <c r="EF40" s="59">
        <f t="shared" si="1069"/>
        <v>0</v>
      </c>
      <c r="EG40" s="59">
        <f t="shared" si="1069"/>
        <v>0</v>
      </c>
      <c r="EH40" s="59">
        <f t="shared" si="1070"/>
        <v>3</v>
      </c>
      <c r="EI40" s="59">
        <f t="shared" si="1071"/>
        <v>4.5</v>
      </c>
      <c r="EJ40" s="59">
        <f t="shared" si="1072"/>
        <v>1.5</v>
      </c>
      <c r="EK40" s="59">
        <f t="shared" si="1073"/>
        <v>0</v>
      </c>
      <c r="EL40" s="59">
        <f t="shared" si="1074"/>
        <v>9</v>
      </c>
      <c r="EM40" s="59"/>
      <c r="EN40" s="70">
        <v>0</v>
      </c>
      <c r="EO40" s="70">
        <v>0</v>
      </c>
      <c r="EP40" s="70">
        <v>0</v>
      </c>
      <c r="EQ40" s="70">
        <v>0</v>
      </c>
      <c r="ER40" s="70">
        <v>0</v>
      </c>
      <c r="ES40" s="59">
        <f t="shared" si="1075"/>
        <v>0</v>
      </c>
      <c r="ET40" s="59">
        <f t="shared" si="1075"/>
        <v>0</v>
      </c>
      <c r="EU40" s="59">
        <f t="shared" si="1075"/>
        <v>0</v>
      </c>
      <c r="EV40" s="59">
        <f t="shared" si="1075"/>
        <v>0</v>
      </c>
      <c r="EW40" s="59">
        <f t="shared" si="1075"/>
        <v>0</v>
      </c>
      <c r="EX40" s="59">
        <f t="shared" si="1075"/>
        <v>0</v>
      </c>
      <c r="EY40" s="59">
        <f t="shared" si="1075"/>
        <v>0</v>
      </c>
      <c r="EZ40" s="59">
        <f t="shared" si="1076"/>
        <v>0</v>
      </c>
      <c r="FA40" s="59">
        <f t="shared" si="1077"/>
        <v>0</v>
      </c>
      <c r="FB40" s="59">
        <f t="shared" si="1078"/>
        <v>0</v>
      </c>
      <c r="FC40" s="59">
        <f t="shared" si="1079"/>
        <v>0</v>
      </c>
      <c r="FD40" s="59">
        <f t="shared" si="1080"/>
        <v>0</v>
      </c>
      <c r="FE40" s="59"/>
      <c r="FF40" s="59">
        <f t="shared" si="1081"/>
        <v>1.5</v>
      </c>
      <c r="FG40" s="59">
        <f t="shared" si="1082"/>
        <v>1.5</v>
      </c>
      <c r="FH40" s="59">
        <f t="shared" si="1083"/>
        <v>0</v>
      </c>
      <c r="FI40" s="59">
        <f t="shared" si="1084"/>
        <v>1.5</v>
      </c>
      <c r="FJ40" s="59">
        <f t="shared" si="1085"/>
        <v>1.5</v>
      </c>
      <c r="FK40" s="59">
        <f t="shared" si="1086"/>
        <v>1.5</v>
      </c>
      <c r="FL40" s="59">
        <f t="shared" si="1087"/>
        <v>1.5</v>
      </c>
      <c r="FM40" s="59">
        <f t="shared" si="1088"/>
        <v>0</v>
      </c>
      <c r="FN40" s="59">
        <f t="shared" si="1089"/>
        <v>0</v>
      </c>
      <c r="FO40" s="59">
        <f t="shared" si="1090"/>
        <v>0</v>
      </c>
      <c r="FP40" s="59">
        <f t="shared" si="1091"/>
        <v>0</v>
      </c>
      <c r="FQ40" s="59">
        <f t="shared" si="1092"/>
        <v>0</v>
      </c>
      <c r="FR40" s="59">
        <f t="shared" si="1093"/>
        <v>3</v>
      </c>
      <c r="FS40" s="59">
        <f t="shared" si="1094"/>
        <v>4.5</v>
      </c>
      <c r="FT40" s="59">
        <f t="shared" si="1095"/>
        <v>1.5</v>
      </c>
      <c r="FU40" s="59">
        <f t="shared" si="1096"/>
        <v>0</v>
      </c>
      <c r="FV40" s="59">
        <f t="shared" si="1097"/>
        <v>9</v>
      </c>
    </row>
    <row r="41" spans="2:178" x14ac:dyDescent="0.2">
      <c r="B41" s="46">
        <f t="shared" ref="B41:B43" si="1098">+B40+1</f>
        <v>3</v>
      </c>
      <c r="C41" s="14" t="s">
        <v>491</v>
      </c>
      <c r="E41" s="13">
        <v>0</v>
      </c>
      <c r="F41" s="13">
        <v>0</v>
      </c>
      <c r="G41" s="17">
        <f t="shared" si="1008"/>
        <v>0</v>
      </c>
      <c r="H41" s="49" t="s">
        <v>215</v>
      </c>
      <c r="I41" s="49" t="s">
        <v>216</v>
      </c>
      <c r="J41" s="49" t="s">
        <v>262</v>
      </c>
      <c r="K41" s="54">
        <v>4</v>
      </c>
      <c r="L41" s="54">
        <v>0</v>
      </c>
      <c r="M41" s="54">
        <v>0</v>
      </c>
      <c r="N41" s="54">
        <v>0</v>
      </c>
      <c r="O41" s="48">
        <f t="shared" si="1009"/>
        <v>1</v>
      </c>
      <c r="P41" s="48">
        <f t="shared" si="1010"/>
        <v>4</v>
      </c>
      <c r="R41" s="59">
        <f t="shared" si="1011"/>
        <v>0</v>
      </c>
      <c r="S41" s="59">
        <f t="shared" si="1011"/>
        <v>0</v>
      </c>
      <c r="T41" s="59">
        <f t="shared" si="1011"/>
        <v>0</v>
      </c>
      <c r="U41" s="59">
        <f t="shared" si="1011"/>
        <v>0</v>
      </c>
      <c r="V41" s="59">
        <f t="shared" si="1011"/>
        <v>0</v>
      </c>
      <c r="W41" s="59">
        <f t="shared" si="1011"/>
        <v>0</v>
      </c>
      <c r="X41" s="59">
        <f t="shared" si="1011"/>
        <v>0</v>
      </c>
      <c r="Y41" s="59">
        <f t="shared" si="1011"/>
        <v>0</v>
      </c>
      <c r="Z41" s="59">
        <f t="shared" si="1011"/>
        <v>0</v>
      </c>
      <c r="AA41" s="59">
        <f t="shared" si="1011"/>
        <v>0</v>
      </c>
      <c r="AB41" s="59">
        <f t="shared" si="1011"/>
        <v>0</v>
      </c>
      <c r="AC41" s="59">
        <f t="shared" si="1011"/>
        <v>0</v>
      </c>
      <c r="AD41" s="59">
        <f t="shared" si="1012"/>
        <v>0</v>
      </c>
      <c r="AE41" s="59">
        <f t="shared" si="1013"/>
        <v>0</v>
      </c>
      <c r="AF41" s="59">
        <f t="shared" si="1014"/>
        <v>0</v>
      </c>
      <c r="AG41" s="59">
        <f t="shared" si="1015"/>
        <v>0</v>
      </c>
      <c r="AH41" s="59">
        <f t="shared" si="1016"/>
        <v>0</v>
      </c>
      <c r="AI41" s="59"/>
      <c r="AJ41" s="59">
        <f t="shared" si="1017"/>
        <v>0</v>
      </c>
      <c r="AK41" s="59">
        <f t="shared" si="1017"/>
        <v>0</v>
      </c>
      <c r="AL41" s="59">
        <f t="shared" si="1017"/>
        <v>0</v>
      </c>
      <c r="AM41" s="59">
        <f t="shared" si="1017"/>
        <v>0</v>
      </c>
      <c r="AN41" s="59">
        <f t="shared" si="1017"/>
        <v>0</v>
      </c>
      <c r="AO41" s="59">
        <f t="shared" si="1017"/>
        <v>0</v>
      </c>
      <c r="AP41" s="59">
        <f t="shared" si="1017"/>
        <v>0</v>
      </c>
      <c r="AQ41" s="59">
        <f t="shared" si="1017"/>
        <v>0</v>
      </c>
      <c r="AR41" s="59">
        <f t="shared" si="1017"/>
        <v>0</v>
      </c>
      <c r="AS41" s="59">
        <f t="shared" si="1017"/>
        <v>0</v>
      </c>
      <c r="AT41" s="59">
        <f t="shared" si="1017"/>
        <v>0</v>
      </c>
      <c r="AU41" s="59">
        <f t="shared" si="1017"/>
        <v>0</v>
      </c>
      <c r="AV41" s="59">
        <f t="shared" si="1018"/>
        <v>0</v>
      </c>
      <c r="AW41" s="59">
        <f t="shared" si="1019"/>
        <v>0</v>
      </c>
      <c r="AX41" s="59">
        <f t="shared" si="1020"/>
        <v>0</v>
      </c>
      <c r="AY41" s="59">
        <f t="shared" si="1021"/>
        <v>0</v>
      </c>
      <c r="AZ41" s="59">
        <f t="shared" si="1022"/>
        <v>0</v>
      </c>
      <c r="BA41" s="59"/>
      <c r="BB41" s="59">
        <f t="shared" si="1023"/>
        <v>0</v>
      </c>
      <c r="BC41" s="59">
        <f t="shared" si="1024"/>
        <v>0</v>
      </c>
      <c r="BD41" s="59">
        <f t="shared" si="1025"/>
        <v>0</v>
      </c>
      <c r="BE41" s="59">
        <f t="shared" si="1026"/>
        <v>0</v>
      </c>
      <c r="BF41" s="59">
        <f t="shared" si="1027"/>
        <v>0</v>
      </c>
      <c r="BG41" s="59">
        <f t="shared" si="1028"/>
        <v>0</v>
      </c>
      <c r="BH41" s="59">
        <f t="shared" si="1029"/>
        <v>0</v>
      </c>
      <c r="BI41" s="59">
        <f t="shared" si="1030"/>
        <v>0</v>
      </c>
      <c r="BJ41" s="59">
        <f t="shared" si="1031"/>
        <v>0</v>
      </c>
      <c r="BK41" s="59">
        <f t="shared" si="1032"/>
        <v>0</v>
      </c>
      <c r="BL41" s="59">
        <f t="shared" si="1033"/>
        <v>0</v>
      </c>
      <c r="BM41" s="59">
        <f t="shared" si="1034"/>
        <v>0</v>
      </c>
      <c r="BN41" s="59">
        <f t="shared" si="1035"/>
        <v>0</v>
      </c>
      <c r="BO41" s="59">
        <f t="shared" si="1036"/>
        <v>0</v>
      </c>
      <c r="BP41" s="59">
        <f t="shared" si="1037"/>
        <v>0</v>
      </c>
      <c r="BQ41" s="59">
        <f t="shared" si="1038"/>
        <v>0</v>
      </c>
      <c r="BR41" s="59">
        <f t="shared" si="1039"/>
        <v>0</v>
      </c>
      <c r="BS41" s="59"/>
      <c r="BT41" s="59">
        <f t="shared" si="1040"/>
        <v>0</v>
      </c>
      <c r="BU41" s="59">
        <f t="shared" si="1040"/>
        <v>0</v>
      </c>
      <c r="BV41" s="59">
        <f t="shared" si="1040"/>
        <v>0</v>
      </c>
      <c r="BW41" s="59">
        <f t="shared" si="1040"/>
        <v>0</v>
      </c>
      <c r="BX41" s="59">
        <f t="shared" si="1040"/>
        <v>0</v>
      </c>
      <c r="BY41" s="59">
        <f t="shared" si="1040"/>
        <v>0</v>
      </c>
      <c r="BZ41" s="59">
        <f t="shared" si="1040"/>
        <v>0</v>
      </c>
      <c r="CA41" s="59">
        <f t="shared" si="1040"/>
        <v>0</v>
      </c>
      <c r="CB41" s="59">
        <f t="shared" si="1040"/>
        <v>0</v>
      </c>
      <c r="CC41" s="59">
        <f t="shared" si="1040"/>
        <v>0</v>
      </c>
      <c r="CD41" s="59">
        <f t="shared" si="1040"/>
        <v>0</v>
      </c>
      <c r="CE41" s="59">
        <f t="shared" si="1040"/>
        <v>0</v>
      </c>
      <c r="CF41" s="59">
        <f t="shared" si="1041"/>
        <v>0</v>
      </c>
      <c r="CG41" s="59">
        <f t="shared" si="1042"/>
        <v>0</v>
      </c>
      <c r="CH41" s="59">
        <f t="shared" si="1043"/>
        <v>0</v>
      </c>
      <c r="CI41" s="59">
        <f t="shared" si="1044"/>
        <v>0</v>
      </c>
      <c r="CJ41" s="59">
        <f t="shared" si="1045"/>
        <v>0</v>
      </c>
      <c r="CK41" s="59"/>
      <c r="CL41" s="59">
        <f t="shared" si="1046"/>
        <v>0</v>
      </c>
      <c r="CM41" s="59">
        <f t="shared" si="1046"/>
        <v>0</v>
      </c>
      <c r="CN41" s="59">
        <f t="shared" si="1046"/>
        <v>0</v>
      </c>
      <c r="CO41" s="59">
        <f t="shared" si="1046"/>
        <v>0</v>
      </c>
      <c r="CP41" s="59">
        <f t="shared" si="1046"/>
        <v>0</v>
      </c>
      <c r="CQ41" s="59">
        <f t="shared" si="1046"/>
        <v>0</v>
      </c>
      <c r="CR41" s="59">
        <f t="shared" si="1046"/>
        <v>0</v>
      </c>
      <c r="CS41" s="59">
        <f t="shared" si="1046"/>
        <v>0</v>
      </c>
      <c r="CT41" s="59">
        <f t="shared" si="1046"/>
        <v>0</v>
      </c>
      <c r="CU41" s="59">
        <f t="shared" si="1046"/>
        <v>0</v>
      </c>
      <c r="CV41" s="59">
        <f t="shared" si="1046"/>
        <v>0</v>
      </c>
      <c r="CW41" s="59">
        <f t="shared" si="1046"/>
        <v>0</v>
      </c>
      <c r="CX41" s="59">
        <f t="shared" si="1047"/>
        <v>0</v>
      </c>
      <c r="CY41" s="59">
        <f t="shared" si="1048"/>
        <v>0</v>
      </c>
      <c r="CZ41" s="59">
        <f t="shared" si="1049"/>
        <v>0</v>
      </c>
      <c r="DA41" s="59">
        <f t="shared" si="1050"/>
        <v>0</v>
      </c>
      <c r="DB41" s="59">
        <f t="shared" si="1051"/>
        <v>0</v>
      </c>
      <c r="DC41" s="59"/>
      <c r="DD41" s="59">
        <f t="shared" si="1052"/>
        <v>0</v>
      </c>
      <c r="DE41" s="59">
        <f t="shared" si="1053"/>
        <v>0</v>
      </c>
      <c r="DF41" s="59">
        <f t="shared" si="1054"/>
        <v>0</v>
      </c>
      <c r="DG41" s="59">
        <f t="shared" si="1055"/>
        <v>0</v>
      </c>
      <c r="DH41" s="59">
        <f t="shared" si="1056"/>
        <v>0</v>
      </c>
      <c r="DI41" s="59">
        <f t="shared" si="1057"/>
        <v>0</v>
      </c>
      <c r="DJ41" s="59">
        <f t="shared" si="1058"/>
        <v>0</v>
      </c>
      <c r="DK41" s="59">
        <f t="shared" si="1059"/>
        <v>0</v>
      </c>
      <c r="DL41" s="59">
        <f t="shared" si="1060"/>
        <v>0</v>
      </c>
      <c r="DM41" s="59">
        <f t="shared" si="1061"/>
        <v>0</v>
      </c>
      <c r="DN41" s="59">
        <f t="shared" si="1062"/>
        <v>0</v>
      </c>
      <c r="DO41" s="59">
        <f t="shared" si="1063"/>
        <v>0</v>
      </c>
      <c r="DP41" s="59">
        <f t="shared" si="1064"/>
        <v>0</v>
      </c>
      <c r="DQ41" s="59">
        <f t="shared" si="1065"/>
        <v>0</v>
      </c>
      <c r="DR41" s="59">
        <f t="shared" si="1066"/>
        <v>0</v>
      </c>
      <c r="DS41" s="59">
        <f t="shared" si="1067"/>
        <v>0</v>
      </c>
      <c r="DT41" s="59">
        <f t="shared" si="1068"/>
        <v>0</v>
      </c>
      <c r="DU41" s="59"/>
      <c r="DV41" s="70">
        <v>22.182359999999999</v>
      </c>
      <c r="DW41" s="70">
        <v>0</v>
      </c>
      <c r="DX41" s="70">
        <v>0</v>
      </c>
      <c r="DY41" s="70">
        <v>0</v>
      </c>
      <c r="DZ41" s="70">
        <v>0</v>
      </c>
      <c r="EA41" s="70">
        <v>0</v>
      </c>
      <c r="EB41" s="59">
        <f t="shared" si="1069"/>
        <v>0</v>
      </c>
      <c r="EC41" s="59">
        <f t="shared" si="1069"/>
        <v>0</v>
      </c>
      <c r="ED41" s="59">
        <f t="shared" si="1069"/>
        <v>0</v>
      </c>
      <c r="EE41" s="59">
        <f t="shared" si="1069"/>
        <v>0</v>
      </c>
      <c r="EF41" s="59">
        <f t="shared" si="1069"/>
        <v>0</v>
      </c>
      <c r="EG41" s="59">
        <f t="shared" si="1069"/>
        <v>0</v>
      </c>
      <c r="EH41" s="59">
        <f t="shared" si="1070"/>
        <v>22.182359999999999</v>
      </c>
      <c r="EI41" s="59">
        <f t="shared" si="1071"/>
        <v>0</v>
      </c>
      <c r="EJ41" s="59">
        <f t="shared" si="1072"/>
        <v>0</v>
      </c>
      <c r="EK41" s="59">
        <f t="shared" si="1073"/>
        <v>0</v>
      </c>
      <c r="EL41" s="59">
        <f t="shared" si="1074"/>
        <v>22.182359999999999</v>
      </c>
      <c r="EM41" s="59"/>
      <c r="EN41" s="70">
        <v>0</v>
      </c>
      <c r="EO41" s="70">
        <v>0</v>
      </c>
      <c r="EP41" s="70">
        <v>0</v>
      </c>
      <c r="EQ41" s="70">
        <v>0</v>
      </c>
      <c r="ER41" s="70">
        <v>0</v>
      </c>
      <c r="ES41" s="59">
        <f t="shared" si="1075"/>
        <v>0</v>
      </c>
      <c r="ET41" s="59">
        <f t="shared" si="1075"/>
        <v>0</v>
      </c>
      <c r="EU41" s="59">
        <f t="shared" si="1075"/>
        <v>0</v>
      </c>
      <c r="EV41" s="59">
        <f t="shared" si="1075"/>
        <v>0</v>
      </c>
      <c r="EW41" s="59">
        <f t="shared" si="1075"/>
        <v>0</v>
      </c>
      <c r="EX41" s="59">
        <f t="shared" si="1075"/>
        <v>0</v>
      </c>
      <c r="EY41" s="59">
        <f t="shared" si="1075"/>
        <v>0</v>
      </c>
      <c r="EZ41" s="59">
        <f t="shared" si="1076"/>
        <v>0</v>
      </c>
      <c r="FA41" s="59">
        <f t="shared" si="1077"/>
        <v>0</v>
      </c>
      <c r="FB41" s="59">
        <f t="shared" si="1078"/>
        <v>0</v>
      </c>
      <c r="FC41" s="59">
        <f t="shared" si="1079"/>
        <v>0</v>
      </c>
      <c r="FD41" s="59">
        <f t="shared" si="1080"/>
        <v>0</v>
      </c>
      <c r="FE41" s="59"/>
      <c r="FF41" s="59">
        <f t="shared" si="1081"/>
        <v>22.182359999999999</v>
      </c>
      <c r="FG41" s="59">
        <f t="shared" si="1082"/>
        <v>0</v>
      </c>
      <c r="FH41" s="59">
        <f t="shared" si="1083"/>
        <v>0</v>
      </c>
      <c r="FI41" s="59">
        <f t="shared" si="1084"/>
        <v>0</v>
      </c>
      <c r="FJ41" s="59">
        <f t="shared" si="1085"/>
        <v>0</v>
      </c>
      <c r="FK41" s="59">
        <f t="shared" si="1086"/>
        <v>0</v>
      </c>
      <c r="FL41" s="59">
        <f t="shared" si="1087"/>
        <v>0</v>
      </c>
      <c r="FM41" s="59">
        <f t="shared" si="1088"/>
        <v>0</v>
      </c>
      <c r="FN41" s="59">
        <f t="shared" si="1089"/>
        <v>0</v>
      </c>
      <c r="FO41" s="59">
        <f t="shared" si="1090"/>
        <v>0</v>
      </c>
      <c r="FP41" s="59">
        <f t="shared" si="1091"/>
        <v>0</v>
      </c>
      <c r="FQ41" s="59">
        <f t="shared" si="1092"/>
        <v>0</v>
      </c>
      <c r="FR41" s="59">
        <f t="shared" si="1093"/>
        <v>22.182359999999999</v>
      </c>
      <c r="FS41" s="59">
        <f t="shared" si="1094"/>
        <v>0</v>
      </c>
      <c r="FT41" s="59">
        <f t="shared" si="1095"/>
        <v>0</v>
      </c>
      <c r="FU41" s="59">
        <f t="shared" si="1096"/>
        <v>0</v>
      </c>
      <c r="FV41" s="59">
        <f t="shared" si="1097"/>
        <v>22.182359999999999</v>
      </c>
    </row>
    <row r="42" spans="2:178" x14ac:dyDescent="0.2">
      <c r="B42" s="46">
        <f t="shared" si="1098"/>
        <v>4</v>
      </c>
      <c r="C42" s="14" t="s">
        <v>743</v>
      </c>
      <c r="E42" s="13">
        <v>0</v>
      </c>
      <c r="F42" s="13">
        <v>0</v>
      </c>
      <c r="G42" s="17">
        <f t="shared" si="1008"/>
        <v>0</v>
      </c>
      <c r="H42" s="49" t="s">
        <v>215</v>
      </c>
      <c r="I42" s="49" t="s">
        <v>216</v>
      </c>
      <c r="J42" s="49" t="s">
        <v>262</v>
      </c>
      <c r="K42" s="54">
        <v>0</v>
      </c>
      <c r="L42" s="54">
        <v>0</v>
      </c>
      <c r="M42" s="54">
        <v>0</v>
      </c>
      <c r="N42" s="54">
        <v>0</v>
      </c>
      <c r="O42" s="48">
        <f t="shared" si="1009"/>
        <v>1</v>
      </c>
      <c r="P42" s="48">
        <f t="shared" si="1010"/>
        <v>0</v>
      </c>
      <c r="R42" s="59">
        <f t="shared" si="1011"/>
        <v>0</v>
      </c>
      <c r="S42" s="59">
        <f t="shared" si="1011"/>
        <v>0</v>
      </c>
      <c r="T42" s="59">
        <f t="shared" si="1011"/>
        <v>0</v>
      </c>
      <c r="U42" s="59">
        <f t="shared" si="1011"/>
        <v>0</v>
      </c>
      <c r="V42" s="59">
        <f t="shared" si="1011"/>
        <v>0</v>
      </c>
      <c r="W42" s="59">
        <f t="shared" si="1011"/>
        <v>0</v>
      </c>
      <c r="X42" s="59">
        <f t="shared" si="1011"/>
        <v>0</v>
      </c>
      <c r="Y42" s="59">
        <f t="shared" si="1011"/>
        <v>0</v>
      </c>
      <c r="Z42" s="59">
        <f t="shared" si="1011"/>
        <v>0</v>
      </c>
      <c r="AA42" s="59">
        <f t="shared" si="1011"/>
        <v>0</v>
      </c>
      <c r="AB42" s="59">
        <f t="shared" si="1011"/>
        <v>0</v>
      </c>
      <c r="AC42" s="59">
        <f t="shared" si="1011"/>
        <v>0</v>
      </c>
      <c r="AD42" s="59">
        <f t="shared" si="1012"/>
        <v>0</v>
      </c>
      <c r="AE42" s="59">
        <f t="shared" si="1013"/>
        <v>0</v>
      </c>
      <c r="AF42" s="59">
        <f t="shared" si="1014"/>
        <v>0</v>
      </c>
      <c r="AG42" s="59">
        <f t="shared" si="1015"/>
        <v>0</v>
      </c>
      <c r="AH42" s="59">
        <f t="shared" si="1016"/>
        <v>0</v>
      </c>
      <c r="AI42" s="59"/>
      <c r="AJ42" s="59">
        <f t="shared" si="1017"/>
        <v>0</v>
      </c>
      <c r="AK42" s="59">
        <f t="shared" si="1017"/>
        <v>0</v>
      </c>
      <c r="AL42" s="59">
        <f t="shared" si="1017"/>
        <v>0</v>
      </c>
      <c r="AM42" s="59">
        <f t="shared" si="1017"/>
        <v>0</v>
      </c>
      <c r="AN42" s="59">
        <f t="shared" si="1017"/>
        <v>0</v>
      </c>
      <c r="AO42" s="59">
        <f t="shared" si="1017"/>
        <v>0</v>
      </c>
      <c r="AP42" s="59">
        <f t="shared" si="1017"/>
        <v>0</v>
      </c>
      <c r="AQ42" s="59">
        <f t="shared" si="1017"/>
        <v>0</v>
      </c>
      <c r="AR42" s="59">
        <f t="shared" si="1017"/>
        <v>0</v>
      </c>
      <c r="AS42" s="59">
        <f t="shared" si="1017"/>
        <v>0</v>
      </c>
      <c r="AT42" s="59">
        <f t="shared" si="1017"/>
        <v>0</v>
      </c>
      <c r="AU42" s="59">
        <f t="shared" si="1017"/>
        <v>0</v>
      </c>
      <c r="AV42" s="59">
        <f t="shared" si="1018"/>
        <v>0</v>
      </c>
      <c r="AW42" s="59">
        <f t="shared" si="1019"/>
        <v>0</v>
      </c>
      <c r="AX42" s="59">
        <f t="shared" si="1020"/>
        <v>0</v>
      </c>
      <c r="AY42" s="59">
        <f t="shared" si="1021"/>
        <v>0</v>
      </c>
      <c r="AZ42" s="59">
        <f t="shared" si="1022"/>
        <v>0</v>
      </c>
      <c r="BA42" s="59"/>
      <c r="BB42" s="59">
        <f t="shared" si="1023"/>
        <v>0</v>
      </c>
      <c r="BC42" s="59">
        <f t="shared" si="1024"/>
        <v>0</v>
      </c>
      <c r="BD42" s="59">
        <f t="shared" si="1025"/>
        <v>0</v>
      </c>
      <c r="BE42" s="59">
        <f t="shared" si="1026"/>
        <v>0</v>
      </c>
      <c r="BF42" s="59">
        <f t="shared" si="1027"/>
        <v>0</v>
      </c>
      <c r="BG42" s="59">
        <f t="shared" si="1028"/>
        <v>0</v>
      </c>
      <c r="BH42" s="59">
        <f t="shared" si="1029"/>
        <v>0</v>
      </c>
      <c r="BI42" s="59">
        <f t="shared" si="1030"/>
        <v>0</v>
      </c>
      <c r="BJ42" s="59">
        <f t="shared" si="1031"/>
        <v>0</v>
      </c>
      <c r="BK42" s="59">
        <f t="shared" si="1032"/>
        <v>0</v>
      </c>
      <c r="BL42" s="59">
        <f t="shared" si="1033"/>
        <v>0</v>
      </c>
      <c r="BM42" s="59">
        <f t="shared" si="1034"/>
        <v>0</v>
      </c>
      <c r="BN42" s="59">
        <f t="shared" si="1035"/>
        <v>0</v>
      </c>
      <c r="BO42" s="59">
        <f t="shared" si="1036"/>
        <v>0</v>
      </c>
      <c r="BP42" s="59">
        <f t="shared" si="1037"/>
        <v>0</v>
      </c>
      <c r="BQ42" s="59">
        <f t="shared" si="1038"/>
        <v>0</v>
      </c>
      <c r="BR42" s="59">
        <f t="shared" si="1039"/>
        <v>0</v>
      </c>
      <c r="BS42" s="59"/>
      <c r="BT42" s="59">
        <f t="shared" si="1040"/>
        <v>0</v>
      </c>
      <c r="BU42" s="59">
        <f t="shared" si="1040"/>
        <v>0</v>
      </c>
      <c r="BV42" s="59">
        <f t="shared" si="1040"/>
        <v>0</v>
      </c>
      <c r="BW42" s="59">
        <f t="shared" si="1040"/>
        <v>0</v>
      </c>
      <c r="BX42" s="59">
        <f t="shared" si="1040"/>
        <v>0</v>
      </c>
      <c r="BY42" s="59">
        <f t="shared" si="1040"/>
        <v>0</v>
      </c>
      <c r="BZ42" s="59">
        <f t="shared" si="1040"/>
        <v>0</v>
      </c>
      <c r="CA42" s="59">
        <f t="shared" si="1040"/>
        <v>0</v>
      </c>
      <c r="CB42" s="59">
        <f t="shared" si="1040"/>
        <v>0</v>
      </c>
      <c r="CC42" s="59">
        <f t="shared" si="1040"/>
        <v>0</v>
      </c>
      <c r="CD42" s="59">
        <f t="shared" si="1040"/>
        <v>0</v>
      </c>
      <c r="CE42" s="59">
        <f t="shared" si="1040"/>
        <v>0</v>
      </c>
      <c r="CF42" s="59">
        <f t="shared" si="1041"/>
        <v>0</v>
      </c>
      <c r="CG42" s="59">
        <f t="shared" si="1042"/>
        <v>0</v>
      </c>
      <c r="CH42" s="59">
        <f t="shared" si="1043"/>
        <v>0</v>
      </c>
      <c r="CI42" s="59">
        <f t="shared" si="1044"/>
        <v>0</v>
      </c>
      <c r="CJ42" s="59">
        <f t="shared" si="1045"/>
        <v>0</v>
      </c>
      <c r="CK42" s="59"/>
      <c r="CL42" s="59">
        <f t="shared" si="1046"/>
        <v>0</v>
      </c>
      <c r="CM42" s="59">
        <f t="shared" si="1046"/>
        <v>0</v>
      </c>
      <c r="CN42" s="59">
        <f t="shared" si="1046"/>
        <v>0</v>
      </c>
      <c r="CO42" s="59">
        <f t="shared" si="1046"/>
        <v>0</v>
      </c>
      <c r="CP42" s="59">
        <f t="shared" si="1046"/>
        <v>0</v>
      </c>
      <c r="CQ42" s="59">
        <f t="shared" si="1046"/>
        <v>0</v>
      </c>
      <c r="CR42" s="59">
        <f t="shared" si="1046"/>
        <v>0</v>
      </c>
      <c r="CS42" s="59">
        <f t="shared" si="1046"/>
        <v>0</v>
      </c>
      <c r="CT42" s="59">
        <f t="shared" si="1046"/>
        <v>0</v>
      </c>
      <c r="CU42" s="59">
        <f t="shared" si="1046"/>
        <v>0</v>
      </c>
      <c r="CV42" s="59">
        <f t="shared" si="1046"/>
        <v>0</v>
      </c>
      <c r="CW42" s="59">
        <f t="shared" si="1046"/>
        <v>0</v>
      </c>
      <c r="CX42" s="59">
        <f t="shared" si="1047"/>
        <v>0</v>
      </c>
      <c r="CY42" s="59">
        <f t="shared" si="1048"/>
        <v>0</v>
      </c>
      <c r="CZ42" s="59">
        <f t="shared" si="1049"/>
        <v>0</v>
      </c>
      <c r="DA42" s="59">
        <f t="shared" si="1050"/>
        <v>0</v>
      </c>
      <c r="DB42" s="59">
        <f t="shared" si="1051"/>
        <v>0</v>
      </c>
      <c r="DC42" s="59"/>
      <c r="DD42" s="59">
        <f t="shared" si="1052"/>
        <v>0</v>
      </c>
      <c r="DE42" s="59">
        <f t="shared" si="1053"/>
        <v>0</v>
      </c>
      <c r="DF42" s="59">
        <f t="shared" si="1054"/>
        <v>0</v>
      </c>
      <c r="DG42" s="59">
        <f t="shared" si="1055"/>
        <v>0</v>
      </c>
      <c r="DH42" s="59">
        <f t="shared" si="1056"/>
        <v>0</v>
      </c>
      <c r="DI42" s="59">
        <f t="shared" si="1057"/>
        <v>0</v>
      </c>
      <c r="DJ42" s="59">
        <f t="shared" si="1058"/>
        <v>0</v>
      </c>
      <c r="DK42" s="59">
        <f t="shared" si="1059"/>
        <v>0</v>
      </c>
      <c r="DL42" s="59">
        <f t="shared" si="1060"/>
        <v>0</v>
      </c>
      <c r="DM42" s="59">
        <f t="shared" si="1061"/>
        <v>0</v>
      </c>
      <c r="DN42" s="59">
        <f t="shared" si="1062"/>
        <v>0</v>
      </c>
      <c r="DO42" s="59">
        <f t="shared" si="1063"/>
        <v>0</v>
      </c>
      <c r="DP42" s="59">
        <f t="shared" si="1064"/>
        <v>0</v>
      </c>
      <c r="DQ42" s="59">
        <f t="shared" si="1065"/>
        <v>0</v>
      </c>
      <c r="DR42" s="59">
        <f t="shared" si="1066"/>
        <v>0</v>
      </c>
      <c r="DS42" s="59">
        <f t="shared" si="1067"/>
        <v>0</v>
      </c>
      <c r="DT42" s="59">
        <f t="shared" si="1068"/>
        <v>0</v>
      </c>
      <c r="DU42" s="59"/>
      <c r="DV42" s="70">
        <v>0</v>
      </c>
      <c r="DW42" s="70">
        <v>165.38399999999999</v>
      </c>
      <c r="DX42" s="70">
        <v>0</v>
      </c>
      <c r="DY42" s="70">
        <v>0</v>
      </c>
      <c r="DZ42" s="70">
        <v>0</v>
      </c>
      <c r="EA42" s="70">
        <v>5.7222499999999998</v>
      </c>
      <c r="EB42" s="70">
        <v>41.456499999999998</v>
      </c>
      <c r="EC42" s="70">
        <v>11.5345</v>
      </c>
      <c r="ED42" s="70">
        <v>16.689</v>
      </c>
      <c r="EE42" s="59">
        <f t="shared" si="1069"/>
        <v>0</v>
      </c>
      <c r="EF42" s="59">
        <f t="shared" si="1069"/>
        <v>0</v>
      </c>
      <c r="EG42" s="59">
        <f t="shared" si="1069"/>
        <v>0</v>
      </c>
      <c r="EH42" s="59">
        <f t="shared" si="1070"/>
        <v>165.38399999999999</v>
      </c>
      <c r="EI42" s="59">
        <f t="shared" si="1071"/>
        <v>5.7222499999999998</v>
      </c>
      <c r="EJ42" s="59">
        <f t="shared" si="1072"/>
        <v>69.680000000000007</v>
      </c>
      <c r="EK42" s="59">
        <f t="shared" si="1073"/>
        <v>0</v>
      </c>
      <c r="EL42" s="59">
        <f t="shared" si="1074"/>
        <v>240.78625</v>
      </c>
      <c r="EM42" s="59"/>
      <c r="EN42" s="70">
        <v>0</v>
      </c>
      <c r="EO42" s="70">
        <v>0</v>
      </c>
      <c r="EP42" s="70">
        <v>0</v>
      </c>
      <c r="EQ42" s="70">
        <v>0</v>
      </c>
      <c r="ER42" s="70">
        <v>0</v>
      </c>
      <c r="ES42" s="59">
        <f t="shared" si="1075"/>
        <v>0</v>
      </c>
      <c r="ET42" s="59">
        <f t="shared" si="1075"/>
        <v>0</v>
      </c>
      <c r="EU42" s="59">
        <f t="shared" si="1075"/>
        <v>0</v>
      </c>
      <c r="EV42" s="59">
        <f t="shared" si="1075"/>
        <v>0</v>
      </c>
      <c r="EW42" s="59">
        <f t="shared" si="1075"/>
        <v>0</v>
      </c>
      <c r="EX42" s="59">
        <f t="shared" si="1075"/>
        <v>0</v>
      </c>
      <c r="EY42" s="59">
        <f t="shared" si="1075"/>
        <v>0</v>
      </c>
      <c r="EZ42" s="59">
        <f t="shared" si="1076"/>
        <v>0</v>
      </c>
      <c r="FA42" s="59">
        <f t="shared" si="1077"/>
        <v>0</v>
      </c>
      <c r="FB42" s="59">
        <f t="shared" si="1078"/>
        <v>0</v>
      </c>
      <c r="FC42" s="59">
        <f t="shared" si="1079"/>
        <v>0</v>
      </c>
      <c r="FD42" s="59">
        <f t="shared" si="1080"/>
        <v>0</v>
      </c>
      <c r="FE42" s="59"/>
      <c r="FF42" s="59">
        <f t="shared" si="1081"/>
        <v>0</v>
      </c>
      <c r="FG42" s="59">
        <f t="shared" si="1082"/>
        <v>165.38399999999999</v>
      </c>
      <c r="FH42" s="59">
        <f t="shared" si="1083"/>
        <v>0</v>
      </c>
      <c r="FI42" s="59">
        <f t="shared" si="1084"/>
        <v>0</v>
      </c>
      <c r="FJ42" s="59">
        <f t="shared" si="1085"/>
        <v>0</v>
      </c>
      <c r="FK42" s="59">
        <f t="shared" si="1086"/>
        <v>5.7222499999999998</v>
      </c>
      <c r="FL42" s="59">
        <f t="shared" si="1087"/>
        <v>41.456499999999998</v>
      </c>
      <c r="FM42" s="59">
        <f t="shared" si="1088"/>
        <v>11.5345</v>
      </c>
      <c r="FN42" s="59">
        <f t="shared" si="1089"/>
        <v>16.689</v>
      </c>
      <c r="FO42" s="59">
        <f t="shared" si="1090"/>
        <v>0</v>
      </c>
      <c r="FP42" s="59">
        <f t="shared" si="1091"/>
        <v>0</v>
      </c>
      <c r="FQ42" s="59">
        <f t="shared" si="1092"/>
        <v>0</v>
      </c>
      <c r="FR42" s="59">
        <f t="shared" si="1093"/>
        <v>165.38399999999999</v>
      </c>
      <c r="FS42" s="59">
        <f t="shared" si="1094"/>
        <v>5.7222499999999998</v>
      </c>
      <c r="FT42" s="59">
        <f t="shared" si="1095"/>
        <v>69.680000000000007</v>
      </c>
      <c r="FU42" s="59">
        <f t="shared" si="1096"/>
        <v>0</v>
      </c>
      <c r="FV42" s="59">
        <f t="shared" si="1097"/>
        <v>240.78625</v>
      </c>
    </row>
    <row r="43" spans="2:178" x14ac:dyDescent="0.2">
      <c r="B43" s="46">
        <f t="shared" si="1098"/>
        <v>5</v>
      </c>
      <c r="C43" s="71" t="s">
        <v>269</v>
      </c>
      <c r="E43" s="13">
        <v>212</v>
      </c>
      <c r="F43" s="13">
        <v>0</v>
      </c>
      <c r="G43" s="17">
        <f t="shared" ref="G43" si="1099">+E43+F43</f>
        <v>212</v>
      </c>
      <c r="H43" s="49" t="s">
        <v>270</v>
      </c>
      <c r="I43" s="49" t="s">
        <v>216</v>
      </c>
      <c r="J43" s="49" t="s">
        <v>262</v>
      </c>
      <c r="K43" s="54">
        <v>4</v>
      </c>
      <c r="L43" s="54">
        <v>0</v>
      </c>
      <c r="M43" s="54">
        <v>0</v>
      </c>
      <c r="N43" s="54">
        <v>7</v>
      </c>
      <c r="O43" s="48">
        <f t="shared" si="1009"/>
        <v>8</v>
      </c>
      <c r="P43" s="48">
        <f t="shared" ref="P43" si="1100">+K43+L43</f>
        <v>4</v>
      </c>
      <c r="R43" s="59">
        <f t="shared" si="1011"/>
        <v>0</v>
      </c>
      <c r="S43" s="59">
        <f t="shared" si="1011"/>
        <v>0</v>
      </c>
      <c r="T43" s="59">
        <f t="shared" si="1011"/>
        <v>0</v>
      </c>
      <c r="U43" s="59">
        <f t="shared" si="1011"/>
        <v>0</v>
      </c>
      <c r="V43" s="59">
        <f t="shared" si="1011"/>
        <v>0</v>
      </c>
      <c r="W43" s="59">
        <f t="shared" si="1011"/>
        <v>0</v>
      </c>
      <c r="X43" s="59">
        <f t="shared" si="1011"/>
        <v>212</v>
      </c>
      <c r="Y43" s="59">
        <f t="shared" si="1011"/>
        <v>0</v>
      </c>
      <c r="Z43" s="59">
        <f t="shared" si="1011"/>
        <v>0</v>
      </c>
      <c r="AA43" s="59">
        <f t="shared" si="1011"/>
        <v>0</v>
      </c>
      <c r="AB43" s="59">
        <f t="shared" si="1011"/>
        <v>0</v>
      </c>
      <c r="AC43" s="59">
        <f t="shared" si="1011"/>
        <v>0</v>
      </c>
      <c r="AD43" s="59">
        <f t="shared" ref="AD43" si="1101">SUM(R43:T43)</f>
        <v>0</v>
      </c>
      <c r="AE43" s="59">
        <f t="shared" ref="AE43" si="1102">SUM(U43:W43)</f>
        <v>0</v>
      </c>
      <c r="AF43" s="59">
        <f t="shared" ref="AF43" si="1103">SUM(X43:Z43)</f>
        <v>212</v>
      </c>
      <c r="AG43" s="59">
        <f t="shared" ref="AG43" si="1104">SUM(AA43:AC43)</f>
        <v>0</v>
      </c>
      <c r="AH43" s="59">
        <f t="shared" ref="AH43" si="1105">SUM(AD43:AG43)</f>
        <v>212</v>
      </c>
      <c r="AI43" s="59"/>
      <c r="AJ43" s="59">
        <f t="shared" si="1017"/>
        <v>0</v>
      </c>
      <c r="AK43" s="59">
        <f t="shared" si="1017"/>
        <v>0</v>
      </c>
      <c r="AL43" s="59">
        <f t="shared" si="1017"/>
        <v>0</v>
      </c>
      <c r="AM43" s="59">
        <f t="shared" si="1017"/>
        <v>0</v>
      </c>
      <c r="AN43" s="59">
        <f t="shared" si="1017"/>
        <v>0</v>
      </c>
      <c r="AO43" s="59">
        <f t="shared" si="1017"/>
        <v>0</v>
      </c>
      <c r="AP43" s="59">
        <f t="shared" si="1017"/>
        <v>0</v>
      </c>
      <c r="AQ43" s="59">
        <f t="shared" si="1017"/>
        <v>0</v>
      </c>
      <c r="AR43" s="59">
        <f t="shared" si="1017"/>
        <v>0</v>
      </c>
      <c r="AS43" s="59">
        <f t="shared" si="1017"/>
        <v>0</v>
      </c>
      <c r="AT43" s="59">
        <f t="shared" si="1017"/>
        <v>0</v>
      </c>
      <c r="AU43" s="59">
        <f t="shared" si="1017"/>
        <v>0</v>
      </c>
      <c r="AV43" s="59">
        <f t="shared" ref="AV43" si="1106">SUM(AJ43:AL43)</f>
        <v>0</v>
      </c>
      <c r="AW43" s="59">
        <f t="shared" ref="AW43" si="1107">SUM(AM43:AO43)</f>
        <v>0</v>
      </c>
      <c r="AX43" s="59">
        <f t="shared" ref="AX43" si="1108">SUM(AP43:AR43)</f>
        <v>0</v>
      </c>
      <c r="AY43" s="59">
        <f t="shared" ref="AY43" si="1109">SUM(AS43:AU43)</f>
        <v>0</v>
      </c>
      <c r="AZ43" s="59">
        <f t="shared" ref="AZ43" si="1110">SUM(AV43:AY43)</f>
        <v>0</v>
      </c>
      <c r="BA43" s="59"/>
      <c r="BB43" s="59">
        <f t="shared" ref="BB43" si="1111">+R43+AJ43</f>
        <v>0</v>
      </c>
      <c r="BC43" s="59">
        <f t="shared" ref="BC43" si="1112">+S43+AK43</f>
        <v>0</v>
      </c>
      <c r="BD43" s="59">
        <f t="shared" ref="BD43" si="1113">+T43+AL43</f>
        <v>0</v>
      </c>
      <c r="BE43" s="59">
        <f t="shared" ref="BE43" si="1114">+U43+AM43</f>
        <v>0</v>
      </c>
      <c r="BF43" s="59">
        <f t="shared" ref="BF43" si="1115">+V43+AN43</f>
        <v>0</v>
      </c>
      <c r="BG43" s="59">
        <f t="shared" ref="BG43" si="1116">+W43+AO43</f>
        <v>0</v>
      </c>
      <c r="BH43" s="59">
        <f t="shared" ref="BH43" si="1117">+X43+AP43</f>
        <v>212</v>
      </c>
      <c r="BI43" s="59">
        <f t="shared" ref="BI43" si="1118">+Y43+AQ43</f>
        <v>0</v>
      </c>
      <c r="BJ43" s="59">
        <f t="shared" ref="BJ43" si="1119">+Z43+AR43</f>
        <v>0</v>
      </c>
      <c r="BK43" s="59">
        <f t="shared" ref="BK43" si="1120">+AA43+AS43</f>
        <v>0</v>
      </c>
      <c r="BL43" s="59">
        <f t="shared" ref="BL43" si="1121">+AB43+AT43</f>
        <v>0</v>
      </c>
      <c r="BM43" s="59">
        <f t="shared" ref="BM43" si="1122">+AC43+AU43</f>
        <v>0</v>
      </c>
      <c r="BN43" s="59">
        <f t="shared" ref="BN43" si="1123">SUM(BB43:BD43)</f>
        <v>0</v>
      </c>
      <c r="BO43" s="59">
        <f t="shared" ref="BO43" si="1124">SUM(BE43:BG43)</f>
        <v>0</v>
      </c>
      <c r="BP43" s="59">
        <f t="shared" ref="BP43" si="1125">SUM(BH43:BJ43)</f>
        <v>212</v>
      </c>
      <c r="BQ43" s="59">
        <f t="shared" ref="BQ43" si="1126">SUM(BK43:BM43)</f>
        <v>0</v>
      </c>
      <c r="BR43" s="59">
        <f t="shared" ref="BR43" si="1127">SUM(BN43:BQ43)</f>
        <v>212</v>
      </c>
      <c r="BS43" s="59"/>
      <c r="BT43" s="59">
        <f t="shared" si="1040"/>
        <v>0</v>
      </c>
      <c r="BU43" s="59">
        <f t="shared" si="1040"/>
        <v>0</v>
      </c>
      <c r="BV43" s="59">
        <f t="shared" si="1040"/>
        <v>0</v>
      </c>
      <c r="BW43" s="59">
        <f t="shared" si="1040"/>
        <v>0</v>
      </c>
      <c r="BX43" s="59">
        <f t="shared" si="1040"/>
        <v>0</v>
      </c>
      <c r="BY43" s="59">
        <f t="shared" si="1040"/>
        <v>0</v>
      </c>
      <c r="BZ43" s="59">
        <f t="shared" si="1040"/>
        <v>0</v>
      </c>
      <c r="CA43" s="59">
        <f t="shared" si="1040"/>
        <v>53</v>
      </c>
      <c r="CB43" s="59">
        <f t="shared" si="1040"/>
        <v>53</v>
      </c>
      <c r="CC43" s="59">
        <f t="shared" si="1040"/>
        <v>53</v>
      </c>
      <c r="CD43" s="59">
        <f t="shared" si="1040"/>
        <v>53</v>
      </c>
      <c r="CE43" s="59">
        <f t="shared" si="1040"/>
        <v>0</v>
      </c>
      <c r="CF43" s="59">
        <f t="shared" ref="CF43" si="1128">SUM(BT43:BV43)</f>
        <v>0</v>
      </c>
      <c r="CG43" s="59">
        <f t="shared" ref="CG43" si="1129">SUM(BW43:BY43)</f>
        <v>0</v>
      </c>
      <c r="CH43" s="59">
        <f t="shared" ref="CH43" si="1130">SUM(BZ43:CB43)</f>
        <v>106</v>
      </c>
      <c r="CI43" s="59">
        <f t="shared" ref="CI43" si="1131">SUM(CC43:CE43)</f>
        <v>106</v>
      </c>
      <c r="CJ43" s="59">
        <f t="shared" ref="CJ43" si="1132">SUM(CF43:CI43)</f>
        <v>212</v>
      </c>
      <c r="CK43" s="59"/>
      <c r="CL43" s="59">
        <f t="shared" si="1046"/>
        <v>0</v>
      </c>
      <c r="CM43" s="59">
        <f t="shared" si="1046"/>
        <v>0</v>
      </c>
      <c r="CN43" s="59">
        <f t="shared" si="1046"/>
        <v>0</v>
      </c>
      <c r="CO43" s="59">
        <f t="shared" si="1046"/>
        <v>0</v>
      </c>
      <c r="CP43" s="59">
        <f t="shared" si="1046"/>
        <v>0</v>
      </c>
      <c r="CQ43" s="59">
        <f t="shared" si="1046"/>
        <v>0</v>
      </c>
      <c r="CR43" s="59">
        <f t="shared" si="1046"/>
        <v>0</v>
      </c>
      <c r="CS43" s="59">
        <f t="shared" si="1046"/>
        <v>0</v>
      </c>
      <c r="CT43" s="59">
        <f t="shared" si="1046"/>
        <v>0</v>
      </c>
      <c r="CU43" s="59">
        <f t="shared" si="1046"/>
        <v>0</v>
      </c>
      <c r="CV43" s="59">
        <f t="shared" si="1046"/>
        <v>0</v>
      </c>
      <c r="CW43" s="59">
        <f t="shared" si="1046"/>
        <v>0</v>
      </c>
      <c r="CX43" s="59">
        <f t="shared" ref="CX43" si="1133">SUM(CL43:CN43)</f>
        <v>0</v>
      </c>
      <c r="CY43" s="59">
        <f t="shared" ref="CY43" si="1134">SUM(CO43:CQ43)</f>
        <v>0</v>
      </c>
      <c r="CZ43" s="59">
        <f t="shared" ref="CZ43" si="1135">SUM(CR43:CT43)</f>
        <v>0</v>
      </c>
      <c r="DA43" s="59">
        <f t="shared" ref="DA43" si="1136">SUM(CU43:CW43)</f>
        <v>0</v>
      </c>
      <c r="DB43" s="59">
        <f t="shared" ref="DB43" si="1137">SUM(CX43:DA43)</f>
        <v>0</v>
      </c>
      <c r="DC43" s="59"/>
      <c r="DD43" s="59">
        <f t="shared" ref="DD43" si="1138">+BT43+CL43</f>
        <v>0</v>
      </c>
      <c r="DE43" s="59">
        <f t="shared" ref="DE43" si="1139">+BU43+CM43</f>
        <v>0</v>
      </c>
      <c r="DF43" s="59">
        <f t="shared" ref="DF43" si="1140">+BV43+CN43</f>
        <v>0</v>
      </c>
      <c r="DG43" s="59">
        <f t="shared" ref="DG43" si="1141">+BW43+CO43</f>
        <v>0</v>
      </c>
      <c r="DH43" s="59">
        <f t="shared" ref="DH43" si="1142">+BX43+CP43</f>
        <v>0</v>
      </c>
      <c r="DI43" s="59">
        <f t="shared" ref="DI43" si="1143">+BY43+CQ43</f>
        <v>0</v>
      </c>
      <c r="DJ43" s="59">
        <f t="shared" ref="DJ43" si="1144">+BZ43+CR43</f>
        <v>0</v>
      </c>
      <c r="DK43" s="59">
        <f t="shared" ref="DK43" si="1145">+CA43+CS43</f>
        <v>53</v>
      </c>
      <c r="DL43" s="59">
        <f t="shared" ref="DL43" si="1146">+CB43+CT43</f>
        <v>53</v>
      </c>
      <c r="DM43" s="59">
        <f t="shared" ref="DM43" si="1147">+CC43+CU43</f>
        <v>53</v>
      </c>
      <c r="DN43" s="59">
        <f t="shared" ref="DN43" si="1148">+CD43+CV43</f>
        <v>53</v>
      </c>
      <c r="DO43" s="59">
        <f t="shared" ref="DO43" si="1149">+CE43+CW43</f>
        <v>0</v>
      </c>
      <c r="DP43" s="59">
        <f t="shared" ref="DP43" si="1150">SUM(DD43:DF43)</f>
        <v>0</v>
      </c>
      <c r="DQ43" s="59">
        <f t="shared" ref="DQ43" si="1151">SUM(DG43:DI43)</f>
        <v>0</v>
      </c>
      <c r="DR43" s="59">
        <f t="shared" ref="DR43" si="1152">SUM(DJ43:DL43)</f>
        <v>106</v>
      </c>
      <c r="DS43" s="59">
        <f t="shared" ref="DS43" si="1153">SUM(DM43:DO43)</f>
        <v>106</v>
      </c>
      <c r="DT43" s="59">
        <f t="shared" ref="DT43" si="1154">SUM(DP43:DS43)</f>
        <v>212</v>
      </c>
      <c r="DU43" s="59"/>
      <c r="DV43" s="70">
        <v>0</v>
      </c>
      <c r="DW43" s="70">
        <v>0</v>
      </c>
      <c r="DX43" s="70">
        <v>0</v>
      </c>
      <c r="DY43" s="70">
        <v>0</v>
      </c>
      <c r="DZ43" s="70">
        <v>0</v>
      </c>
      <c r="EA43" s="70">
        <v>0</v>
      </c>
      <c r="EB43" s="59">
        <f t="shared" si="1069"/>
        <v>0</v>
      </c>
      <c r="EC43" s="59">
        <f t="shared" si="1069"/>
        <v>0</v>
      </c>
      <c r="ED43" s="59">
        <f t="shared" si="1069"/>
        <v>0</v>
      </c>
      <c r="EE43" s="59">
        <f t="shared" si="1069"/>
        <v>53</v>
      </c>
      <c r="EF43" s="59">
        <f t="shared" si="1069"/>
        <v>53</v>
      </c>
      <c r="EG43" s="59">
        <f t="shared" si="1069"/>
        <v>53</v>
      </c>
      <c r="EH43" s="59">
        <f t="shared" ref="EH43" si="1155">SUM(DV43:DX43)</f>
        <v>0</v>
      </c>
      <c r="EI43" s="59">
        <f t="shared" ref="EI43" si="1156">SUM(DY43:EA43)</f>
        <v>0</v>
      </c>
      <c r="EJ43" s="59">
        <f t="shared" ref="EJ43" si="1157">SUM(EB43:ED43)</f>
        <v>0</v>
      </c>
      <c r="EK43" s="59">
        <f t="shared" ref="EK43" si="1158">SUM(EE43:EG43)</f>
        <v>159</v>
      </c>
      <c r="EL43" s="59">
        <f t="shared" ref="EL43" si="1159">SUM(EH43:EK43)</f>
        <v>159</v>
      </c>
      <c r="EM43" s="59"/>
      <c r="EN43" s="70">
        <v>0</v>
      </c>
      <c r="EO43" s="70">
        <v>0</v>
      </c>
      <c r="EP43" s="70">
        <v>0</v>
      </c>
      <c r="EQ43" s="70">
        <v>0</v>
      </c>
      <c r="ER43" s="70">
        <v>0</v>
      </c>
      <c r="ES43" s="59">
        <f t="shared" si="1075"/>
        <v>0</v>
      </c>
      <c r="ET43" s="59">
        <f t="shared" si="1075"/>
        <v>0</v>
      </c>
      <c r="EU43" s="59">
        <f t="shared" si="1075"/>
        <v>0</v>
      </c>
      <c r="EV43" s="59">
        <f t="shared" si="1075"/>
        <v>0</v>
      </c>
      <c r="EW43" s="59">
        <f t="shared" si="1075"/>
        <v>0</v>
      </c>
      <c r="EX43" s="59">
        <f t="shared" si="1075"/>
        <v>0</v>
      </c>
      <c r="EY43" s="59">
        <f t="shared" si="1075"/>
        <v>0</v>
      </c>
      <c r="EZ43" s="59">
        <f t="shared" ref="EZ43" si="1160">SUM(EN43:EP43)</f>
        <v>0</v>
      </c>
      <c r="FA43" s="59">
        <f t="shared" ref="FA43" si="1161">SUM(EQ43:ES43)</f>
        <v>0</v>
      </c>
      <c r="FB43" s="59">
        <f t="shared" ref="FB43" si="1162">SUM(ET43:EV43)</f>
        <v>0</v>
      </c>
      <c r="FC43" s="59">
        <f t="shared" ref="FC43" si="1163">SUM(EW43:EY43)</f>
        <v>0</v>
      </c>
      <c r="FD43" s="59">
        <f t="shared" ref="FD43" si="1164">SUM(EZ43:FC43)</f>
        <v>0</v>
      </c>
      <c r="FE43" s="59"/>
      <c r="FF43" s="59">
        <f t="shared" ref="FF43" si="1165">+DV43+EN43</f>
        <v>0</v>
      </c>
      <c r="FG43" s="59">
        <f t="shared" ref="FG43" si="1166">+DW43+EO43</f>
        <v>0</v>
      </c>
      <c r="FH43" s="59">
        <f t="shared" ref="FH43" si="1167">+DX43+EP43</f>
        <v>0</v>
      </c>
      <c r="FI43" s="59">
        <f t="shared" ref="FI43" si="1168">+DY43+EQ43</f>
        <v>0</v>
      </c>
      <c r="FJ43" s="59">
        <f t="shared" ref="FJ43" si="1169">+DZ43+ER43</f>
        <v>0</v>
      </c>
      <c r="FK43" s="59">
        <f t="shared" ref="FK43" si="1170">+EA43+ES43</f>
        <v>0</v>
      </c>
      <c r="FL43" s="59">
        <f t="shared" ref="FL43" si="1171">+EB43+ET43</f>
        <v>0</v>
      </c>
      <c r="FM43" s="59">
        <f t="shared" ref="FM43" si="1172">+EC43+EU43</f>
        <v>0</v>
      </c>
      <c r="FN43" s="59">
        <f t="shared" ref="FN43" si="1173">+ED43+EV43</f>
        <v>0</v>
      </c>
      <c r="FO43" s="59">
        <f t="shared" ref="FO43" si="1174">+EE43+EW43</f>
        <v>53</v>
      </c>
      <c r="FP43" s="59">
        <f t="shared" ref="FP43" si="1175">+EF43+EX43</f>
        <v>53</v>
      </c>
      <c r="FQ43" s="59">
        <f t="shared" ref="FQ43" si="1176">+EG43+EY43</f>
        <v>53</v>
      </c>
      <c r="FR43" s="59">
        <f t="shared" ref="FR43" si="1177">SUM(FF43:FH43)</f>
        <v>0</v>
      </c>
      <c r="FS43" s="59">
        <f t="shared" ref="FS43" si="1178">SUM(FI43:FK43)</f>
        <v>0</v>
      </c>
      <c r="FT43" s="59">
        <f t="shared" ref="FT43" si="1179">SUM(FL43:FN43)</f>
        <v>0</v>
      </c>
      <c r="FU43" s="59">
        <f t="shared" ref="FU43" si="1180">SUM(FO43:FQ43)</f>
        <v>159</v>
      </c>
      <c r="FV43" s="59">
        <f t="shared" ref="FV43" si="1181">SUM(FR43:FU43)</f>
        <v>159</v>
      </c>
    </row>
    <row r="44" spans="2:178" x14ac:dyDescent="0.2"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60"/>
      <c r="FF44" s="60"/>
      <c r="FG44" s="60"/>
      <c r="FH44" s="60"/>
      <c r="FI44" s="60"/>
      <c r="FJ44" s="60"/>
      <c r="FK44" s="60"/>
      <c r="FL44" s="60"/>
      <c r="FM44" s="60"/>
      <c r="FN44" s="60"/>
      <c r="FO44" s="60"/>
      <c r="FP44" s="60"/>
      <c r="FQ44" s="60"/>
      <c r="FR44" s="60"/>
      <c r="FS44" s="60"/>
      <c r="FT44" s="60"/>
      <c r="FU44" s="60"/>
      <c r="FV44" s="60"/>
    </row>
    <row r="45" spans="2:178" x14ac:dyDescent="0.2"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60"/>
      <c r="FF45" s="60"/>
      <c r="FG45" s="60"/>
      <c r="FH45" s="60"/>
      <c r="FI45" s="60"/>
      <c r="FJ45" s="60"/>
      <c r="FK45" s="60"/>
      <c r="FL45" s="60"/>
      <c r="FM45" s="60"/>
      <c r="FN45" s="60"/>
      <c r="FO45" s="60"/>
      <c r="FP45" s="60"/>
      <c r="FQ45" s="60"/>
      <c r="FR45" s="60"/>
      <c r="FS45" s="60"/>
      <c r="FT45" s="60"/>
      <c r="FU45" s="60"/>
      <c r="FV45" s="60"/>
    </row>
    <row r="46" spans="2:178" ht="20" customHeight="1" x14ac:dyDescent="0.2">
      <c r="B46" s="62" t="s">
        <v>251</v>
      </c>
      <c r="C46" s="63"/>
      <c r="D46" s="63"/>
      <c r="E46" s="64">
        <f>SUM(E47:E65)</f>
        <v>1266</v>
      </c>
      <c r="F46" s="64">
        <f>SUM(F47:F65)</f>
        <v>955</v>
      </c>
      <c r="G46" s="64">
        <f>SUM(G47:G65)</f>
        <v>2221</v>
      </c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5">
        <f t="shared" ref="R46:AH46" si="1182">SUM(R47:R65)</f>
        <v>0</v>
      </c>
      <c r="S46" s="65">
        <f t="shared" si="1182"/>
        <v>30</v>
      </c>
      <c r="T46" s="65">
        <f t="shared" si="1182"/>
        <v>0</v>
      </c>
      <c r="U46" s="65">
        <f t="shared" si="1182"/>
        <v>0</v>
      </c>
      <c r="V46" s="65">
        <f t="shared" si="1182"/>
        <v>0</v>
      </c>
      <c r="W46" s="65">
        <f t="shared" si="1182"/>
        <v>165</v>
      </c>
      <c r="X46" s="65">
        <f t="shared" si="1182"/>
        <v>125</v>
      </c>
      <c r="Y46" s="65">
        <f t="shared" si="1182"/>
        <v>75</v>
      </c>
      <c r="Z46" s="65">
        <f t="shared" si="1182"/>
        <v>200</v>
      </c>
      <c r="AA46" s="65">
        <f t="shared" si="1182"/>
        <v>100</v>
      </c>
      <c r="AB46" s="65">
        <f t="shared" si="1182"/>
        <v>150</v>
      </c>
      <c r="AC46" s="65">
        <f t="shared" si="1182"/>
        <v>275</v>
      </c>
      <c r="AD46" s="64">
        <f t="shared" si="1182"/>
        <v>30</v>
      </c>
      <c r="AE46" s="64">
        <f t="shared" si="1182"/>
        <v>165</v>
      </c>
      <c r="AF46" s="64">
        <f t="shared" si="1182"/>
        <v>400</v>
      </c>
      <c r="AG46" s="64">
        <f t="shared" si="1182"/>
        <v>525</v>
      </c>
      <c r="AH46" s="64">
        <f t="shared" si="1182"/>
        <v>1120</v>
      </c>
      <c r="AI46" s="64"/>
      <c r="AJ46" s="65">
        <f t="shared" ref="AJ46:AZ46" si="1183">SUM(AJ47:AJ65)</f>
        <v>0</v>
      </c>
      <c r="AK46" s="65">
        <f t="shared" si="1183"/>
        <v>0</v>
      </c>
      <c r="AL46" s="65">
        <f t="shared" si="1183"/>
        <v>0</v>
      </c>
      <c r="AM46" s="65">
        <f t="shared" si="1183"/>
        <v>0</v>
      </c>
      <c r="AN46" s="65">
        <f t="shared" si="1183"/>
        <v>0</v>
      </c>
      <c r="AO46" s="65">
        <f t="shared" si="1183"/>
        <v>82</v>
      </c>
      <c r="AP46" s="65">
        <f t="shared" si="1183"/>
        <v>130</v>
      </c>
      <c r="AQ46" s="65">
        <f t="shared" si="1183"/>
        <v>50</v>
      </c>
      <c r="AR46" s="65">
        <f t="shared" si="1183"/>
        <v>200</v>
      </c>
      <c r="AS46" s="65">
        <f t="shared" si="1183"/>
        <v>100</v>
      </c>
      <c r="AT46" s="65">
        <f t="shared" si="1183"/>
        <v>100</v>
      </c>
      <c r="AU46" s="65">
        <f t="shared" si="1183"/>
        <v>275</v>
      </c>
      <c r="AV46" s="64">
        <f t="shared" si="1183"/>
        <v>0</v>
      </c>
      <c r="AW46" s="64">
        <f t="shared" si="1183"/>
        <v>82</v>
      </c>
      <c r="AX46" s="64">
        <f t="shared" si="1183"/>
        <v>380</v>
      </c>
      <c r="AY46" s="64">
        <f t="shared" si="1183"/>
        <v>475</v>
      </c>
      <c r="AZ46" s="64">
        <f t="shared" si="1183"/>
        <v>937</v>
      </c>
      <c r="BA46" s="64"/>
      <c r="BB46" s="65">
        <f t="shared" ref="BB46:BR46" si="1184">SUM(BB47:BB65)</f>
        <v>0</v>
      </c>
      <c r="BC46" s="65">
        <f t="shared" si="1184"/>
        <v>30</v>
      </c>
      <c r="BD46" s="65">
        <f t="shared" si="1184"/>
        <v>0</v>
      </c>
      <c r="BE46" s="65">
        <f t="shared" si="1184"/>
        <v>0</v>
      </c>
      <c r="BF46" s="65">
        <f t="shared" si="1184"/>
        <v>0</v>
      </c>
      <c r="BG46" s="65">
        <f t="shared" si="1184"/>
        <v>247</v>
      </c>
      <c r="BH46" s="65">
        <f t="shared" si="1184"/>
        <v>255</v>
      </c>
      <c r="BI46" s="65">
        <f t="shared" si="1184"/>
        <v>125</v>
      </c>
      <c r="BJ46" s="65">
        <f t="shared" si="1184"/>
        <v>400</v>
      </c>
      <c r="BK46" s="65">
        <f t="shared" si="1184"/>
        <v>200</v>
      </c>
      <c r="BL46" s="65">
        <f t="shared" si="1184"/>
        <v>250</v>
      </c>
      <c r="BM46" s="65">
        <f t="shared" si="1184"/>
        <v>550</v>
      </c>
      <c r="BN46" s="64">
        <f t="shared" si="1184"/>
        <v>30</v>
      </c>
      <c r="BO46" s="64">
        <f t="shared" si="1184"/>
        <v>247</v>
      </c>
      <c r="BP46" s="64">
        <f t="shared" si="1184"/>
        <v>780</v>
      </c>
      <c r="BQ46" s="64">
        <f t="shared" si="1184"/>
        <v>1000</v>
      </c>
      <c r="BR46" s="64">
        <f t="shared" si="1184"/>
        <v>2057</v>
      </c>
      <c r="BS46" s="64"/>
      <c r="BT46" s="65">
        <f t="shared" ref="BT46:CJ46" si="1185">SUM(BT47:BT65)</f>
        <v>48.666666666666671</v>
      </c>
      <c r="BU46" s="65">
        <f t="shared" si="1185"/>
        <v>48.666666666666671</v>
      </c>
      <c r="BV46" s="65">
        <f t="shared" si="1185"/>
        <v>78.666666666666671</v>
      </c>
      <c r="BW46" s="65">
        <f t="shared" si="1185"/>
        <v>0</v>
      </c>
      <c r="BX46" s="65">
        <f t="shared" si="1185"/>
        <v>0</v>
      </c>
      <c r="BY46" s="65">
        <f t="shared" si="1185"/>
        <v>0</v>
      </c>
      <c r="BZ46" s="65">
        <f t="shared" si="1185"/>
        <v>65</v>
      </c>
      <c r="CA46" s="65">
        <f t="shared" si="1185"/>
        <v>95.833333333333343</v>
      </c>
      <c r="CB46" s="65">
        <f t="shared" si="1185"/>
        <v>133.33333333333334</v>
      </c>
      <c r="CC46" s="65">
        <f t="shared" si="1185"/>
        <v>137.5</v>
      </c>
      <c r="CD46" s="65">
        <f t="shared" si="1185"/>
        <v>100</v>
      </c>
      <c r="CE46" s="65">
        <f t="shared" si="1185"/>
        <v>150</v>
      </c>
      <c r="CF46" s="64">
        <f t="shared" si="1185"/>
        <v>176</v>
      </c>
      <c r="CG46" s="64">
        <f t="shared" si="1185"/>
        <v>0</v>
      </c>
      <c r="CH46" s="64">
        <f t="shared" si="1185"/>
        <v>294.16666666666669</v>
      </c>
      <c r="CI46" s="64">
        <f t="shared" si="1185"/>
        <v>387.5</v>
      </c>
      <c r="CJ46" s="64">
        <f t="shared" si="1185"/>
        <v>857.66666666666674</v>
      </c>
      <c r="CK46" s="64"/>
      <c r="CL46" s="65">
        <f t="shared" ref="CL46:DB46" si="1186">SUM(CL47:CL65)</f>
        <v>0</v>
      </c>
      <c r="CM46" s="65">
        <f t="shared" si="1186"/>
        <v>0</v>
      </c>
      <c r="CN46" s="65">
        <f t="shared" si="1186"/>
        <v>0</v>
      </c>
      <c r="CO46" s="65">
        <f t="shared" si="1186"/>
        <v>3</v>
      </c>
      <c r="CP46" s="65">
        <f t="shared" si="1186"/>
        <v>3</v>
      </c>
      <c r="CQ46" s="65">
        <f t="shared" si="1186"/>
        <v>3</v>
      </c>
      <c r="CR46" s="65">
        <f t="shared" si="1186"/>
        <v>3</v>
      </c>
      <c r="CS46" s="65">
        <f t="shared" si="1186"/>
        <v>5.6666666666666661</v>
      </c>
      <c r="CT46" s="65">
        <f t="shared" si="1186"/>
        <v>5.6666666666666661</v>
      </c>
      <c r="CU46" s="65">
        <f t="shared" si="1186"/>
        <v>9.3333333333333321</v>
      </c>
      <c r="CV46" s="65">
        <f t="shared" si="1186"/>
        <v>21.833333333333336</v>
      </c>
      <c r="CW46" s="65">
        <f t="shared" si="1186"/>
        <v>21.833333333333336</v>
      </c>
      <c r="CX46" s="64">
        <f t="shared" si="1186"/>
        <v>0</v>
      </c>
      <c r="CY46" s="64">
        <f t="shared" si="1186"/>
        <v>9</v>
      </c>
      <c r="CZ46" s="64">
        <f t="shared" si="1186"/>
        <v>14.333333333333332</v>
      </c>
      <c r="DA46" s="64">
        <f t="shared" si="1186"/>
        <v>53</v>
      </c>
      <c r="DB46" s="64">
        <f t="shared" si="1186"/>
        <v>76.333333333333343</v>
      </c>
      <c r="DC46" s="64"/>
      <c r="DD46" s="65">
        <f t="shared" ref="DD46:DT46" si="1187">SUM(DD47:DD65)</f>
        <v>48.666666666666671</v>
      </c>
      <c r="DE46" s="65">
        <f t="shared" si="1187"/>
        <v>48.666666666666671</v>
      </c>
      <c r="DF46" s="65">
        <f t="shared" si="1187"/>
        <v>78.666666666666671</v>
      </c>
      <c r="DG46" s="65">
        <f t="shared" si="1187"/>
        <v>3</v>
      </c>
      <c r="DH46" s="65">
        <f t="shared" si="1187"/>
        <v>3</v>
      </c>
      <c r="DI46" s="65">
        <f t="shared" si="1187"/>
        <v>3</v>
      </c>
      <c r="DJ46" s="65">
        <f t="shared" si="1187"/>
        <v>68</v>
      </c>
      <c r="DK46" s="65">
        <f t="shared" si="1187"/>
        <v>101.5</v>
      </c>
      <c r="DL46" s="65">
        <f t="shared" si="1187"/>
        <v>139</v>
      </c>
      <c r="DM46" s="65">
        <f t="shared" si="1187"/>
        <v>146.83333333333334</v>
      </c>
      <c r="DN46" s="65">
        <f t="shared" si="1187"/>
        <v>121.83333333333334</v>
      </c>
      <c r="DO46" s="65">
        <f t="shared" si="1187"/>
        <v>171.83333333333334</v>
      </c>
      <c r="DP46" s="64">
        <f t="shared" si="1187"/>
        <v>176</v>
      </c>
      <c r="DQ46" s="64">
        <f t="shared" si="1187"/>
        <v>9</v>
      </c>
      <c r="DR46" s="64">
        <f t="shared" si="1187"/>
        <v>308.5</v>
      </c>
      <c r="DS46" s="64">
        <f t="shared" si="1187"/>
        <v>440.5</v>
      </c>
      <c r="DT46" s="64">
        <f t="shared" si="1187"/>
        <v>934</v>
      </c>
      <c r="DU46" s="64"/>
      <c r="DV46" s="65">
        <f t="shared" ref="DV46:EL46" si="1188">SUM(DV47:DV65)</f>
        <v>0</v>
      </c>
      <c r="DW46" s="65">
        <f t="shared" si="1188"/>
        <v>50</v>
      </c>
      <c r="DX46" s="65">
        <f t="shared" si="1188"/>
        <v>126.29298</v>
      </c>
      <c r="DY46" s="65">
        <f t="shared" si="1188"/>
        <v>11.3775</v>
      </c>
      <c r="DZ46" s="65">
        <f t="shared" si="1188"/>
        <v>0</v>
      </c>
      <c r="EA46" s="65">
        <f t="shared" si="1188"/>
        <v>30.327500000000001</v>
      </c>
      <c r="EB46" s="65">
        <f t="shared" si="1188"/>
        <v>0</v>
      </c>
      <c r="EC46" s="65">
        <f t="shared" si="1188"/>
        <v>0</v>
      </c>
      <c r="ED46" s="65">
        <f t="shared" si="1188"/>
        <v>65</v>
      </c>
      <c r="EE46" s="65">
        <f t="shared" si="1188"/>
        <v>95.833333333333343</v>
      </c>
      <c r="EF46" s="65">
        <f t="shared" si="1188"/>
        <v>133.33333333333334</v>
      </c>
      <c r="EG46" s="65">
        <f t="shared" si="1188"/>
        <v>137.5</v>
      </c>
      <c r="EH46" s="64">
        <f t="shared" si="1188"/>
        <v>176.29297999999997</v>
      </c>
      <c r="EI46" s="64">
        <f t="shared" si="1188"/>
        <v>41.704999999999998</v>
      </c>
      <c r="EJ46" s="64">
        <f t="shared" si="1188"/>
        <v>65</v>
      </c>
      <c r="EK46" s="64">
        <f t="shared" si="1188"/>
        <v>366.66666666666663</v>
      </c>
      <c r="EL46" s="64">
        <f t="shared" si="1188"/>
        <v>649.66464666666661</v>
      </c>
      <c r="EM46" s="64"/>
      <c r="EN46" s="65">
        <f t="shared" ref="EN46:FD46" si="1189">SUM(EN47:EN65)</f>
        <v>0</v>
      </c>
      <c r="EO46" s="65">
        <f t="shared" si="1189"/>
        <v>0</v>
      </c>
      <c r="EP46" s="65">
        <f t="shared" si="1189"/>
        <v>0</v>
      </c>
      <c r="EQ46" s="65">
        <f t="shared" si="1189"/>
        <v>0</v>
      </c>
      <c r="ER46" s="65">
        <f t="shared" si="1189"/>
        <v>0</v>
      </c>
      <c r="ES46" s="65">
        <f t="shared" si="1189"/>
        <v>0</v>
      </c>
      <c r="ET46" s="65">
        <f t="shared" si="1189"/>
        <v>0</v>
      </c>
      <c r="EU46" s="65">
        <f t="shared" si="1189"/>
        <v>0</v>
      </c>
      <c r="EV46" s="65">
        <f t="shared" si="1189"/>
        <v>16</v>
      </c>
      <c r="EW46" s="65">
        <f t="shared" si="1189"/>
        <v>1.3333333333333333</v>
      </c>
      <c r="EX46" s="65">
        <f t="shared" si="1189"/>
        <v>41.333333333333329</v>
      </c>
      <c r="EY46" s="65">
        <f t="shared" si="1189"/>
        <v>79.666666666666671</v>
      </c>
      <c r="EZ46" s="64">
        <f t="shared" si="1189"/>
        <v>0</v>
      </c>
      <c r="FA46" s="64">
        <f t="shared" si="1189"/>
        <v>0</v>
      </c>
      <c r="FB46" s="64">
        <f t="shared" si="1189"/>
        <v>16</v>
      </c>
      <c r="FC46" s="64">
        <f t="shared" si="1189"/>
        <v>122.33333333333333</v>
      </c>
      <c r="FD46" s="64">
        <f t="shared" si="1189"/>
        <v>138.33333333333334</v>
      </c>
      <c r="FE46" s="64"/>
      <c r="FF46" s="65">
        <f t="shared" ref="FF46:FV46" si="1190">SUM(FF47:FF65)</f>
        <v>0</v>
      </c>
      <c r="FG46" s="65">
        <f t="shared" si="1190"/>
        <v>50</v>
      </c>
      <c r="FH46" s="65">
        <f t="shared" si="1190"/>
        <v>126.29298</v>
      </c>
      <c r="FI46" s="65">
        <f t="shared" si="1190"/>
        <v>11.3775</v>
      </c>
      <c r="FJ46" s="65">
        <f t="shared" si="1190"/>
        <v>0</v>
      </c>
      <c r="FK46" s="65">
        <f t="shared" si="1190"/>
        <v>30.327500000000001</v>
      </c>
      <c r="FL46" s="65">
        <f t="shared" si="1190"/>
        <v>0</v>
      </c>
      <c r="FM46" s="65">
        <f t="shared" si="1190"/>
        <v>0</v>
      </c>
      <c r="FN46" s="65">
        <f t="shared" si="1190"/>
        <v>81</v>
      </c>
      <c r="FO46" s="65">
        <f t="shared" si="1190"/>
        <v>97.166666666666671</v>
      </c>
      <c r="FP46" s="65">
        <f t="shared" si="1190"/>
        <v>174.66666666666669</v>
      </c>
      <c r="FQ46" s="65">
        <f t="shared" si="1190"/>
        <v>217.16666666666669</v>
      </c>
      <c r="FR46" s="64">
        <f t="shared" si="1190"/>
        <v>176.29297999999997</v>
      </c>
      <c r="FS46" s="64">
        <f t="shared" si="1190"/>
        <v>41.704999999999998</v>
      </c>
      <c r="FT46" s="64">
        <f t="shared" si="1190"/>
        <v>81</v>
      </c>
      <c r="FU46" s="64">
        <f t="shared" si="1190"/>
        <v>489</v>
      </c>
      <c r="FV46" s="64">
        <f t="shared" si="1190"/>
        <v>787.99797999999987</v>
      </c>
    </row>
    <row r="47" spans="2:178" x14ac:dyDescent="0.2">
      <c r="B47" s="46">
        <v>1</v>
      </c>
      <c r="C47" s="14" t="s">
        <v>271</v>
      </c>
      <c r="E47" s="13">
        <v>103</v>
      </c>
      <c r="F47" s="13">
        <v>18</v>
      </c>
      <c r="G47" s="17">
        <f>+E47+F47</f>
        <v>121</v>
      </c>
      <c r="H47" s="49" t="s">
        <v>254</v>
      </c>
      <c r="I47" s="49" t="s">
        <v>216</v>
      </c>
      <c r="J47" s="49" t="s">
        <v>217</v>
      </c>
      <c r="K47" s="54">
        <v>3</v>
      </c>
      <c r="L47" s="54">
        <v>6</v>
      </c>
      <c r="M47" s="54">
        <v>0</v>
      </c>
      <c r="N47" s="54">
        <v>0</v>
      </c>
      <c r="O47" s="48">
        <f>+N47+1</f>
        <v>1</v>
      </c>
      <c r="P47" s="48">
        <f>+K47+L47</f>
        <v>9</v>
      </c>
      <c r="R47" s="59">
        <f>IF($N47&lt;R$4,0,IF($N47=R$4,$E47,0))</f>
        <v>0</v>
      </c>
      <c r="S47" s="59">
        <f t="shared" ref="S47:AC63" si="1191">IF($N47&lt;S$4,0,IF($N47=S$4,$E47,0))</f>
        <v>0</v>
      </c>
      <c r="T47" s="59">
        <f t="shared" si="1191"/>
        <v>0</v>
      </c>
      <c r="U47" s="59">
        <f t="shared" si="1191"/>
        <v>0</v>
      </c>
      <c r="V47" s="59">
        <f t="shared" si="1191"/>
        <v>0</v>
      </c>
      <c r="W47" s="59">
        <f t="shared" si="1191"/>
        <v>0</v>
      </c>
      <c r="X47" s="59">
        <f t="shared" si="1191"/>
        <v>0</v>
      </c>
      <c r="Y47" s="59">
        <f t="shared" si="1191"/>
        <v>0</v>
      </c>
      <c r="Z47" s="59">
        <f t="shared" si="1191"/>
        <v>0</v>
      </c>
      <c r="AA47" s="59">
        <f t="shared" si="1191"/>
        <v>0</v>
      </c>
      <c r="AB47" s="59">
        <f t="shared" si="1191"/>
        <v>0</v>
      </c>
      <c r="AC47" s="59">
        <f t="shared" si="1191"/>
        <v>0</v>
      </c>
      <c r="AD47" s="59">
        <f>SUM(R47:T47)</f>
        <v>0</v>
      </c>
      <c r="AE47" s="59">
        <f>SUM(U47:W47)</f>
        <v>0</v>
      </c>
      <c r="AF47" s="59">
        <f>SUM(X47:Z47)</f>
        <v>0</v>
      </c>
      <c r="AG47" s="59">
        <f>SUM(AA47:AC47)</f>
        <v>0</v>
      </c>
      <c r="AH47" s="59">
        <f>SUM(AD47:AG47)</f>
        <v>0</v>
      </c>
      <c r="AI47" s="59"/>
      <c r="AJ47" s="59">
        <f>IF($N47&lt;AJ$4,0,IF($N47=AJ$4,$F47,0))</f>
        <v>0</v>
      </c>
      <c r="AK47" s="59">
        <f t="shared" ref="AK47:AU63" si="1192">IF($N47&lt;AK$4,0,IF($N47=AK$4,$F47,0))</f>
        <v>0</v>
      </c>
      <c r="AL47" s="59">
        <f t="shared" si="1192"/>
        <v>0</v>
      </c>
      <c r="AM47" s="59">
        <f t="shared" si="1192"/>
        <v>0</v>
      </c>
      <c r="AN47" s="59">
        <f t="shared" si="1192"/>
        <v>0</v>
      </c>
      <c r="AO47" s="59">
        <f t="shared" si="1192"/>
        <v>0</v>
      </c>
      <c r="AP47" s="59">
        <f t="shared" si="1192"/>
        <v>0</v>
      </c>
      <c r="AQ47" s="59">
        <f t="shared" si="1192"/>
        <v>0</v>
      </c>
      <c r="AR47" s="59">
        <f t="shared" si="1192"/>
        <v>0</v>
      </c>
      <c r="AS47" s="59">
        <f t="shared" si="1192"/>
        <v>0</v>
      </c>
      <c r="AT47" s="59">
        <f t="shared" si="1192"/>
        <v>0</v>
      </c>
      <c r="AU47" s="59">
        <f t="shared" si="1192"/>
        <v>0</v>
      </c>
      <c r="AV47" s="59">
        <f>SUM(AJ47:AL47)</f>
        <v>0</v>
      </c>
      <c r="AW47" s="59">
        <f>SUM(AM47:AO47)</f>
        <v>0</v>
      </c>
      <c r="AX47" s="59">
        <f>SUM(AP47:AR47)</f>
        <v>0</v>
      </c>
      <c r="AY47" s="59">
        <f>SUM(AS47:AU47)</f>
        <v>0</v>
      </c>
      <c r="AZ47" s="59">
        <f>SUM(AV47:AY47)</f>
        <v>0</v>
      </c>
      <c r="BA47" s="59"/>
      <c r="BB47" s="59">
        <f>+R47+AJ47</f>
        <v>0</v>
      </c>
      <c r="BC47" s="59">
        <f t="shared" ref="BC47:BC54" si="1193">+S47+AK47</f>
        <v>0</v>
      </c>
      <c r="BD47" s="59">
        <f t="shared" ref="BD47:BD54" si="1194">+T47+AL47</f>
        <v>0</v>
      </c>
      <c r="BE47" s="59">
        <f t="shared" ref="BE47:BE54" si="1195">+U47+AM47</f>
        <v>0</v>
      </c>
      <c r="BF47" s="59">
        <f t="shared" ref="BF47:BF54" si="1196">+V47+AN47</f>
        <v>0</v>
      </c>
      <c r="BG47" s="59">
        <f t="shared" ref="BG47:BG54" si="1197">+W47+AO47</f>
        <v>0</v>
      </c>
      <c r="BH47" s="59">
        <f t="shared" ref="BH47:BH54" si="1198">+X47+AP47</f>
        <v>0</v>
      </c>
      <c r="BI47" s="59">
        <f t="shared" ref="BI47:BI54" si="1199">+Y47+AQ47</f>
        <v>0</v>
      </c>
      <c r="BJ47" s="59">
        <f t="shared" ref="BJ47:BJ54" si="1200">+Z47+AR47</f>
        <v>0</v>
      </c>
      <c r="BK47" s="59">
        <f t="shared" ref="BK47:BK54" si="1201">+AA47+AS47</f>
        <v>0</v>
      </c>
      <c r="BL47" s="59">
        <f t="shared" ref="BL47:BL54" si="1202">+AB47+AT47</f>
        <v>0</v>
      </c>
      <c r="BM47" s="59">
        <f t="shared" ref="BM47:BM54" si="1203">+AC47+AU47</f>
        <v>0</v>
      </c>
      <c r="BN47" s="59">
        <f>SUM(BB47:BD47)</f>
        <v>0</v>
      </c>
      <c r="BO47" s="59">
        <f>SUM(BE47:BG47)</f>
        <v>0</v>
      </c>
      <c r="BP47" s="59">
        <f t="shared" ref="BP47:BP54" si="1204">SUM(BH47:BJ47)</f>
        <v>0</v>
      </c>
      <c r="BQ47" s="59">
        <f>SUM(BK47:BM47)</f>
        <v>0</v>
      </c>
      <c r="BR47" s="59">
        <f>SUM(BN47:BQ47)</f>
        <v>0</v>
      </c>
      <c r="BS47" s="59"/>
      <c r="BT47" s="59">
        <f>IF(BT$4&lt;$O47,0,IF(AND(BT$4&gt;=$O47,BT$4&lt;=$K47+$N47),$E47/$K47,0))</f>
        <v>34.333333333333336</v>
      </c>
      <c r="BU47" s="59">
        <f t="shared" ref="BU47:CE63" si="1205">IF(BU$4&lt;$O47,0,IF(AND(BU$4&gt;=$O47,BU$4&lt;=$K47+$N47),$E47/$K47,0))</f>
        <v>34.333333333333336</v>
      </c>
      <c r="BV47" s="59">
        <f t="shared" si="1205"/>
        <v>34.333333333333336</v>
      </c>
      <c r="BW47" s="59">
        <f t="shared" si="1205"/>
        <v>0</v>
      </c>
      <c r="BX47" s="59">
        <f t="shared" si="1205"/>
        <v>0</v>
      </c>
      <c r="BY47" s="59">
        <f t="shared" si="1205"/>
        <v>0</v>
      </c>
      <c r="BZ47" s="59">
        <f t="shared" si="1205"/>
        <v>0</v>
      </c>
      <c r="CA47" s="59">
        <f t="shared" si="1205"/>
        <v>0</v>
      </c>
      <c r="CB47" s="59">
        <f t="shared" si="1205"/>
        <v>0</v>
      </c>
      <c r="CC47" s="59">
        <f t="shared" si="1205"/>
        <v>0</v>
      </c>
      <c r="CD47" s="59">
        <f t="shared" si="1205"/>
        <v>0</v>
      </c>
      <c r="CE47" s="59">
        <f t="shared" si="1205"/>
        <v>0</v>
      </c>
      <c r="CF47" s="59">
        <f>SUM(BT47:BV47)</f>
        <v>103</v>
      </c>
      <c r="CG47" s="59">
        <f>SUM(BW47:BY47)</f>
        <v>0</v>
      </c>
      <c r="CH47" s="59">
        <f>SUM(BZ47:CB47)</f>
        <v>0</v>
      </c>
      <c r="CI47" s="59">
        <f>SUM(CC47:CE47)</f>
        <v>0</v>
      </c>
      <c r="CJ47" s="59">
        <f>SUM(CF47:CI47)</f>
        <v>103</v>
      </c>
      <c r="CK47" s="59"/>
      <c r="CL47" s="59">
        <f t="shared" ref="CL47:CN63" si="1206">IF(CL$4&lt;$O47+$K47,0,IF(AND(CL$4&gt;=$O47+$K47,CL$4&lt;=$L47+$K47),$F47/$L47,0))</f>
        <v>0</v>
      </c>
      <c r="CM47" s="59">
        <f t="shared" si="1206"/>
        <v>0</v>
      </c>
      <c r="CN47" s="59">
        <f t="shared" si="1206"/>
        <v>0</v>
      </c>
      <c r="CO47" s="59">
        <f>IF(CO$4&lt;$O47+$K47,0,IF(AND(CO$4&gt;=$O47+$K47,CO$4&lt;=$L47+$K47),$F47/$L47,0))</f>
        <v>3</v>
      </c>
      <c r="CP47" s="59">
        <f t="shared" ref="CP47:CW63" si="1207">IF(CP$4&lt;$O47+$K47,0,IF(AND(CP$4&gt;=$O47+$K47,CP$4&lt;=$L47+$K47),$F47/$L47,0))</f>
        <v>3</v>
      </c>
      <c r="CQ47" s="59">
        <f t="shared" si="1207"/>
        <v>3</v>
      </c>
      <c r="CR47" s="59">
        <f t="shared" si="1207"/>
        <v>3</v>
      </c>
      <c r="CS47" s="59">
        <f t="shared" si="1207"/>
        <v>3</v>
      </c>
      <c r="CT47" s="59">
        <f t="shared" si="1207"/>
        <v>3</v>
      </c>
      <c r="CU47" s="59">
        <f t="shared" si="1207"/>
        <v>0</v>
      </c>
      <c r="CV47" s="59">
        <f t="shared" si="1207"/>
        <v>0</v>
      </c>
      <c r="CW47" s="59">
        <f t="shared" si="1207"/>
        <v>0</v>
      </c>
      <c r="CX47" s="59">
        <f>SUM(CL47:CN47)</f>
        <v>0</v>
      </c>
      <c r="CY47" s="59">
        <f>SUM(CO47:CQ47)</f>
        <v>9</v>
      </c>
      <c r="CZ47" s="59">
        <f>SUM(CR47:CT47)</f>
        <v>9</v>
      </c>
      <c r="DA47" s="59">
        <f>SUM(CU47:CW47)</f>
        <v>0</v>
      </c>
      <c r="DB47" s="59">
        <f>SUM(CX47:DA47)</f>
        <v>18</v>
      </c>
      <c r="DC47" s="59"/>
      <c r="DD47" s="59">
        <f>+BT47+CL47</f>
        <v>34.333333333333336</v>
      </c>
      <c r="DE47" s="59">
        <f t="shared" ref="DE47:DE54" si="1208">+BU47+CM47</f>
        <v>34.333333333333336</v>
      </c>
      <c r="DF47" s="59">
        <f t="shared" ref="DF47:DF54" si="1209">+BV47+CN47</f>
        <v>34.333333333333336</v>
      </c>
      <c r="DG47" s="59">
        <f t="shared" ref="DG47:DG54" si="1210">+BW47+CO47</f>
        <v>3</v>
      </c>
      <c r="DH47" s="59">
        <f t="shared" ref="DH47:DH54" si="1211">+BX47+CP47</f>
        <v>3</v>
      </c>
      <c r="DI47" s="59">
        <f t="shared" ref="DI47:DI54" si="1212">+BY47+CQ47</f>
        <v>3</v>
      </c>
      <c r="DJ47" s="59">
        <f t="shared" ref="DJ47:DJ54" si="1213">+BZ47+CR47</f>
        <v>3</v>
      </c>
      <c r="DK47" s="59">
        <f t="shared" ref="DK47:DK54" si="1214">+CA47+CS47</f>
        <v>3</v>
      </c>
      <c r="DL47" s="59">
        <f t="shared" ref="DL47:DL54" si="1215">+CB47+CT47</f>
        <v>3</v>
      </c>
      <c r="DM47" s="59">
        <f t="shared" ref="DM47:DM54" si="1216">+CC47+CU47</f>
        <v>0</v>
      </c>
      <c r="DN47" s="59">
        <f t="shared" ref="DN47:DN54" si="1217">+CD47+CV47</f>
        <v>0</v>
      </c>
      <c r="DO47" s="59">
        <f t="shared" ref="DO47:DO54" si="1218">+CE47+CW47</f>
        <v>0</v>
      </c>
      <c r="DP47" s="59">
        <f>SUM(DD47:DF47)</f>
        <v>103</v>
      </c>
      <c r="DQ47" s="59">
        <f>SUM(DG47:DI47)</f>
        <v>9</v>
      </c>
      <c r="DR47" s="59">
        <f>SUM(DJ47:DL47)</f>
        <v>9</v>
      </c>
      <c r="DS47" s="59">
        <f>SUM(DM47:DO47)</f>
        <v>0</v>
      </c>
      <c r="DT47" s="59">
        <f>SUM(DP47:DS47)</f>
        <v>121</v>
      </c>
      <c r="DU47" s="59"/>
      <c r="DV47" s="70">
        <v>0</v>
      </c>
      <c r="DW47" s="70">
        <v>50</v>
      </c>
      <c r="DX47" s="70">
        <v>124.99798</v>
      </c>
      <c r="DY47" s="70">
        <v>0</v>
      </c>
      <c r="DZ47" s="70">
        <v>0</v>
      </c>
      <c r="EA47" s="70">
        <v>0</v>
      </c>
      <c r="EB47" s="59">
        <f t="shared" ref="EB47:EG63" si="1219">IF(EB$4&lt;$O47+2,0,IF(AND(EB$4&gt;=$O47+2,EB$4&lt;=$K47+$N47+2),$E47/$K47,0))</f>
        <v>0</v>
      </c>
      <c r="EC47" s="59">
        <f t="shared" si="1219"/>
        <v>0</v>
      </c>
      <c r="ED47" s="59">
        <f t="shared" si="1219"/>
        <v>0</v>
      </c>
      <c r="EE47" s="59">
        <f t="shared" si="1219"/>
        <v>0</v>
      </c>
      <c r="EF47" s="59">
        <f t="shared" si="1219"/>
        <v>0</v>
      </c>
      <c r="EG47" s="59">
        <f t="shared" si="1219"/>
        <v>0</v>
      </c>
      <c r="EH47" s="59">
        <f>SUM(DV47:DX47)</f>
        <v>174.99797999999998</v>
      </c>
      <c r="EI47" s="59">
        <f>SUM(DY47:EA47)</f>
        <v>0</v>
      </c>
      <c r="EJ47" s="59">
        <f>SUM(EB47:ED47)</f>
        <v>0</v>
      </c>
      <c r="EK47" s="59">
        <f>SUM(EE47:EG47)</f>
        <v>0</v>
      </c>
      <c r="EL47" s="59">
        <f>SUM(EH47:EK47)</f>
        <v>174.99797999999998</v>
      </c>
      <c r="EM47" s="59"/>
      <c r="EN47" s="70">
        <v>0</v>
      </c>
      <c r="EO47" s="70">
        <v>0</v>
      </c>
      <c r="EP47" s="70">
        <v>0</v>
      </c>
      <c r="EQ47" s="70">
        <v>0</v>
      </c>
      <c r="ER47" s="70">
        <v>0</v>
      </c>
      <c r="ES47" s="70">
        <v>0</v>
      </c>
      <c r="ET47" s="70">
        <v>0</v>
      </c>
      <c r="EU47" s="70">
        <v>0</v>
      </c>
      <c r="EV47" s="70">
        <v>0</v>
      </c>
      <c r="EW47" s="70">
        <v>0</v>
      </c>
      <c r="EX47" s="70">
        <v>0</v>
      </c>
      <c r="EY47" s="70">
        <v>0</v>
      </c>
      <c r="EZ47" s="59">
        <f>SUM(EN47:EP47)</f>
        <v>0</v>
      </c>
      <c r="FA47" s="59">
        <f>SUM(EQ47:ES47)</f>
        <v>0</v>
      </c>
      <c r="FB47" s="59">
        <f>SUM(ET47:EV47)</f>
        <v>0</v>
      </c>
      <c r="FC47" s="59">
        <f>SUM(EW47:EY47)</f>
        <v>0</v>
      </c>
      <c r="FD47" s="59">
        <f>SUM(EZ47:FC47)</f>
        <v>0</v>
      </c>
      <c r="FE47" s="59"/>
      <c r="FF47" s="59">
        <f>+DV47+EN47</f>
        <v>0</v>
      </c>
      <c r="FG47" s="59">
        <f t="shared" ref="FG47:FG54" si="1220">+DW47+EO47</f>
        <v>50</v>
      </c>
      <c r="FH47" s="59">
        <f t="shared" ref="FH47:FH54" si="1221">+DX47+EP47</f>
        <v>124.99798</v>
      </c>
      <c r="FI47" s="59">
        <f t="shared" ref="FI47:FI54" si="1222">+DY47+EQ47</f>
        <v>0</v>
      </c>
      <c r="FJ47" s="59">
        <f t="shared" ref="FJ47:FJ54" si="1223">+DZ47+ER47</f>
        <v>0</v>
      </c>
      <c r="FK47" s="59">
        <f t="shared" ref="FK47:FK54" si="1224">+EA47+ES47</f>
        <v>0</v>
      </c>
      <c r="FL47" s="59">
        <f t="shared" ref="FL47:FL54" si="1225">+EB47+ET47</f>
        <v>0</v>
      </c>
      <c r="FM47" s="59">
        <f t="shared" ref="FM47:FM54" si="1226">+EC47+EU47</f>
        <v>0</v>
      </c>
      <c r="FN47" s="59">
        <f t="shared" ref="FN47:FN54" si="1227">+ED47+EV47</f>
        <v>0</v>
      </c>
      <c r="FO47" s="59">
        <f t="shared" ref="FO47:FO54" si="1228">+EE47+EW47</f>
        <v>0</v>
      </c>
      <c r="FP47" s="59">
        <f t="shared" ref="FP47:FP54" si="1229">+EF47+EX47</f>
        <v>0</v>
      </c>
      <c r="FQ47" s="59">
        <f t="shared" ref="FQ47:FQ54" si="1230">+EG47+EY47</f>
        <v>0</v>
      </c>
      <c r="FR47" s="59">
        <f>SUM(FF47:FH47)</f>
        <v>174.99797999999998</v>
      </c>
      <c r="FS47" s="59">
        <f>SUM(FI47:FK47)</f>
        <v>0</v>
      </c>
      <c r="FT47" s="59">
        <f>SUM(FL47:FN47)</f>
        <v>0</v>
      </c>
      <c r="FU47" s="59">
        <f>SUM(FO47:FQ47)</f>
        <v>0</v>
      </c>
      <c r="FV47" s="59">
        <f>SUM(FR47:FU47)</f>
        <v>174.99797999999998</v>
      </c>
    </row>
    <row r="48" spans="2:178" x14ac:dyDescent="0.2">
      <c r="B48" s="46">
        <f>+B47+1</f>
        <v>2</v>
      </c>
      <c r="C48" s="14" t="s">
        <v>744</v>
      </c>
      <c r="E48" s="13">
        <v>43</v>
      </c>
      <c r="F48" s="13">
        <v>0</v>
      </c>
      <c r="G48" s="17">
        <f>+E48+F48</f>
        <v>43</v>
      </c>
      <c r="H48" s="49" t="s">
        <v>254</v>
      </c>
      <c r="I48" s="49" t="s">
        <v>216</v>
      </c>
      <c r="J48" s="49" t="s">
        <v>217</v>
      </c>
      <c r="K48" s="54">
        <v>3</v>
      </c>
      <c r="L48" s="54">
        <v>6</v>
      </c>
      <c r="M48" s="54">
        <v>0</v>
      </c>
      <c r="N48" s="54">
        <v>0</v>
      </c>
      <c r="O48" s="48">
        <f>+N48+1</f>
        <v>1</v>
      </c>
      <c r="P48" s="48">
        <f>+K48+L48</f>
        <v>9</v>
      </c>
      <c r="R48" s="59">
        <f>IF($N48&lt;R$4,0,IF($N48=R$4,$E48,0))</f>
        <v>0</v>
      </c>
      <c r="S48" s="59">
        <f t="shared" si="1191"/>
        <v>0</v>
      </c>
      <c r="T48" s="59">
        <f t="shared" si="1191"/>
        <v>0</v>
      </c>
      <c r="U48" s="59">
        <f t="shared" si="1191"/>
        <v>0</v>
      </c>
      <c r="V48" s="59">
        <f t="shared" si="1191"/>
        <v>0</v>
      </c>
      <c r="W48" s="59">
        <f t="shared" si="1191"/>
        <v>0</v>
      </c>
      <c r="X48" s="59">
        <f t="shared" si="1191"/>
        <v>0</v>
      </c>
      <c r="Y48" s="59">
        <f t="shared" si="1191"/>
        <v>0</v>
      </c>
      <c r="Z48" s="59">
        <f t="shared" si="1191"/>
        <v>0</v>
      </c>
      <c r="AA48" s="59">
        <f t="shared" si="1191"/>
        <v>0</v>
      </c>
      <c r="AB48" s="59">
        <f t="shared" si="1191"/>
        <v>0</v>
      </c>
      <c r="AC48" s="59">
        <f t="shared" si="1191"/>
        <v>0</v>
      </c>
      <c r="AD48" s="59">
        <f>SUM(R48:T48)</f>
        <v>0</v>
      </c>
      <c r="AE48" s="59">
        <f>SUM(U48:W48)</f>
        <v>0</v>
      </c>
      <c r="AF48" s="59">
        <f>SUM(X48:Z48)</f>
        <v>0</v>
      </c>
      <c r="AG48" s="59">
        <f>SUM(AA48:AC48)</f>
        <v>0</v>
      </c>
      <c r="AH48" s="59">
        <f>SUM(AD48:AG48)</f>
        <v>0</v>
      </c>
      <c r="AI48" s="59"/>
      <c r="AJ48" s="59">
        <f>IF($N48&lt;AJ$4,0,IF($N48=AJ$4,$F48,0))</f>
        <v>0</v>
      </c>
      <c r="AK48" s="59">
        <f t="shared" si="1192"/>
        <v>0</v>
      </c>
      <c r="AL48" s="59">
        <f t="shared" si="1192"/>
        <v>0</v>
      </c>
      <c r="AM48" s="59">
        <f t="shared" si="1192"/>
        <v>0</v>
      </c>
      <c r="AN48" s="59">
        <f t="shared" si="1192"/>
        <v>0</v>
      </c>
      <c r="AO48" s="59">
        <f t="shared" si="1192"/>
        <v>0</v>
      </c>
      <c r="AP48" s="59">
        <f t="shared" si="1192"/>
        <v>0</v>
      </c>
      <c r="AQ48" s="59">
        <f t="shared" si="1192"/>
        <v>0</v>
      </c>
      <c r="AR48" s="59">
        <f t="shared" si="1192"/>
        <v>0</v>
      </c>
      <c r="AS48" s="59">
        <f t="shared" si="1192"/>
        <v>0</v>
      </c>
      <c r="AT48" s="59">
        <f t="shared" si="1192"/>
        <v>0</v>
      </c>
      <c r="AU48" s="59">
        <f t="shared" si="1192"/>
        <v>0</v>
      </c>
      <c r="AV48" s="59">
        <f>SUM(AJ48:AL48)</f>
        <v>0</v>
      </c>
      <c r="AW48" s="59">
        <f>SUM(AM48:AO48)</f>
        <v>0</v>
      </c>
      <c r="AX48" s="59">
        <f>SUM(AP48:AR48)</f>
        <v>0</v>
      </c>
      <c r="AY48" s="59">
        <f>SUM(AS48:AU48)</f>
        <v>0</v>
      </c>
      <c r="AZ48" s="59">
        <f>SUM(AV48:AY48)</f>
        <v>0</v>
      </c>
      <c r="BA48" s="59"/>
      <c r="BB48" s="59">
        <f>+R48+AJ48</f>
        <v>0</v>
      </c>
      <c r="BC48" s="59">
        <f t="shared" ref="BC48" si="1231">+S48+AK48</f>
        <v>0</v>
      </c>
      <c r="BD48" s="59">
        <f t="shared" ref="BD48" si="1232">+T48+AL48</f>
        <v>0</v>
      </c>
      <c r="BE48" s="59">
        <f t="shared" ref="BE48" si="1233">+U48+AM48</f>
        <v>0</v>
      </c>
      <c r="BF48" s="59">
        <f t="shared" ref="BF48" si="1234">+V48+AN48</f>
        <v>0</v>
      </c>
      <c r="BG48" s="59">
        <f t="shared" ref="BG48" si="1235">+W48+AO48</f>
        <v>0</v>
      </c>
      <c r="BH48" s="59">
        <f t="shared" ref="BH48" si="1236">+X48+AP48</f>
        <v>0</v>
      </c>
      <c r="BI48" s="59">
        <f t="shared" ref="BI48" si="1237">+Y48+AQ48</f>
        <v>0</v>
      </c>
      <c r="BJ48" s="59">
        <f t="shared" ref="BJ48" si="1238">+Z48+AR48</f>
        <v>0</v>
      </c>
      <c r="BK48" s="59">
        <f t="shared" ref="BK48" si="1239">+AA48+AS48</f>
        <v>0</v>
      </c>
      <c r="BL48" s="59">
        <f t="shared" ref="BL48" si="1240">+AB48+AT48</f>
        <v>0</v>
      </c>
      <c r="BM48" s="59">
        <f t="shared" ref="BM48" si="1241">+AC48+AU48</f>
        <v>0</v>
      </c>
      <c r="BN48" s="59">
        <f>SUM(BB48:BD48)</f>
        <v>0</v>
      </c>
      <c r="BO48" s="59">
        <f>SUM(BE48:BG48)</f>
        <v>0</v>
      </c>
      <c r="BP48" s="59">
        <f t="shared" ref="BP48" si="1242">SUM(BH48:BJ48)</f>
        <v>0</v>
      </c>
      <c r="BQ48" s="59">
        <f>SUM(BK48:BM48)</f>
        <v>0</v>
      </c>
      <c r="BR48" s="59">
        <f>SUM(BN48:BQ48)</f>
        <v>0</v>
      </c>
      <c r="BS48" s="59"/>
      <c r="BT48" s="59">
        <f>IF(BT$4&lt;$O48,0,IF(AND(BT$4&gt;=$O48,BT$4&lt;=$K48+$N48),$E48/$K48,0))</f>
        <v>14.333333333333334</v>
      </c>
      <c r="BU48" s="59">
        <f t="shared" si="1205"/>
        <v>14.333333333333334</v>
      </c>
      <c r="BV48" s="59">
        <f t="shared" si="1205"/>
        <v>14.333333333333334</v>
      </c>
      <c r="BW48" s="59">
        <f t="shared" si="1205"/>
        <v>0</v>
      </c>
      <c r="BX48" s="59">
        <f t="shared" si="1205"/>
        <v>0</v>
      </c>
      <c r="BY48" s="59">
        <f t="shared" si="1205"/>
        <v>0</v>
      </c>
      <c r="BZ48" s="59">
        <f t="shared" si="1205"/>
        <v>0</v>
      </c>
      <c r="CA48" s="59">
        <f t="shared" si="1205"/>
        <v>0</v>
      </c>
      <c r="CB48" s="59">
        <f t="shared" si="1205"/>
        <v>0</v>
      </c>
      <c r="CC48" s="59">
        <f t="shared" si="1205"/>
        <v>0</v>
      </c>
      <c r="CD48" s="59">
        <f t="shared" si="1205"/>
        <v>0</v>
      </c>
      <c r="CE48" s="59">
        <f t="shared" si="1205"/>
        <v>0</v>
      </c>
      <c r="CF48" s="59">
        <f>SUM(BT48:BV48)</f>
        <v>43</v>
      </c>
      <c r="CG48" s="59">
        <f>SUM(BW48:BY48)</f>
        <v>0</v>
      </c>
      <c r="CH48" s="59">
        <f>SUM(BZ48:CB48)</f>
        <v>0</v>
      </c>
      <c r="CI48" s="59">
        <f>SUM(CC48:CE48)</f>
        <v>0</v>
      </c>
      <c r="CJ48" s="59">
        <f>SUM(CF48:CI48)</f>
        <v>43</v>
      </c>
      <c r="CK48" s="59"/>
      <c r="CL48" s="59">
        <f t="shared" si="1206"/>
        <v>0</v>
      </c>
      <c r="CM48" s="59">
        <f t="shared" si="1206"/>
        <v>0</v>
      </c>
      <c r="CN48" s="59">
        <f t="shared" si="1206"/>
        <v>0</v>
      </c>
      <c r="CO48" s="59">
        <f>IF(CO$4&lt;$O48+$K48,0,IF(AND(CO$4&gt;=$O48+$K48,CO$4&lt;=$L48+$K48),$F48/$L48,0))</f>
        <v>0</v>
      </c>
      <c r="CP48" s="59">
        <f t="shared" si="1207"/>
        <v>0</v>
      </c>
      <c r="CQ48" s="59">
        <f t="shared" si="1207"/>
        <v>0</v>
      </c>
      <c r="CR48" s="59">
        <f t="shared" si="1207"/>
        <v>0</v>
      </c>
      <c r="CS48" s="59">
        <f t="shared" si="1207"/>
        <v>0</v>
      </c>
      <c r="CT48" s="59">
        <f t="shared" si="1207"/>
        <v>0</v>
      </c>
      <c r="CU48" s="59">
        <f t="shared" si="1207"/>
        <v>0</v>
      </c>
      <c r="CV48" s="59">
        <f t="shared" si="1207"/>
        <v>0</v>
      </c>
      <c r="CW48" s="59">
        <f t="shared" si="1207"/>
        <v>0</v>
      </c>
      <c r="CX48" s="59">
        <f>SUM(CL48:CN48)</f>
        <v>0</v>
      </c>
      <c r="CY48" s="59">
        <f>SUM(CO48:CQ48)</f>
        <v>0</v>
      </c>
      <c r="CZ48" s="59">
        <f>SUM(CR48:CT48)</f>
        <v>0</v>
      </c>
      <c r="DA48" s="59">
        <f>SUM(CU48:CW48)</f>
        <v>0</v>
      </c>
      <c r="DB48" s="59">
        <f>SUM(CX48:DA48)</f>
        <v>0</v>
      </c>
      <c r="DC48" s="59"/>
      <c r="DD48" s="59">
        <f>+BT48+CL48</f>
        <v>14.333333333333334</v>
      </c>
      <c r="DE48" s="59">
        <f t="shared" ref="DE48" si="1243">+BU48+CM48</f>
        <v>14.333333333333334</v>
      </c>
      <c r="DF48" s="59">
        <f t="shared" ref="DF48" si="1244">+BV48+CN48</f>
        <v>14.333333333333334</v>
      </c>
      <c r="DG48" s="59">
        <f t="shared" ref="DG48" si="1245">+BW48+CO48</f>
        <v>0</v>
      </c>
      <c r="DH48" s="59">
        <f t="shared" ref="DH48" si="1246">+BX48+CP48</f>
        <v>0</v>
      </c>
      <c r="DI48" s="59">
        <f t="shared" ref="DI48" si="1247">+BY48+CQ48</f>
        <v>0</v>
      </c>
      <c r="DJ48" s="59">
        <f t="shared" ref="DJ48" si="1248">+BZ48+CR48</f>
        <v>0</v>
      </c>
      <c r="DK48" s="59">
        <f t="shared" ref="DK48" si="1249">+CA48+CS48</f>
        <v>0</v>
      </c>
      <c r="DL48" s="59">
        <f t="shared" ref="DL48" si="1250">+CB48+CT48</f>
        <v>0</v>
      </c>
      <c r="DM48" s="59">
        <f t="shared" ref="DM48" si="1251">+CC48+CU48</f>
        <v>0</v>
      </c>
      <c r="DN48" s="59">
        <f t="shared" ref="DN48" si="1252">+CD48+CV48</f>
        <v>0</v>
      </c>
      <c r="DO48" s="59">
        <f t="shared" ref="DO48" si="1253">+CE48+CW48</f>
        <v>0</v>
      </c>
      <c r="DP48" s="59">
        <f>SUM(DD48:DF48)</f>
        <v>43</v>
      </c>
      <c r="DQ48" s="59">
        <f>SUM(DG48:DI48)</f>
        <v>0</v>
      </c>
      <c r="DR48" s="59">
        <f>SUM(DJ48:DL48)</f>
        <v>0</v>
      </c>
      <c r="DS48" s="59">
        <f>SUM(DM48:DO48)</f>
        <v>0</v>
      </c>
      <c r="DT48" s="59">
        <f>SUM(DP48:DS48)</f>
        <v>43</v>
      </c>
      <c r="DU48" s="59"/>
      <c r="DV48" s="70">
        <v>0</v>
      </c>
      <c r="DW48" s="70">
        <v>0</v>
      </c>
      <c r="DX48" s="70">
        <v>1.2949999999999999</v>
      </c>
      <c r="DY48" s="70">
        <v>11.3775</v>
      </c>
      <c r="DZ48" s="70">
        <v>0</v>
      </c>
      <c r="EA48" s="70">
        <v>30.327500000000001</v>
      </c>
      <c r="EB48" s="70">
        <v>0</v>
      </c>
      <c r="EC48" s="70">
        <v>0</v>
      </c>
      <c r="ED48" s="59">
        <f t="shared" si="1219"/>
        <v>0</v>
      </c>
      <c r="EE48" s="59">
        <f t="shared" si="1219"/>
        <v>0</v>
      </c>
      <c r="EF48" s="59">
        <f t="shared" si="1219"/>
        <v>0</v>
      </c>
      <c r="EG48" s="59">
        <f t="shared" si="1219"/>
        <v>0</v>
      </c>
      <c r="EH48" s="59">
        <f>SUM(DV48:DX48)</f>
        <v>1.2949999999999999</v>
      </c>
      <c r="EI48" s="59">
        <f>SUM(DY48:EA48)</f>
        <v>41.704999999999998</v>
      </c>
      <c r="EJ48" s="59">
        <f>SUM(EB48:ED48)</f>
        <v>0</v>
      </c>
      <c r="EK48" s="59">
        <f>SUM(EE48:EG48)</f>
        <v>0</v>
      </c>
      <c r="EL48" s="59">
        <f>SUM(EH48:EK48)</f>
        <v>43</v>
      </c>
      <c r="EM48" s="59"/>
      <c r="EN48" s="70">
        <v>0</v>
      </c>
      <c r="EO48" s="70">
        <v>0</v>
      </c>
      <c r="EP48" s="70">
        <v>0</v>
      </c>
      <c r="EQ48" s="70">
        <v>0</v>
      </c>
      <c r="ER48" s="70">
        <v>0</v>
      </c>
      <c r="ES48" s="70">
        <v>0</v>
      </c>
      <c r="ET48" s="70">
        <v>0</v>
      </c>
      <c r="EU48" s="70">
        <v>0</v>
      </c>
      <c r="EV48" s="70">
        <v>0</v>
      </c>
      <c r="EW48" s="70">
        <v>0</v>
      </c>
      <c r="EX48" s="70">
        <v>0</v>
      </c>
      <c r="EY48" s="70">
        <v>0</v>
      </c>
      <c r="EZ48" s="59">
        <f>SUM(EN48:EP48)</f>
        <v>0</v>
      </c>
      <c r="FA48" s="59">
        <f>SUM(EQ48:ES48)</f>
        <v>0</v>
      </c>
      <c r="FB48" s="59">
        <f>SUM(ET48:EV48)</f>
        <v>0</v>
      </c>
      <c r="FC48" s="59">
        <f>SUM(EW48:EY48)</f>
        <v>0</v>
      </c>
      <c r="FD48" s="59">
        <f>SUM(EZ48:FC48)</f>
        <v>0</v>
      </c>
      <c r="FE48" s="59"/>
      <c r="FF48" s="59">
        <f>+DV48+EN48</f>
        <v>0</v>
      </c>
      <c r="FG48" s="59">
        <f t="shared" ref="FG48" si="1254">+DW48+EO48</f>
        <v>0</v>
      </c>
      <c r="FH48" s="59">
        <f t="shared" ref="FH48" si="1255">+DX48+EP48</f>
        <v>1.2949999999999999</v>
      </c>
      <c r="FI48" s="59">
        <f t="shared" ref="FI48" si="1256">+DY48+EQ48</f>
        <v>11.3775</v>
      </c>
      <c r="FJ48" s="59">
        <f t="shared" ref="FJ48" si="1257">+DZ48+ER48</f>
        <v>0</v>
      </c>
      <c r="FK48" s="59">
        <f t="shared" ref="FK48" si="1258">+EA48+ES48</f>
        <v>30.327500000000001</v>
      </c>
      <c r="FL48" s="59">
        <f t="shared" ref="FL48" si="1259">+EB48+ET48</f>
        <v>0</v>
      </c>
      <c r="FM48" s="59">
        <f t="shared" ref="FM48" si="1260">+EC48+EU48</f>
        <v>0</v>
      </c>
      <c r="FN48" s="59">
        <f t="shared" ref="FN48" si="1261">+ED48+EV48</f>
        <v>0</v>
      </c>
      <c r="FO48" s="59">
        <f t="shared" ref="FO48" si="1262">+EE48+EW48</f>
        <v>0</v>
      </c>
      <c r="FP48" s="59">
        <f t="shared" ref="FP48" si="1263">+EF48+EX48</f>
        <v>0</v>
      </c>
      <c r="FQ48" s="59">
        <f t="shared" ref="FQ48" si="1264">+EG48+EY48</f>
        <v>0</v>
      </c>
      <c r="FR48" s="59">
        <f>SUM(FF48:FH48)</f>
        <v>1.2949999999999999</v>
      </c>
      <c r="FS48" s="59">
        <f>SUM(FI48:FK48)</f>
        <v>41.704999999999998</v>
      </c>
      <c r="FT48" s="59">
        <f>SUM(FL48:FN48)</f>
        <v>0</v>
      </c>
      <c r="FU48" s="59">
        <f>SUM(FO48:FQ48)</f>
        <v>0</v>
      </c>
      <c r="FV48" s="59">
        <f>SUM(FR48:FU48)</f>
        <v>43</v>
      </c>
    </row>
    <row r="49" spans="2:178" x14ac:dyDescent="0.2">
      <c r="B49" s="46">
        <f>+B48+1</f>
        <v>3</v>
      </c>
      <c r="C49" s="14" t="s">
        <v>492</v>
      </c>
      <c r="E49" s="13">
        <v>30</v>
      </c>
      <c r="F49" s="13">
        <v>0</v>
      </c>
      <c r="G49" s="17">
        <f>+E49+F49</f>
        <v>30</v>
      </c>
      <c r="H49" s="49" t="s">
        <v>254</v>
      </c>
      <c r="I49" s="49" t="s">
        <v>216</v>
      </c>
      <c r="J49" s="49" t="s">
        <v>217</v>
      </c>
      <c r="K49" s="54">
        <v>1</v>
      </c>
      <c r="L49" s="54">
        <v>0</v>
      </c>
      <c r="M49" s="54">
        <v>0</v>
      </c>
      <c r="N49" s="54">
        <v>2</v>
      </c>
      <c r="O49" s="48">
        <f>+N49+1</f>
        <v>3</v>
      </c>
      <c r="P49" s="48">
        <f>+K49+L49</f>
        <v>1</v>
      </c>
      <c r="R49" s="59">
        <f>IF($N49&lt;R$4,0,IF($N49=R$4,$E49,0))</f>
        <v>0</v>
      </c>
      <c r="S49" s="59">
        <f t="shared" si="1191"/>
        <v>30</v>
      </c>
      <c r="T49" s="59">
        <f t="shared" si="1191"/>
        <v>0</v>
      </c>
      <c r="U49" s="59">
        <f t="shared" si="1191"/>
        <v>0</v>
      </c>
      <c r="V49" s="59">
        <f t="shared" si="1191"/>
        <v>0</v>
      </c>
      <c r="W49" s="59">
        <f t="shared" si="1191"/>
        <v>0</v>
      </c>
      <c r="X49" s="59">
        <f t="shared" si="1191"/>
        <v>0</v>
      </c>
      <c r="Y49" s="59">
        <f t="shared" si="1191"/>
        <v>0</v>
      </c>
      <c r="Z49" s="59">
        <f t="shared" si="1191"/>
        <v>0</v>
      </c>
      <c r="AA49" s="59">
        <f t="shared" si="1191"/>
        <v>0</v>
      </c>
      <c r="AB49" s="59">
        <f t="shared" si="1191"/>
        <v>0</v>
      </c>
      <c r="AC49" s="59">
        <f t="shared" si="1191"/>
        <v>0</v>
      </c>
      <c r="AD49" s="59">
        <f>SUM(R49:T49)</f>
        <v>30</v>
      </c>
      <c r="AE49" s="59">
        <f>SUM(U49:W49)</f>
        <v>0</v>
      </c>
      <c r="AF49" s="59">
        <f>SUM(X49:Z49)</f>
        <v>0</v>
      </c>
      <c r="AG49" s="59">
        <f>SUM(AA49:AC49)</f>
        <v>0</v>
      </c>
      <c r="AH49" s="59">
        <f>SUM(AD49:AG49)</f>
        <v>30</v>
      </c>
      <c r="AI49" s="59"/>
      <c r="AJ49" s="59">
        <f>IF($N49&lt;AJ$4,0,IF($N49=AJ$4,$F49,0))</f>
        <v>0</v>
      </c>
      <c r="AK49" s="59">
        <f t="shared" si="1192"/>
        <v>0</v>
      </c>
      <c r="AL49" s="59">
        <f t="shared" si="1192"/>
        <v>0</v>
      </c>
      <c r="AM49" s="59">
        <f t="shared" si="1192"/>
        <v>0</v>
      </c>
      <c r="AN49" s="59">
        <f t="shared" si="1192"/>
        <v>0</v>
      </c>
      <c r="AO49" s="59">
        <f t="shared" si="1192"/>
        <v>0</v>
      </c>
      <c r="AP49" s="59">
        <f t="shared" si="1192"/>
        <v>0</v>
      </c>
      <c r="AQ49" s="59">
        <f t="shared" si="1192"/>
        <v>0</v>
      </c>
      <c r="AR49" s="59">
        <f t="shared" si="1192"/>
        <v>0</v>
      </c>
      <c r="AS49" s="59">
        <f t="shared" si="1192"/>
        <v>0</v>
      </c>
      <c r="AT49" s="59">
        <f t="shared" si="1192"/>
        <v>0</v>
      </c>
      <c r="AU49" s="59">
        <f t="shared" si="1192"/>
        <v>0</v>
      </c>
      <c r="AV49" s="59">
        <f>SUM(AJ49:AL49)</f>
        <v>0</v>
      </c>
      <c r="AW49" s="59">
        <f>SUM(AM49:AO49)</f>
        <v>0</v>
      </c>
      <c r="AX49" s="59">
        <f>SUM(AP49:AR49)</f>
        <v>0</v>
      </c>
      <c r="AY49" s="59">
        <f>SUM(AS49:AU49)</f>
        <v>0</v>
      </c>
      <c r="AZ49" s="59">
        <f>SUM(AV49:AY49)</f>
        <v>0</v>
      </c>
      <c r="BA49" s="59"/>
      <c r="BB49" s="59">
        <f>+R49+AJ49</f>
        <v>0</v>
      </c>
      <c r="BC49" s="59">
        <f t="shared" ref="BC49" si="1265">+S49+AK49</f>
        <v>30</v>
      </c>
      <c r="BD49" s="59">
        <f t="shared" ref="BD49" si="1266">+T49+AL49</f>
        <v>0</v>
      </c>
      <c r="BE49" s="59">
        <f t="shared" ref="BE49" si="1267">+U49+AM49</f>
        <v>0</v>
      </c>
      <c r="BF49" s="59">
        <f t="shared" ref="BF49" si="1268">+V49+AN49</f>
        <v>0</v>
      </c>
      <c r="BG49" s="59">
        <f t="shared" ref="BG49" si="1269">+W49+AO49</f>
        <v>0</v>
      </c>
      <c r="BH49" s="59">
        <f t="shared" ref="BH49" si="1270">+X49+AP49</f>
        <v>0</v>
      </c>
      <c r="BI49" s="59">
        <f t="shared" ref="BI49" si="1271">+Y49+AQ49</f>
        <v>0</v>
      </c>
      <c r="BJ49" s="59">
        <f t="shared" ref="BJ49" si="1272">+Z49+AR49</f>
        <v>0</v>
      </c>
      <c r="BK49" s="59">
        <f t="shared" ref="BK49" si="1273">+AA49+AS49</f>
        <v>0</v>
      </c>
      <c r="BL49" s="59">
        <f t="shared" ref="BL49" si="1274">+AB49+AT49</f>
        <v>0</v>
      </c>
      <c r="BM49" s="59">
        <f t="shared" ref="BM49" si="1275">+AC49+AU49</f>
        <v>0</v>
      </c>
      <c r="BN49" s="59">
        <f>SUM(BB49:BD49)</f>
        <v>30</v>
      </c>
      <c r="BO49" s="59">
        <f>SUM(BE49:BG49)</f>
        <v>0</v>
      </c>
      <c r="BP49" s="59">
        <f t="shared" ref="BP49" si="1276">SUM(BH49:BJ49)</f>
        <v>0</v>
      </c>
      <c r="BQ49" s="59">
        <f>SUM(BK49:BM49)</f>
        <v>0</v>
      </c>
      <c r="BR49" s="59">
        <f>SUM(BN49:BQ49)</f>
        <v>30</v>
      </c>
      <c r="BS49" s="59"/>
      <c r="BT49" s="59">
        <f>IF(BT$4&lt;$O49,0,IF(AND(BT$4&gt;=$O49,BT$4&lt;=$K49+$N49),$E49/$K49,0))</f>
        <v>0</v>
      </c>
      <c r="BU49" s="59">
        <f t="shared" si="1205"/>
        <v>0</v>
      </c>
      <c r="BV49" s="59">
        <f t="shared" si="1205"/>
        <v>30</v>
      </c>
      <c r="BW49" s="59">
        <f t="shared" si="1205"/>
        <v>0</v>
      </c>
      <c r="BX49" s="59">
        <f t="shared" si="1205"/>
        <v>0</v>
      </c>
      <c r="BY49" s="59">
        <f t="shared" si="1205"/>
        <v>0</v>
      </c>
      <c r="BZ49" s="59">
        <f t="shared" si="1205"/>
        <v>0</v>
      </c>
      <c r="CA49" s="59">
        <f t="shared" si="1205"/>
        <v>0</v>
      </c>
      <c r="CB49" s="59">
        <f t="shared" si="1205"/>
        <v>0</v>
      </c>
      <c r="CC49" s="59">
        <f t="shared" si="1205"/>
        <v>0</v>
      </c>
      <c r="CD49" s="59">
        <f t="shared" si="1205"/>
        <v>0</v>
      </c>
      <c r="CE49" s="59">
        <f t="shared" si="1205"/>
        <v>0</v>
      </c>
      <c r="CF49" s="59">
        <f>SUM(BT49:BV49)</f>
        <v>30</v>
      </c>
      <c r="CG49" s="59">
        <f>SUM(BW49:BY49)</f>
        <v>0</v>
      </c>
      <c r="CH49" s="59">
        <f>SUM(BZ49:CB49)</f>
        <v>0</v>
      </c>
      <c r="CI49" s="59">
        <f>SUM(CC49:CE49)</f>
        <v>0</v>
      </c>
      <c r="CJ49" s="59">
        <f>SUM(CF49:CI49)</f>
        <v>30</v>
      </c>
      <c r="CK49" s="59"/>
      <c r="CL49" s="59">
        <f t="shared" si="1206"/>
        <v>0</v>
      </c>
      <c r="CM49" s="59">
        <f t="shared" si="1206"/>
        <v>0</v>
      </c>
      <c r="CN49" s="59">
        <f t="shared" si="1206"/>
        <v>0</v>
      </c>
      <c r="CO49" s="59">
        <f>IF(CO$4&lt;$O49+$K49,0,IF(AND(CO$4&gt;=$O49+$K49,CO$4&lt;=$L49+$K49),$F49/$L49,0))</f>
        <v>0</v>
      </c>
      <c r="CP49" s="59">
        <f t="shared" si="1207"/>
        <v>0</v>
      </c>
      <c r="CQ49" s="59">
        <f t="shared" si="1207"/>
        <v>0</v>
      </c>
      <c r="CR49" s="59">
        <f t="shared" si="1207"/>
        <v>0</v>
      </c>
      <c r="CS49" s="59">
        <f t="shared" si="1207"/>
        <v>0</v>
      </c>
      <c r="CT49" s="59">
        <f t="shared" si="1207"/>
        <v>0</v>
      </c>
      <c r="CU49" s="59">
        <f t="shared" si="1207"/>
        <v>0</v>
      </c>
      <c r="CV49" s="59">
        <f t="shared" si="1207"/>
        <v>0</v>
      </c>
      <c r="CW49" s="59">
        <f t="shared" si="1207"/>
        <v>0</v>
      </c>
      <c r="CX49" s="59">
        <f>SUM(CL49:CN49)</f>
        <v>0</v>
      </c>
      <c r="CY49" s="59">
        <f>SUM(CO49:CQ49)</f>
        <v>0</v>
      </c>
      <c r="CZ49" s="59">
        <f>SUM(CR49:CT49)</f>
        <v>0</v>
      </c>
      <c r="DA49" s="59">
        <f>SUM(CU49:CW49)</f>
        <v>0</v>
      </c>
      <c r="DB49" s="59">
        <f>SUM(CX49:DA49)</f>
        <v>0</v>
      </c>
      <c r="DC49" s="59"/>
      <c r="DD49" s="59">
        <f>+BT49+CL49</f>
        <v>0</v>
      </c>
      <c r="DE49" s="59">
        <f t="shared" ref="DE49" si="1277">+BU49+CM49</f>
        <v>0</v>
      </c>
      <c r="DF49" s="59">
        <f t="shared" ref="DF49" si="1278">+BV49+CN49</f>
        <v>30</v>
      </c>
      <c r="DG49" s="59">
        <f t="shared" ref="DG49" si="1279">+BW49+CO49</f>
        <v>0</v>
      </c>
      <c r="DH49" s="59">
        <f t="shared" ref="DH49" si="1280">+BX49+CP49</f>
        <v>0</v>
      </c>
      <c r="DI49" s="59">
        <f t="shared" ref="DI49" si="1281">+BY49+CQ49</f>
        <v>0</v>
      </c>
      <c r="DJ49" s="59">
        <f t="shared" ref="DJ49" si="1282">+BZ49+CR49</f>
        <v>0</v>
      </c>
      <c r="DK49" s="59">
        <f t="shared" ref="DK49" si="1283">+CA49+CS49</f>
        <v>0</v>
      </c>
      <c r="DL49" s="59">
        <f t="shared" ref="DL49" si="1284">+CB49+CT49</f>
        <v>0</v>
      </c>
      <c r="DM49" s="59">
        <f t="shared" ref="DM49" si="1285">+CC49+CU49</f>
        <v>0</v>
      </c>
      <c r="DN49" s="59">
        <f t="shared" ref="DN49" si="1286">+CD49+CV49</f>
        <v>0</v>
      </c>
      <c r="DO49" s="59">
        <f t="shared" ref="DO49" si="1287">+CE49+CW49</f>
        <v>0</v>
      </c>
      <c r="DP49" s="59">
        <f>SUM(DD49:DF49)</f>
        <v>30</v>
      </c>
      <c r="DQ49" s="59">
        <f>SUM(DG49:DI49)</f>
        <v>0</v>
      </c>
      <c r="DR49" s="59">
        <f>SUM(DJ49:DL49)</f>
        <v>0</v>
      </c>
      <c r="DS49" s="59">
        <f>SUM(DM49:DO49)</f>
        <v>0</v>
      </c>
      <c r="DT49" s="59">
        <f>SUM(DP49:DS49)</f>
        <v>30</v>
      </c>
      <c r="DU49" s="59"/>
      <c r="DV49" s="70">
        <v>0</v>
      </c>
      <c r="DW49" s="70">
        <v>0</v>
      </c>
      <c r="DX49" s="70">
        <v>0</v>
      </c>
      <c r="DY49" s="70">
        <v>0</v>
      </c>
      <c r="DZ49" s="70">
        <v>0</v>
      </c>
      <c r="EA49" s="70">
        <v>0</v>
      </c>
      <c r="EB49" s="59">
        <f t="shared" si="1219"/>
        <v>0</v>
      </c>
      <c r="EC49" s="59">
        <f t="shared" si="1219"/>
        <v>0</v>
      </c>
      <c r="ED49" s="59">
        <f t="shared" si="1219"/>
        <v>0</v>
      </c>
      <c r="EE49" s="59">
        <f t="shared" si="1219"/>
        <v>0</v>
      </c>
      <c r="EF49" s="59">
        <f t="shared" si="1219"/>
        <v>0</v>
      </c>
      <c r="EG49" s="59">
        <f t="shared" si="1219"/>
        <v>0</v>
      </c>
      <c r="EH49" s="59">
        <f>SUM(DV49:DX49)</f>
        <v>0</v>
      </c>
      <c r="EI49" s="59">
        <f>SUM(DY49:EA49)</f>
        <v>0</v>
      </c>
      <c r="EJ49" s="59">
        <f>SUM(EB49:ED49)</f>
        <v>0</v>
      </c>
      <c r="EK49" s="59">
        <f>SUM(EE49:EG49)</f>
        <v>0</v>
      </c>
      <c r="EL49" s="59">
        <f>SUM(EH49:EK49)</f>
        <v>0</v>
      </c>
      <c r="EM49" s="59"/>
      <c r="EN49" s="70">
        <v>0</v>
      </c>
      <c r="EO49" s="70">
        <v>0</v>
      </c>
      <c r="EP49" s="70">
        <v>0</v>
      </c>
      <c r="EQ49" s="70">
        <v>0</v>
      </c>
      <c r="ER49" s="70">
        <v>0</v>
      </c>
      <c r="ES49" s="70">
        <v>0</v>
      </c>
      <c r="ET49" s="70">
        <v>0</v>
      </c>
      <c r="EU49" s="70">
        <v>0</v>
      </c>
      <c r="EV49" s="70">
        <v>0</v>
      </c>
      <c r="EW49" s="70">
        <v>0</v>
      </c>
      <c r="EX49" s="70">
        <v>0</v>
      </c>
      <c r="EY49" s="70">
        <v>0</v>
      </c>
      <c r="EZ49" s="59">
        <f>SUM(EN49:EP49)</f>
        <v>0</v>
      </c>
      <c r="FA49" s="59">
        <f>SUM(EQ49:ES49)</f>
        <v>0</v>
      </c>
      <c r="FB49" s="59">
        <f>SUM(ET49:EV49)</f>
        <v>0</v>
      </c>
      <c r="FC49" s="59">
        <f>SUM(EW49:EY49)</f>
        <v>0</v>
      </c>
      <c r="FD49" s="59">
        <f>SUM(EZ49:FC49)</f>
        <v>0</v>
      </c>
      <c r="FE49" s="59"/>
      <c r="FF49" s="59">
        <f>+DV49+EN49</f>
        <v>0</v>
      </c>
      <c r="FG49" s="59">
        <f t="shared" ref="FG49" si="1288">+DW49+EO49</f>
        <v>0</v>
      </c>
      <c r="FH49" s="59">
        <f t="shared" ref="FH49" si="1289">+DX49+EP49</f>
        <v>0</v>
      </c>
      <c r="FI49" s="59">
        <f t="shared" ref="FI49" si="1290">+DY49+EQ49</f>
        <v>0</v>
      </c>
      <c r="FJ49" s="59">
        <f t="shared" ref="FJ49" si="1291">+DZ49+ER49</f>
        <v>0</v>
      </c>
      <c r="FK49" s="59">
        <f t="shared" ref="FK49" si="1292">+EA49+ES49</f>
        <v>0</v>
      </c>
      <c r="FL49" s="59">
        <f t="shared" ref="FL49" si="1293">+EB49+ET49</f>
        <v>0</v>
      </c>
      <c r="FM49" s="59">
        <f t="shared" ref="FM49" si="1294">+EC49+EU49</f>
        <v>0</v>
      </c>
      <c r="FN49" s="59">
        <f t="shared" ref="FN49" si="1295">+ED49+EV49</f>
        <v>0</v>
      </c>
      <c r="FO49" s="59">
        <f t="shared" ref="FO49" si="1296">+EE49+EW49</f>
        <v>0</v>
      </c>
      <c r="FP49" s="59">
        <f t="shared" ref="FP49" si="1297">+EF49+EX49</f>
        <v>0</v>
      </c>
      <c r="FQ49" s="59">
        <f t="shared" ref="FQ49" si="1298">+EG49+EY49</f>
        <v>0</v>
      </c>
      <c r="FR49" s="59">
        <f>SUM(FF49:FH49)</f>
        <v>0</v>
      </c>
      <c r="FS49" s="59">
        <f>SUM(FI49:FK49)</f>
        <v>0</v>
      </c>
      <c r="FT49" s="59">
        <f>SUM(FL49:FN49)</f>
        <v>0</v>
      </c>
      <c r="FU49" s="59">
        <f>SUM(FO49:FQ49)</f>
        <v>0</v>
      </c>
      <c r="FV49" s="59">
        <f>SUM(FR49:FU49)</f>
        <v>0</v>
      </c>
    </row>
    <row r="50" spans="2:178" x14ac:dyDescent="0.2">
      <c r="B50" s="46">
        <f>+B49+1</f>
        <v>4</v>
      </c>
      <c r="C50" s="71" t="s">
        <v>253</v>
      </c>
      <c r="E50" s="13">
        <v>100</v>
      </c>
      <c r="F50" s="13">
        <v>100</v>
      </c>
      <c r="G50" s="17">
        <f>+E50+F50</f>
        <v>200</v>
      </c>
      <c r="H50" s="49" t="s">
        <v>540</v>
      </c>
      <c r="I50" s="49" t="s">
        <v>216</v>
      </c>
      <c r="J50" s="49" t="s">
        <v>217</v>
      </c>
      <c r="K50" s="54">
        <v>3</v>
      </c>
      <c r="L50" s="54">
        <v>12</v>
      </c>
      <c r="M50" s="54">
        <v>4</v>
      </c>
      <c r="N50" s="54">
        <v>7</v>
      </c>
      <c r="O50" s="48">
        <f>+N50+1</f>
        <v>8</v>
      </c>
      <c r="P50" s="48">
        <f>+K50+L50</f>
        <v>15</v>
      </c>
      <c r="R50" s="59">
        <f>IF($N50&lt;R$4,0,IF($N50=R$4,$E50,0))</f>
        <v>0</v>
      </c>
      <c r="S50" s="59">
        <f t="shared" si="1191"/>
        <v>0</v>
      </c>
      <c r="T50" s="59">
        <f t="shared" si="1191"/>
        <v>0</v>
      </c>
      <c r="U50" s="59">
        <f t="shared" si="1191"/>
        <v>0</v>
      </c>
      <c r="V50" s="59">
        <f t="shared" si="1191"/>
        <v>0</v>
      </c>
      <c r="W50" s="59">
        <f t="shared" si="1191"/>
        <v>0</v>
      </c>
      <c r="X50" s="59">
        <f t="shared" si="1191"/>
        <v>100</v>
      </c>
      <c r="Y50" s="59">
        <f t="shared" si="1191"/>
        <v>0</v>
      </c>
      <c r="Z50" s="59">
        <f t="shared" si="1191"/>
        <v>0</v>
      </c>
      <c r="AA50" s="59">
        <f t="shared" si="1191"/>
        <v>0</v>
      </c>
      <c r="AB50" s="59">
        <f t="shared" si="1191"/>
        <v>0</v>
      </c>
      <c r="AC50" s="59">
        <f t="shared" si="1191"/>
        <v>0</v>
      </c>
      <c r="AD50" s="59">
        <f>SUM(R50:T50)</f>
        <v>0</v>
      </c>
      <c r="AE50" s="59">
        <f>SUM(U50:W50)</f>
        <v>0</v>
      </c>
      <c r="AF50" s="59">
        <f>SUM(X50:Z50)</f>
        <v>100</v>
      </c>
      <c r="AG50" s="59">
        <f>SUM(AA50:AC50)</f>
        <v>0</v>
      </c>
      <c r="AH50" s="59">
        <f>SUM(AD50:AG50)</f>
        <v>100</v>
      </c>
      <c r="AI50" s="59"/>
      <c r="AJ50" s="59">
        <f>IF($N50&lt;AJ$4,0,IF($N50=AJ$4,$F50,0))</f>
        <v>0</v>
      </c>
      <c r="AK50" s="59">
        <f t="shared" si="1192"/>
        <v>0</v>
      </c>
      <c r="AL50" s="59">
        <f t="shared" si="1192"/>
        <v>0</v>
      </c>
      <c r="AM50" s="59">
        <f t="shared" si="1192"/>
        <v>0</v>
      </c>
      <c r="AN50" s="59">
        <f t="shared" si="1192"/>
        <v>0</v>
      </c>
      <c r="AO50" s="59">
        <f t="shared" si="1192"/>
        <v>0</v>
      </c>
      <c r="AP50" s="59">
        <f t="shared" si="1192"/>
        <v>100</v>
      </c>
      <c r="AQ50" s="59">
        <f t="shared" si="1192"/>
        <v>0</v>
      </c>
      <c r="AR50" s="59">
        <f t="shared" si="1192"/>
        <v>0</v>
      </c>
      <c r="AS50" s="59">
        <f t="shared" si="1192"/>
        <v>0</v>
      </c>
      <c r="AT50" s="59">
        <f t="shared" si="1192"/>
        <v>0</v>
      </c>
      <c r="AU50" s="59">
        <f t="shared" si="1192"/>
        <v>0</v>
      </c>
      <c r="AV50" s="59">
        <f>SUM(AJ50:AL50)</f>
        <v>0</v>
      </c>
      <c r="AW50" s="59">
        <f>SUM(AM50:AO50)</f>
        <v>0</v>
      </c>
      <c r="AX50" s="59">
        <f>SUM(AP50:AR50)</f>
        <v>100</v>
      </c>
      <c r="AY50" s="59">
        <f>SUM(AS50:AU50)</f>
        <v>0</v>
      </c>
      <c r="AZ50" s="59">
        <f>SUM(AV50:AY50)</f>
        <v>100</v>
      </c>
      <c r="BA50" s="59"/>
      <c r="BB50" s="59">
        <f>+R50+AJ50</f>
        <v>0</v>
      </c>
      <c r="BC50" s="59">
        <f t="shared" ref="BC50" si="1299">+S50+AK50</f>
        <v>0</v>
      </c>
      <c r="BD50" s="59">
        <f t="shared" ref="BD50" si="1300">+T50+AL50</f>
        <v>0</v>
      </c>
      <c r="BE50" s="59">
        <f t="shared" ref="BE50" si="1301">+U50+AM50</f>
        <v>0</v>
      </c>
      <c r="BF50" s="59">
        <f t="shared" ref="BF50" si="1302">+V50+AN50</f>
        <v>0</v>
      </c>
      <c r="BG50" s="59">
        <f t="shared" ref="BG50" si="1303">+W50+AO50</f>
        <v>0</v>
      </c>
      <c r="BH50" s="59">
        <f t="shared" ref="BH50" si="1304">+X50+AP50</f>
        <v>200</v>
      </c>
      <c r="BI50" s="59">
        <f t="shared" ref="BI50" si="1305">+Y50+AQ50</f>
        <v>0</v>
      </c>
      <c r="BJ50" s="59">
        <f t="shared" ref="BJ50" si="1306">+Z50+AR50</f>
        <v>0</v>
      </c>
      <c r="BK50" s="59">
        <f t="shared" ref="BK50" si="1307">+AA50+AS50</f>
        <v>0</v>
      </c>
      <c r="BL50" s="59">
        <f t="shared" ref="BL50" si="1308">+AB50+AT50</f>
        <v>0</v>
      </c>
      <c r="BM50" s="59">
        <f t="shared" ref="BM50" si="1309">+AC50+AU50</f>
        <v>0</v>
      </c>
      <c r="BN50" s="59">
        <f>SUM(BB50:BD50)</f>
        <v>0</v>
      </c>
      <c r="BO50" s="59">
        <f>SUM(BE50:BG50)</f>
        <v>0</v>
      </c>
      <c r="BP50" s="59">
        <f t="shared" ref="BP50" si="1310">SUM(BH50:BJ50)</f>
        <v>200</v>
      </c>
      <c r="BQ50" s="59">
        <f>SUM(BK50:BM50)</f>
        <v>0</v>
      </c>
      <c r="BR50" s="59">
        <f>SUM(BN50:BQ50)</f>
        <v>200</v>
      </c>
      <c r="BS50" s="59"/>
      <c r="BT50" s="59">
        <f>IF(BT$4&lt;$O50,0,IF(AND(BT$4&gt;=$O50,BT$4&lt;=$K50+$N50),$E50/$K50,0))</f>
        <v>0</v>
      </c>
      <c r="BU50" s="59">
        <f t="shared" si="1205"/>
        <v>0</v>
      </c>
      <c r="BV50" s="59">
        <f t="shared" si="1205"/>
        <v>0</v>
      </c>
      <c r="BW50" s="59">
        <f t="shared" si="1205"/>
        <v>0</v>
      </c>
      <c r="BX50" s="59">
        <f t="shared" si="1205"/>
        <v>0</v>
      </c>
      <c r="BY50" s="59">
        <f t="shared" si="1205"/>
        <v>0</v>
      </c>
      <c r="BZ50" s="59">
        <f t="shared" si="1205"/>
        <v>0</v>
      </c>
      <c r="CA50" s="59">
        <f t="shared" si="1205"/>
        <v>33.333333333333336</v>
      </c>
      <c r="CB50" s="59">
        <f t="shared" si="1205"/>
        <v>33.333333333333336</v>
      </c>
      <c r="CC50" s="59">
        <f t="shared" si="1205"/>
        <v>33.333333333333336</v>
      </c>
      <c r="CD50" s="59">
        <f t="shared" si="1205"/>
        <v>0</v>
      </c>
      <c r="CE50" s="59">
        <f t="shared" si="1205"/>
        <v>0</v>
      </c>
      <c r="CF50" s="59">
        <f>SUM(BT50:BV50)</f>
        <v>0</v>
      </c>
      <c r="CG50" s="59">
        <f>SUM(BW50:BY50)</f>
        <v>0</v>
      </c>
      <c r="CH50" s="59">
        <f>SUM(BZ50:CB50)</f>
        <v>66.666666666666671</v>
      </c>
      <c r="CI50" s="59">
        <f>SUM(CC50:CE50)</f>
        <v>33.333333333333336</v>
      </c>
      <c r="CJ50" s="59">
        <f>SUM(CF50:CI50)</f>
        <v>100</v>
      </c>
      <c r="CK50" s="59"/>
      <c r="CL50" s="59">
        <f t="shared" si="1206"/>
        <v>0</v>
      </c>
      <c r="CM50" s="59">
        <f t="shared" si="1206"/>
        <v>0</v>
      </c>
      <c r="CN50" s="59">
        <f t="shared" si="1206"/>
        <v>0</v>
      </c>
      <c r="CO50" s="59">
        <f>IF(CO$4&lt;$O50+$K50,0,IF(AND(CO$4&gt;=$O50+$K50,CO$4&lt;=$L50+$K50),$F50/$L50,0))</f>
        <v>0</v>
      </c>
      <c r="CP50" s="59">
        <f t="shared" si="1207"/>
        <v>0</v>
      </c>
      <c r="CQ50" s="59">
        <f t="shared" si="1207"/>
        <v>0</v>
      </c>
      <c r="CR50" s="59">
        <f t="shared" si="1207"/>
        <v>0</v>
      </c>
      <c r="CS50" s="59">
        <f t="shared" si="1207"/>
        <v>0</v>
      </c>
      <c r="CT50" s="59">
        <f t="shared" si="1207"/>
        <v>0</v>
      </c>
      <c r="CU50" s="59">
        <f t="shared" si="1207"/>
        <v>0</v>
      </c>
      <c r="CV50" s="59">
        <f t="shared" si="1207"/>
        <v>8.3333333333333339</v>
      </c>
      <c r="CW50" s="59">
        <f t="shared" si="1207"/>
        <v>8.3333333333333339</v>
      </c>
      <c r="CX50" s="59">
        <f>SUM(CL50:CN50)</f>
        <v>0</v>
      </c>
      <c r="CY50" s="59">
        <f>SUM(CO50:CQ50)</f>
        <v>0</v>
      </c>
      <c r="CZ50" s="59">
        <f>SUM(CR50:CT50)</f>
        <v>0</v>
      </c>
      <c r="DA50" s="59">
        <f>SUM(CU50:CW50)</f>
        <v>16.666666666666668</v>
      </c>
      <c r="DB50" s="59">
        <f>SUM(CX50:DA50)</f>
        <v>16.666666666666668</v>
      </c>
      <c r="DC50" s="59"/>
      <c r="DD50" s="59">
        <f>+BT50+CL50</f>
        <v>0</v>
      </c>
      <c r="DE50" s="59">
        <f t="shared" ref="DE50" si="1311">+BU50+CM50</f>
        <v>0</v>
      </c>
      <c r="DF50" s="59">
        <f t="shared" ref="DF50" si="1312">+BV50+CN50</f>
        <v>0</v>
      </c>
      <c r="DG50" s="59">
        <f t="shared" ref="DG50" si="1313">+BW50+CO50</f>
        <v>0</v>
      </c>
      <c r="DH50" s="59">
        <f t="shared" ref="DH50" si="1314">+BX50+CP50</f>
        <v>0</v>
      </c>
      <c r="DI50" s="59">
        <f t="shared" ref="DI50" si="1315">+BY50+CQ50</f>
        <v>0</v>
      </c>
      <c r="DJ50" s="59">
        <f t="shared" ref="DJ50" si="1316">+BZ50+CR50</f>
        <v>0</v>
      </c>
      <c r="DK50" s="59">
        <f t="shared" ref="DK50" si="1317">+CA50+CS50</f>
        <v>33.333333333333336</v>
      </c>
      <c r="DL50" s="59">
        <f t="shared" ref="DL50" si="1318">+CB50+CT50</f>
        <v>33.333333333333336</v>
      </c>
      <c r="DM50" s="59">
        <f t="shared" ref="DM50" si="1319">+CC50+CU50</f>
        <v>33.333333333333336</v>
      </c>
      <c r="DN50" s="59">
        <f t="shared" ref="DN50" si="1320">+CD50+CV50</f>
        <v>8.3333333333333339</v>
      </c>
      <c r="DO50" s="59">
        <f t="shared" ref="DO50" si="1321">+CE50+CW50</f>
        <v>8.3333333333333339</v>
      </c>
      <c r="DP50" s="59">
        <f>SUM(DD50:DF50)</f>
        <v>0</v>
      </c>
      <c r="DQ50" s="59">
        <f>SUM(DG50:DI50)</f>
        <v>0</v>
      </c>
      <c r="DR50" s="59">
        <f>SUM(DJ50:DL50)</f>
        <v>66.666666666666671</v>
      </c>
      <c r="DS50" s="59">
        <f>SUM(DM50:DO50)</f>
        <v>50.000000000000007</v>
      </c>
      <c r="DT50" s="59">
        <f>SUM(DP50:DS50)</f>
        <v>116.66666666666669</v>
      </c>
      <c r="DU50" s="59"/>
      <c r="DV50" s="70">
        <v>0</v>
      </c>
      <c r="DW50" s="70">
        <v>0</v>
      </c>
      <c r="DX50" s="70">
        <v>0</v>
      </c>
      <c r="DY50" s="70">
        <v>0</v>
      </c>
      <c r="DZ50" s="70">
        <v>0</v>
      </c>
      <c r="EA50" s="70">
        <v>0</v>
      </c>
      <c r="EB50" s="59">
        <f t="shared" si="1219"/>
        <v>0</v>
      </c>
      <c r="EC50" s="59">
        <f t="shared" si="1219"/>
        <v>0</v>
      </c>
      <c r="ED50" s="59">
        <f t="shared" si="1219"/>
        <v>0</v>
      </c>
      <c r="EE50" s="59">
        <f t="shared" si="1219"/>
        <v>33.333333333333336</v>
      </c>
      <c r="EF50" s="59">
        <f t="shared" si="1219"/>
        <v>33.333333333333336</v>
      </c>
      <c r="EG50" s="59">
        <f t="shared" si="1219"/>
        <v>33.333333333333336</v>
      </c>
      <c r="EH50" s="59">
        <f>SUM(DV50:DX50)</f>
        <v>0</v>
      </c>
      <c r="EI50" s="59">
        <f>SUM(DY50:EA50)</f>
        <v>0</v>
      </c>
      <c r="EJ50" s="59">
        <f>SUM(EB50:ED50)</f>
        <v>0</v>
      </c>
      <c r="EK50" s="59">
        <f>SUM(EE50:EG50)</f>
        <v>100</v>
      </c>
      <c r="EL50" s="59">
        <f>SUM(EH50:EK50)</f>
        <v>100</v>
      </c>
      <c r="EM50" s="59"/>
      <c r="EN50" s="70">
        <v>0</v>
      </c>
      <c r="EO50" s="70">
        <v>0</v>
      </c>
      <c r="EP50" s="70">
        <v>0</v>
      </c>
      <c r="EQ50" s="70">
        <v>0</v>
      </c>
      <c r="ER50" s="70">
        <v>0</v>
      </c>
      <c r="ES50" s="59">
        <f t="shared" ref="ES50:EY63" si="1322">IF(ES$4&lt;$O50+$K50+1,0,IF(AND(ES$4=$O50+$K50+1,ES$4&lt;=$L50+$K50+1),$F50*0.5,IF(AND(ES$4&gt;$O50+$K50+1,ES$4&lt;=$L50+$K50+1),($F50*0.5)/$L50,0)))</f>
        <v>0</v>
      </c>
      <c r="ET50" s="59">
        <f t="shared" si="1322"/>
        <v>0</v>
      </c>
      <c r="EU50" s="59">
        <f t="shared" si="1322"/>
        <v>0</v>
      </c>
      <c r="EV50" s="59">
        <f t="shared" si="1322"/>
        <v>0</v>
      </c>
      <c r="EW50" s="59">
        <f t="shared" si="1322"/>
        <v>0</v>
      </c>
      <c r="EX50" s="59">
        <f t="shared" si="1322"/>
        <v>0</v>
      </c>
      <c r="EY50" s="59">
        <f t="shared" si="1322"/>
        <v>50</v>
      </c>
      <c r="EZ50" s="59">
        <f>SUM(EN50:EP50)</f>
        <v>0</v>
      </c>
      <c r="FA50" s="59">
        <f>SUM(EQ50:ES50)</f>
        <v>0</v>
      </c>
      <c r="FB50" s="59">
        <f>SUM(ET50:EV50)</f>
        <v>0</v>
      </c>
      <c r="FC50" s="59">
        <f>SUM(EW50:EY50)</f>
        <v>50</v>
      </c>
      <c r="FD50" s="59">
        <f>SUM(EZ50:FC50)</f>
        <v>50</v>
      </c>
      <c r="FE50" s="59"/>
      <c r="FF50" s="59">
        <f>+DV50+EN50</f>
        <v>0</v>
      </c>
      <c r="FG50" s="59">
        <f t="shared" ref="FG50" si="1323">+DW50+EO50</f>
        <v>0</v>
      </c>
      <c r="FH50" s="59">
        <f t="shared" ref="FH50" si="1324">+DX50+EP50</f>
        <v>0</v>
      </c>
      <c r="FI50" s="59">
        <f t="shared" ref="FI50" si="1325">+DY50+EQ50</f>
        <v>0</v>
      </c>
      <c r="FJ50" s="59">
        <f t="shared" ref="FJ50" si="1326">+DZ50+ER50</f>
        <v>0</v>
      </c>
      <c r="FK50" s="59">
        <f t="shared" ref="FK50" si="1327">+EA50+ES50</f>
        <v>0</v>
      </c>
      <c r="FL50" s="59">
        <f t="shared" ref="FL50" si="1328">+EB50+ET50</f>
        <v>0</v>
      </c>
      <c r="FM50" s="59">
        <f t="shared" ref="FM50" si="1329">+EC50+EU50</f>
        <v>0</v>
      </c>
      <c r="FN50" s="59">
        <f t="shared" ref="FN50" si="1330">+ED50+EV50</f>
        <v>0</v>
      </c>
      <c r="FO50" s="59">
        <f t="shared" ref="FO50" si="1331">+EE50+EW50</f>
        <v>33.333333333333336</v>
      </c>
      <c r="FP50" s="59">
        <f t="shared" ref="FP50" si="1332">+EF50+EX50</f>
        <v>33.333333333333336</v>
      </c>
      <c r="FQ50" s="59">
        <f t="shared" ref="FQ50" si="1333">+EG50+EY50</f>
        <v>83.333333333333343</v>
      </c>
      <c r="FR50" s="59">
        <f>SUM(FF50:FH50)</f>
        <v>0</v>
      </c>
      <c r="FS50" s="59">
        <f>SUM(FI50:FK50)</f>
        <v>0</v>
      </c>
      <c r="FT50" s="59">
        <f>SUM(FL50:FN50)</f>
        <v>0</v>
      </c>
      <c r="FU50" s="59">
        <f>SUM(FO50:FQ50)</f>
        <v>150</v>
      </c>
      <c r="FV50" s="59">
        <f>SUM(FR50:FU50)</f>
        <v>150</v>
      </c>
    </row>
    <row r="51" spans="2:178" x14ac:dyDescent="0.2">
      <c r="B51" s="46"/>
      <c r="E51" s="13"/>
      <c r="F51" s="13"/>
      <c r="G51" s="17"/>
      <c r="H51" s="49"/>
      <c r="I51" s="49"/>
      <c r="J51" s="49"/>
      <c r="K51" s="54"/>
      <c r="L51" s="54"/>
      <c r="M51" s="54"/>
      <c r="N51" s="54"/>
      <c r="O51" s="48"/>
      <c r="P51" s="48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70"/>
      <c r="DW51" s="70"/>
      <c r="DX51" s="70"/>
      <c r="DY51" s="70"/>
      <c r="DZ51" s="70"/>
      <c r="EA51" s="70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70"/>
      <c r="EO51" s="70"/>
      <c r="EP51" s="70"/>
      <c r="EQ51" s="70"/>
      <c r="ER51" s="70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</row>
    <row r="52" spans="2:178" x14ac:dyDescent="0.2">
      <c r="B52" s="46">
        <f>+B50+1</f>
        <v>5</v>
      </c>
      <c r="C52" s="71" t="s">
        <v>255</v>
      </c>
      <c r="E52" s="13">
        <v>15</v>
      </c>
      <c r="F52" s="13">
        <v>32</v>
      </c>
      <c r="G52" s="17">
        <f t="shared" ref="G52:G54" si="1334">+E52+F52</f>
        <v>47</v>
      </c>
      <c r="H52" s="49" t="s">
        <v>215</v>
      </c>
      <c r="I52" s="49" t="s">
        <v>219</v>
      </c>
      <c r="J52" s="49" t="s">
        <v>217</v>
      </c>
      <c r="K52" s="54">
        <v>1</v>
      </c>
      <c r="L52" s="54">
        <v>12</v>
      </c>
      <c r="M52" s="54">
        <v>0</v>
      </c>
      <c r="N52" s="54">
        <v>6</v>
      </c>
      <c r="O52" s="48">
        <f t="shared" ref="O52:O54" si="1335">+N52+1</f>
        <v>7</v>
      </c>
      <c r="P52" s="48">
        <f t="shared" ref="P52:P54" si="1336">+K52+L52</f>
        <v>13</v>
      </c>
      <c r="R52" s="59">
        <f t="shared" ref="R52:R63" si="1337">IF($N52&lt;R$4,0,IF($N52=R$4,$E52,0))</f>
        <v>0</v>
      </c>
      <c r="S52" s="59">
        <f t="shared" si="1191"/>
        <v>0</v>
      </c>
      <c r="T52" s="59">
        <f t="shared" si="1191"/>
        <v>0</v>
      </c>
      <c r="U52" s="59">
        <f t="shared" si="1191"/>
        <v>0</v>
      </c>
      <c r="V52" s="59">
        <f t="shared" si="1191"/>
        <v>0</v>
      </c>
      <c r="W52" s="59">
        <f t="shared" si="1191"/>
        <v>15</v>
      </c>
      <c r="X52" s="59">
        <f t="shared" si="1191"/>
        <v>0</v>
      </c>
      <c r="Y52" s="59">
        <f t="shared" si="1191"/>
        <v>0</v>
      </c>
      <c r="Z52" s="59">
        <f t="shared" si="1191"/>
        <v>0</v>
      </c>
      <c r="AA52" s="59">
        <f t="shared" si="1191"/>
        <v>0</v>
      </c>
      <c r="AB52" s="59">
        <f t="shared" si="1191"/>
        <v>0</v>
      </c>
      <c r="AC52" s="59">
        <f t="shared" si="1191"/>
        <v>0</v>
      </c>
      <c r="AD52" s="59">
        <f t="shared" ref="AD52:AD54" si="1338">SUM(R52:T52)</f>
        <v>0</v>
      </c>
      <c r="AE52" s="59">
        <f t="shared" ref="AE52:AE54" si="1339">SUM(U52:W52)</f>
        <v>15</v>
      </c>
      <c r="AF52" s="59">
        <f t="shared" ref="AF52:AF54" si="1340">SUM(X52:Z52)</f>
        <v>0</v>
      </c>
      <c r="AG52" s="59">
        <f t="shared" ref="AG52:AG54" si="1341">SUM(AA52:AC52)</f>
        <v>0</v>
      </c>
      <c r="AH52" s="59">
        <f t="shared" ref="AH52:AH54" si="1342">SUM(AD52:AG52)</f>
        <v>15</v>
      </c>
      <c r="AI52" s="59"/>
      <c r="AJ52" s="59">
        <f t="shared" ref="AJ52:AJ63" si="1343">IF($N52&lt;AJ$4,0,IF($N52=AJ$4,$F52,0))</f>
        <v>0</v>
      </c>
      <c r="AK52" s="59">
        <f t="shared" si="1192"/>
        <v>0</v>
      </c>
      <c r="AL52" s="59">
        <f t="shared" si="1192"/>
        <v>0</v>
      </c>
      <c r="AM52" s="59">
        <f t="shared" si="1192"/>
        <v>0</v>
      </c>
      <c r="AN52" s="59">
        <f t="shared" si="1192"/>
        <v>0</v>
      </c>
      <c r="AO52" s="59">
        <f t="shared" si="1192"/>
        <v>32</v>
      </c>
      <c r="AP52" s="59">
        <f t="shared" si="1192"/>
        <v>0</v>
      </c>
      <c r="AQ52" s="59">
        <f t="shared" si="1192"/>
        <v>0</v>
      </c>
      <c r="AR52" s="59">
        <f t="shared" si="1192"/>
        <v>0</v>
      </c>
      <c r="AS52" s="59">
        <f t="shared" si="1192"/>
        <v>0</v>
      </c>
      <c r="AT52" s="59">
        <f t="shared" si="1192"/>
        <v>0</v>
      </c>
      <c r="AU52" s="59">
        <f t="shared" si="1192"/>
        <v>0</v>
      </c>
      <c r="AV52" s="59">
        <f t="shared" ref="AV52:AV54" si="1344">SUM(AJ52:AL52)</f>
        <v>0</v>
      </c>
      <c r="AW52" s="59">
        <f t="shared" ref="AW52:AW54" si="1345">SUM(AM52:AO52)</f>
        <v>32</v>
      </c>
      <c r="AX52" s="59">
        <f t="shared" ref="AX52:AX54" si="1346">SUM(AP52:AR52)</f>
        <v>0</v>
      </c>
      <c r="AY52" s="59">
        <f t="shared" ref="AY52:AY54" si="1347">SUM(AS52:AU52)</f>
        <v>0</v>
      </c>
      <c r="AZ52" s="59">
        <f t="shared" ref="AZ52:AZ54" si="1348">SUM(AV52:AY52)</f>
        <v>32</v>
      </c>
      <c r="BA52" s="59"/>
      <c r="BB52" s="59">
        <f t="shared" ref="BB52:BB54" si="1349">+R52+AJ52</f>
        <v>0</v>
      </c>
      <c r="BC52" s="59">
        <f t="shared" si="1193"/>
        <v>0</v>
      </c>
      <c r="BD52" s="59">
        <f t="shared" si="1194"/>
        <v>0</v>
      </c>
      <c r="BE52" s="59">
        <f t="shared" si="1195"/>
        <v>0</v>
      </c>
      <c r="BF52" s="59">
        <f t="shared" si="1196"/>
        <v>0</v>
      </c>
      <c r="BG52" s="59">
        <f t="shared" si="1197"/>
        <v>47</v>
      </c>
      <c r="BH52" s="59">
        <f t="shared" si="1198"/>
        <v>0</v>
      </c>
      <c r="BI52" s="59">
        <f t="shared" si="1199"/>
        <v>0</v>
      </c>
      <c r="BJ52" s="59">
        <f t="shared" si="1200"/>
        <v>0</v>
      </c>
      <c r="BK52" s="59">
        <f t="shared" si="1201"/>
        <v>0</v>
      </c>
      <c r="BL52" s="59">
        <f t="shared" si="1202"/>
        <v>0</v>
      </c>
      <c r="BM52" s="59">
        <f t="shared" si="1203"/>
        <v>0</v>
      </c>
      <c r="BN52" s="59">
        <f t="shared" ref="BN52:BN54" si="1350">SUM(BB52:BD52)</f>
        <v>0</v>
      </c>
      <c r="BO52" s="59">
        <f t="shared" ref="BO52:BO54" si="1351">SUM(BE52:BG52)</f>
        <v>47</v>
      </c>
      <c r="BP52" s="59">
        <f t="shared" si="1204"/>
        <v>0</v>
      </c>
      <c r="BQ52" s="59">
        <f t="shared" ref="BQ52:BQ54" si="1352">SUM(BK52:BM52)</f>
        <v>0</v>
      </c>
      <c r="BR52" s="59">
        <f t="shared" ref="BR52:BR54" si="1353">SUM(BN52:BQ52)</f>
        <v>47</v>
      </c>
      <c r="BS52" s="59"/>
      <c r="BT52" s="59">
        <f t="shared" ref="BT52:BT63" si="1354">IF(BT$4&lt;$O52,0,IF(AND(BT$4&gt;=$O52,BT$4&lt;=$K52+$N52),$E52/$K52,0))</f>
        <v>0</v>
      </c>
      <c r="BU52" s="59">
        <f t="shared" si="1205"/>
        <v>0</v>
      </c>
      <c r="BV52" s="59">
        <f t="shared" si="1205"/>
        <v>0</v>
      </c>
      <c r="BW52" s="59">
        <f t="shared" si="1205"/>
        <v>0</v>
      </c>
      <c r="BX52" s="59">
        <f t="shared" si="1205"/>
        <v>0</v>
      </c>
      <c r="BY52" s="59">
        <f t="shared" si="1205"/>
        <v>0</v>
      </c>
      <c r="BZ52" s="59">
        <f t="shared" si="1205"/>
        <v>15</v>
      </c>
      <c r="CA52" s="59">
        <f t="shared" si="1205"/>
        <v>0</v>
      </c>
      <c r="CB52" s="59">
        <f t="shared" si="1205"/>
        <v>0</v>
      </c>
      <c r="CC52" s="59">
        <f t="shared" si="1205"/>
        <v>0</v>
      </c>
      <c r="CD52" s="59">
        <f t="shared" si="1205"/>
        <v>0</v>
      </c>
      <c r="CE52" s="59">
        <f t="shared" si="1205"/>
        <v>0</v>
      </c>
      <c r="CF52" s="59">
        <f t="shared" ref="CF52:CF54" si="1355">SUM(BT52:BV52)</f>
        <v>0</v>
      </c>
      <c r="CG52" s="59">
        <f t="shared" ref="CG52:CG54" si="1356">SUM(BW52:BY52)</f>
        <v>0</v>
      </c>
      <c r="CH52" s="59">
        <f t="shared" ref="CH52:CH54" si="1357">SUM(BZ52:CB52)</f>
        <v>15</v>
      </c>
      <c r="CI52" s="59">
        <f t="shared" ref="CI52:CI54" si="1358">SUM(CC52:CE52)</f>
        <v>0</v>
      </c>
      <c r="CJ52" s="59">
        <f t="shared" ref="CJ52:CJ54" si="1359">SUM(CF52:CI52)</f>
        <v>15</v>
      </c>
      <c r="CK52" s="59"/>
      <c r="CL52" s="59">
        <f t="shared" si="1206"/>
        <v>0</v>
      </c>
      <c r="CM52" s="59">
        <f t="shared" si="1206"/>
        <v>0</v>
      </c>
      <c r="CN52" s="59">
        <f t="shared" si="1206"/>
        <v>0</v>
      </c>
      <c r="CO52" s="59">
        <f>IF(CO$4&lt;$O52+$K52,0,IF(AND(CO$4&gt;=$O52+$K52,CO$4&lt;=$L52+$K52),$F52/$L52,0))</f>
        <v>0</v>
      </c>
      <c r="CP52" s="59">
        <f t="shared" si="1207"/>
        <v>0</v>
      </c>
      <c r="CQ52" s="59">
        <f t="shared" si="1207"/>
        <v>0</v>
      </c>
      <c r="CR52" s="59">
        <f t="shared" si="1207"/>
        <v>0</v>
      </c>
      <c r="CS52" s="59">
        <f t="shared" si="1207"/>
        <v>2.6666666666666665</v>
      </c>
      <c r="CT52" s="59">
        <f t="shared" si="1207"/>
        <v>2.6666666666666665</v>
      </c>
      <c r="CU52" s="59">
        <f t="shared" si="1207"/>
        <v>2.6666666666666665</v>
      </c>
      <c r="CV52" s="59">
        <f t="shared" si="1207"/>
        <v>2.6666666666666665</v>
      </c>
      <c r="CW52" s="59">
        <f t="shared" si="1207"/>
        <v>2.6666666666666665</v>
      </c>
      <c r="CX52" s="59">
        <f t="shared" ref="CX52:CX54" si="1360">SUM(CL52:CN52)</f>
        <v>0</v>
      </c>
      <c r="CY52" s="59">
        <f t="shared" ref="CY52:CY54" si="1361">SUM(CO52:CQ52)</f>
        <v>0</v>
      </c>
      <c r="CZ52" s="59">
        <f t="shared" ref="CZ52:CZ54" si="1362">SUM(CR52:CT52)</f>
        <v>5.333333333333333</v>
      </c>
      <c r="DA52" s="59">
        <f t="shared" ref="DA52:DA54" si="1363">SUM(CU52:CW52)</f>
        <v>8</v>
      </c>
      <c r="DB52" s="59">
        <f t="shared" ref="DB52:DB54" si="1364">SUM(CX52:DA52)</f>
        <v>13.333333333333332</v>
      </c>
      <c r="DC52" s="59"/>
      <c r="DD52" s="59">
        <f t="shared" ref="DD52:DD54" si="1365">+BT52+CL52</f>
        <v>0</v>
      </c>
      <c r="DE52" s="59">
        <f t="shared" si="1208"/>
        <v>0</v>
      </c>
      <c r="DF52" s="59">
        <f t="shared" si="1209"/>
        <v>0</v>
      </c>
      <c r="DG52" s="59">
        <f t="shared" si="1210"/>
        <v>0</v>
      </c>
      <c r="DH52" s="59">
        <f t="shared" si="1211"/>
        <v>0</v>
      </c>
      <c r="DI52" s="59">
        <f>+BY52+CQ52</f>
        <v>0</v>
      </c>
      <c r="DJ52" s="59">
        <f t="shared" si="1213"/>
        <v>15</v>
      </c>
      <c r="DK52" s="59">
        <f t="shared" si="1214"/>
        <v>2.6666666666666665</v>
      </c>
      <c r="DL52" s="59">
        <f t="shared" si="1215"/>
        <v>2.6666666666666665</v>
      </c>
      <c r="DM52" s="59">
        <f t="shared" si="1216"/>
        <v>2.6666666666666665</v>
      </c>
      <c r="DN52" s="59">
        <f t="shared" si="1217"/>
        <v>2.6666666666666665</v>
      </c>
      <c r="DO52" s="59">
        <f t="shared" si="1218"/>
        <v>2.6666666666666665</v>
      </c>
      <c r="DP52" s="59">
        <f t="shared" ref="DP52:DP54" si="1366">SUM(DD52:DF52)</f>
        <v>0</v>
      </c>
      <c r="DQ52" s="59">
        <f t="shared" ref="DQ52:DQ54" si="1367">SUM(DG52:DI52)</f>
        <v>0</v>
      </c>
      <c r="DR52" s="59">
        <f t="shared" ref="DR52:DR54" si="1368">SUM(DJ52:DL52)</f>
        <v>20.333333333333336</v>
      </c>
      <c r="DS52" s="59">
        <f t="shared" ref="DS52:DS54" si="1369">SUM(DM52:DO52)</f>
        <v>8</v>
      </c>
      <c r="DT52" s="59">
        <f t="shared" ref="DT52:DT54" si="1370">SUM(DP52:DS52)</f>
        <v>28.333333333333336</v>
      </c>
      <c r="DU52" s="59"/>
      <c r="DV52" s="70">
        <v>0</v>
      </c>
      <c r="DW52" s="70">
        <v>0</v>
      </c>
      <c r="DX52" s="70">
        <v>0</v>
      </c>
      <c r="DY52" s="70">
        <v>0</v>
      </c>
      <c r="DZ52" s="70">
        <v>0</v>
      </c>
      <c r="EA52" s="70">
        <v>0</v>
      </c>
      <c r="EB52" s="59">
        <f t="shared" si="1219"/>
        <v>0</v>
      </c>
      <c r="EC52" s="59">
        <f t="shared" si="1219"/>
        <v>0</v>
      </c>
      <c r="ED52" s="59">
        <f t="shared" si="1219"/>
        <v>15</v>
      </c>
      <c r="EE52" s="59">
        <f t="shared" si="1219"/>
        <v>0</v>
      </c>
      <c r="EF52" s="59">
        <f t="shared" si="1219"/>
        <v>0</v>
      </c>
      <c r="EG52" s="59">
        <f t="shared" si="1219"/>
        <v>0</v>
      </c>
      <c r="EH52" s="59">
        <f t="shared" ref="EH52:EH54" si="1371">SUM(DV52:DX52)</f>
        <v>0</v>
      </c>
      <c r="EI52" s="59">
        <f t="shared" ref="EI52:EI54" si="1372">SUM(DY52:EA52)</f>
        <v>0</v>
      </c>
      <c r="EJ52" s="59">
        <f t="shared" ref="EJ52:EJ54" si="1373">SUM(EB52:ED52)</f>
        <v>15</v>
      </c>
      <c r="EK52" s="59">
        <f t="shared" ref="EK52:EK54" si="1374">SUM(EE52:EG52)</f>
        <v>0</v>
      </c>
      <c r="EL52" s="59">
        <f t="shared" ref="EL52:EL54" si="1375">SUM(EH52:EK52)</f>
        <v>15</v>
      </c>
      <c r="EM52" s="59"/>
      <c r="EN52" s="70">
        <v>0</v>
      </c>
      <c r="EO52" s="70">
        <v>0</v>
      </c>
      <c r="EP52" s="70">
        <v>0</v>
      </c>
      <c r="EQ52" s="70">
        <v>0</v>
      </c>
      <c r="ER52" s="70">
        <v>0</v>
      </c>
      <c r="ES52" s="59">
        <f t="shared" si="1322"/>
        <v>0</v>
      </c>
      <c r="ET52" s="59">
        <f t="shared" si="1322"/>
        <v>0</v>
      </c>
      <c r="EU52" s="59">
        <f t="shared" si="1322"/>
        <v>0</v>
      </c>
      <c r="EV52" s="59">
        <f t="shared" si="1322"/>
        <v>16</v>
      </c>
      <c r="EW52" s="59">
        <f t="shared" si="1322"/>
        <v>1.3333333333333333</v>
      </c>
      <c r="EX52" s="59">
        <f t="shared" si="1322"/>
        <v>1.3333333333333333</v>
      </c>
      <c r="EY52" s="59">
        <f t="shared" si="1322"/>
        <v>1.3333333333333333</v>
      </c>
      <c r="EZ52" s="59">
        <f t="shared" ref="EZ52:EZ54" si="1376">SUM(EN52:EP52)</f>
        <v>0</v>
      </c>
      <c r="FA52" s="59">
        <f t="shared" ref="FA52:FA54" si="1377">SUM(EQ52:ES52)</f>
        <v>0</v>
      </c>
      <c r="FB52" s="59">
        <f t="shared" ref="FB52:FB54" si="1378">SUM(ET52:EV52)</f>
        <v>16</v>
      </c>
      <c r="FC52" s="59">
        <f t="shared" ref="FC52:FC54" si="1379">SUM(EW52:EY52)</f>
        <v>4</v>
      </c>
      <c r="FD52" s="59">
        <f t="shared" ref="FD52:FD54" si="1380">SUM(EZ52:FC52)</f>
        <v>20</v>
      </c>
      <c r="FE52" s="59"/>
      <c r="FF52" s="59">
        <f t="shared" ref="FF52:FF54" si="1381">+DV52+EN52</f>
        <v>0</v>
      </c>
      <c r="FG52" s="59">
        <f t="shared" si="1220"/>
        <v>0</v>
      </c>
      <c r="FH52" s="59">
        <f t="shared" si="1221"/>
        <v>0</v>
      </c>
      <c r="FI52" s="59">
        <f t="shared" si="1222"/>
        <v>0</v>
      </c>
      <c r="FJ52" s="59">
        <f t="shared" si="1223"/>
        <v>0</v>
      </c>
      <c r="FK52" s="59">
        <f t="shared" si="1224"/>
        <v>0</v>
      </c>
      <c r="FL52" s="59">
        <f t="shared" si="1225"/>
        <v>0</v>
      </c>
      <c r="FM52" s="59">
        <f t="shared" si="1226"/>
        <v>0</v>
      </c>
      <c r="FN52" s="59">
        <f t="shared" si="1227"/>
        <v>31</v>
      </c>
      <c r="FO52" s="59">
        <f t="shared" si="1228"/>
        <v>1.3333333333333333</v>
      </c>
      <c r="FP52" s="59">
        <f t="shared" si="1229"/>
        <v>1.3333333333333333</v>
      </c>
      <c r="FQ52" s="59">
        <f t="shared" si="1230"/>
        <v>1.3333333333333333</v>
      </c>
      <c r="FR52" s="59">
        <f t="shared" ref="FR52:FR54" si="1382">SUM(FF52:FH52)</f>
        <v>0</v>
      </c>
      <c r="FS52" s="59">
        <f t="shared" ref="FS52:FS54" si="1383">SUM(FI52:FK52)</f>
        <v>0</v>
      </c>
      <c r="FT52" s="59">
        <f t="shared" ref="FT52:FT54" si="1384">SUM(FL52:FN52)</f>
        <v>31</v>
      </c>
      <c r="FU52" s="59">
        <f t="shared" ref="FU52:FU54" si="1385">SUM(FO52:FQ52)</f>
        <v>4</v>
      </c>
      <c r="FV52" s="59">
        <f t="shared" ref="FV52:FV54" si="1386">SUM(FR52:FU52)</f>
        <v>35</v>
      </c>
    </row>
    <row r="53" spans="2:178" x14ac:dyDescent="0.2">
      <c r="B53" s="46">
        <f>+B52+1</f>
        <v>6</v>
      </c>
      <c r="C53" s="71" t="s">
        <v>256</v>
      </c>
      <c r="E53" s="13">
        <v>75</v>
      </c>
      <c r="F53" s="13">
        <v>50</v>
      </c>
      <c r="G53" s="17">
        <f t="shared" ref="G53" si="1387">+E53+F53</f>
        <v>125</v>
      </c>
      <c r="H53" s="49" t="s">
        <v>215</v>
      </c>
      <c r="I53" s="49" t="s">
        <v>219</v>
      </c>
      <c r="J53" s="49" t="s">
        <v>217</v>
      </c>
      <c r="K53" s="54">
        <v>2</v>
      </c>
      <c r="L53" s="54">
        <v>12</v>
      </c>
      <c r="M53" s="54">
        <v>5</v>
      </c>
      <c r="N53" s="54">
        <v>8</v>
      </c>
      <c r="O53" s="48">
        <f t="shared" ref="O53" si="1388">+N53+1</f>
        <v>9</v>
      </c>
      <c r="P53" s="48">
        <f t="shared" ref="P53" si="1389">+K53+L53</f>
        <v>14</v>
      </c>
      <c r="R53" s="59">
        <f t="shared" si="1337"/>
        <v>0</v>
      </c>
      <c r="S53" s="59">
        <f t="shared" si="1191"/>
        <v>0</v>
      </c>
      <c r="T53" s="59">
        <f t="shared" si="1191"/>
        <v>0</v>
      </c>
      <c r="U53" s="59">
        <f t="shared" si="1191"/>
        <v>0</v>
      </c>
      <c r="V53" s="59">
        <f t="shared" si="1191"/>
        <v>0</v>
      </c>
      <c r="W53" s="59">
        <f t="shared" si="1191"/>
        <v>0</v>
      </c>
      <c r="X53" s="59">
        <f t="shared" si="1191"/>
        <v>0</v>
      </c>
      <c r="Y53" s="59">
        <f t="shared" si="1191"/>
        <v>75</v>
      </c>
      <c r="Z53" s="59">
        <f t="shared" si="1191"/>
        <v>0</v>
      </c>
      <c r="AA53" s="59">
        <f t="shared" si="1191"/>
        <v>0</v>
      </c>
      <c r="AB53" s="59">
        <f t="shared" si="1191"/>
        <v>0</v>
      </c>
      <c r="AC53" s="59">
        <f t="shared" si="1191"/>
        <v>0</v>
      </c>
      <c r="AD53" s="59">
        <f t="shared" ref="AD53" si="1390">SUM(R53:T53)</f>
        <v>0</v>
      </c>
      <c r="AE53" s="59">
        <f t="shared" ref="AE53" si="1391">SUM(U53:W53)</f>
        <v>0</v>
      </c>
      <c r="AF53" s="59">
        <f t="shared" ref="AF53" si="1392">SUM(X53:Z53)</f>
        <v>75</v>
      </c>
      <c r="AG53" s="59">
        <f t="shared" ref="AG53" si="1393">SUM(AA53:AC53)</f>
        <v>0</v>
      </c>
      <c r="AH53" s="59">
        <f t="shared" ref="AH53" si="1394">SUM(AD53:AG53)</f>
        <v>75</v>
      </c>
      <c r="AI53" s="59"/>
      <c r="AJ53" s="59">
        <f t="shared" si="1343"/>
        <v>0</v>
      </c>
      <c r="AK53" s="59">
        <f t="shared" si="1192"/>
        <v>0</v>
      </c>
      <c r="AL53" s="59">
        <f t="shared" si="1192"/>
        <v>0</v>
      </c>
      <c r="AM53" s="59">
        <f t="shared" si="1192"/>
        <v>0</v>
      </c>
      <c r="AN53" s="59">
        <f t="shared" si="1192"/>
        <v>0</v>
      </c>
      <c r="AO53" s="59">
        <f t="shared" si="1192"/>
        <v>0</v>
      </c>
      <c r="AP53" s="59">
        <f t="shared" si="1192"/>
        <v>0</v>
      </c>
      <c r="AQ53" s="59">
        <f t="shared" si="1192"/>
        <v>50</v>
      </c>
      <c r="AR53" s="59">
        <f t="shared" si="1192"/>
        <v>0</v>
      </c>
      <c r="AS53" s="59">
        <f t="shared" si="1192"/>
        <v>0</v>
      </c>
      <c r="AT53" s="59">
        <f t="shared" si="1192"/>
        <v>0</v>
      </c>
      <c r="AU53" s="59">
        <f t="shared" si="1192"/>
        <v>0</v>
      </c>
      <c r="AV53" s="59">
        <f t="shared" ref="AV53" si="1395">SUM(AJ53:AL53)</f>
        <v>0</v>
      </c>
      <c r="AW53" s="59">
        <f t="shared" ref="AW53" si="1396">SUM(AM53:AO53)</f>
        <v>0</v>
      </c>
      <c r="AX53" s="59">
        <f t="shared" ref="AX53" si="1397">SUM(AP53:AR53)</f>
        <v>50</v>
      </c>
      <c r="AY53" s="59">
        <f t="shared" ref="AY53" si="1398">SUM(AS53:AU53)</f>
        <v>0</v>
      </c>
      <c r="AZ53" s="59">
        <f t="shared" ref="AZ53" si="1399">SUM(AV53:AY53)</f>
        <v>50</v>
      </c>
      <c r="BA53" s="59"/>
      <c r="BB53" s="59">
        <f t="shared" ref="BB53" si="1400">+R53+AJ53</f>
        <v>0</v>
      </c>
      <c r="BC53" s="59">
        <f t="shared" ref="BC53" si="1401">+S53+AK53</f>
        <v>0</v>
      </c>
      <c r="BD53" s="59">
        <f t="shared" ref="BD53" si="1402">+T53+AL53</f>
        <v>0</v>
      </c>
      <c r="BE53" s="59">
        <f t="shared" ref="BE53" si="1403">+U53+AM53</f>
        <v>0</v>
      </c>
      <c r="BF53" s="59">
        <f t="shared" ref="BF53" si="1404">+V53+AN53</f>
        <v>0</v>
      </c>
      <c r="BG53" s="59">
        <f t="shared" ref="BG53" si="1405">+W53+AO53</f>
        <v>0</v>
      </c>
      <c r="BH53" s="59">
        <f t="shared" ref="BH53" si="1406">+X53+AP53</f>
        <v>0</v>
      </c>
      <c r="BI53" s="59">
        <f t="shared" ref="BI53" si="1407">+Y53+AQ53</f>
        <v>125</v>
      </c>
      <c r="BJ53" s="59">
        <f t="shared" ref="BJ53" si="1408">+Z53+AR53</f>
        <v>0</v>
      </c>
      <c r="BK53" s="59">
        <f t="shared" ref="BK53" si="1409">+AA53+AS53</f>
        <v>0</v>
      </c>
      <c r="BL53" s="59">
        <f t="shared" ref="BL53" si="1410">+AB53+AT53</f>
        <v>0</v>
      </c>
      <c r="BM53" s="59">
        <f t="shared" ref="BM53" si="1411">+AC53+AU53</f>
        <v>0</v>
      </c>
      <c r="BN53" s="59">
        <f t="shared" ref="BN53" si="1412">SUM(BB53:BD53)</f>
        <v>0</v>
      </c>
      <c r="BO53" s="59">
        <f t="shared" ref="BO53" si="1413">SUM(BE53:BG53)</f>
        <v>0</v>
      </c>
      <c r="BP53" s="59">
        <f t="shared" ref="BP53" si="1414">SUM(BH53:BJ53)</f>
        <v>125</v>
      </c>
      <c r="BQ53" s="59">
        <f t="shared" ref="BQ53" si="1415">SUM(BK53:BM53)</f>
        <v>0</v>
      </c>
      <c r="BR53" s="59">
        <f t="shared" ref="BR53" si="1416">SUM(BN53:BQ53)</f>
        <v>125</v>
      </c>
      <c r="BS53" s="59"/>
      <c r="BT53" s="59">
        <f t="shared" si="1354"/>
        <v>0</v>
      </c>
      <c r="BU53" s="59">
        <f t="shared" si="1205"/>
        <v>0</v>
      </c>
      <c r="BV53" s="59">
        <f t="shared" si="1205"/>
        <v>0</v>
      </c>
      <c r="BW53" s="59">
        <f t="shared" si="1205"/>
        <v>0</v>
      </c>
      <c r="BX53" s="59">
        <f t="shared" si="1205"/>
        <v>0</v>
      </c>
      <c r="BY53" s="59">
        <f t="shared" si="1205"/>
        <v>0</v>
      </c>
      <c r="BZ53" s="59">
        <f t="shared" si="1205"/>
        <v>0</v>
      </c>
      <c r="CA53" s="59">
        <f t="shared" si="1205"/>
        <v>0</v>
      </c>
      <c r="CB53" s="59">
        <f t="shared" si="1205"/>
        <v>37.5</v>
      </c>
      <c r="CC53" s="59">
        <f t="shared" si="1205"/>
        <v>37.5</v>
      </c>
      <c r="CD53" s="59">
        <f t="shared" si="1205"/>
        <v>0</v>
      </c>
      <c r="CE53" s="59">
        <f t="shared" si="1205"/>
        <v>0</v>
      </c>
      <c r="CF53" s="59">
        <f t="shared" ref="CF53" si="1417">SUM(BT53:BV53)</f>
        <v>0</v>
      </c>
      <c r="CG53" s="59">
        <f t="shared" ref="CG53" si="1418">SUM(BW53:BY53)</f>
        <v>0</v>
      </c>
      <c r="CH53" s="59">
        <f t="shared" ref="CH53" si="1419">SUM(BZ53:CB53)</f>
        <v>37.5</v>
      </c>
      <c r="CI53" s="59">
        <f t="shared" ref="CI53" si="1420">SUM(CC53:CE53)</f>
        <v>37.5</v>
      </c>
      <c r="CJ53" s="59">
        <f t="shared" ref="CJ53" si="1421">SUM(CF53:CI53)</f>
        <v>75</v>
      </c>
      <c r="CK53" s="59"/>
      <c r="CL53" s="59">
        <f t="shared" si="1206"/>
        <v>0</v>
      </c>
      <c r="CM53" s="59">
        <f t="shared" si="1206"/>
        <v>0</v>
      </c>
      <c r="CN53" s="59">
        <f t="shared" si="1206"/>
        <v>0</v>
      </c>
      <c r="CO53" s="59">
        <f>IF(CO$4&lt;$O53+$K53,0,IF(AND(CO$4&gt;=$O53+$K53,CO$4&lt;=$L53+$K53),$F53/$L53,0))</f>
        <v>0</v>
      </c>
      <c r="CP53" s="59">
        <f t="shared" si="1207"/>
        <v>0</v>
      </c>
      <c r="CQ53" s="59">
        <f t="shared" si="1207"/>
        <v>0</v>
      </c>
      <c r="CR53" s="59">
        <f t="shared" si="1207"/>
        <v>0</v>
      </c>
      <c r="CS53" s="59">
        <f t="shared" si="1207"/>
        <v>0</v>
      </c>
      <c r="CT53" s="59">
        <f t="shared" si="1207"/>
        <v>0</v>
      </c>
      <c r="CU53" s="59">
        <f t="shared" si="1207"/>
        <v>0</v>
      </c>
      <c r="CV53" s="59">
        <f t="shared" si="1207"/>
        <v>4.166666666666667</v>
      </c>
      <c r="CW53" s="59">
        <f t="shared" si="1207"/>
        <v>4.166666666666667</v>
      </c>
      <c r="CX53" s="59">
        <f t="shared" ref="CX53" si="1422">SUM(CL53:CN53)</f>
        <v>0</v>
      </c>
      <c r="CY53" s="59">
        <f t="shared" ref="CY53" si="1423">SUM(CO53:CQ53)</f>
        <v>0</v>
      </c>
      <c r="CZ53" s="59">
        <f t="shared" ref="CZ53" si="1424">SUM(CR53:CT53)</f>
        <v>0</v>
      </c>
      <c r="DA53" s="59">
        <f t="shared" ref="DA53" si="1425">SUM(CU53:CW53)</f>
        <v>8.3333333333333339</v>
      </c>
      <c r="DB53" s="59">
        <f t="shared" ref="DB53" si="1426">SUM(CX53:DA53)</f>
        <v>8.3333333333333339</v>
      </c>
      <c r="DC53" s="59"/>
      <c r="DD53" s="59">
        <f t="shared" ref="DD53" si="1427">+BT53+CL53</f>
        <v>0</v>
      </c>
      <c r="DE53" s="59">
        <f t="shared" ref="DE53" si="1428">+BU53+CM53</f>
        <v>0</v>
      </c>
      <c r="DF53" s="59">
        <f t="shared" ref="DF53" si="1429">+BV53+CN53</f>
        <v>0</v>
      </c>
      <c r="DG53" s="59">
        <f t="shared" ref="DG53" si="1430">+BW53+CO53</f>
        <v>0</v>
      </c>
      <c r="DH53" s="59">
        <f t="shared" ref="DH53" si="1431">+BX53+CP53</f>
        <v>0</v>
      </c>
      <c r="DI53" s="59">
        <f t="shared" ref="DI53" si="1432">+BY53+CQ53</f>
        <v>0</v>
      </c>
      <c r="DJ53" s="59">
        <f t="shared" ref="DJ53" si="1433">+BZ53+CR53</f>
        <v>0</v>
      </c>
      <c r="DK53" s="59">
        <f t="shared" ref="DK53" si="1434">+CA53+CS53</f>
        <v>0</v>
      </c>
      <c r="DL53" s="59">
        <f t="shared" ref="DL53" si="1435">+CB53+CT53</f>
        <v>37.5</v>
      </c>
      <c r="DM53" s="59">
        <f t="shared" ref="DM53" si="1436">+CC53+CU53</f>
        <v>37.5</v>
      </c>
      <c r="DN53" s="59">
        <f t="shared" ref="DN53" si="1437">+CD53+CV53</f>
        <v>4.166666666666667</v>
      </c>
      <c r="DO53" s="59">
        <f t="shared" ref="DO53" si="1438">+CE53+CW53</f>
        <v>4.166666666666667</v>
      </c>
      <c r="DP53" s="59">
        <f t="shared" ref="DP53" si="1439">SUM(DD53:DF53)</f>
        <v>0</v>
      </c>
      <c r="DQ53" s="59">
        <f t="shared" ref="DQ53" si="1440">SUM(DG53:DI53)</f>
        <v>0</v>
      </c>
      <c r="DR53" s="59">
        <f t="shared" ref="DR53" si="1441">SUM(DJ53:DL53)</f>
        <v>37.5</v>
      </c>
      <c r="DS53" s="59">
        <f t="shared" ref="DS53" si="1442">SUM(DM53:DO53)</f>
        <v>45.833333333333329</v>
      </c>
      <c r="DT53" s="59">
        <f t="shared" ref="DT53" si="1443">SUM(DP53:DS53)</f>
        <v>83.333333333333329</v>
      </c>
      <c r="DU53" s="59"/>
      <c r="DV53" s="70">
        <v>0</v>
      </c>
      <c r="DW53" s="70">
        <v>0</v>
      </c>
      <c r="DX53" s="70">
        <v>0</v>
      </c>
      <c r="DY53" s="70">
        <v>0</v>
      </c>
      <c r="DZ53" s="70">
        <v>0</v>
      </c>
      <c r="EA53" s="70">
        <v>0</v>
      </c>
      <c r="EB53" s="59">
        <f t="shared" si="1219"/>
        <v>0</v>
      </c>
      <c r="EC53" s="59">
        <f t="shared" si="1219"/>
        <v>0</v>
      </c>
      <c r="ED53" s="59">
        <f t="shared" si="1219"/>
        <v>0</v>
      </c>
      <c r="EE53" s="59">
        <f t="shared" si="1219"/>
        <v>0</v>
      </c>
      <c r="EF53" s="59">
        <f t="shared" si="1219"/>
        <v>37.5</v>
      </c>
      <c r="EG53" s="59">
        <f t="shared" si="1219"/>
        <v>37.5</v>
      </c>
      <c r="EH53" s="59">
        <f t="shared" ref="EH53" si="1444">SUM(DV53:DX53)</f>
        <v>0</v>
      </c>
      <c r="EI53" s="59">
        <f t="shared" ref="EI53" si="1445">SUM(DY53:EA53)</f>
        <v>0</v>
      </c>
      <c r="EJ53" s="59">
        <f t="shared" ref="EJ53" si="1446">SUM(EB53:ED53)</f>
        <v>0</v>
      </c>
      <c r="EK53" s="59">
        <f t="shared" ref="EK53" si="1447">SUM(EE53:EG53)</f>
        <v>75</v>
      </c>
      <c r="EL53" s="59">
        <f t="shared" ref="EL53" si="1448">SUM(EH53:EK53)</f>
        <v>75</v>
      </c>
      <c r="EM53" s="59"/>
      <c r="EN53" s="70">
        <v>0</v>
      </c>
      <c r="EO53" s="70">
        <v>0</v>
      </c>
      <c r="EP53" s="70">
        <v>0</v>
      </c>
      <c r="EQ53" s="70">
        <v>0</v>
      </c>
      <c r="ER53" s="70">
        <v>0</v>
      </c>
      <c r="ES53" s="59">
        <f t="shared" si="1322"/>
        <v>0</v>
      </c>
      <c r="ET53" s="59">
        <f t="shared" si="1322"/>
        <v>0</v>
      </c>
      <c r="EU53" s="59">
        <f t="shared" si="1322"/>
        <v>0</v>
      </c>
      <c r="EV53" s="59">
        <f t="shared" si="1322"/>
        <v>0</v>
      </c>
      <c r="EW53" s="59">
        <f t="shared" si="1322"/>
        <v>0</v>
      </c>
      <c r="EX53" s="59">
        <f t="shared" si="1322"/>
        <v>0</v>
      </c>
      <c r="EY53" s="59">
        <f t="shared" si="1322"/>
        <v>25</v>
      </c>
      <c r="EZ53" s="59">
        <f t="shared" ref="EZ53" si="1449">SUM(EN53:EP53)</f>
        <v>0</v>
      </c>
      <c r="FA53" s="59">
        <f t="shared" ref="FA53" si="1450">SUM(EQ53:ES53)</f>
        <v>0</v>
      </c>
      <c r="FB53" s="59">
        <f t="shared" ref="FB53" si="1451">SUM(ET53:EV53)</f>
        <v>0</v>
      </c>
      <c r="FC53" s="59">
        <f t="shared" ref="FC53" si="1452">SUM(EW53:EY53)</f>
        <v>25</v>
      </c>
      <c r="FD53" s="59">
        <f t="shared" ref="FD53" si="1453">SUM(EZ53:FC53)</f>
        <v>25</v>
      </c>
      <c r="FE53" s="59"/>
      <c r="FF53" s="59">
        <f t="shared" ref="FF53" si="1454">+DV53+EN53</f>
        <v>0</v>
      </c>
      <c r="FG53" s="59">
        <f t="shared" ref="FG53" si="1455">+DW53+EO53</f>
        <v>0</v>
      </c>
      <c r="FH53" s="59">
        <f t="shared" ref="FH53" si="1456">+DX53+EP53</f>
        <v>0</v>
      </c>
      <c r="FI53" s="59">
        <f t="shared" ref="FI53" si="1457">+DY53+EQ53</f>
        <v>0</v>
      </c>
      <c r="FJ53" s="59">
        <f t="shared" ref="FJ53" si="1458">+DZ53+ER53</f>
        <v>0</v>
      </c>
      <c r="FK53" s="59">
        <f t="shared" ref="FK53" si="1459">+EA53+ES53</f>
        <v>0</v>
      </c>
      <c r="FL53" s="59">
        <f t="shared" ref="FL53" si="1460">+EB53+ET53</f>
        <v>0</v>
      </c>
      <c r="FM53" s="59">
        <f t="shared" ref="FM53" si="1461">+EC53+EU53</f>
        <v>0</v>
      </c>
      <c r="FN53" s="59">
        <f t="shared" ref="FN53" si="1462">+ED53+EV53</f>
        <v>0</v>
      </c>
      <c r="FO53" s="59">
        <f t="shared" ref="FO53" si="1463">+EE53+EW53</f>
        <v>0</v>
      </c>
      <c r="FP53" s="59">
        <f t="shared" ref="FP53" si="1464">+EF53+EX53</f>
        <v>37.5</v>
      </c>
      <c r="FQ53" s="59">
        <f t="shared" ref="FQ53" si="1465">+EG53+EY53</f>
        <v>62.5</v>
      </c>
      <c r="FR53" s="59">
        <f t="shared" ref="FR53" si="1466">SUM(FF53:FH53)</f>
        <v>0</v>
      </c>
      <c r="FS53" s="59">
        <f t="shared" ref="FS53" si="1467">SUM(FI53:FK53)</f>
        <v>0</v>
      </c>
      <c r="FT53" s="59">
        <f t="shared" ref="FT53" si="1468">SUM(FL53:FN53)</f>
        <v>0</v>
      </c>
      <c r="FU53" s="59">
        <f t="shared" ref="FU53" si="1469">SUM(FO53:FQ53)</f>
        <v>100</v>
      </c>
      <c r="FV53" s="59">
        <f t="shared" ref="FV53" si="1470">SUM(FR53:FU53)</f>
        <v>100</v>
      </c>
    </row>
    <row r="54" spans="2:178" x14ac:dyDescent="0.2">
      <c r="B54" s="46">
        <f t="shared" ref="B54:B55" si="1471">+B53+1</f>
        <v>7</v>
      </c>
      <c r="C54" s="71" t="s">
        <v>256</v>
      </c>
      <c r="E54" s="13">
        <v>100</v>
      </c>
      <c r="F54" s="13">
        <v>100</v>
      </c>
      <c r="G54" s="17">
        <f t="shared" si="1334"/>
        <v>200</v>
      </c>
      <c r="H54" s="49" t="s">
        <v>215</v>
      </c>
      <c r="I54" s="49" t="s">
        <v>219</v>
      </c>
      <c r="J54" s="49" t="s">
        <v>217</v>
      </c>
      <c r="K54" s="54">
        <v>3</v>
      </c>
      <c r="L54" s="54">
        <v>12</v>
      </c>
      <c r="M54" s="54">
        <v>7</v>
      </c>
      <c r="N54" s="54">
        <v>10</v>
      </c>
      <c r="O54" s="48">
        <f t="shared" si="1335"/>
        <v>11</v>
      </c>
      <c r="P54" s="48">
        <f t="shared" si="1336"/>
        <v>15</v>
      </c>
      <c r="R54" s="59">
        <f t="shared" si="1337"/>
        <v>0</v>
      </c>
      <c r="S54" s="59">
        <f t="shared" si="1191"/>
        <v>0</v>
      </c>
      <c r="T54" s="59">
        <f t="shared" si="1191"/>
        <v>0</v>
      </c>
      <c r="U54" s="59">
        <f t="shared" si="1191"/>
        <v>0</v>
      </c>
      <c r="V54" s="59">
        <f t="shared" si="1191"/>
        <v>0</v>
      </c>
      <c r="W54" s="59">
        <f t="shared" si="1191"/>
        <v>0</v>
      </c>
      <c r="X54" s="59">
        <f t="shared" si="1191"/>
        <v>0</v>
      </c>
      <c r="Y54" s="59">
        <f t="shared" si="1191"/>
        <v>0</v>
      </c>
      <c r="Z54" s="59">
        <f t="shared" si="1191"/>
        <v>0</v>
      </c>
      <c r="AA54" s="59">
        <f t="shared" si="1191"/>
        <v>100</v>
      </c>
      <c r="AB54" s="59">
        <f t="shared" si="1191"/>
        <v>0</v>
      </c>
      <c r="AC54" s="59">
        <f t="shared" si="1191"/>
        <v>0</v>
      </c>
      <c r="AD54" s="59">
        <f t="shared" si="1338"/>
        <v>0</v>
      </c>
      <c r="AE54" s="59">
        <f t="shared" si="1339"/>
        <v>0</v>
      </c>
      <c r="AF54" s="59">
        <f t="shared" si="1340"/>
        <v>0</v>
      </c>
      <c r="AG54" s="59">
        <f t="shared" si="1341"/>
        <v>100</v>
      </c>
      <c r="AH54" s="59">
        <f t="shared" si="1342"/>
        <v>100</v>
      </c>
      <c r="AI54" s="59"/>
      <c r="AJ54" s="59">
        <f t="shared" si="1343"/>
        <v>0</v>
      </c>
      <c r="AK54" s="59">
        <f t="shared" si="1192"/>
        <v>0</v>
      </c>
      <c r="AL54" s="59">
        <f t="shared" si="1192"/>
        <v>0</v>
      </c>
      <c r="AM54" s="59">
        <f t="shared" si="1192"/>
        <v>0</v>
      </c>
      <c r="AN54" s="59">
        <f t="shared" si="1192"/>
        <v>0</v>
      </c>
      <c r="AO54" s="59">
        <f t="shared" si="1192"/>
        <v>0</v>
      </c>
      <c r="AP54" s="59">
        <f t="shared" si="1192"/>
        <v>0</v>
      </c>
      <c r="AQ54" s="59">
        <f t="shared" si="1192"/>
        <v>0</v>
      </c>
      <c r="AR54" s="59">
        <f t="shared" si="1192"/>
        <v>0</v>
      </c>
      <c r="AS54" s="59">
        <f t="shared" si="1192"/>
        <v>100</v>
      </c>
      <c r="AT54" s="59">
        <f t="shared" si="1192"/>
        <v>0</v>
      </c>
      <c r="AU54" s="59">
        <f t="shared" si="1192"/>
        <v>0</v>
      </c>
      <c r="AV54" s="59">
        <f t="shared" si="1344"/>
        <v>0</v>
      </c>
      <c r="AW54" s="59">
        <f t="shared" si="1345"/>
        <v>0</v>
      </c>
      <c r="AX54" s="59">
        <f t="shared" si="1346"/>
        <v>0</v>
      </c>
      <c r="AY54" s="59">
        <f t="shared" si="1347"/>
        <v>100</v>
      </c>
      <c r="AZ54" s="59">
        <f t="shared" si="1348"/>
        <v>100</v>
      </c>
      <c r="BA54" s="59"/>
      <c r="BB54" s="59">
        <f t="shared" si="1349"/>
        <v>0</v>
      </c>
      <c r="BC54" s="59">
        <f t="shared" si="1193"/>
        <v>0</v>
      </c>
      <c r="BD54" s="59">
        <f t="shared" si="1194"/>
        <v>0</v>
      </c>
      <c r="BE54" s="59">
        <f t="shared" si="1195"/>
        <v>0</v>
      </c>
      <c r="BF54" s="59">
        <f t="shared" si="1196"/>
        <v>0</v>
      </c>
      <c r="BG54" s="59">
        <f t="shared" si="1197"/>
        <v>0</v>
      </c>
      <c r="BH54" s="59">
        <f t="shared" si="1198"/>
        <v>0</v>
      </c>
      <c r="BI54" s="59">
        <f t="shared" si="1199"/>
        <v>0</v>
      </c>
      <c r="BJ54" s="59">
        <f t="shared" si="1200"/>
        <v>0</v>
      </c>
      <c r="BK54" s="59">
        <f t="shared" si="1201"/>
        <v>200</v>
      </c>
      <c r="BL54" s="59">
        <f t="shared" si="1202"/>
        <v>0</v>
      </c>
      <c r="BM54" s="59">
        <f t="shared" si="1203"/>
        <v>0</v>
      </c>
      <c r="BN54" s="59">
        <f t="shared" si="1350"/>
        <v>0</v>
      </c>
      <c r="BO54" s="59">
        <f t="shared" si="1351"/>
        <v>0</v>
      </c>
      <c r="BP54" s="59">
        <f t="shared" si="1204"/>
        <v>0</v>
      </c>
      <c r="BQ54" s="59">
        <f t="shared" si="1352"/>
        <v>200</v>
      </c>
      <c r="BR54" s="59">
        <f t="shared" si="1353"/>
        <v>200</v>
      </c>
      <c r="BS54" s="59"/>
      <c r="BT54" s="59">
        <f t="shared" si="1354"/>
        <v>0</v>
      </c>
      <c r="BU54" s="59">
        <f t="shared" si="1205"/>
        <v>0</v>
      </c>
      <c r="BV54" s="59">
        <f t="shared" si="1205"/>
        <v>0</v>
      </c>
      <c r="BW54" s="59">
        <f t="shared" si="1205"/>
        <v>0</v>
      </c>
      <c r="BX54" s="59">
        <f t="shared" si="1205"/>
        <v>0</v>
      </c>
      <c r="BY54" s="59">
        <f t="shared" si="1205"/>
        <v>0</v>
      </c>
      <c r="BZ54" s="59">
        <f t="shared" si="1205"/>
        <v>0</v>
      </c>
      <c r="CA54" s="59">
        <f t="shared" si="1205"/>
        <v>0</v>
      </c>
      <c r="CB54" s="59">
        <f t="shared" si="1205"/>
        <v>0</v>
      </c>
      <c r="CC54" s="59">
        <f t="shared" si="1205"/>
        <v>0</v>
      </c>
      <c r="CD54" s="59">
        <f t="shared" si="1205"/>
        <v>33.333333333333336</v>
      </c>
      <c r="CE54" s="59">
        <f t="shared" si="1205"/>
        <v>33.333333333333336</v>
      </c>
      <c r="CF54" s="59">
        <f t="shared" si="1355"/>
        <v>0</v>
      </c>
      <c r="CG54" s="59">
        <f t="shared" si="1356"/>
        <v>0</v>
      </c>
      <c r="CH54" s="59">
        <f t="shared" si="1357"/>
        <v>0</v>
      </c>
      <c r="CI54" s="59">
        <f t="shared" si="1358"/>
        <v>66.666666666666671</v>
      </c>
      <c r="CJ54" s="59">
        <f t="shared" si="1359"/>
        <v>66.666666666666671</v>
      </c>
      <c r="CK54" s="59"/>
      <c r="CL54" s="59">
        <f t="shared" si="1206"/>
        <v>0</v>
      </c>
      <c r="CM54" s="59">
        <f t="shared" si="1206"/>
        <v>0</v>
      </c>
      <c r="CN54" s="59">
        <f t="shared" si="1206"/>
        <v>0</v>
      </c>
      <c r="CO54" s="59">
        <f>IF(CO$4&lt;$O54+$K54,0,IF(AND(CO$4&gt;=$O54+$K54,CO$4&lt;=$L54+$K54),$F54/$L54,0))</f>
        <v>0</v>
      </c>
      <c r="CP54" s="59">
        <f t="shared" si="1207"/>
        <v>0</v>
      </c>
      <c r="CQ54" s="59">
        <f t="shared" si="1207"/>
        <v>0</v>
      </c>
      <c r="CR54" s="59">
        <f t="shared" si="1207"/>
        <v>0</v>
      </c>
      <c r="CS54" s="59">
        <f t="shared" si="1207"/>
        <v>0</v>
      </c>
      <c r="CT54" s="59">
        <f t="shared" si="1207"/>
        <v>0</v>
      </c>
      <c r="CU54" s="59">
        <f t="shared" si="1207"/>
        <v>0</v>
      </c>
      <c r="CV54" s="59">
        <f t="shared" si="1207"/>
        <v>0</v>
      </c>
      <c r="CW54" s="59">
        <f t="shared" si="1207"/>
        <v>0</v>
      </c>
      <c r="CX54" s="59">
        <f t="shared" si="1360"/>
        <v>0</v>
      </c>
      <c r="CY54" s="59">
        <f t="shared" si="1361"/>
        <v>0</v>
      </c>
      <c r="CZ54" s="59">
        <f t="shared" si="1362"/>
        <v>0</v>
      </c>
      <c r="DA54" s="59">
        <f t="shared" si="1363"/>
        <v>0</v>
      </c>
      <c r="DB54" s="59">
        <f t="shared" si="1364"/>
        <v>0</v>
      </c>
      <c r="DC54" s="59"/>
      <c r="DD54" s="59">
        <f t="shared" si="1365"/>
        <v>0</v>
      </c>
      <c r="DE54" s="59">
        <f t="shared" si="1208"/>
        <v>0</v>
      </c>
      <c r="DF54" s="59">
        <f t="shared" si="1209"/>
        <v>0</v>
      </c>
      <c r="DG54" s="59">
        <f t="shared" si="1210"/>
        <v>0</v>
      </c>
      <c r="DH54" s="59">
        <f t="shared" si="1211"/>
        <v>0</v>
      </c>
      <c r="DI54" s="59">
        <f t="shared" si="1212"/>
        <v>0</v>
      </c>
      <c r="DJ54" s="59">
        <f t="shared" si="1213"/>
        <v>0</v>
      </c>
      <c r="DK54" s="59">
        <f t="shared" si="1214"/>
        <v>0</v>
      </c>
      <c r="DL54" s="59">
        <f t="shared" si="1215"/>
        <v>0</v>
      </c>
      <c r="DM54" s="59">
        <f t="shared" si="1216"/>
        <v>0</v>
      </c>
      <c r="DN54" s="59">
        <f t="shared" si="1217"/>
        <v>33.333333333333336</v>
      </c>
      <c r="DO54" s="59">
        <f t="shared" si="1218"/>
        <v>33.333333333333336</v>
      </c>
      <c r="DP54" s="59">
        <f t="shared" si="1366"/>
        <v>0</v>
      </c>
      <c r="DQ54" s="59">
        <f t="shared" si="1367"/>
        <v>0</v>
      </c>
      <c r="DR54" s="59">
        <f t="shared" si="1368"/>
        <v>0</v>
      </c>
      <c r="DS54" s="59">
        <f t="shared" si="1369"/>
        <v>66.666666666666671</v>
      </c>
      <c r="DT54" s="59">
        <f t="shared" si="1370"/>
        <v>66.666666666666671</v>
      </c>
      <c r="DU54" s="59"/>
      <c r="DV54" s="70">
        <v>0</v>
      </c>
      <c r="DW54" s="70">
        <v>0</v>
      </c>
      <c r="DX54" s="70">
        <v>0</v>
      </c>
      <c r="DY54" s="70">
        <v>0</v>
      </c>
      <c r="DZ54" s="70">
        <v>0</v>
      </c>
      <c r="EA54" s="70">
        <v>0</v>
      </c>
      <c r="EB54" s="59">
        <f t="shared" si="1219"/>
        <v>0</v>
      </c>
      <c r="EC54" s="59">
        <f t="shared" si="1219"/>
        <v>0</v>
      </c>
      <c r="ED54" s="59">
        <f t="shared" si="1219"/>
        <v>0</v>
      </c>
      <c r="EE54" s="59">
        <f t="shared" si="1219"/>
        <v>0</v>
      </c>
      <c r="EF54" s="59">
        <f t="shared" si="1219"/>
        <v>0</v>
      </c>
      <c r="EG54" s="59">
        <f t="shared" si="1219"/>
        <v>0</v>
      </c>
      <c r="EH54" s="59">
        <f t="shared" si="1371"/>
        <v>0</v>
      </c>
      <c r="EI54" s="59">
        <f t="shared" si="1372"/>
        <v>0</v>
      </c>
      <c r="EJ54" s="59">
        <f t="shared" si="1373"/>
        <v>0</v>
      </c>
      <c r="EK54" s="59">
        <f t="shared" si="1374"/>
        <v>0</v>
      </c>
      <c r="EL54" s="59">
        <f t="shared" si="1375"/>
        <v>0</v>
      </c>
      <c r="EM54" s="59"/>
      <c r="EN54" s="70">
        <v>0</v>
      </c>
      <c r="EO54" s="70">
        <v>0</v>
      </c>
      <c r="EP54" s="70">
        <v>0</v>
      </c>
      <c r="EQ54" s="70">
        <v>0</v>
      </c>
      <c r="ER54" s="70">
        <v>0</v>
      </c>
      <c r="ES54" s="59">
        <f t="shared" si="1322"/>
        <v>0</v>
      </c>
      <c r="ET54" s="59">
        <f t="shared" si="1322"/>
        <v>0</v>
      </c>
      <c r="EU54" s="59">
        <f t="shared" si="1322"/>
        <v>0</v>
      </c>
      <c r="EV54" s="59">
        <f t="shared" si="1322"/>
        <v>0</v>
      </c>
      <c r="EW54" s="59">
        <f t="shared" si="1322"/>
        <v>0</v>
      </c>
      <c r="EX54" s="59">
        <f t="shared" si="1322"/>
        <v>0</v>
      </c>
      <c r="EY54" s="59">
        <f t="shared" si="1322"/>
        <v>0</v>
      </c>
      <c r="EZ54" s="59">
        <f t="shared" si="1376"/>
        <v>0</v>
      </c>
      <c r="FA54" s="59">
        <f t="shared" si="1377"/>
        <v>0</v>
      </c>
      <c r="FB54" s="59">
        <f t="shared" si="1378"/>
        <v>0</v>
      </c>
      <c r="FC54" s="59">
        <f t="shared" si="1379"/>
        <v>0</v>
      </c>
      <c r="FD54" s="59">
        <f t="shared" si="1380"/>
        <v>0</v>
      </c>
      <c r="FE54" s="59"/>
      <c r="FF54" s="59">
        <f t="shared" si="1381"/>
        <v>0</v>
      </c>
      <c r="FG54" s="59">
        <f t="shared" si="1220"/>
        <v>0</v>
      </c>
      <c r="FH54" s="59">
        <f t="shared" si="1221"/>
        <v>0</v>
      </c>
      <c r="FI54" s="59">
        <f t="shared" si="1222"/>
        <v>0</v>
      </c>
      <c r="FJ54" s="59">
        <f t="shared" si="1223"/>
        <v>0</v>
      </c>
      <c r="FK54" s="59">
        <f t="shared" si="1224"/>
        <v>0</v>
      </c>
      <c r="FL54" s="59">
        <f t="shared" si="1225"/>
        <v>0</v>
      </c>
      <c r="FM54" s="59">
        <f t="shared" si="1226"/>
        <v>0</v>
      </c>
      <c r="FN54" s="59">
        <f t="shared" si="1227"/>
        <v>0</v>
      </c>
      <c r="FO54" s="59">
        <f t="shared" si="1228"/>
        <v>0</v>
      </c>
      <c r="FP54" s="59">
        <f t="shared" si="1229"/>
        <v>0</v>
      </c>
      <c r="FQ54" s="59">
        <f t="shared" si="1230"/>
        <v>0</v>
      </c>
      <c r="FR54" s="59">
        <f t="shared" si="1382"/>
        <v>0</v>
      </c>
      <c r="FS54" s="59">
        <f t="shared" si="1383"/>
        <v>0</v>
      </c>
      <c r="FT54" s="59">
        <f t="shared" si="1384"/>
        <v>0</v>
      </c>
      <c r="FU54" s="59">
        <f t="shared" si="1385"/>
        <v>0</v>
      </c>
      <c r="FV54" s="59">
        <f t="shared" si="1386"/>
        <v>0</v>
      </c>
    </row>
    <row r="55" spans="2:178" x14ac:dyDescent="0.2">
      <c r="B55" s="46">
        <f t="shared" si="1471"/>
        <v>8</v>
      </c>
      <c r="C55" s="71" t="s">
        <v>257</v>
      </c>
      <c r="E55" s="13">
        <v>150</v>
      </c>
      <c r="F55" s="13">
        <v>100</v>
      </c>
      <c r="G55" s="17">
        <f t="shared" ref="G55" si="1472">+E55+F55</f>
        <v>250</v>
      </c>
      <c r="H55" s="49" t="s">
        <v>215</v>
      </c>
      <c r="I55" s="49" t="s">
        <v>219</v>
      </c>
      <c r="J55" s="49" t="s">
        <v>217</v>
      </c>
      <c r="K55" s="54">
        <v>3</v>
      </c>
      <c r="L55" s="54">
        <v>12</v>
      </c>
      <c r="M55" s="54">
        <v>8</v>
      </c>
      <c r="N55" s="54">
        <v>11</v>
      </c>
      <c r="O55" s="48">
        <f t="shared" ref="O55" si="1473">+N55+1</f>
        <v>12</v>
      </c>
      <c r="P55" s="48">
        <f t="shared" ref="P55" si="1474">+K55+L55</f>
        <v>15</v>
      </c>
      <c r="R55" s="59">
        <f t="shared" si="1337"/>
        <v>0</v>
      </c>
      <c r="S55" s="59">
        <f t="shared" si="1191"/>
        <v>0</v>
      </c>
      <c r="T55" s="59">
        <f t="shared" si="1191"/>
        <v>0</v>
      </c>
      <c r="U55" s="59">
        <f t="shared" si="1191"/>
        <v>0</v>
      </c>
      <c r="V55" s="59">
        <f t="shared" si="1191"/>
        <v>0</v>
      </c>
      <c r="W55" s="59">
        <f t="shared" si="1191"/>
        <v>0</v>
      </c>
      <c r="X55" s="59">
        <f t="shared" si="1191"/>
        <v>0</v>
      </c>
      <c r="Y55" s="59">
        <f t="shared" si="1191"/>
        <v>0</v>
      </c>
      <c r="Z55" s="59">
        <f t="shared" si="1191"/>
        <v>0</v>
      </c>
      <c r="AA55" s="59">
        <f t="shared" si="1191"/>
        <v>0</v>
      </c>
      <c r="AB55" s="59">
        <f t="shared" si="1191"/>
        <v>150</v>
      </c>
      <c r="AC55" s="59">
        <f t="shared" si="1191"/>
        <v>0</v>
      </c>
      <c r="AD55" s="59">
        <f t="shared" ref="AD55" si="1475">SUM(R55:T55)</f>
        <v>0</v>
      </c>
      <c r="AE55" s="59">
        <f t="shared" ref="AE55" si="1476">SUM(U55:W55)</f>
        <v>0</v>
      </c>
      <c r="AF55" s="59">
        <f t="shared" ref="AF55" si="1477">SUM(X55:Z55)</f>
        <v>0</v>
      </c>
      <c r="AG55" s="59">
        <f t="shared" ref="AG55" si="1478">SUM(AA55:AC55)</f>
        <v>150</v>
      </c>
      <c r="AH55" s="59">
        <f t="shared" ref="AH55" si="1479">SUM(AD55:AG55)</f>
        <v>150</v>
      </c>
      <c r="AI55" s="59"/>
      <c r="AJ55" s="59">
        <f t="shared" si="1343"/>
        <v>0</v>
      </c>
      <c r="AK55" s="59">
        <f t="shared" si="1192"/>
        <v>0</v>
      </c>
      <c r="AL55" s="59">
        <f t="shared" si="1192"/>
        <v>0</v>
      </c>
      <c r="AM55" s="59">
        <f t="shared" si="1192"/>
        <v>0</v>
      </c>
      <c r="AN55" s="59">
        <f t="shared" si="1192"/>
        <v>0</v>
      </c>
      <c r="AO55" s="59">
        <f t="shared" si="1192"/>
        <v>0</v>
      </c>
      <c r="AP55" s="59">
        <f t="shared" si="1192"/>
        <v>0</v>
      </c>
      <c r="AQ55" s="59">
        <f t="shared" si="1192"/>
        <v>0</v>
      </c>
      <c r="AR55" s="59">
        <f t="shared" si="1192"/>
        <v>0</v>
      </c>
      <c r="AS55" s="59">
        <f t="shared" si="1192"/>
        <v>0</v>
      </c>
      <c r="AT55" s="59">
        <f t="shared" si="1192"/>
        <v>100</v>
      </c>
      <c r="AU55" s="59">
        <f t="shared" si="1192"/>
        <v>0</v>
      </c>
      <c r="AV55" s="59">
        <f t="shared" ref="AV55" si="1480">SUM(AJ55:AL55)</f>
        <v>0</v>
      </c>
      <c r="AW55" s="59">
        <f t="shared" ref="AW55" si="1481">SUM(AM55:AO55)</f>
        <v>0</v>
      </c>
      <c r="AX55" s="59">
        <f t="shared" ref="AX55" si="1482">SUM(AP55:AR55)</f>
        <v>0</v>
      </c>
      <c r="AY55" s="59">
        <f t="shared" ref="AY55" si="1483">SUM(AS55:AU55)</f>
        <v>100</v>
      </c>
      <c r="AZ55" s="59">
        <f t="shared" ref="AZ55" si="1484">SUM(AV55:AY55)</f>
        <v>100</v>
      </c>
      <c r="BA55" s="59"/>
      <c r="BB55" s="59">
        <f t="shared" ref="BB55" si="1485">+R55+AJ55</f>
        <v>0</v>
      </c>
      <c r="BC55" s="59">
        <f t="shared" ref="BC55" si="1486">+S55+AK55</f>
        <v>0</v>
      </c>
      <c r="BD55" s="59">
        <f t="shared" ref="BD55" si="1487">+T55+AL55</f>
        <v>0</v>
      </c>
      <c r="BE55" s="59">
        <f t="shared" ref="BE55" si="1488">+U55+AM55</f>
        <v>0</v>
      </c>
      <c r="BF55" s="59">
        <f t="shared" ref="BF55" si="1489">+V55+AN55</f>
        <v>0</v>
      </c>
      <c r="BG55" s="59">
        <f t="shared" ref="BG55" si="1490">+W55+AO55</f>
        <v>0</v>
      </c>
      <c r="BH55" s="59">
        <f t="shared" ref="BH55" si="1491">+X55+AP55</f>
        <v>0</v>
      </c>
      <c r="BI55" s="59">
        <f t="shared" ref="BI55" si="1492">+Y55+AQ55</f>
        <v>0</v>
      </c>
      <c r="BJ55" s="59">
        <f t="shared" ref="BJ55" si="1493">+Z55+AR55</f>
        <v>0</v>
      </c>
      <c r="BK55" s="59">
        <f t="shared" ref="BK55" si="1494">+AA55+AS55</f>
        <v>0</v>
      </c>
      <c r="BL55" s="59">
        <f t="shared" ref="BL55" si="1495">+AB55+AT55</f>
        <v>250</v>
      </c>
      <c r="BM55" s="59">
        <f t="shared" ref="BM55" si="1496">+AC55+AU55</f>
        <v>0</v>
      </c>
      <c r="BN55" s="59">
        <f t="shared" ref="BN55" si="1497">SUM(BB55:BD55)</f>
        <v>0</v>
      </c>
      <c r="BO55" s="59">
        <f t="shared" ref="BO55" si="1498">SUM(BE55:BG55)</f>
        <v>0</v>
      </c>
      <c r="BP55" s="59">
        <f t="shared" ref="BP55" si="1499">SUM(BH55:BJ55)</f>
        <v>0</v>
      </c>
      <c r="BQ55" s="59">
        <f t="shared" ref="BQ55" si="1500">SUM(BK55:BM55)</f>
        <v>250</v>
      </c>
      <c r="BR55" s="59">
        <f t="shared" ref="BR55" si="1501">SUM(BN55:BQ55)</f>
        <v>250</v>
      </c>
      <c r="BS55" s="59"/>
      <c r="BT55" s="59">
        <f t="shared" si="1354"/>
        <v>0</v>
      </c>
      <c r="BU55" s="59">
        <f t="shared" si="1205"/>
        <v>0</v>
      </c>
      <c r="BV55" s="59">
        <f t="shared" si="1205"/>
        <v>0</v>
      </c>
      <c r="BW55" s="59">
        <f t="shared" si="1205"/>
        <v>0</v>
      </c>
      <c r="BX55" s="59">
        <f t="shared" si="1205"/>
        <v>0</v>
      </c>
      <c r="BY55" s="59">
        <f t="shared" si="1205"/>
        <v>0</v>
      </c>
      <c r="BZ55" s="59">
        <f t="shared" si="1205"/>
        <v>0</v>
      </c>
      <c r="CA55" s="59">
        <f t="shared" si="1205"/>
        <v>0</v>
      </c>
      <c r="CB55" s="59">
        <f t="shared" si="1205"/>
        <v>0</v>
      </c>
      <c r="CC55" s="59">
        <f t="shared" si="1205"/>
        <v>0</v>
      </c>
      <c r="CD55" s="59">
        <f t="shared" si="1205"/>
        <v>0</v>
      </c>
      <c r="CE55" s="59">
        <f t="shared" si="1205"/>
        <v>50</v>
      </c>
      <c r="CF55" s="59">
        <f t="shared" ref="CF55" si="1502">SUM(BT55:BV55)</f>
        <v>0</v>
      </c>
      <c r="CG55" s="59">
        <f t="shared" ref="CG55" si="1503">SUM(BW55:BY55)</f>
        <v>0</v>
      </c>
      <c r="CH55" s="59">
        <f t="shared" ref="CH55" si="1504">SUM(BZ55:CB55)</f>
        <v>0</v>
      </c>
      <c r="CI55" s="59">
        <f t="shared" ref="CI55" si="1505">SUM(CC55:CE55)</f>
        <v>50</v>
      </c>
      <c r="CJ55" s="59">
        <f t="shared" ref="CJ55" si="1506">SUM(CF55:CI55)</f>
        <v>50</v>
      </c>
      <c r="CK55" s="59"/>
      <c r="CL55" s="59">
        <f t="shared" si="1206"/>
        <v>0</v>
      </c>
      <c r="CM55" s="59">
        <f t="shared" si="1206"/>
        <v>0</v>
      </c>
      <c r="CN55" s="59">
        <f t="shared" si="1206"/>
        <v>0</v>
      </c>
      <c r="CO55" s="59">
        <f>IF(CO$4&lt;$O55+$K55,0,IF(AND(CO$4&gt;=$O55+$K55,CO$4&lt;=$L55+$K55),$F55/$L55,0))</f>
        <v>0</v>
      </c>
      <c r="CP55" s="59">
        <f t="shared" si="1207"/>
        <v>0</v>
      </c>
      <c r="CQ55" s="59">
        <f t="shared" si="1207"/>
        <v>0</v>
      </c>
      <c r="CR55" s="59">
        <f t="shared" si="1207"/>
        <v>0</v>
      </c>
      <c r="CS55" s="59">
        <f t="shared" si="1207"/>
        <v>0</v>
      </c>
      <c r="CT55" s="59">
        <f t="shared" si="1207"/>
        <v>0</v>
      </c>
      <c r="CU55" s="59">
        <f t="shared" si="1207"/>
        <v>0</v>
      </c>
      <c r="CV55" s="59">
        <f t="shared" si="1207"/>
        <v>0</v>
      </c>
      <c r="CW55" s="59">
        <f t="shared" si="1207"/>
        <v>0</v>
      </c>
      <c r="CX55" s="59">
        <f t="shared" ref="CX55" si="1507">SUM(CL55:CN55)</f>
        <v>0</v>
      </c>
      <c r="CY55" s="59">
        <f t="shared" ref="CY55" si="1508">SUM(CO55:CQ55)</f>
        <v>0</v>
      </c>
      <c r="CZ55" s="59">
        <f t="shared" ref="CZ55" si="1509">SUM(CR55:CT55)</f>
        <v>0</v>
      </c>
      <c r="DA55" s="59">
        <f t="shared" ref="DA55" si="1510">SUM(CU55:CW55)</f>
        <v>0</v>
      </c>
      <c r="DB55" s="59">
        <f t="shared" ref="DB55" si="1511">SUM(CX55:DA55)</f>
        <v>0</v>
      </c>
      <c r="DC55" s="59"/>
      <c r="DD55" s="59">
        <f t="shared" ref="DD55" si="1512">+BT55+CL55</f>
        <v>0</v>
      </c>
      <c r="DE55" s="59">
        <f t="shared" ref="DE55" si="1513">+BU55+CM55</f>
        <v>0</v>
      </c>
      <c r="DF55" s="59">
        <f t="shared" ref="DF55" si="1514">+BV55+CN55</f>
        <v>0</v>
      </c>
      <c r="DG55" s="59">
        <f t="shared" ref="DG55" si="1515">+BW55+CO55</f>
        <v>0</v>
      </c>
      <c r="DH55" s="59">
        <f t="shared" ref="DH55" si="1516">+BX55+CP55</f>
        <v>0</v>
      </c>
      <c r="DI55" s="59">
        <f t="shared" ref="DI55" si="1517">+BY55+CQ55</f>
        <v>0</v>
      </c>
      <c r="DJ55" s="59">
        <f t="shared" ref="DJ55" si="1518">+BZ55+CR55</f>
        <v>0</v>
      </c>
      <c r="DK55" s="59">
        <f t="shared" ref="DK55" si="1519">+CA55+CS55</f>
        <v>0</v>
      </c>
      <c r="DL55" s="59">
        <f t="shared" ref="DL55" si="1520">+CB55+CT55</f>
        <v>0</v>
      </c>
      <c r="DM55" s="59">
        <f t="shared" ref="DM55" si="1521">+CC55+CU55</f>
        <v>0</v>
      </c>
      <c r="DN55" s="59">
        <f t="shared" ref="DN55" si="1522">+CD55+CV55</f>
        <v>0</v>
      </c>
      <c r="DO55" s="59">
        <f t="shared" ref="DO55" si="1523">+CE55+CW55</f>
        <v>50</v>
      </c>
      <c r="DP55" s="59">
        <f t="shared" ref="DP55" si="1524">SUM(DD55:DF55)</f>
        <v>0</v>
      </c>
      <c r="DQ55" s="59">
        <f t="shared" ref="DQ55" si="1525">SUM(DG55:DI55)</f>
        <v>0</v>
      </c>
      <c r="DR55" s="59">
        <f t="shared" ref="DR55" si="1526">SUM(DJ55:DL55)</f>
        <v>0</v>
      </c>
      <c r="DS55" s="59">
        <f t="shared" ref="DS55" si="1527">SUM(DM55:DO55)</f>
        <v>50</v>
      </c>
      <c r="DT55" s="59">
        <f t="shared" ref="DT55" si="1528">SUM(DP55:DS55)</f>
        <v>50</v>
      </c>
      <c r="DU55" s="59"/>
      <c r="DV55" s="70">
        <v>0</v>
      </c>
      <c r="DW55" s="70">
        <v>0</v>
      </c>
      <c r="DX55" s="70">
        <v>0</v>
      </c>
      <c r="DY55" s="70">
        <v>0</v>
      </c>
      <c r="DZ55" s="70">
        <v>0</v>
      </c>
      <c r="EA55" s="70">
        <v>0</v>
      </c>
      <c r="EB55" s="59">
        <f t="shared" si="1219"/>
        <v>0</v>
      </c>
      <c r="EC55" s="59">
        <f t="shared" si="1219"/>
        <v>0</v>
      </c>
      <c r="ED55" s="59">
        <f t="shared" si="1219"/>
        <v>0</v>
      </c>
      <c r="EE55" s="59">
        <f t="shared" si="1219"/>
        <v>0</v>
      </c>
      <c r="EF55" s="59">
        <f t="shared" si="1219"/>
        <v>0</v>
      </c>
      <c r="EG55" s="59">
        <f t="shared" si="1219"/>
        <v>0</v>
      </c>
      <c r="EH55" s="59">
        <f t="shared" ref="EH55" si="1529">SUM(DV55:DX55)</f>
        <v>0</v>
      </c>
      <c r="EI55" s="59">
        <f t="shared" ref="EI55" si="1530">SUM(DY55:EA55)</f>
        <v>0</v>
      </c>
      <c r="EJ55" s="59">
        <f t="shared" ref="EJ55" si="1531">SUM(EB55:ED55)</f>
        <v>0</v>
      </c>
      <c r="EK55" s="59">
        <f t="shared" ref="EK55" si="1532">SUM(EE55:EG55)</f>
        <v>0</v>
      </c>
      <c r="EL55" s="59">
        <f t="shared" ref="EL55" si="1533">SUM(EH55:EK55)</f>
        <v>0</v>
      </c>
      <c r="EM55" s="59"/>
      <c r="EN55" s="70">
        <v>0</v>
      </c>
      <c r="EO55" s="70">
        <v>0</v>
      </c>
      <c r="EP55" s="70">
        <v>0</v>
      </c>
      <c r="EQ55" s="70">
        <v>0</v>
      </c>
      <c r="ER55" s="70">
        <v>0</v>
      </c>
      <c r="ES55" s="59">
        <f t="shared" si="1322"/>
        <v>0</v>
      </c>
      <c r="ET55" s="59">
        <f t="shared" si="1322"/>
        <v>0</v>
      </c>
      <c r="EU55" s="59">
        <f t="shared" si="1322"/>
        <v>0</v>
      </c>
      <c r="EV55" s="59">
        <f t="shared" si="1322"/>
        <v>0</v>
      </c>
      <c r="EW55" s="59">
        <f t="shared" si="1322"/>
        <v>0</v>
      </c>
      <c r="EX55" s="59">
        <f t="shared" si="1322"/>
        <v>0</v>
      </c>
      <c r="EY55" s="59">
        <f t="shared" si="1322"/>
        <v>0</v>
      </c>
      <c r="EZ55" s="59">
        <f t="shared" ref="EZ55" si="1534">SUM(EN55:EP55)</f>
        <v>0</v>
      </c>
      <c r="FA55" s="59">
        <f t="shared" ref="FA55" si="1535">SUM(EQ55:ES55)</f>
        <v>0</v>
      </c>
      <c r="FB55" s="59">
        <f t="shared" ref="FB55" si="1536">SUM(ET55:EV55)</f>
        <v>0</v>
      </c>
      <c r="FC55" s="59">
        <f t="shared" ref="FC55" si="1537">SUM(EW55:EY55)</f>
        <v>0</v>
      </c>
      <c r="FD55" s="59">
        <f t="shared" ref="FD55" si="1538">SUM(EZ55:FC55)</f>
        <v>0</v>
      </c>
      <c r="FE55" s="59"/>
      <c r="FF55" s="59">
        <f t="shared" ref="FF55" si="1539">+DV55+EN55</f>
        <v>0</v>
      </c>
      <c r="FG55" s="59">
        <f t="shared" ref="FG55" si="1540">+DW55+EO55</f>
        <v>0</v>
      </c>
      <c r="FH55" s="59">
        <f t="shared" ref="FH55" si="1541">+DX55+EP55</f>
        <v>0</v>
      </c>
      <c r="FI55" s="59">
        <f t="shared" ref="FI55" si="1542">+DY55+EQ55</f>
        <v>0</v>
      </c>
      <c r="FJ55" s="59">
        <f t="shared" ref="FJ55" si="1543">+DZ55+ER55</f>
        <v>0</v>
      </c>
      <c r="FK55" s="59">
        <f t="shared" ref="FK55" si="1544">+EA55+ES55</f>
        <v>0</v>
      </c>
      <c r="FL55" s="59">
        <f t="shared" ref="FL55" si="1545">+EB55+ET55</f>
        <v>0</v>
      </c>
      <c r="FM55" s="59">
        <f t="shared" ref="FM55" si="1546">+EC55+EU55</f>
        <v>0</v>
      </c>
      <c r="FN55" s="59">
        <f t="shared" ref="FN55" si="1547">+ED55+EV55</f>
        <v>0</v>
      </c>
      <c r="FO55" s="59">
        <f t="shared" ref="FO55" si="1548">+EE55+EW55</f>
        <v>0</v>
      </c>
      <c r="FP55" s="59">
        <f t="shared" ref="FP55" si="1549">+EF55+EX55</f>
        <v>0</v>
      </c>
      <c r="FQ55" s="59">
        <f t="shared" ref="FQ55" si="1550">+EG55+EY55</f>
        <v>0</v>
      </c>
      <c r="FR55" s="59">
        <f t="shared" ref="FR55" si="1551">SUM(FF55:FH55)</f>
        <v>0</v>
      </c>
      <c r="FS55" s="59">
        <f t="shared" ref="FS55" si="1552">SUM(FI55:FK55)</f>
        <v>0</v>
      </c>
      <c r="FT55" s="59">
        <f t="shared" ref="FT55" si="1553">SUM(FL55:FN55)</f>
        <v>0</v>
      </c>
      <c r="FU55" s="59">
        <f t="shared" ref="FU55" si="1554">SUM(FO55:FQ55)</f>
        <v>0</v>
      </c>
      <c r="FV55" s="59">
        <f t="shared" ref="FV55" si="1555">SUM(FR55:FU55)</f>
        <v>0</v>
      </c>
    </row>
    <row r="56" spans="2:178" x14ac:dyDescent="0.2">
      <c r="B56" s="46"/>
      <c r="E56" s="13"/>
      <c r="F56" s="13"/>
      <c r="G56" s="17"/>
      <c r="H56" s="49"/>
      <c r="I56" s="49"/>
      <c r="J56" s="49"/>
      <c r="K56" s="54"/>
      <c r="L56" s="54"/>
      <c r="M56" s="54"/>
      <c r="N56" s="54"/>
      <c r="O56" s="48"/>
      <c r="P56" s="48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70"/>
      <c r="DW56" s="70"/>
      <c r="DX56" s="70"/>
      <c r="DY56" s="70"/>
      <c r="DZ56" s="70"/>
      <c r="EA56" s="70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70"/>
      <c r="EO56" s="70"/>
      <c r="EP56" s="70"/>
      <c r="EQ56" s="70"/>
      <c r="ER56" s="70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</row>
    <row r="57" spans="2:178" x14ac:dyDescent="0.2">
      <c r="B57" s="46">
        <f>+B55+1</f>
        <v>9</v>
      </c>
      <c r="C57" s="71" t="s">
        <v>541</v>
      </c>
      <c r="E57" s="13">
        <v>25</v>
      </c>
      <c r="F57" s="13">
        <v>30</v>
      </c>
      <c r="G57" s="17">
        <f t="shared" ref="G57:G59" si="1556">+E57+F57</f>
        <v>55</v>
      </c>
      <c r="H57" s="49" t="s">
        <v>254</v>
      </c>
      <c r="I57" s="49" t="s">
        <v>219</v>
      </c>
      <c r="J57" s="49" t="s">
        <v>217</v>
      </c>
      <c r="K57" s="54">
        <v>2</v>
      </c>
      <c r="L57" s="54">
        <v>12</v>
      </c>
      <c r="M57" s="54">
        <v>1</v>
      </c>
      <c r="N57" s="54">
        <v>7</v>
      </c>
      <c r="O57" s="48">
        <f t="shared" ref="O57:O59" si="1557">+N57+1</f>
        <v>8</v>
      </c>
      <c r="P57" s="48">
        <f t="shared" ref="P57:P59" si="1558">+K57+L57</f>
        <v>14</v>
      </c>
      <c r="R57" s="59">
        <f t="shared" si="1337"/>
        <v>0</v>
      </c>
      <c r="S57" s="59">
        <f t="shared" si="1191"/>
        <v>0</v>
      </c>
      <c r="T57" s="59">
        <f t="shared" si="1191"/>
        <v>0</v>
      </c>
      <c r="U57" s="59">
        <f t="shared" si="1191"/>
        <v>0</v>
      </c>
      <c r="V57" s="59">
        <f t="shared" si="1191"/>
        <v>0</v>
      </c>
      <c r="W57" s="59">
        <f t="shared" si="1191"/>
        <v>0</v>
      </c>
      <c r="X57" s="59">
        <f t="shared" si="1191"/>
        <v>25</v>
      </c>
      <c r="Y57" s="59">
        <f t="shared" si="1191"/>
        <v>0</v>
      </c>
      <c r="Z57" s="59">
        <f t="shared" si="1191"/>
        <v>0</v>
      </c>
      <c r="AA57" s="59">
        <f t="shared" si="1191"/>
        <v>0</v>
      </c>
      <c r="AB57" s="59">
        <f t="shared" si="1191"/>
        <v>0</v>
      </c>
      <c r="AC57" s="59">
        <f t="shared" si="1191"/>
        <v>0</v>
      </c>
      <c r="AD57" s="59">
        <f t="shared" ref="AD57:AD59" si="1559">SUM(R57:T57)</f>
        <v>0</v>
      </c>
      <c r="AE57" s="59">
        <f t="shared" ref="AE57:AE59" si="1560">SUM(U57:W57)</f>
        <v>0</v>
      </c>
      <c r="AF57" s="59">
        <f t="shared" ref="AF57:AF59" si="1561">SUM(X57:Z57)</f>
        <v>25</v>
      </c>
      <c r="AG57" s="59">
        <f t="shared" ref="AG57:AG59" si="1562">SUM(AA57:AC57)</f>
        <v>0</v>
      </c>
      <c r="AH57" s="59">
        <f t="shared" ref="AH57:AH59" si="1563">SUM(AD57:AG57)</f>
        <v>25</v>
      </c>
      <c r="AI57" s="59"/>
      <c r="AJ57" s="59">
        <f t="shared" si="1343"/>
        <v>0</v>
      </c>
      <c r="AK57" s="59">
        <f t="shared" si="1192"/>
        <v>0</v>
      </c>
      <c r="AL57" s="59">
        <f t="shared" si="1192"/>
        <v>0</v>
      </c>
      <c r="AM57" s="59">
        <f t="shared" si="1192"/>
        <v>0</v>
      </c>
      <c r="AN57" s="59">
        <f t="shared" si="1192"/>
        <v>0</v>
      </c>
      <c r="AO57" s="59">
        <f t="shared" si="1192"/>
        <v>0</v>
      </c>
      <c r="AP57" s="59">
        <f t="shared" si="1192"/>
        <v>30</v>
      </c>
      <c r="AQ57" s="59">
        <f t="shared" si="1192"/>
        <v>0</v>
      </c>
      <c r="AR57" s="59">
        <f t="shared" si="1192"/>
        <v>0</v>
      </c>
      <c r="AS57" s="59">
        <f t="shared" si="1192"/>
        <v>0</v>
      </c>
      <c r="AT57" s="59">
        <f t="shared" si="1192"/>
        <v>0</v>
      </c>
      <c r="AU57" s="59">
        <f t="shared" si="1192"/>
        <v>0</v>
      </c>
      <c r="AV57" s="59">
        <f t="shared" ref="AV57:AV59" si="1564">SUM(AJ57:AL57)</f>
        <v>0</v>
      </c>
      <c r="AW57" s="59">
        <f t="shared" ref="AW57:AW59" si="1565">SUM(AM57:AO57)</f>
        <v>0</v>
      </c>
      <c r="AX57" s="59">
        <f t="shared" ref="AX57:AX59" si="1566">SUM(AP57:AR57)</f>
        <v>30</v>
      </c>
      <c r="AY57" s="59">
        <f t="shared" ref="AY57:AY59" si="1567">SUM(AS57:AU57)</f>
        <v>0</v>
      </c>
      <c r="AZ57" s="59">
        <f t="shared" ref="AZ57:AZ59" si="1568">SUM(AV57:AY57)</f>
        <v>30</v>
      </c>
      <c r="BA57" s="59"/>
      <c r="BB57" s="59">
        <f t="shared" ref="BB57:BB59" si="1569">+R57+AJ57</f>
        <v>0</v>
      </c>
      <c r="BC57" s="59">
        <f t="shared" ref="BC57:BC59" si="1570">+S57+AK57</f>
        <v>0</v>
      </c>
      <c r="BD57" s="59">
        <f t="shared" ref="BD57:BD59" si="1571">+T57+AL57</f>
        <v>0</v>
      </c>
      <c r="BE57" s="59">
        <f t="shared" ref="BE57:BE59" si="1572">+U57+AM57</f>
        <v>0</v>
      </c>
      <c r="BF57" s="59">
        <f t="shared" ref="BF57:BF59" si="1573">+V57+AN57</f>
        <v>0</v>
      </c>
      <c r="BG57" s="59">
        <f t="shared" ref="BG57:BG59" si="1574">+W57+AO57</f>
        <v>0</v>
      </c>
      <c r="BH57" s="59">
        <f t="shared" ref="BH57:BH59" si="1575">+X57+AP57</f>
        <v>55</v>
      </c>
      <c r="BI57" s="59">
        <f t="shared" ref="BI57:BI59" si="1576">+Y57+AQ57</f>
        <v>0</v>
      </c>
      <c r="BJ57" s="59">
        <f t="shared" ref="BJ57:BJ59" si="1577">+Z57+AR57</f>
        <v>0</v>
      </c>
      <c r="BK57" s="59">
        <f t="shared" ref="BK57:BK59" si="1578">+AA57+AS57</f>
        <v>0</v>
      </c>
      <c r="BL57" s="59">
        <f t="shared" ref="BL57:BL59" si="1579">+AB57+AT57</f>
        <v>0</v>
      </c>
      <c r="BM57" s="59">
        <f t="shared" ref="BM57:BM59" si="1580">+AC57+AU57</f>
        <v>0</v>
      </c>
      <c r="BN57" s="59">
        <f t="shared" ref="BN57:BN59" si="1581">SUM(BB57:BD57)</f>
        <v>0</v>
      </c>
      <c r="BO57" s="59">
        <f t="shared" ref="BO57:BO59" si="1582">SUM(BE57:BG57)</f>
        <v>0</v>
      </c>
      <c r="BP57" s="59">
        <f t="shared" ref="BP57:BP59" si="1583">SUM(BH57:BJ57)</f>
        <v>55</v>
      </c>
      <c r="BQ57" s="59">
        <f t="shared" ref="BQ57:BQ59" si="1584">SUM(BK57:BM57)</f>
        <v>0</v>
      </c>
      <c r="BR57" s="59">
        <f t="shared" ref="BR57:BR59" si="1585">SUM(BN57:BQ57)</f>
        <v>55</v>
      </c>
      <c r="BS57" s="59"/>
      <c r="BT57" s="59">
        <f t="shared" si="1354"/>
        <v>0</v>
      </c>
      <c r="BU57" s="59">
        <f t="shared" si="1205"/>
        <v>0</v>
      </c>
      <c r="BV57" s="59">
        <f t="shared" si="1205"/>
        <v>0</v>
      </c>
      <c r="BW57" s="59">
        <f t="shared" si="1205"/>
        <v>0</v>
      </c>
      <c r="BX57" s="59">
        <f t="shared" si="1205"/>
        <v>0</v>
      </c>
      <c r="BY57" s="59">
        <f t="shared" si="1205"/>
        <v>0</v>
      </c>
      <c r="BZ57" s="59">
        <f t="shared" si="1205"/>
        <v>0</v>
      </c>
      <c r="CA57" s="59">
        <f t="shared" si="1205"/>
        <v>12.5</v>
      </c>
      <c r="CB57" s="59">
        <f t="shared" si="1205"/>
        <v>12.5</v>
      </c>
      <c r="CC57" s="59">
        <f t="shared" si="1205"/>
        <v>0</v>
      </c>
      <c r="CD57" s="59">
        <f t="shared" si="1205"/>
        <v>0</v>
      </c>
      <c r="CE57" s="59">
        <f t="shared" si="1205"/>
        <v>0</v>
      </c>
      <c r="CF57" s="59">
        <f t="shared" ref="CF57:CF59" si="1586">SUM(BT57:BV57)</f>
        <v>0</v>
      </c>
      <c r="CG57" s="59">
        <f t="shared" ref="CG57:CG59" si="1587">SUM(BW57:BY57)</f>
        <v>0</v>
      </c>
      <c r="CH57" s="59">
        <f t="shared" ref="CH57:CH59" si="1588">SUM(BZ57:CB57)</f>
        <v>25</v>
      </c>
      <c r="CI57" s="59">
        <f t="shared" ref="CI57:CI59" si="1589">SUM(CC57:CE57)</f>
        <v>0</v>
      </c>
      <c r="CJ57" s="59">
        <f t="shared" ref="CJ57:CJ59" si="1590">SUM(CF57:CI57)</f>
        <v>25</v>
      </c>
      <c r="CK57" s="59"/>
      <c r="CL57" s="59">
        <f t="shared" si="1206"/>
        <v>0</v>
      </c>
      <c r="CM57" s="59">
        <f t="shared" si="1206"/>
        <v>0</v>
      </c>
      <c r="CN57" s="59">
        <f t="shared" si="1206"/>
        <v>0</v>
      </c>
      <c r="CO57" s="59">
        <f>IF(CO$4&lt;$O57+$K57,0,IF(AND(CO$4&gt;=$O57+$K57,CO$4&lt;=$L57+$K57),$F57/$L57,0))</f>
        <v>0</v>
      </c>
      <c r="CP57" s="59">
        <f t="shared" si="1207"/>
        <v>0</v>
      </c>
      <c r="CQ57" s="59">
        <f t="shared" si="1207"/>
        <v>0</v>
      </c>
      <c r="CR57" s="59">
        <f t="shared" si="1207"/>
        <v>0</v>
      </c>
      <c r="CS57" s="59">
        <f t="shared" si="1207"/>
        <v>0</v>
      </c>
      <c r="CT57" s="59">
        <f t="shared" si="1207"/>
        <v>0</v>
      </c>
      <c r="CU57" s="59">
        <f t="shared" si="1207"/>
        <v>2.5</v>
      </c>
      <c r="CV57" s="59">
        <f t="shared" si="1207"/>
        <v>2.5</v>
      </c>
      <c r="CW57" s="59">
        <f t="shared" si="1207"/>
        <v>2.5</v>
      </c>
      <c r="CX57" s="59">
        <f t="shared" ref="CX57:CX59" si="1591">SUM(CL57:CN57)</f>
        <v>0</v>
      </c>
      <c r="CY57" s="59">
        <f t="shared" ref="CY57:CY59" si="1592">SUM(CO57:CQ57)</f>
        <v>0</v>
      </c>
      <c r="CZ57" s="59">
        <f t="shared" ref="CZ57:CZ59" si="1593">SUM(CR57:CT57)</f>
        <v>0</v>
      </c>
      <c r="DA57" s="59">
        <f t="shared" ref="DA57:DA59" si="1594">SUM(CU57:CW57)</f>
        <v>7.5</v>
      </c>
      <c r="DB57" s="59">
        <f t="shared" ref="DB57:DB59" si="1595">SUM(CX57:DA57)</f>
        <v>7.5</v>
      </c>
      <c r="DC57" s="59"/>
      <c r="DD57" s="59">
        <f t="shared" ref="DD57:DD59" si="1596">+BT57+CL57</f>
        <v>0</v>
      </c>
      <c r="DE57" s="59">
        <f t="shared" ref="DE57:DE59" si="1597">+BU57+CM57</f>
        <v>0</v>
      </c>
      <c r="DF57" s="59">
        <f t="shared" ref="DF57:DF59" si="1598">+BV57+CN57</f>
        <v>0</v>
      </c>
      <c r="DG57" s="59">
        <f t="shared" ref="DG57:DG59" si="1599">+BW57+CO57</f>
        <v>0</v>
      </c>
      <c r="DH57" s="59">
        <f t="shared" ref="DH57:DH59" si="1600">+BX57+CP57</f>
        <v>0</v>
      </c>
      <c r="DI57" s="59">
        <f t="shared" ref="DI57:DI59" si="1601">+BY57+CQ57</f>
        <v>0</v>
      </c>
      <c r="DJ57" s="59">
        <f t="shared" ref="DJ57:DJ59" si="1602">+BZ57+CR57</f>
        <v>0</v>
      </c>
      <c r="DK57" s="59">
        <f t="shared" ref="DK57:DK59" si="1603">+CA57+CS57</f>
        <v>12.5</v>
      </c>
      <c r="DL57" s="59">
        <f t="shared" ref="DL57:DL59" si="1604">+CB57+CT57</f>
        <v>12.5</v>
      </c>
      <c r="DM57" s="59">
        <f t="shared" ref="DM57:DM59" si="1605">+CC57+CU57</f>
        <v>2.5</v>
      </c>
      <c r="DN57" s="59">
        <f t="shared" ref="DN57:DN59" si="1606">+CD57+CV57</f>
        <v>2.5</v>
      </c>
      <c r="DO57" s="59">
        <f t="shared" ref="DO57:DO59" si="1607">+CE57+CW57</f>
        <v>2.5</v>
      </c>
      <c r="DP57" s="59">
        <f t="shared" ref="DP57:DP59" si="1608">SUM(DD57:DF57)</f>
        <v>0</v>
      </c>
      <c r="DQ57" s="59">
        <f t="shared" ref="DQ57:DQ59" si="1609">SUM(DG57:DI57)</f>
        <v>0</v>
      </c>
      <c r="DR57" s="59">
        <f t="shared" ref="DR57:DR59" si="1610">SUM(DJ57:DL57)</f>
        <v>25</v>
      </c>
      <c r="DS57" s="59">
        <f t="shared" ref="DS57:DS59" si="1611">SUM(DM57:DO57)</f>
        <v>7.5</v>
      </c>
      <c r="DT57" s="59">
        <f t="shared" ref="DT57:DT59" si="1612">SUM(DP57:DS57)</f>
        <v>32.5</v>
      </c>
      <c r="DU57" s="59"/>
      <c r="DV57" s="70">
        <v>0</v>
      </c>
      <c r="DW57" s="70">
        <v>0</v>
      </c>
      <c r="DX57" s="70">
        <v>0</v>
      </c>
      <c r="DY57" s="70">
        <v>0</v>
      </c>
      <c r="DZ57" s="70">
        <v>0</v>
      </c>
      <c r="EA57" s="70">
        <v>0</v>
      </c>
      <c r="EB57" s="59">
        <f t="shared" si="1219"/>
        <v>0</v>
      </c>
      <c r="EC57" s="59">
        <f t="shared" si="1219"/>
        <v>0</v>
      </c>
      <c r="ED57" s="59">
        <f t="shared" si="1219"/>
        <v>0</v>
      </c>
      <c r="EE57" s="59">
        <f t="shared" si="1219"/>
        <v>12.5</v>
      </c>
      <c r="EF57" s="59">
        <f t="shared" si="1219"/>
        <v>12.5</v>
      </c>
      <c r="EG57" s="59">
        <f t="shared" si="1219"/>
        <v>0</v>
      </c>
      <c r="EH57" s="59">
        <f t="shared" ref="EH57:EH59" si="1613">SUM(DV57:DX57)</f>
        <v>0</v>
      </c>
      <c r="EI57" s="59">
        <f t="shared" ref="EI57:EI59" si="1614">SUM(DY57:EA57)</f>
        <v>0</v>
      </c>
      <c r="EJ57" s="59">
        <f t="shared" ref="EJ57:EJ59" si="1615">SUM(EB57:ED57)</f>
        <v>0</v>
      </c>
      <c r="EK57" s="59">
        <f t="shared" ref="EK57:EK59" si="1616">SUM(EE57:EG57)</f>
        <v>25</v>
      </c>
      <c r="EL57" s="59">
        <f t="shared" ref="EL57:EL59" si="1617">SUM(EH57:EK57)</f>
        <v>25</v>
      </c>
      <c r="EM57" s="59"/>
      <c r="EN57" s="70">
        <v>0</v>
      </c>
      <c r="EO57" s="70">
        <v>0</v>
      </c>
      <c r="EP57" s="70">
        <v>0</v>
      </c>
      <c r="EQ57" s="70">
        <v>0</v>
      </c>
      <c r="ER57" s="70">
        <v>0</v>
      </c>
      <c r="ES57" s="59">
        <f t="shared" si="1322"/>
        <v>0</v>
      </c>
      <c r="ET57" s="59">
        <f t="shared" si="1322"/>
        <v>0</v>
      </c>
      <c r="EU57" s="59">
        <f t="shared" si="1322"/>
        <v>0</v>
      </c>
      <c r="EV57" s="59">
        <f t="shared" si="1322"/>
        <v>0</v>
      </c>
      <c r="EW57" s="59">
        <f t="shared" si="1322"/>
        <v>0</v>
      </c>
      <c r="EX57" s="59">
        <f t="shared" si="1322"/>
        <v>15</v>
      </c>
      <c r="EY57" s="59">
        <f t="shared" si="1322"/>
        <v>1.25</v>
      </c>
      <c r="EZ57" s="59">
        <f t="shared" ref="EZ57:EZ59" si="1618">SUM(EN57:EP57)</f>
        <v>0</v>
      </c>
      <c r="FA57" s="59">
        <f t="shared" ref="FA57:FA59" si="1619">SUM(EQ57:ES57)</f>
        <v>0</v>
      </c>
      <c r="FB57" s="59">
        <f t="shared" ref="FB57:FB59" si="1620">SUM(ET57:EV57)</f>
        <v>0</v>
      </c>
      <c r="FC57" s="59">
        <f t="shared" ref="FC57:FC59" si="1621">SUM(EW57:EY57)</f>
        <v>16.25</v>
      </c>
      <c r="FD57" s="59">
        <f t="shared" ref="FD57:FD59" si="1622">SUM(EZ57:FC57)</f>
        <v>16.25</v>
      </c>
      <c r="FE57" s="59"/>
      <c r="FF57" s="59">
        <f t="shared" ref="FF57:FF59" si="1623">+DV57+EN57</f>
        <v>0</v>
      </c>
      <c r="FG57" s="59">
        <f t="shared" ref="FG57:FG59" si="1624">+DW57+EO57</f>
        <v>0</v>
      </c>
      <c r="FH57" s="59">
        <f t="shared" ref="FH57:FH59" si="1625">+DX57+EP57</f>
        <v>0</v>
      </c>
      <c r="FI57" s="59">
        <f t="shared" ref="FI57:FI59" si="1626">+DY57+EQ57</f>
        <v>0</v>
      </c>
      <c r="FJ57" s="59">
        <f t="shared" ref="FJ57:FJ59" si="1627">+DZ57+ER57</f>
        <v>0</v>
      </c>
      <c r="FK57" s="59">
        <f t="shared" ref="FK57:FK59" si="1628">+EA57+ES57</f>
        <v>0</v>
      </c>
      <c r="FL57" s="59">
        <f t="shared" ref="FL57:FL59" si="1629">+EB57+ET57</f>
        <v>0</v>
      </c>
      <c r="FM57" s="59">
        <f t="shared" ref="FM57:FM59" si="1630">+EC57+EU57</f>
        <v>0</v>
      </c>
      <c r="FN57" s="59">
        <f t="shared" ref="FN57:FN59" si="1631">+ED57+EV57</f>
        <v>0</v>
      </c>
      <c r="FO57" s="59">
        <f t="shared" ref="FO57:FO59" si="1632">+EE57+EW57</f>
        <v>12.5</v>
      </c>
      <c r="FP57" s="59">
        <f t="shared" ref="FP57:FP59" si="1633">+EF57+EX57</f>
        <v>27.5</v>
      </c>
      <c r="FQ57" s="59">
        <f t="shared" ref="FQ57:FQ59" si="1634">+EG57+EY57</f>
        <v>1.25</v>
      </c>
      <c r="FR57" s="59">
        <f t="shared" ref="FR57:FR59" si="1635">SUM(FF57:FH57)</f>
        <v>0</v>
      </c>
      <c r="FS57" s="59">
        <f t="shared" ref="FS57:FS59" si="1636">SUM(FI57:FK57)</f>
        <v>0</v>
      </c>
      <c r="FT57" s="59">
        <f t="shared" ref="FT57:FT59" si="1637">SUM(FL57:FN57)</f>
        <v>0</v>
      </c>
      <c r="FU57" s="59">
        <f t="shared" ref="FU57:FU59" si="1638">SUM(FO57:FQ57)</f>
        <v>41.25</v>
      </c>
      <c r="FV57" s="59">
        <f t="shared" ref="FV57:FV59" si="1639">SUM(FR57:FU57)</f>
        <v>41.25</v>
      </c>
    </row>
    <row r="58" spans="2:178" x14ac:dyDescent="0.2">
      <c r="B58" s="46">
        <f t="shared" ref="B58" si="1640">+B57+1</f>
        <v>10</v>
      </c>
      <c r="C58" s="71" t="s">
        <v>258</v>
      </c>
      <c r="E58" s="13">
        <v>50</v>
      </c>
      <c r="F58" s="13">
        <v>50</v>
      </c>
      <c r="G58" s="17">
        <f t="shared" si="1556"/>
        <v>100</v>
      </c>
      <c r="H58" s="49" t="s">
        <v>254</v>
      </c>
      <c r="I58" s="49" t="s">
        <v>219</v>
      </c>
      <c r="J58" s="49" t="s">
        <v>217</v>
      </c>
      <c r="K58" s="54">
        <v>3</v>
      </c>
      <c r="L58" s="54">
        <v>12</v>
      </c>
      <c r="M58" s="54">
        <v>5</v>
      </c>
      <c r="N58" s="54">
        <v>9</v>
      </c>
      <c r="O58" s="48">
        <f t="shared" si="1557"/>
        <v>10</v>
      </c>
      <c r="P58" s="48">
        <f t="shared" si="1558"/>
        <v>15</v>
      </c>
      <c r="R58" s="59">
        <f t="shared" si="1337"/>
        <v>0</v>
      </c>
      <c r="S58" s="59">
        <f t="shared" si="1191"/>
        <v>0</v>
      </c>
      <c r="T58" s="59">
        <f t="shared" si="1191"/>
        <v>0</v>
      </c>
      <c r="U58" s="59">
        <f t="shared" si="1191"/>
        <v>0</v>
      </c>
      <c r="V58" s="59">
        <f t="shared" si="1191"/>
        <v>0</v>
      </c>
      <c r="W58" s="59">
        <f t="shared" si="1191"/>
        <v>0</v>
      </c>
      <c r="X58" s="59">
        <f t="shared" si="1191"/>
        <v>0</v>
      </c>
      <c r="Y58" s="59">
        <f t="shared" si="1191"/>
        <v>0</v>
      </c>
      <c r="Z58" s="59">
        <f t="shared" si="1191"/>
        <v>50</v>
      </c>
      <c r="AA58" s="59">
        <f t="shared" si="1191"/>
        <v>0</v>
      </c>
      <c r="AB58" s="59">
        <f t="shared" si="1191"/>
        <v>0</v>
      </c>
      <c r="AC58" s="59">
        <f t="shared" si="1191"/>
        <v>0</v>
      </c>
      <c r="AD58" s="59">
        <f t="shared" si="1559"/>
        <v>0</v>
      </c>
      <c r="AE58" s="59">
        <f t="shared" si="1560"/>
        <v>0</v>
      </c>
      <c r="AF58" s="59">
        <f t="shared" si="1561"/>
        <v>50</v>
      </c>
      <c r="AG58" s="59">
        <f t="shared" si="1562"/>
        <v>0</v>
      </c>
      <c r="AH58" s="59">
        <f t="shared" si="1563"/>
        <v>50</v>
      </c>
      <c r="AI58" s="59"/>
      <c r="AJ58" s="59">
        <f t="shared" si="1343"/>
        <v>0</v>
      </c>
      <c r="AK58" s="59">
        <f t="shared" si="1192"/>
        <v>0</v>
      </c>
      <c r="AL58" s="59">
        <f t="shared" si="1192"/>
        <v>0</v>
      </c>
      <c r="AM58" s="59">
        <f t="shared" si="1192"/>
        <v>0</v>
      </c>
      <c r="AN58" s="59">
        <f t="shared" si="1192"/>
        <v>0</v>
      </c>
      <c r="AO58" s="59">
        <f t="shared" si="1192"/>
        <v>0</v>
      </c>
      <c r="AP58" s="59">
        <f t="shared" si="1192"/>
        <v>0</v>
      </c>
      <c r="AQ58" s="59">
        <f t="shared" si="1192"/>
        <v>0</v>
      </c>
      <c r="AR58" s="59">
        <f t="shared" si="1192"/>
        <v>50</v>
      </c>
      <c r="AS58" s="59">
        <f t="shared" si="1192"/>
        <v>0</v>
      </c>
      <c r="AT58" s="59">
        <f t="shared" si="1192"/>
        <v>0</v>
      </c>
      <c r="AU58" s="59">
        <f t="shared" si="1192"/>
        <v>0</v>
      </c>
      <c r="AV58" s="59">
        <f t="shared" si="1564"/>
        <v>0</v>
      </c>
      <c r="AW58" s="59">
        <f t="shared" si="1565"/>
        <v>0</v>
      </c>
      <c r="AX58" s="59">
        <f t="shared" si="1566"/>
        <v>50</v>
      </c>
      <c r="AY58" s="59">
        <f t="shared" si="1567"/>
        <v>0</v>
      </c>
      <c r="AZ58" s="59">
        <f t="shared" si="1568"/>
        <v>50</v>
      </c>
      <c r="BA58" s="59"/>
      <c r="BB58" s="59">
        <f t="shared" si="1569"/>
        <v>0</v>
      </c>
      <c r="BC58" s="59">
        <f t="shared" si="1570"/>
        <v>0</v>
      </c>
      <c r="BD58" s="59">
        <f t="shared" si="1571"/>
        <v>0</v>
      </c>
      <c r="BE58" s="59">
        <f t="shared" si="1572"/>
        <v>0</v>
      </c>
      <c r="BF58" s="59">
        <f t="shared" si="1573"/>
        <v>0</v>
      </c>
      <c r="BG58" s="59">
        <f t="shared" si="1574"/>
        <v>0</v>
      </c>
      <c r="BH58" s="59">
        <f t="shared" si="1575"/>
        <v>0</v>
      </c>
      <c r="BI58" s="59">
        <f t="shared" si="1576"/>
        <v>0</v>
      </c>
      <c r="BJ58" s="59">
        <f t="shared" si="1577"/>
        <v>100</v>
      </c>
      <c r="BK58" s="59">
        <f t="shared" si="1578"/>
        <v>0</v>
      </c>
      <c r="BL58" s="59">
        <f t="shared" si="1579"/>
        <v>0</v>
      </c>
      <c r="BM58" s="59">
        <f t="shared" si="1580"/>
        <v>0</v>
      </c>
      <c r="BN58" s="59">
        <f t="shared" si="1581"/>
        <v>0</v>
      </c>
      <c r="BO58" s="59">
        <f t="shared" si="1582"/>
        <v>0</v>
      </c>
      <c r="BP58" s="59">
        <f t="shared" si="1583"/>
        <v>100</v>
      </c>
      <c r="BQ58" s="59">
        <f t="shared" si="1584"/>
        <v>0</v>
      </c>
      <c r="BR58" s="59">
        <f t="shared" si="1585"/>
        <v>100</v>
      </c>
      <c r="BS58" s="59"/>
      <c r="BT58" s="59">
        <f t="shared" si="1354"/>
        <v>0</v>
      </c>
      <c r="BU58" s="59">
        <f t="shared" si="1205"/>
        <v>0</v>
      </c>
      <c r="BV58" s="59">
        <f t="shared" si="1205"/>
        <v>0</v>
      </c>
      <c r="BW58" s="59">
        <f t="shared" si="1205"/>
        <v>0</v>
      </c>
      <c r="BX58" s="59">
        <f t="shared" si="1205"/>
        <v>0</v>
      </c>
      <c r="BY58" s="59">
        <f t="shared" si="1205"/>
        <v>0</v>
      </c>
      <c r="BZ58" s="59">
        <f t="shared" si="1205"/>
        <v>0</v>
      </c>
      <c r="CA58" s="59">
        <f t="shared" si="1205"/>
        <v>0</v>
      </c>
      <c r="CB58" s="59">
        <f t="shared" si="1205"/>
        <v>0</v>
      </c>
      <c r="CC58" s="59">
        <f t="shared" si="1205"/>
        <v>16.666666666666668</v>
      </c>
      <c r="CD58" s="59">
        <f t="shared" si="1205"/>
        <v>16.666666666666668</v>
      </c>
      <c r="CE58" s="59">
        <f t="shared" si="1205"/>
        <v>16.666666666666668</v>
      </c>
      <c r="CF58" s="59">
        <f t="shared" si="1586"/>
        <v>0</v>
      </c>
      <c r="CG58" s="59">
        <f t="shared" si="1587"/>
        <v>0</v>
      </c>
      <c r="CH58" s="59">
        <f t="shared" si="1588"/>
        <v>0</v>
      </c>
      <c r="CI58" s="59">
        <f t="shared" si="1589"/>
        <v>50</v>
      </c>
      <c r="CJ58" s="59">
        <f t="shared" si="1590"/>
        <v>50</v>
      </c>
      <c r="CK58" s="59"/>
      <c r="CL58" s="59">
        <f t="shared" si="1206"/>
        <v>0</v>
      </c>
      <c r="CM58" s="59">
        <f t="shared" si="1206"/>
        <v>0</v>
      </c>
      <c r="CN58" s="59">
        <f t="shared" si="1206"/>
        <v>0</v>
      </c>
      <c r="CO58" s="59">
        <f>IF(CO$4&lt;$O58+$K58,0,IF(AND(CO$4&gt;=$O58+$K58,CO$4&lt;=$L58+$K58),$F58/$L58,0))</f>
        <v>0</v>
      </c>
      <c r="CP58" s="59">
        <f t="shared" si="1207"/>
        <v>0</v>
      </c>
      <c r="CQ58" s="59">
        <f t="shared" si="1207"/>
        <v>0</v>
      </c>
      <c r="CR58" s="59">
        <f t="shared" si="1207"/>
        <v>0</v>
      </c>
      <c r="CS58" s="59">
        <f t="shared" si="1207"/>
        <v>0</v>
      </c>
      <c r="CT58" s="59">
        <f t="shared" si="1207"/>
        <v>0</v>
      </c>
      <c r="CU58" s="59">
        <f t="shared" si="1207"/>
        <v>0</v>
      </c>
      <c r="CV58" s="59">
        <f t="shared" si="1207"/>
        <v>0</v>
      </c>
      <c r="CW58" s="59">
        <f t="shared" si="1207"/>
        <v>0</v>
      </c>
      <c r="CX58" s="59">
        <f t="shared" si="1591"/>
        <v>0</v>
      </c>
      <c r="CY58" s="59">
        <f t="shared" si="1592"/>
        <v>0</v>
      </c>
      <c r="CZ58" s="59">
        <f t="shared" si="1593"/>
        <v>0</v>
      </c>
      <c r="DA58" s="59">
        <f t="shared" si="1594"/>
        <v>0</v>
      </c>
      <c r="DB58" s="59">
        <f t="shared" si="1595"/>
        <v>0</v>
      </c>
      <c r="DC58" s="59"/>
      <c r="DD58" s="59">
        <f t="shared" si="1596"/>
        <v>0</v>
      </c>
      <c r="DE58" s="59">
        <f t="shared" si="1597"/>
        <v>0</v>
      </c>
      <c r="DF58" s="59">
        <f t="shared" si="1598"/>
        <v>0</v>
      </c>
      <c r="DG58" s="59">
        <f t="shared" si="1599"/>
        <v>0</v>
      </c>
      <c r="DH58" s="59">
        <f t="shared" si="1600"/>
        <v>0</v>
      </c>
      <c r="DI58" s="59">
        <f t="shared" si="1601"/>
        <v>0</v>
      </c>
      <c r="DJ58" s="59">
        <f t="shared" si="1602"/>
        <v>0</v>
      </c>
      <c r="DK58" s="59">
        <f t="shared" si="1603"/>
        <v>0</v>
      </c>
      <c r="DL58" s="59">
        <f t="shared" si="1604"/>
        <v>0</v>
      </c>
      <c r="DM58" s="59">
        <f t="shared" si="1605"/>
        <v>16.666666666666668</v>
      </c>
      <c r="DN58" s="59">
        <f t="shared" si="1606"/>
        <v>16.666666666666668</v>
      </c>
      <c r="DO58" s="59">
        <f t="shared" si="1607"/>
        <v>16.666666666666668</v>
      </c>
      <c r="DP58" s="59">
        <f t="shared" si="1608"/>
        <v>0</v>
      </c>
      <c r="DQ58" s="59">
        <f t="shared" si="1609"/>
        <v>0</v>
      </c>
      <c r="DR58" s="59">
        <f t="shared" si="1610"/>
        <v>0</v>
      </c>
      <c r="DS58" s="59">
        <f t="shared" si="1611"/>
        <v>50</v>
      </c>
      <c r="DT58" s="59">
        <f t="shared" si="1612"/>
        <v>50</v>
      </c>
      <c r="DU58" s="59"/>
      <c r="DV58" s="70">
        <v>0</v>
      </c>
      <c r="DW58" s="70">
        <v>0</v>
      </c>
      <c r="DX58" s="70">
        <v>0</v>
      </c>
      <c r="DY58" s="70">
        <v>0</v>
      </c>
      <c r="DZ58" s="70">
        <v>0</v>
      </c>
      <c r="EA58" s="70">
        <v>0</v>
      </c>
      <c r="EB58" s="59">
        <f t="shared" si="1219"/>
        <v>0</v>
      </c>
      <c r="EC58" s="59">
        <f t="shared" si="1219"/>
        <v>0</v>
      </c>
      <c r="ED58" s="59">
        <f t="shared" si="1219"/>
        <v>0</v>
      </c>
      <c r="EE58" s="59">
        <f t="shared" si="1219"/>
        <v>0</v>
      </c>
      <c r="EF58" s="59">
        <f t="shared" si="1219"/>
        <v>0</v>
      </c>
      <c r="EG58" s="59">
        <f t="shared" si="1219"/>
        <v>16.666666666666668</v>
      </c>
      <c r="EH58" s="59">
        <f t="shared" si="1613"/>
        <v>0</v>
      </c>
      <c r="EI58" s="59">
        <f t="shared" si="1614"/>
        <v>0</v>
      </c>
      <c r="EJ58" s="59">
        <f t="shared" si="1615"/>
        <v>0</v>
      </c>
      <c r="EK58" s="59">
        <f t="shared" si="1616"/>
        <v>16.666666666666668</v>
      </c>
      <c r="EL58" s="59">
        <f t="shared" si="1617"/>
        <v>16.666666666666668</v>
      </c>
      <c r="EM58" s="59"/>
      <c r="EN58" s="70">
        <v>0</v>
      </c>
      <c r="EO58" s="70">
        <v>0</v>
      </c>
      <c r="EP58" s="70">
        <v>0</v>
      </c>
      <c r="EQ58" s="70">
        <v>0</v>
      </c>
      <c r="ER58" s="70">
        <v>0</v>
      </c>
      <c r="ES58" s="59">
        <f t="shared" si="1322"/>
        <v>0</v>
      </c>
      <c r="ET58" s="59">
        <f t="shared" si="1322"/>
        <v>0</v>
      </c>
      <c r="EU58" s="59">
        <f t="shared" si="1322"/>
        <v>0</v>
      </c>
      <c r="EV58" s="59">
        <f t="shared" si="1322"/>
        <v>0</v>
      </c>
      <c r="EW58" s="59">
        <f t="shared" si="1322"/>
        <v>0</v>
      </c>
      <c r="EX58" s="59">
        <f t="shared" si="1322"/>
        <v>0</v>
      </c>
      <c r="EY58" s="59">
        <f t="shared" si="1322"/>
        <v>0</v>
      </c>
      <c r="EZ58" s="59">
        <f t="shared" si="1618"/>
        <v>0</v>
      </c>
      <c r="FA58" s="59">
        <f t="shared" si="1619"/>
        <v>0</v>
      </c>
      <c r="FB58" s="59">
        <f t="shared" si="1620"/>
        <v>0</v>
      </c>
      <c r="FC58" s="59">
        <f t="shared" si="1621"/>
        <v>0</v>
      </c>
      <c r="FD58" s="59">
        <f t="shared" si="1622"/>
        <v>0</v>
      </c>
      <c r="FE58" s="59"/>
      <c r="FF58" s="59">
        <f t="shared" si="1623"/>
        <v>0</v>
      </c>
      <c r="FG58" s="59">
        <f t="shared" si="1624"/>
        <v>0</v>
      </c>
      <c r="FH58" s="59">
        <f t="shared" si="1625"/>
        <v>0</v>
      </c>
      <c r="FI58" s="59">
        <f t="shared" si="1626"/>
        <v>0</v>
      </c>
      <c r="FJ58" s="59">
        <f t="shared" si="1627"/>
        <v>0</v>
      </c>
      <c r="FK58" s="59">
        <f t="shared" si="1628"/>
        <v>0</v>
      </c>
      <c r="FL58" s="59">
        <f t="shared" si="1629"/>
        <v>0</v>
      </c>
      <c r="FM58" s="59">
        <f t="shared" si="1630"/>
        <v>0</v>
      </c>
      <c r="FN58" s="59">
        <f t="shared" si="1631"/>
        <v>0</v>
      </c>
      <c r="FO58" s="59">
        <f t="shared" si="1632"/>
        <v>0</v>
      </c>
      <c r="FP58" s="59">
        <f t="shared" si="1633"/>
        <v>0</v>
      </c>
      <c r="FQ58" s="59">
        <f t="shared" si="1634"/>
        <v>16.666666666666668</v>
      </c>
      <c r="FR58" s="59">
        <f t="shared" si="1635"/>
        <v>0</v>
      </c>
      <c r="FS58" s="59">
        <f t="shared" si="1636"/>
        <v>0</v>
      </c>
      <c r="FT58" s="59">
        <f t="shared" si="1637"/>
        <v>0</v>
      </c>
      <c r="FU58" s="59">
        <f t="shared" si="1638"/>
        <v>16.666666666666668</v>
      </c>
      <c r="FV58" s="59">
        <f t="shared" si="1639"/>
        <v>16.666666666666668</v>
      </c>
    </row>
    <row r="59" spans="2:178" x14ac:dyDescent="0.2">
      <c r="B59" s="46">
        <f>+B58+1</f>
        <v>11</v>
      </c>
      <c r="C59" s="71" t="s">
        <v>259</v>
      </c>
      <c r="E59" s="13">
        <v>75</v>
      </c>
      <c r="F59" s="13">
        <v>75</v>
      </c>
      <c r="G59" s="17">
        <f t="shared" si="1556"/>
        <v>150</v>
      </c>
      <c r="H59" s="49" t="s">
        <v>254</v>
      </c>
      <c r="I59" s="49" t="s">
        <v>219</v>
      </c>
      <c r="J59" s="49" t="s">
        <v>217</v>
      </c>
      <c r="K59" s="54">
        <v>2</v>
      </c>
      <c r="L59" s="54">
        <v>12</v>
      </c>
      <c r="M59" s="54">
        <v>7</v>
      </c>
      <c r="N59" s="54">
        <v>12</v>
      </c>
      <c r="O59" s="48">
        <f t="shared" si="1557"/>
        <v>13</v>
      </c>
      <c r="P59" s="48">
        <f t="shared" si="1558"/>
        <v>14</v>
      </c>
      <c r="R59" s="59">
        <f t="shared" si="1337"/>
        <v>0</v>
      </c>
      <c r="S59" s="59">
        <f t="shared" si="1191"/>
        <v>0</v>
      </c>
      <c r="T59" s="59">
        <f t="shared" si="1191"/>
        <v>0</v>
      </c>
      <c r="U59" s="59">
        <f t="shared" si="1191"/>
        <v>0</v>
      </c>
      <c r="V59" s="59">
        <f t="shared" si="1191"/>
        <v>0</v>
      </c>
      <c r="W59" s="59">
        <f t="shared" si="1191"/>
        <v>0</v>
      </c>
      <c r="X59" s="59">
        <f t="shared" si="1191"/>
        <v>0</v>
      </c>
      <c r="Y59" s="59">
        <f t="shared" si="1191"/>
        <v>0</v>
      </c>
      <c r="Z59" s="59">
        <f t="shared" si="1191"/>
        <v>0</v>
      </c>
      <c r="AA59" s="59">
        <f t="shared" si="1191"/>
        <v>0</v>
      </c>
      <c r="AB59" s="59">
        <f t="shared" si="1191"/>
        <v>0</v>
      </c>
      <c r="AC59" s="59">
        <f t="shared" si="1191"/>
        <v>75</v>
      </c>
      <c r="AD59" s="59">
        <f t="shared" si="1559"/>
        <v>0</v>
      </c>
      <c r="AE59" s="59">
        <f t="shared" si="1560"/>
        <v>0</v>
      </c>
      <c r="AF59" s="59">
        <f t="shared" si="1561"/>
        <v>0</v>
      </c>
      <c r="AG59" s="59">
        <f t="shared" si="1562"/>
        <v>75</v>
      </c>
      <c r="AH59" s="59">
        <f t="shared" si="1563"/>
        <v>75</v>
      </c>
      <c r="AI59" s="59"/>
      <c r="AJ59" s="59">
        <f t="shared" si="1343"/>
        <v>0</v>
      </c>
      <c r="AK59" s="59">
        <f t="shared" si="1192"/>
        <v>0</v>
      </c>
      <c r="AL59" s="59">
        <f t="shared" si="1192"/>
        <v>0</v>
      </c>
      <c r="AM59" s="59">
        <f t="shared" si="1192"/>
        <v>0</v>
      </c>
      <c r="AN59" s="59">
        <f t="shared" si="1192"/>
        <v>0</v>
      </c>
      <c r="AO59" s="59">
        <f t="shared" si="1192"/>
        <v>0</v>
      </c>
      <c r="AP59" s="59">
        <f t="shared" si="1192"/>
        <v>0</v>
      </c>
      <c r="AQ59" s="59">
        <f t="shared" si="1192"/>
        <v>0</v>
      </c>
      <c r="AR59" s="59">
        <f t="shared" si="1192"/>
        <v>0</v>
      </c>
      <c r="AS59" s="59">
        <f t="shared" si="1192"/>
        <v>0</v>
      </c>
      <c r="AT59" s="59">
        <f t="shared" si="1192"/>
        <v>0</v>
      </c>
      <c r="AU59" s="59">
        <f t="shared" si="1192"/>
        <v>75</v>
      </c>
      <c r="AV59" s="59">
        <f t="shared" si="1564"/>
        <v>0</v>
      </c>
      <c r="AW59" s="59">
        <f t="shared" si="1565"/>
        <v>0</v>
      </c>
      <c r="AX59" s="59">
        <f t="shared" si="1566"/>
        <v>0</v>
      </c>
      <c r="AY59" s="59">
        <f t="shared" si="1567"/>
        <v>75</v>
      </c>
      <c r="AZ59" s="59">
        <f t="shared" si="1568"/>
        <v>75</v>
      </c>
      <c r="BA59" s="59"/>
      <c r="BB59" s="59">
        <f t="shared" si="1569"/>
        <v>0</v>
      </c>
      <c r="BC59" s="59">
        <f t="shared" si="1570"/>
        <v>0</v>
      </c>
      <c r="BD59" s="59">
        <f t="shared" si="1571"/>
        <v>0</v>
      </c>
      <c r="BE59" s="59">
        <f t="shared" si="1572"/>
        <v>0</v>
      </c>
      <c r="BF59" s="59">
        <f t="shared" si="1573"/>
        <v>0</v>
      </c>
      <c r="BG59" s="59">
        <f t="shared" si="1574"/>
        <v>0</v>
      </c>
      <c r="BH59" s="59">
        <f t="shared" si="1575"/>
        <v>0</v>
      </c>
      <c r="BI59" s="59">
        <f t="shared" si="1576"/>
        <v>0</v>
      </c>
      <c r="BJ59" s="59">
        <f t="shared" si="1577"/>
        <v>0</v>
      </c>
      <c r="BK59" s="59">
        <f t="shared" si="1578"/>
        <v>0</v>
      </c>
      <c r="BL59" s="59">
        <f t="shared" si="1579"/>
        <v>0</v>
      </c>
      <c r="BM59" s="59">
        <f t="shared" si="1580"/>
        <v>150</v>
      </c>
      <c r="BN59" s="59">
        <f t="shared" si="1581"/>
        <v>0</v>
      </c>
      <c r="BO59" s="59">
        <f t="shared" si="1582"/>
        <v>0</v>
      </c>
      <c r="BP59" s="59">
        <f t="shared" si="1583"/>
        <v>0</v>
      </c>
      <c r="BQ59" s="59">
        <f t="shared" si="1584"/>
        <v>150</v>
      </c>
      <c r="BR59" s="59">
        <f t="shared" si="1585"/>
        <v>150</v>
      </c>
      <c r="BS59" s="59"/>
      <c r="BT59" s="59">
        <f t="shared" si="1354"/>
        <v>0</v>
      </c>
      <c r="BU59" s="59">
        <f t="shared" si="1205"/>
        <v>0</v>
      </c>
      <c r="BV59" s="59">
        <f t="shared" si="1205"/>
        <v>0</v>
      </c>
      <c r="BW59" s="59">
        <f t="shared" si="1205"/>
        <v>0</v>
      </c>
      <c r="BX59" s="59">
        <f t="shared" si="1205"/>
        <v>0</v>
      </c>
      <c r="BY59" s="59">
        <f t="shared" si="1205"/>
        <v>0</v>
      </c>
      <c r="BZ59" s="59">
        <f t="shared" si="1205"/>
        <v>0</v>
      </c>
      <c r="CA59" s="59">
        <f t="shared" si="1205"/>
        <v>0</v>
      </c>
      <c r="CB59" s="59">
        <f t="shared" si="1205"/>
        <v>0</v>
      </c>
      <c r="CC59" s="59">
        <f t="shared" si="1205"/>
        <v>0</v>
      </c>
      <c r="CD59" s="59">
        <f t="shared" si="1205"/>
        <v>0</v>
      </c>
      <c r="CE59" s="59">
        <f t="shared" si="1205"/>
        <v>0</v>
      </c>
      <c r="CF59" s="59">
        <f t="shared" si="1586"/>
        <v>0</v>
      </c>
      <c r="CG59" s="59">
        <f t="shared" si="1587"/>
        <v>0</v>
      </c>
      <c r="CH59" s="59">
        <f t="shared" si="1588"/>
        <v>0</v>
      </c>
      <c r="CI59" s="59">
        <f t="shared" si="1589"/>
        <v>0</v>
      </c>
      <c r="CJ59" s="59">
        <f t="shared" si="1590"/>
        <v>0</v>
      </c>
      <c r="CK59" s="59"/>
      <c r="CL59" s="59">
        <f t="shared" si="1206"/>
        <v>0</v>
      </c>
      <c r="CM59" s="59">
        <f t="shared" si="1206"/>
        <v>0</v>
      </c>
      <c r="CN59" s="59">
        <f t="shared" si="1206"/>
        <v>0</v>
      </c>
      <c r="CO59" s="59">
        <f>IF(CO$4&lt;$O59+$K59,0,IF(AND(CO$4&gt;=$O59+$K59,CO$4&lt;=$L59+$K59),$F59/$L59,0))</f>
        <v>0</v>
      </c>
      <c r="CP59" s="59">
        <f t="shared" si="1207"/>
        <v>0</v>
      </c>
      <c r="CQ59" s="59">
        <f t="shared" si="1207"/>
        <v>0</v>
      </c>
      <c r="CR59" s="59">
        <f t="shared" si="1207"/>
        <v>0</v>
      </c>
      <c r="CS59" s="59">
        <f t="shared" si="1207"/>
        <v>0</v>
      </c>
      <c r="CT59" s="59">
        <f t="shared" si="1207"/>
        <v>0</v>
      </c>
      <c r="CU59" s="59">
        <f t="shared" si="1207"/>
        <v>0</v>
      </c>
      <c r="CV59" s="59">
        <f t="shared" si="1207"/>
        <v>0</v>
      </c>
      <c r="CW59" s="59">
        <f t="shared" si="1207"/>
        <v>0</v>
      </c>
      <c r="CX59" s="59">
        <f t="shared" si="1591"/>
        <v>0</v>
      </c>
      <c r="CY59" s="59">
        <f t="shared" si="1592"/>
        <v>0</v>
      </c>
      <c r="CZ59" s="59">
        <f t="shared" si="1593"/>
        <v>0</v>
      </c>
      <c r="DA59" s="59">
        <f t="shared" si="1594"/>
        <v>0</v>
      </c>
      <c r="DB59" s="59">
        <f t="shared" si="1595"/>
        <v>0</v>
      </c>
      <c r="DC59" s="59"/>
      <c r="DD59" s="59">
        <f t="shared" si="1596"/>
        <v>0</v>
      </c>
      <c r="DE59" s="59">
        <f t="shared" si="1597"/>
        <v>0</v>
      </c>
      <c r="DF59" s="59">
        <f t="shared" si="1598"/>
        <v>0</v>
      </c>
      <c r="DG59" s="59">
        <f t="shared" si="1599"/>
        <v>0</v>
      </c>
      <c r="DH59" s="59">
        <f t="shared" si="1600"/>
        <v>0</v>
      </c>
      <c r="DI59" s="59">
        <f t="shared" si="1601"/>
        <v>0</v>
      </c>
      <c r="DJ59" s="59">
        <f t="shared" si="1602"/>
        <v>0</v>
      </c>
      <c r="DK59" s="59">
        <f t="shared" si="1603"/>
        <v>0</v>
      </c>
      <c r="DL59" s="59">
        <f t="shared" si="1604"/>
        <v>0</v>
      </c>
      <c r="DM59" s="59">
        <f t="shared" si="1605"/>
        <v>0</v>
      </c>
      <c r="DN59" s="59">
        <f t="shared" si="1606"/>
        <v>0</v>
      </c>
      <c r="DO59" s="59">
        <f t="shared" si="1607"/>
        <v>0</v>
      </c>
      <c r="DP59" s="59">
        <f t="shared" si="1608"/>
        <v>0</v>
      </c>
      <c r="DQ59" s="59">
        <f t="shared" si="1609"/>
        <v>0</v>
      </c>
      <c r="DR59" s="59">
        <f t="shared" si="1610"/>
        <v>0</v>
      </c>
      <c r="DS59" s="59">
        <f t="shared" si="1611"/>
        <v>0</v>
      </c>
      <c r="DT59" s="59">
        <f t="shared" si="1612"/>
        <v>0</v>
      </c>
      <c r="DU59" s="59"/>
      <c r="DV59" s="70">
        <v>0</v>
      </c>
      <c r="DW59" s="70">
        <v>0</v>
      </c>
      <c r="DX59" s="70">
        <v>0</v>
      </c>
      <c r="DY59" s="70">
        <v>0</v>
      </c>
      <c r="DZ59" s="70">
        <v>0</v>
      </c>
      <c r="EA59" s="70">
        <v>0</v>
      </c>
      <c r="EB59" s="59">
        <f t="shared" si="1219"/>
        <v>0</v>
      </c>
      <c r="EC59" s="59">
        <f t="shared" si="1219"/>
        <v>0</v>
      </c>
      <c r="ED59" s="59">
        <f t="shared" si="1219"/>
        <v>0</v>
      </c>
      <c r="EE59" s="59">
        <f t="shared" si="1219"/>
        <v>0</v>
      </c>
      <c r="EF59" s="59">
        <f t="shared" si="1219"/>
        <v>0</v>
      </c>
      <c r="EG59" s="59">
        <f t="shared" si="1219"/>
        <v>0</v>
      </c>
      <c r="EH59" s="59">
        <f t="shared" si="1613"/>
        <v>0</v>
      </c>
      <c r="EI59" s="59">
        <f t="shared" si="1614"/>
        <v>0</v>
      </c>
      <c r="EJ59" s="59">
        <f t="shared" si="1615"/>
        <v>0</v>
      </c>
      <c r="EK59" s="59">
        <f t="shared" si="1616"/>
        <v>0</v>
      </c>
      <c r="EL59" s="59">
        <f t="shared" si="1617"/>
        <v>0</v>
      </c>
      <c r="EM59" s="59"/>
      <c r="EN59" s="70">
        <v>0</v>
      </c>
      <c r="EO59" s="70">
        <v>0</v>
      </c>
      <c r="EP59" s="70">
        <v>0</v>
      </c>
      <c r="EQ59" s="70">
        <v>0</v>
      </c>
      <c r="ER59" s="70">
        <v>0</v>
      </c>
      <c r="ES59" s="59">
        <f t="shared" si="1322"/>
        <v>0</v>
      </c>
      <c r="ET59" s="59">
        <f t="shared" si="1322"/>
        <v>0</v>
      </c>
      <c r="EU59" s="59">
        <f t="shared" si="1322"/>
        <v>0</v>
      </c>
      <c r="EV59" s="59">
        <f t="shared" si="1322"/>
        <v>0</v>
      </c>
      <c r="EW59" s="59">
        <f t="shared" si="1322"/>
        <v>0</v>
      </c>
      <c r="EX59" s="59">
        <f t="shared" si="1322"/>
        <v>0</v>
      </c>
      <c r="EY59" s="59">
        <f t="shared" si="1322"/>
        <v>0</v>
      </c>
      <c r="EZ59" s="59">
        <f t="shared" si="1618"/>
        <v>0</v>
      </c>
      <c r="FA59" s="59">
        <f t="shared" si="1619"/>
        <v>0</v>
      </c>
      <c r="FB59" s="59">
        <f t="shared" si="1620"/>
        <v>0</v>
      </c>
      <c r="FC59" s="59">
        <f t="shared" si="1621"/>
        <v>0</v>
      </c>
      <c r="FD59" s="59">
        <f t="shared" si="1622"/>
        <v>0</v>
      </c>
      <c r="FE59" s="59"/>
      <c r="FF59" s="59">
        <f t="shared" si="1623"/>
        <v>0</v>
      </c>
      <c r="FG59" s="59">
        <f t="shared" si="1624"/>
        <v>0</v>
      </c>
      <c r="FH59" s="59">
        <f t="shared" si="1625"/>
        <v>0</v>
      </c>
      <c r="FI59" s="59">
        <f t="shared" si="1626"/>
        <v>0</v>
      </c>
      <c r="FJ59" s="59">
        <f t="shared" si="1627"/>
        <v>0</v>
      </c>
      <c r="FK59" s="59">
        <f t="shared" si="1628"/>
        <v>0</v>
      </c>
      <c r="FL59" s="59">
        <f t="shared" si="1629"/>
        <v>0</v>
      </c>
      <c r="FM59" s="59">
        <f t="shared" si="1630"/>
        <v>0</v>
      </c>
      <c r="FN59" s="59">
        <f t="shared" si="1631"/>
        <v>0</v>
      </c>
      <c r="FO59" s="59">
        <f t="shared" si="1632"/>
        <v>0</v>
      </c>
      <c r="FP59" s="59">
        <f t="shared" si="1633"/>
        <v>0</v>
      </c>
      <c r="FQ59" s="59">
        <f t="shared" si="1634"/>
        <v>0</v>
      </c>
      <c r="FR59" s="59">
        <f t="shared" si="1635"/>
        <v>0</v>
      </c>
      <c r="FS59" s="59">
        <f t="shared" si="1636"/>
        <v>0</v>
      </c>
      <c r="FT59" s="59">
        <f t="shared" si="1637"/>
        <v>0</v>
      </c>
      <c r="FU59" s="59">
        <f t="shared" si="1638"/>
        <v>0</v>
      </c>
      <c r="FV59" s="59">
        <f t="shared" si="1639"/>
        <v>0</v>
      </c>
    </row>
    <row r="60" spans="2:178" x14ac:dyDescent="0.2">
      <c r="B60" s="46"/>
      <c r="E60" s="13"/>
      <c r="F60" s="13"/>
      <c r="G60" s="17"/>
      <c r="H60" s="49"/>
      <c r="I60" s="49"/>
      <c r="J60" s="49"/>
      <c r="K60" s="54"/>
      <c r="L60" s="54"/>
      <c r="M60" s="54"/>
      <c r="N60" s="54"/>
      <c r="O60" s="48"/>
      <c r="P60" s="48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70"/>
      <c r="DW60" s="70"/>
      <c r="DX60" s="70"/>
      <c r="DY60" s="70"/>
      <c r="DZ60" s="70"/>
      <c r="EA60" s="70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70"/>
      <c r="EO60" s="70"/>
      <c r="EP60" s="70"/>
      <c r="EQ60" s="70"/>
      <c r="ER60" s="70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</row>
    <row r="61" spans="2:178" x14ac:dyDescent="0.2">
      <c r="B61" s="46">
        <f>+B59+1</f>
        <v>12</v>
      </c>
      <c r="C61" s="71" t="s">
        <v>542</v>
      </c>
      <c r="E61" s="13">
        <v>150</v>
      </c>
      <c r="F61" s="13">
        <v>50</v>
      </c>
      <c r="G61" s="17">
        <f t="shared" ref="G61:G63" si="1641">+E61+F61</f>
        <v>200</v>
      </c>
      <c r="H61" s="49" t="s">
        <v>218</v>
      </c>
      <c r="I61" s="49" t="s">
        <v>219</v>
      </c>
      <c r="J61" s="49" t="s">
        <v>217</v>
      </c>
      <c r="K61" s="54">
        <v>3</v>
      </c>
      <c r="L61" s="54">
        <v>12</v>
      </c>
      <c r="M61" s="54">
        <v>0</v>
      </c>
      <c r="N61" s="54">
        <v>6</v>
      </c>
      <c r="O61" s="48">
        <f t="shared" ref="O61:O63" si="1642">+N61+1</f>
        <v>7</v>
      </c>
      <c r="P61" s="48">
        <f t="shared" ref="P61:P63" si="1643">+K61+L61</f>
        <v>15</v>
      </c>
      <c r="R61" s="59">
        <f t="shared" si="1337"/>
        <v>0</v>
      </c>
      <c r="S61" s="59">
        <f t="shared" si="1191"/>
        <v>0</v>
      </c>
      <c r="T61" s="59">
        <f t="shared" si="1191"/>
        <v>0</v>
      </c>
      <c r="U61" s="59">
        <f t="shared" si="1191"/>
        <v>0</v>
      </c>
      <c r="V61" s="59">
        <f t="shared" si="1191"/>
        <v>0</v>
      </c>
      <c r="W61" s="59">
        <f t="shared" si="1191"/>
        <v>150</v>
      </c>
      <c r="X61" s="59">
        <f t="shared" si="1191"/>
        <v>0</v>
      </c>
      <c r="Y61" s="59">
        <f t="shared" si="1191"/>
        <v>0</v>
      </c>
      <c r="Z61" s="59">
        <f t="shared" si="1191"/>
        <v>0</v>
      </c>
      <c r="AA61" s="59">
        <f t="shared" si="1191"/>
        <v>0</v>
      </c>
      <c r="AB61" s="59">
        <f t="shared" si="1191"/>
        <v>0</v>
      </c>
      <c r="AC61" s="59">
        <f t="shared" si="1191"/>
        <v>0</v>
      </c>
      <c r="AD61" s="59">
        <f t="shared" ref="AD61:AD63" si="1644">SUM(R61:T61)</f>
        <v>0</v>
      </c>
      <c r="AE61" s="59">
        <f t="shared" ref="AE61:AE63" si="1645">SUM(U61:W61)</f>
        <v>150</v>
      </c>
      <c r="AF61" s="59">
        <f t="shared" ref="AF61:AF63" si="1646">SUM(X61:Z61)</f>
        <v>0</v>
      </c>
      <c r="AG61" s="59">
        <f t="shared" ref="AG61:AG63" si="1647">SUM(AA61:AC61)</f>
        <v>0</v>
      </c>
      <c r="AH61" s="59">
        <f t="shared" ref="AH61:AH63" si="1648">SUM(AD61:AG61)</f>
        <v>150</v>
      </c>
      <c r="AI61" s="59"/>
      <c r="AJ61" s="59">
        <f t="shared" si="1343"/>
        <v>0</v>
      </c>
      <c r="AK61" s="59">
        <f t="shared" si="1192"/>
        <v>0</v>
      </c>
      <c r="AL61" s="59">
        <f t="shared" si="1192"/>
        <v>0</v>
      </c>
      <c r="AM61" s="59">
        <f t="shared" si="1192"/>
        <v>0</v>
      </c>
      <c r="AN61" s="59">
        <f t="shared" si="1192"/>
        <v>0</v>
      </c>
      <c r="AO61" s="59">
        <f t="shared" si="1192"/>
        <v>50</v>
      </c>
      <c r="AP61" s="59">
        <f t="shared" si="1192"/>
        <v>0</v>
      </c>
      <c r="AQ61" s="59">
        <f t="shared" si="1192"/>
        <v>0</v>
      </c>
      <c r="AR61" s="59">
        <f t="shared" si="1192"/>
        <v>0</v>
      </c>
      <c r="AS61" s="59">
        <f t="shared" si="1192"/>
        <v>0</v>
      </c>
      <c r="AT61" s="59">
        <f t="shared" si="1192"/>
        <v>0</v>
      </c>
      <c r="AU61" s="59">
        <f t="shared" si="1192"/>
        <v>0</v>
      </c>
      <c r="AV61" s="59">
        <f t="shared" ref="AV61:AV63" si="1649">SUM(AJ61:AL61)</f>
        <v>0</v>
      </c>
      <c r="AW61" s="59">
        <f t="shared" ref="AW61:AW63" si="1650">SUM(AM61:AO61)</f>
        <v>50</v>
      </c>
      <c r="AX61" s="59">
        <f t="shared" ref="AX61:AX63" si="1651">SUM(AP61:AR61)</f>
        <v>0</v>
      </c>
      <c r="AY61" s="59">
        <f t="shared" ref="AY61:AY63" si="1652">SUM(AS61:AU61)</f>
        <v>0</v>
      </c>
      <c r="AZ61" s="59">
        <f t="shared" ref="AZ61:AZ63" si="1653">SUM(AV61:AY61)</f>
        <v>50</v>
      </c>
      <c r="BA61" s="59"/>
      <c r="BB61" s="59">
        <f t="shared" ref="BB61:BB63" si="1654">+R61+AJ61</f>
        <v>0</v>
      </c>
      <c r="BC61" s="59">
        <f t="shared" ref="BC61:BC63" si="1655">+S61+AK61</f>
        <v>0</v>
      </c>
      <c r="BD61" s="59">
        <f t="shared" ref="BD61:BD63" si="1656">+T61+AL61</f>
        <v>0</v>
      </c>
      <c r="BE61" s="59">
        <f t="shared" ref="BE61:BE63" si="1657">+U61+AM61</f>
        <v>0</v>
      </c>
      <c r="BF61" s="59">
        <f t="shared" ref="BF61:BF63" si="1658">+V61+AN61</f>
        <v>0</v>
      </c>
      <c r="BG61" s="59">
        <f t="shared" ref="BG61:BG63" si="1659">+W61+AO61</f>
        <v>200</v>
      </c>
      <c r="BH61" s="59">
        <f t="shared" ref="BH61:BH63" si="1660">+X61+AP61</f>
        <v>0</v>
      </c>
      <c r="BI61" s="59">
        <f t="shared" ref="BI61:BI63" si="1661">+Y61+AQ61</f>
        <v>0</v>
      </c>
      <c r="BJ61" s="59">
        <f t="shared" ref="BJ61:BJ63" si="1662">+Z61+AR61</f>
        <v>0</v>
      </c>
      <c r="BK61" s="59">
        <f t="shared" ref="BK61:BK63" si="1663">+AA61+AS61</f>
        <v>0</v>
      </c>
      <c r="BL61" s="59">
        <f t="shared" ref="BL61:BL63" si="1664">+AB61+AT61</f>
        <v>0</v>
      </c>
      <c r="BM61" s="59">
        <f t="shared" ref="BM61:BM63" si="1665">+AC61+AU61</f>
        <v>0</v>
      </c>
      <c r="BN61" s="59">
        <f t="shared" ref="BN61:BN63" si="1666">SUM(BB61:BD61)</f>
        <v>0</v>
      </c>
      <c r="BO61" s="59">
        <f t="shared" ref="BO61:BO63" si="1667">SUM(BE61:BG61)</f>
        <v>200</v>
      </c>
      <c r="BP61" s="59">
        <f t="shared" ref="BP61:BP63" si="1668">SUM(BH61:BJ61)</f>
        <v>0</v>
      </c>
      <c r="BQ61" s="59">
        <f t="shared" ref="BQ61:BQ63" si="1669">SUM(BK61:BM61)</f>
        <v>0</v>
      </c>
      <c r="BR61" s="59">
        <f t="shared" ref="BR61:BR63" si="1670">SUM(BN61:BQ61)</f>
        <v>200</v>
      </c>
      <c r="BS61" s="59"/>
      <c r="BT61" s="59">
        <f t="shared" si="1354"/>
        <v>0</v>
      </c>
      <c r="BU61" s="59">
        <f t="shared" si="1205"/>
        <v>0</v>
      </c>
      <c r="BV61" s="59">
        <f t="shared" si="1205"/>
        <v>0</v>
      </c>
      <c r="BW61" s="59">
        <f t="shared" si="1205"/>
        <v>0</v>
      </c>
      <c r="BX61" s="59">
        <f t="shared" si="1205"/>
        <v>0</v>
      </c>
      <c r="BY61" s="59">
        <f t="shared" si="1205"/>
        <v>0</v>
      </c>
      <c r="BZ61" s="59">
        <f t="shared" si="1205"/>
        <v>50</v>
      </c>
      <c r="CA61" s="59">
        <f t="shared" si="1205"/>
        <v>50</v>
      </c>
      <c r="CB61" s="59">
        <f t="shared" si="1205"/>
        <v>50</v>
      </c>
      <c r="CC61" s="59">
        <f t="shared" si="1205"/>
        <v>0</v>
      </c>
      <c r="CD61" s="59">
        <f t="shared" si="1205"/>
        <v>0</v>
      </c>
      <c r="CE61" s="59">
        <f t="shared" si="1205"/>
        <v>0</v>
      </c>
      <c r="CF61" s="59">
        <f t="shared" ref="CF61:CF63" si="1671">SUM(BT61:BV61)</f>
        <v>0</v>
      </c>
      <c r="CG61" s="59">
        <f t="shared" ref="CG61:CG63" si="1672">SUM(BW61:BY61)</f>
        <v>0</v>
      </c>
      <c r="CH61" s="59">
        <f t="shared" ref="CH61:CH63" si="1673">SUM(BZ61:CB61)</f>
        <v>150</v>
      </c>
      <c r="CI61" s="59">
        <f t="shared" ref="CI61:CI63" si="1674">SUM(CC61:CE61)</f>
        <v>0</v>
      </c>
      <c r="CJ61" s="59">
        <f t="shared" ref="CJ61:CJ63" si="1675">SUM(CF61:CI61)</f>
        <v>150</v>
      </c>
      <c r="CK61" s="59"/>
      <c r="CL61" s="59">
        <f t="shared" si="1206"/>
        <v>0</v>
      </c>
      <c r="CM61" s="59">
        <f t="shared" si="1206"/>
        <v>0</v>
      </c>
      <c r="CN61" s="59">
        <f t="shared" si="1206"/>
        <v>0</v>
      </c>
      <c r="CO61" s="59">
        <f>IF(CO$4&lt;$O61+$K61,0,IF(AND(CO$4&gt;=$O61+$K61,CO$4&lt;=$L61+$K61),$F61/$L61,0))</f>
        <v>0</v>
      </c>
      <c r="CP61" s="59">
        <f t="shared" si="1207"/>
        <v>0</v>
      </c>
      <c r="CQ61" s="59">
        <f t="shared" si="1207"/>
        <v>0</v>
      </c>
      <c r="CR61" s="59">
        <f t="shared" si="1207"/>
        <v>0</v>
      </c>
      <c r="CS61" s="59">
        <f t="shared" si="1207"/>
        <v>0</v>
      </c>
      <c r="CT61" s="59">
        <f t="shared" si="1207"/>
        <v>0</v>
      </c>
      <c r="CU61" s="59">
        <f t="shared" si="1207"/>
        <v>4.166666666666667</v>
      </c>
      <c r="CV61" s="59">
        <f t="shared" si="1207"/>
        <v>4.166666666666667</v>
      </c>
      <c r="CW61" s="59">
        <f t="shared" si="1207"/>
        <v>4.166666666666667</v>
      </c>
      <c r="CX61" s="59">
        <f t="shared" ref="CX61:CX63" si="1676">SUM(CL61:CN61)</f>
        <v>0</v>
      </c>
      <c r="CY61" s="59">
        <f t="shared" ref="CY61:CY63" si="1677">SUM(CO61:CQ61)</f>
        <v>0</v>
      </c>
      <c r="CZ61" s="59">
        <f t="shared" ref="CZ61:CZ63" si="1678">SUM(CR61:CT61)</f>
        <v>0</v>
      </c>
      <c r="DA61" s="59">
        <f t="shared" ref="DA61:DA63" si="1679">SUM(CU61:CW61)</f>
        <v>12.5</v>
      </c>
      <c r="DB61" s="59">
        <f t="shared" ref="DB61:DB63" si="1680">SUM(CX61:DA61)</f>
        <v>12.5</v>
      </c>
      <c r="DC61" s="59"/>
      <c r="DD61" s="59">
        <f t="shared" ref="DD61:DD63" si="1681">+BT61+CL61</f>
        <v>0</v>
      </c>
      <c r="DE61" s="59">
        <f t="shared" ref="DE61:DE63" si="1682">+BU61+CM61</f>
        <v>0</v>
      </c>
      <c r="DF61" s="59">
        <f t="shared" ref="DF61:DF63" si="1683">+BV61+CN61</f>
        <v>0</v>
      </c>
      <c r="DG61" s="59">
        <f t="shared" ref="DG61:DG63" si="1684">+BW61+CO61</f>
        <v>0</v>
      </c>
      <c r="DH61" s="59">
        <f t="shared" ref="DH61:DH63" si="1685">+BX61+CP61</f>
        <v>0</v>
      </c>
      <c r="DI61" s="59">
        <f t="shared" ref="DI61:DI63" si="1686">+BY61+CQ61</f>
        <v>0</v>
      </c>
      <c r="DJ61" s="59">
        <f t="shared" ref="DJ61:DJ63" si="1687">+BZ61+CR61</f>
        <v>50</v>
      </c>
      <c r="DK61" s="59">
        <f t="shared" ref="DK61:DK63" si="1688">+CA61+CS61</f>
        <v>50</v>
      </c>
      <c r="DL61" s="59">
        <f t="shared" ref="DL61:DL63" si="1689">+CB61+CT61</f>
        <v>50</v>
      </c>
      <c r="DM61" s="59">
        <f t="shared" ref="DM61:DM63" si="1690">+CC61+CU61</f>
        <v>4.166666666666667</v>
      </c>
      <c r="DN61" s="59">
        <f t="shared" ref="DN61:DN63" si="1691">+CD61+CV61</f>
        <v>4.166666666666667</v>
      </c>
      <c r="DO61" s="59">
        <f t="shared" ref="DO61:DO63" si="1692">+CE61+CW61</f>
        <v>4.166666666666667</v>
      </c>
      <c r="DP61" s="59">
        <f t="shared" ref="DP61:DP63" si="1693">SUM(DD61:DF61)</f>
        <v>0</v>
      </c>
      <c r="DQ61" s="59">
        <f t="shared" ref="DQ61:DQ63" si="1694">SUM(DG61:DI61)</f>
        <v>0</v>
      </c>
      <c r="DR61" s="59">
        <f t="shared" ref="DR61:DR63" si="1695">SUM(DJ61:DL61)</f>
        <v>150</v>
      </c>
      <c r="DS61" s="59">
        <f t="shared" ref="DS61:DS63" si="1696">SUM(DM61:DO61)</f>
        <v>12.5</v>
      </c>
      <c r="DT61" s="59">
        <f t="shared" ref="DT61:DT63" si="1697">SUM(DP61:DS61)</f>
        <v>162.5</v>
      </c>
      <c r="DU61" s="59"/>
      <c r="DV61" s="70">
        <v>0</v>
      </c>
      <c r="DW61" s="70">
        <v>0</v>
      </c>
      <c r="DX61" s="70">
        <v>0</v>
      </c>
      <c r="DY61" s="70">
        <v>0</v>
      </c>
      <c r="DZ61" s="70">
        <v>0</v>
      </c>
      <c r="EA61" s="70">
        <v>0</v>
      </c>
      <c r="EB61" s="59">
        <f t="shared" si="1219"/>
        <v>0</v>
      </c>
      <c r="EC61" s="59">
        <f t="shared" si="1219"/>
        <v>0</v>
      </c>
      <c r="ED61" s="59">
        <f t="shared" si="1219"/>
        <v>50</v>
      </c>
      <c r="EE61" s="59">
        <f t="shared" si="1219"/>
        <v>50</v>
      </c>
      <c r="EF61" s="59">
        <f t="shared" si="1219"/>
        <v>50</v>
      </c>
      <c r="EG61" s="59">
        <f t="shared" si="1219"/>
        <v>0</v>
      </c>
      <c r="EH61" s="59">
        <f t="shared" ref="EH61:EH63" si="1698">SUM(DV61:DX61)</f>
        <v>0</v>
      </c>
      <c r="EI61" s="59">
        <f t="shared" ref="EI61:EI63" si="1699">SUM(DY61:EA61)</f>
        <v>0</v>
      </c>
      <c r="EJ61" s="59">
        <f t="shared" ref="EJ61:EJ63" si="1700">SUM(EB61:ED61)</f>
        <v>50</v>
      </c>
      <c r="EK61" s="59">
        <f t="shared" ref="EK61:EK63" si="1701">SUM(EE61:EG61)</f>
        <v>100</v>
      </c>
      <c r="EL61" s="59">
        <f t="shared" ref="EL61:EL63" si="1702">SUM(EH61:EK61)</f>
        <v>150</v>
      </c>
      <c r="EM61" s="59"/>
      <c r="EN61" s="70">
        <v>0</v>
      </c>
      <c r="EO61" s="70">
        <v>0</v>
      </c>
      <c r="EP61" s="70">
        <v>0</v>
      </c>
      <c r="EQ61" s="70">
        <v>0</v>
      </c>
      <c r="ER61" s="70">
        <v>0</v>
      </c>
      <c r="ES61" s="59">
        <f t="shared" si="1322"/>
        <v>0</v>
      </c>
      <c r="ET61" s="59">
        <f t="shared" si="1322"/>
        <v>0</v>
      </c>
      <c r="EU61" s="59">
        <f t="shared" si="1322"/>
        <v>0</v>
      </c>
      <c r="EV61" s="59">
        <f t="shared" si="1322"/>
        <v>0</v>
      </c>
      <c r="EW61" s="59">
        <f t="shared" si="1322"/>
        <v>0</v>
      </c>
      <c r="EX61" s="59">
        <f t="shared" si="1322"/>
        <v>25</v>
      </c>
      <c r="EY61" s="59">
        <f t="shared" si="1322"/>
        <v>2.0833333333333335</v>
      </c>
      <c r="EZ61" s="59">
        <f t="shared" ref="EZ61:EZ63" si="1703">SUM(EN61:EP61)</f>
        <v>0</v>
      </c>
      <c r="FA61" s="59">
        <f t="shared" ref="FA61:FA63" si="1704">SUM(EQ61:ES61)</f>
        <v>0</v>
      </c>
      <c r="FB61" s="59">
        <f t="shared" ref="FB61:FB63" si="1705">SUM(ET61:EV61)</f>
        <v>0</v>
      </c>
      <c r="FC61" s="59">
        <f t="shared" ref="FC61:FC63" si="1706">SUM(EW61:EY61)</f>
        <v>27.083333333333332</v>
      </c>
      <c r="FD61" s="59">
        <f t="shared" ref="FD61:FD63" si="1707">SUM(EZ61:FC61)</f>
        <v>27.083333333333332</v>
      </c>
      <c r="FE61" s="59"/>
      <c r="FF61" s="59">
        <f t="shared" ref="FF61:FF63" si="1708">+DV61+EN61</f>
        <v>0</v>
      </c>
      <c r="FG61" s="59">
        <f t="shared" ref="FG61:FG63" si="1709">+DW61+EO61</f>
        <v>0</v>
      </c>
      <c r="FH61" s="59">
        <f t="shared" ref="FH61:FH63" si="1710">+DX61+EP61</f>
        <v>0</v>
      </c>
      <c r="FI61" s="59">
        <f t="shared" ref="FI61:FI63" si="1711">+DY61+EQ61</f>
        <v>0</v>
      </c>
      <c r="FJ61" s="59">
        <f t="shared" ref="FJ61:FJ63" si="1712">+DZ61+ER61</f>
        <v>0</v>
      </c>
      <c r="FK61" s="59">
        <f t="shared" ref="FK61:FK63" si="1713">+EA61+ES61</f>
        <v>0</v>
      </c>
      <c r="FL61" s="59">
        <f t="shared" ref="FL61:FL63" si="1714">+EB61+ET61</f>
        <v>0</v>
      </c>
      <c r="FM61" s="59">
        <f t="shared" ref="FM61:FM63" si="1715">+EC61+EU61</f>
        <v>0</v>
      </c>
      <c r="FN61" s="59">
        <f t="shared" ref="FN61:FN63" si="1716">+ED61+EV61</f>
        <v>50</v>
      </c>
      <c r="FO61" s="59">
        <f t="shared" ref="FO61:FO63" si="1717">+EE61+EW61</f>
        <v>50</v>
      </c>
      <c r="FP61" s="59">
        <f t="shared" ref="FP61:FP63" si="1718">+EF61+EX61</f>
        <v>75</v>
      </c>
      <c r="FQ61" s="59">
        <f t="shared" ref="FQ61:FQ63" si="1719">+EG61+EY61</f>
        <v>2.0833333333333335</v>
      </c>
      <c r="FR61" s="59">
        <f t="shared" ref="FR61:FR63" si="1720">SUM(FF61:FH61)</f>
        <v>0</v>
      </c>
      <c r="FS61" s="59">
        <f t="shared" ref="FS61:FS63" si="1721">SUM(FI61:FK61)</f>
        <v>0</v>
      </c>
      <c r="FT61" s="59">
        <f t="shared" ref="FT61:FT63" si="1722">SUM(FL61:FN61)</f>
        <v>50</v>
      </c>
      <c r="FU61" s="59">
        <f t="shared" ref="FU61:FU63" si="1723">SUM(FO61:FQ61)</f>
        <v>127.08333333333333</v>
      </c>
      <c r="FV61" s="59">
        <f t="shared" ref="FV61:FV63" si="1724">SUM(FR61:FU61)</f>
        <v>177.08333333333331</v>
      </c>
    </row>
    <row r="62" spans="2:178" x14ac:dyDescent="0.2">
      <c r="B62" s="46">
        <f t="shared" ref="B62" si="1725">+B61+1</f>
        <v>13</v>
      </c>
      <c r="C62" s="71" t="s">
        <v>260</v>
      </c>
      <c r="E62" s="13">
        <v>150</v>
      </c>
      <c r="F62" s="13">
        <v>150</v>
      </c>
      <c r="G62" s="17">
        <f t="shared" si="1641"/>
        <v>300</v>
      </c>
      <c r="H62" s="49" t="s">
        <v>218</v>
      </c>
      <c r="I62" s="49" t="s">
        <v>219</v>
      </c>
      <c r="J62" s="49" t="s">
        <v>217</v>
      </c>
      <c r="K62" s="54">
        <v>3</v>
      </c>
      <c r="L62" s="54">
        <v>12</v>
      </c>
      <c r="M62" s="54">
        <v>5</v>
      </c>
      <c r="N62" s="54">
        <v>9</v>
      </c>
      <c r="O62" s="48">
        <f t="shared" si="1642"/>
        <v>10</v>
      </c>
      <c r="P62" s="48">
        <f t="shared" si="1643"/>
        <v>15</v>
      </c>
      <c r="R62" s="59">
        <f t="shared" si="1337"/>
        <v>0</v>
      </c>
      <c r="S62" s="59">
        <f t="shared" si="1191"/>
        <v>0</v>
      </c>
      <c r="T62" s="59">
        <f t="shared" si="1191"/>
        <v>0</v>
      </c>
      <c r="U62" s="59">
        <f t="shared" si="1191"/>
        <v>0</v>
      </c>
      <c r="V62" s="59">
        <f t="shared" si="1191"/>
        <v>0</v>
      </c>
      <c r="W62" s="59">
        <f t="shared" si="1191"/>
        <v>0</v>
      </c>
      <c r="X62" s="59">
        <f t="shared" si="1191"/>
        <v>0</v>
      </c>
      <c r="Y62" s="59">
        <f t="shared" si="1191"/>
        <v>0</v>
      </c>
      <c r="Z62" s="59">
        <f t="shared" si="1191"/>
        <v>150</v>
      </c>
      <c r="AA62" s="59">
        <f t="shared" si="1191"/>
        <v>0</v>
      </c>
      <c r="AB62" s="59">
        <f t="shared" si="1191"/>
        <v>0</v>
      </c>
      <c r="AC62" s="59">
        <f t="shared" si="1191"/>
        <v>0</v>
      </c>
      <c r="AD62" s="59">
        <f t="shared" si="1644"/>
        <v>0</v>
      </c>
      <c r="AE62" s="59">
        <f t="shared" si="1645"/>
        <v>0</v>
      </c>
      <c r="AF62" s="59">
        <f t="shared" si="1646"/>
        <v>150</v>
      </c>
      <c r="AG62" s="59">
        <f t="shared" si="1647"/>
        <v>0</v>
      </c>
      <c r="AH62" s="59">
        <f t="shared" si="1648"/>
        <v>150</v>
      </c>
      <c r="AI62" s="59"/>
      <c r="AJ62" s="59">
        <f t="shared" si="1343"/>
        <v>0</v>
      </c>
      <c r="AK62" s="59">
        <f t="shared" si="1192"/>
        <v>0</v>
      </c>
      <c r="AL62" s="59">
        <f t="shared" si="1192"/>
        <v>0</v>
      </c>
      <c r="AM62" s="59">
        <f t="shared" si="1192"/>
        <v>0</v>
      </c>
      <c r="AN62" s="59">
        <f t="shared" si="1192"/>
        <v>0</v>
      </c>
      <c r="AO62" s="59">
        <f t="shared" si="1192"/>
        <v>0</v>
      </c>
      <c r="AP62" s="59">
        <f t="shared" si="1192"/>
        <v>0</v>
      </c>
      <c r="AQ62" s="59">
        <f t="shared" si="1192"/>
        <v>0</v>
      </c>
      <c r="AR62" s="59">
        <f t="shared" si="1192"/>
        <v>150</v>
      </c>
      <c r="AS62" s="59">
        <f t="shared" si="1192"/>
        <v>0</v>
      </c>
      <c r="AT62" s="59">
        <f t="shared" si="1192"/>
        <v>0</v>
      </c>
      <c r="AU62" s="59">
        <f t="shared" si="1192"/>
        <v>0</v>
      </c>
      <c r="AV62" s="59">
        <f t="shared" si="1649"/>
        <v>0</v>
      </c>
      <c r="AW62" s="59">
        <f t="shared" si="1650"/>
        <v>0</v>
      </c>
      <c r="AX62" s="59">
        <f t="shared" si="1651"/>
        <v>150</v>
      </c>
      <c r="AY62" s="59">
        <f t="shared" si="1652"/>
        <v>0</v>
      </c>
      <c r="AZ62" s="59">
        <f t="shared" si="1653"/>
        <v>150</v>
      </c>
      <c r="BA62" s="59"/>
      <c r="BB62" s="59">
        <f t="shared" si="1654"/>
        <v>0</v>
      </c>
      <c r="BC62" s="59">
        <f t="shared" si="1655"/>
        <v>0</v>
      </c>
      <c r="BD62" s="59">
        <f t="shared" si="1656"/>
        <v>0</v>
      </c>
      <c r="BE62" s="59">
        <f t="shared" si="1657"/>
        <v>0</v>
      </c>
      <c r="BF62" s="59">
        <f t="shared" si="1658"/>
        <v>0</v>
      </c>
      <c r="BG62" s="59">
        <f t="shared" si="1659"/>
        <v>0</v>
      </c>
      <c r="BH62" s="59">
        <f t="shared" si="1660"/>
        <v>0</v>
      </c>
      <c r="BI62" s="59">
        <f t="shared" si="1661"/>
        <v>0</v>
      </c>
      <c r="BJ62" s="59">
        <f t="shared" si="1662"/>
        <v>300</v>
      </c>
      <c r="BK62" s="59">
        <f t="shared" si="1663"/>
        <v>0</v>
      </c>
      <c r="BL62" s="59">
        <f t="shared" si="1664"/>
        <v>0</v>
      </c>
      <c r="BM62" s="59">
        <f t="shared" si="1665"/>
        <v>0</v>
      </c>
      <c r="BN62" s="59">
        <f t="shared" si="1666"/>
        <v>0</v>
      </c>
      <c r="BO62" s="59">
        <f t="shared" si="1667"/>
        <v>0</v>
      </c>
      <c r="BP62" s="59">
        <f t="shared" si="1668"/>
        <v>300</v>
      </c>
      <c r="BQ62" s="59">
        <f t="shared" si="1669"/>
        <v>0</v>
      </c>
      <c r="BR62" s="59">
        <f t="shared" si="1670"/>
        <v>300</v>
      </c>
      <c r="BS62" s="59"/>
      <c r="BT62" s="59">
        <f t="shared" si="1354"/>
        <v>0</v>
      </c>
      <c r="BU62" s="59">
        <f t="shared" si="1205"/>
        <v>0</v>
      </c>
      <c r="BV62" s="59">
        <f t="shared" si="1205"/>
        <v>0</v>
      </c>
      <c r="BW62" s="59">
        <f t="shared" si="1205"/>
        <v>0</v>
      </c>
      <c r="BX62" s="59">
        <f t="shared" si="1205"/>
        <v>0</v>
      </c>
      <c r="BY62" s="59">
        <f t="shared" si="1205"/>
        <v>0</v>
      </c>
      <c r="BZ62" s="59">
        <f t="shared" si="1205"/>
        <v>0</v>
      </c>
      <c r="CA62" s="59">
        <f t="shared" si="1205"/>
        <v>0</v>
      </c>
      <c r="CB62" s="59">
        <f t="shared" si="1205"/>
        <v>0</v>
      </c>
      <c r="CC62" s="59">
        <f t="shared" si="1205"/>
        <v>50</v>
      </c>
      <c r="CD62" s="59">
        <f t="shared" si="1205"/>
        <v>50</v>
      </c>
      <c r="CE62" s="59">
        <f t="shared" si="1205"/>
        <v>50</v>
      </c>
      <c r="CF62" s="59">
        <f t="shared" si="1671"/>
        <v>0</v>
      </c>
      <c r="CG62" s="59">
        <f t="shared" si="1672"/>
        <v>0</v>
      </c>
      <c r="CH62" s="59">
        <f t="shared" si="1673"/>
        <v>0</v>
      </c>
      <c r="CI62" s="59">
        <f t="shared" si="1674"/>
        <v>150</v>
      </c>
      <c r="CJ62" s="59">
        <f t="shared" si="1675"/>
        <v>150</v>
      </c>
      <c r="CK62" s="59"/>
      <c r="CL62" s="59">
        <f t="shared" si="1206"/>
        <v>0</v>
      </c>
      <c r="CM62" s="59">
        <f t="shared" si="1206"/>
        <v>0</v>
      </c>
      <c r="CN62" s="59">
        <f t="shared" si="1206"/>
        <v>0</v>
      </c>
      <c r="CO62" s="59">
        <f>IF(CO$4&lt;$O62+$K62,0,IF(AND(CO$4&gt;=$O62+$K62,CO$4&lt;=$L62+$K62),$F62/$L62,0))</f>
        <v>0</v>
      </c>
      <c r="CP62" s="59">
        <f t="shared" si="1207"/>
        <v>0</v>
      </c>
      <c r="CQ62" s="59">
        <f t="shared" si="1207"/>
        <v>0</v>
      </c>
      <c r="CR62" s="59">
        <f t="shared" si="1207"/>
        <v>0</v>
      </c>
      <c r="CS62" s="59">
        <f t="shared" si="1207"/>
        <v>0</v>
      </c>
      <c r="CT62" s="59">
        <f t="shared" si="1207"/>
        <v>0</v>
      </c>
      <c r="CU62" s="59">
        <f t="shared" si="1207"/>
        <v>0</v>
      </c>
      <c r="CV62" s="59">
        <f t="shared" si="1207"/>
        <v>0</v>
      </c>
      <c r="CW62" s="59">
        <f t="shared" si="1207"/>
        <v>0</v>
      </c>
      <c r="CX62" s="59">
        <f t="shared" si="1676"/>
        <v>0</v>
      </c>
      <c r="CY62" s="59">
        <f t="shared" si="1677"/>
        <v>0</v>
      </c>
      <c r="CZ62" s="59">
        <f t="shared" si="1678"/>
        <v>0</v>
      </c>
      <c r="DA62" s="59">
        <f t="shared" si="1679"/>
        <v>0</v>
      </c>
      <c r="DB62" s="59">
        <f t="shared" si="1680"/>
        <v>0</v>
      </c>
      <c r="DC62" s="59"/>
      <c r="DD62" s="59">
        <f t="shared" si="1681"/>
        <v>0</v>
      </c>
      <c r="DE62" s="59">
        <f t="shared" si="1682"/>
        <v>0</v>
      </c>
      <c r="DF62" s="59">
        <f t="shared" si="1683"/>
        <v>0</v>
      </c>
      <c r="DG62" s="59">
        <f t="shared" si="1684"/>
        <v>0</v>
      </c>
      <c r="DH62" s="59">
        <f t="shared" si="1685"/>
        <v>0</v>
      </c>
      <c r="DI62" s="59">
        <f t="shared" si="1686"/>
        <v>0</v>
      </c>
      <c r="DJ62" s="59">
        <f t="shared" si="1687"/>
        <v>0</v>
      </c>
      <c r="DK62" s="59">
        <f t="shared" si="1688"/>
        <v>0</v>
      </c>
      <c r="DL62" s="59">
        <f t="shared" si="1689"/>
        <v>0</v>
      </c>
      <c r="DM62" s="59">
        <f t="shared" si="1690"/>
        <v>50</v>
      </c>
      <c r="DN62" s="59">
        <f t="shared" si="1691"/>
        <v>50</v>
      </c>
      <c r="DO62" s="59">
        <f t="shared" si="1692"/>
        <v>50</v>
      </c>
      <c r="DP62" s="59">
        <f t="shared" si="1693"/>
        <v>0</v>
      </c>
      <c r="DQ62" s="59">
        <f t="shared" si="1694"/>
        <v>0</v>
      </c>
      <c r="DR62" s="59">
        <f t="shared" si="1695"/>
        <v>0</v>
      </c>
      <c r="DS62" s="59">
        <f t="shared" si="1696"/>
        <v>150</v>
      </c>
      <c r="DT62" s="59">
        <f t="shared" si="1697"/>
        <v>150</v>
      </c>
      <c r="DU62" s="59"/>
      <c r="DV62" s="70">
        <v>0</v>
      </c>
      <c r="DW62" s="70">
        <v>0</v>
      </c>
      <c r="DX62" s="70">
        <v>0</v>
      </c>
      <c r="DY62" s="70">
        <v>0</v>
      </c>
      <c r="DZ62" s="70">
        <v>0</v>
      </c>
      <c r="EA62" s="70">
        <v>0</v>
      </c>
      <c r="EB62" s="59">
        <f t="shared" si="1219"/>
        <v>0</v>
      </c>
      <c r="EC62" s="59">
        <f t="shared" si="1219"/>
        <v>0</v>
      </c>
      <c r="ED62" s="59">
        <f t="shared" si="1219"/>
        <v>0</v>
      </c>
      <c r="EE62" s="59">
        <f t="shared" si="1219"/>
        <v>0</v>
      </c>
      <c r="EF62" s="59">
        <f t="shared" si="1219"/>
        <v>0</v>
      </c>
      <c r="EG62" s="59">
        <f t="shared" si="1219"/>
        <v>50</v>
      </c>
      <c r="EH62" s="59">
        <f t="shared" si="1698"/>
        <v>0</v>
      </c>
      <c r="EI62" s="59">
        <f t="shared" si="1699"/>
        <v>0</v>
      </c>
      <c r="EJ62" s="59">
        <f t="shared" si="1700"/>
        <v>0</v>
      </c>
      <c r="EK62" s="59">
        <f t="shared" si="1701"/>
        <v>50</v>
      </c>
      <c r="EL62" s="59">
        <f t="shared" si="1702"/>
        <v>50</v>
      </c>
      <c r="EM62" s="59"/>
      <c r="EN62" s="70">
        <v>0</v>
      </c>
      <c r="EO62" s="70">
        <v>0</v>
      </c>
      <c r="EP62" s="70">
        <v>0</v>
      </c>
      <c r="EQ62" s="70">
        <v>0</v>
      </c>
      <c r="ER62" s="70">
        <v>0</v>
      </c>
      <c r="ES62" s="59">
        <f t="shared" si="1322"/>
        <v>0</v>
      </c>
      <c r="ET62" s="59">
        <f t="shared" si="1322"/>
        <v>0</v>
      </c>
      <c r="EU62" s="59">
        <f t="shared" si="1322"/>
        <v>0</v>
      </c>
      <c r="EV62" s="59">
        <f t="shared" si="1322"/>
        <v>0</v>
      </c>
      <c r="EW62" s="59">
        <f t="shared" si="1322"/>
        <v>0</v>
      </c>
      <c r="EX62" s="59">
        <f t="shared" si="1322"/>
        <v>0</v>
      </c>
      <c r="EY62" s="59">
        <f t="shared" si="1322"/>
        <v>0</v>
      </c>
      <c r="EZ62" s="59">
        <f t="shared" si="1703"/>
        <v>0</v>
      </c>
      <c r="FA62" s="59">
        <f t="shared" si="1704"/>
        <v>0</v>
      </c>
      <c r="FB62" s="59">
        <f t="shared" si="1705"/>
        <v>0</v>
      </c>
      <c r="FC62" s="59">
        <f t="shared" si="1706"/>
        <v>0</v>
      </c>
      <c r="FD62" s="59">
        <f t="shared" si="1707"/>
        <v>0</v>
      </c>
      <c r="FE62" s="59"/>
      <c r="FF62" s="59">
        <f t="shared" si="1708"/>
        <v>0</v>
      </c>
      <c r="FG62" s="59">
        <f t="shared" si="1709"/>
        <v>0</v>
      </c>
      <c r="FH62" s="59">
        <f t="shared" si="1710"/>
        <v>0</v>
      </c>
      <c r="FI62" s="59">
        <f t="shared" si="1711"/>
        <v>0</v>
      </c>
      <c r="FJ62" s="59">
        <f t="shared" si="1712"/>
        <v>0</v>
      </c>
      <c r="FK62" s="59">
        <f t="shared" si="1713"/>
        <v>0</v>
      </c>
      <c r="FL62" s="59">
        <f t="shared" si="1714"/>
        <v>0</v>
      </c>
      <c r="FM62" s="59">
        <f t="shared" si="1715"/>
        <v>0</v>
      </c>
      <c r="FN62" s="59">
        <f t="shared" si="1716"/>
        <v>0</v>
      </c>
      <c r="FO62" s="59">
        <f t="shared" si="1717"/>
        <v>0</v>
      </c>
      <c r="FP62" s="59">
        <f t="shared" si="1718"/>
        <v>0</v>
      </c>
      <c r="FQ62" s="59">
        <f t="shared" si="1719"/>
        <v>50</v>
      </c>
      <c r="FR62" s="59">
        <f t="shared" si="1720"/>
        <v>0</v>
      </c>
      <c r="FS62" s="59">
        <f t="shared" si="1721"/>
        <v>0</v>
      </c>
      <c r="FT62" s="59">
        <f t="shared" si="1722"/>
        <v>0</v>
      </c>
      <c r="FU62" s="59">
        <f t="shared" si="1723"/>
        <v>50</v>
      </c>
      <c r="FV62" s="59">
        <f t="shared" si="1724"/>
        <v>50</v>
      </c>
    </row>
    <row r="63" spans="2:178" x14ac:dyDescent="0.2">
      <c r="B63" s="46">
        <f>+B62+1</f>
        <v>14</v>
      </c>
      <c r="C63" s="71" t="s">
        <v>261</v>
      </c>
      <c r="E63" s="13">
        <v>200</v>
      </c>
      <c r="F63" s="13">
        <v>200</v>
      </c>
      <c r="G63" s="17">
        <f t="shared" si="1641"/>
        <v>400</v>
      </c>
      <c r="H63" s="49" t="s">
        <v>218</v>
      </c>
      <c r="I63" s="49" t="s">
        <v>219</v>
      </c>
      <c r="J63" s="49" t="s">
        <v>217</v>
      </c>
      <c r="K63" s="54">
        <v>3</v>
      </c>
      <c r="L63" s="54">
        <v>12</v>
      </c>
      <c r="M63" s="54">
        <v>8</v>
      </c>
      <c r="N63" s="54">
        <v>12</v>
      </c>
      <c r="O63" s="48">
        <f t="shared" si="1642"/>
        <v>13</v>
      </c>
      <c r="P63" s="48">
        <f t="shared" si="1643"/>
        <v>15</v>
      </c>
      <c r="R63" s="59">
        <f t="shared" si="1337"/>
        <v>0</v>
      </c>
      <c r="S63" s="59">
        <f t="shared" si="1191"/>
        <v>0</v>
      </c>
      <c r="T63" s="59">
        <f t="shared" si="1191"/>
        <v>0</v>
      </c>
      <c r="U63" s="59">
        <f t="shared" si="1191"/>
        <v>0</v>
      </c>
      <c r="V63" s="59">
        <f t="shared" si="1191"/>
        <v>0</v>
      </c>
      <c r="W63" s="59">
        <f t="shared" si="1191"/>
        <v>0</v>
      </c>
      <c r="X63" s="59">
        <f t="shared" si="1191"/>
        <v>0</v>
      </c>
      <c r="Y63" s="59">
        <f t="shared" si="1191"/>
        <v>0</v>
      </c>
      <c r="Z63" s="59">
        <f t="shared" si="1191"/>
        <v>0</v>
      </c>
      <c r="AA63" s="59">
        <f t="shared" si="1191"/>
        <v>0</v>
      </c>
      <c r="AB63" s="59">
        <f t="shared" si="1191"/>
        <v>0</v>
      </c>
      <c r="AC63" s="59">
        <f t="shared" si="1191"/>
        <v>200</v>
      </c>
      <c r="AD63" s="59">
        <f t="shared" si="1644"/>
        <v>0</v>
      </c>
      <c r="AE63" s="59">
        <f t="shared" si="1645"/>
        <v>0</v>
      </c>
      <c r="AF63" s="59">
        <f t="shared" si="1646"/>
        <v>0</v>
      </c>
      <c r="AG63" s="59">
        <f t="shared" si="1647"/>
        <v>200</v>
      </c>
      <c r="AH63" s="59">
        <f t="shared" si="1648"/>
        <v>200</v>
      </c>
      <c r="AI63" s="59"/>
      <c r="AJ63" s="59">
        <f t="shared" si="1343"/>
        <v>0</v>
      </c>
      <c r="AK63" s="59">
        <f t="shared" si="1192"/>
        <v>0</v>
      </c>
      <c r="AL63" s="59">
        <f t="shared" si="1192"/>
        <v>0</v>
      </c>
      <c r="AM63" s="59">
        <f t="shared" si="1192"/>
        <v>0</v>
      </c>
      <c r="AN63" s="59">
        <f t="shared" si="1192"/>
        <v>0</v>
      </c>
      <c r="AO63" s="59">
        <f t="shared" si="1192"/>
        <v>0</v>
      </c>
      <c r="AP63" s="59">
        <f t="shared" si="1192"/>
        <v>0</v>
      </c>
      <c r="AQ63" s="59">
        <f t="shared" si="1192"/>
        <v>0</v>
      </c>
      <c r="AR63" s="59">
        <f t="shared" si="1192"/>
        <v>0</v>
      </c>
      <c r="AS63" s="59">
        <f t="shared" si="1192"/>
        <v>0</v>
      </c>
      <c r="AT63" s="59">
        <f t="shared" si="1192"/>
        <v>0</v>
      </c>
      <c r="AU63" s="59">
        <f t="shared" si="1192"/>
        <v>200</v>
      </c>
      <c r="AV63" s="59">
        <f t="shared" si="1649"/>
        <v>0</v>
      </c>
      <c r="AW63" s="59">
        <f t="shared" si="1650"/>
        <v>0</v>
      </c>
      <c r="AX63" s="59">
        <f t="shared" si="1651"/>
        <v>0</v>
      </c>
      <c r="AY63" s="59">
        <f t="shared" si="1652"/>
        <v>200</v>
      </c>
      <c r="AZ63" s="59">
        <f t="shared" si="1653"/>
        <v>200</v>
      </c>
      <c r="BA63" s="59"/>
      <c r="BB63" s="59">
        <f t="shared" si="1654"/>
        <v>0</v>
      </c>
      <c r="BC63" s="59">
        <f t="shared" si="1655"/>
        <v>0</v>
      </c>
      <c r="BD63" s="59">
        <f t="shared" si="1656"/>
        <v>0</v>
      </c>
      <c r="BE63" s="59">
        <f t="shared" si="1657"/>
        <v>0</v>
      </c>
      <c r="BF63" s="59">
        <f t="shared" si="1658"/>
        <v>0</v>
      </c>
      <c r="BG63" s="59">
        <f t="shared" si="1659"/>
        <v>0</v>
      </c>
      <c r="BH63" s="59">
        <f t="shared" si="1660"/>
        <v>0</v>
      </c>
      <c r="BI63" s="59">
        <f t="shared" si="1661"/>
        <v>0</v>
      </c>
      <c r="BJ63" s="59">
        <f t="shared" si="1662"/>
        <v>0</v>
      </c>
      <c r="BK63" s="59">
        <f t="shared" si="1663"/>
        <v>0</v>
      </c>
      <c r="BL63" s="59">
        <f t="shared" si="1664"/>
        <v>0</v>
      </c>
      <c r="BM63" s="59">
        <f t="shared" si="1665"/>
        <v>400</v>
      </c>
      <c r="BN63" s="59">
        <f t="shared" si="1666"/>
        <v>0</v>
      </c>
      <c r="BO63" s="59">
        <f t="shared" si="1667"/>
        <v>0</v>
      </c>
      <c r="BP63" s="59">
        <f t="shared" si="1668"/>
        <v>0</v>
      </c>
      <c r="BQ63" s="59">
        <f t="shared" si="1669"/>
        <v>400</v>
      </c>
      <c r="BR63" s="59">
        <f t="shared" si="1670"/>
        <v>400</v>
      </c>
      <c r="BS63" s="59"/>
      <c r="BT63" s="59">
        <f t="shared" si="1354"/>
        <v>0</v>
      </c>
      <c r="BU63" s="59">
        <f t="shared" si="1205"/>
        <v>0</v>
      </c>
      <c r="BV63" s="59">
        <f t="shared" si="1205"/>
        <v>0</v>
      </c>
      <c r="BW63" s="59">
        <f t="shared" si="1205"/>
        <v>0</v>
      </c>
      <c r="BX63" s="59">
        <f t="shared" si="1205"/>
        <v>0</v>
      </c>
      <c r="BY63" s="59">
        <f t="shared" si="1205"/>
        <v>0</v>
      </c>
      <c r="BZ63" s="59">
        <f t="shared" si="1205"/>
        <v>0</v>
      </c>
      <c r="CA63" s="59">
        <f t="shared" si="1205"/>
        <v>0</v>
      </c>
      <c r="CB63" s="59">
        <f t="shared" si="1205"/>
        <v>0</v>
      </c>
      <c r="CC63" s="59">
        <f t="shared" si="1205"/>
        <v>0</v>
      </c>
      <c r="CD63" s="59">
        <f t="shared" si="1205"/>
        <v>0</v>
      </c>
      <c r="CE63" s="59">
        <f t="shared" si="1205"/>
        <v>0</v>
      </c>
      <c r="CF63" s="59">
        <f t="shared" si="1671"/>
        <v>0</v>
      </c>
      <c r="CG63" s="59">
        <f t="shared" si="1672"/>
        <v>0</v>
      </c>
      <c r="CH63" s="59">
        <f t="shared" si="1673"/>
        <v>0</v>
      </c>
      <c r="CI63" s="59">
        <f t="shared" si="1674"/>
        <v>0</v>
      </c>
      <c r="CJ63" s="59">
        <f t="shared" si="1675"/>
        <v>0</v>
      </c>
      <c r="CK63" s="59"/>
      <c r="CL63" s="59">
        <f t="shared" si="1206"/>
        <v>0</v>
      </c>
      <c r="CM63" s="59">
        <f t="shared" si="1206"/>
        <v>0</v>
      </c>
      <c r="CN63" s="59">
        <f t="shared" si="1206"/>
        <v>0</v>
      </c>
      <c r="CO63" s="59">
        <f>IF(CO$4&lt;$O63+$K63,0,IF(AND(CO$4&gt;=$O63+$K63,CO$4&lt;=$L63+$K63),$F63/$L63,0))</f>
        <v>0</v>
      </c>
      <c r="CP63" s="59">
        <f t="shared" si="1207"/>
        <v>0</v>
      </c>
      <c r="CQ63" s="59">
        <f t="shared" si="1207"/>
        <v>0</v>
      </c>
      <c r="CR63" s="59">
        <f t="shared" si="1207"/>
        <v>0</v>
      </c>
      <c r="CS63" s="59">
        <f t="shared" si="1207"/>
        <v>0</v>
      </c>
      <c r="CT63" s="59">
        <f t="shared" si="1207"/>
        <v>0</v>
      </c>
      <c r="CU63" s="59">
        <f t="shared" si="1207"/>
        <v>0</v>
      </c>
      <c r="CV63" s="59">
        <f t="shared" si="1207"/>
        <v>0</v>
      </c>
      <c r="CW63" s="59">
        <f t="shared" si="1207"/>
        <v>0</v>
      </c>
      <c r="CX63" s="59">
        <f t="shared" si="1676"/>
        <v>0</v>
      </c>
      <c r="CY63" s="59">
        <f t="shared" si="1677"/>
        <v>0</v>
      </c>
      <c r="CZ63" s="59">
        <f t="shared" si="1678"/>
        <v>0</v>
      </c>
      <c r="DA63" s="59">
        <f t="shared" si="1679"/>
        <v>0</v>
      </c>
      <c r="DB63" s="59">
        <f t="shared" si="1680"/>
        <v>0</v>
      </c>
      <c r="DC63" s="59"/>
      <c r="DD63" s="59">
        <f t="shared" si="1681"/>
        <v>0</v>
      </c>
      <c r="DE63" s="59">
        <f t="shared" si="1682"/>
        <v>0</v>
      </c>
      <c r="DF63" s="59">
        <f t="shared" si="1683"/>
        <v>0</v>
      </c>
      <c r="DG63" s="59">
        <f t="shared" si="1684"/>
        <v>0</v>
      </c>
      <c r="DH63" s="59">
        <f t="shared" si="1685"/>
        <v>0</v>
      </c>
      <c r="DI63" s="59">
        <f t="shared" si="1686"/>
        <v>0</v>
      </c>
      <c r="DJ63" s="59">
        <f t="shared" si="1687"/>
        <v>0</v>
      </c>
      <c r="DK63" s="59">
        <f t="shared" si="1688"/>
        <v>0</v>
      </c>
      <c r="DL63" s="59">
        <f t="shared" si="1689"/>
        <v>0</v>
      </c>
      <c r="DM63" s="59">
        <f t="shared" si="1690"/>
        <v>0</v>
      </c>
      <c r="DN63" s="59">
        <f t="shared" si="1691"/>
        <v>0</v>
      </c>
      <c r="DO63" s="59">
        <f t="shared" si="1692"/>
        <v>0</v>
      </c>
      <c r="DP63" s="59">
        <f t="shared" si="1693"/>
        <v>0</v>
      </c>
      <c r="DQ63" s="59">
        <f t="shared" si="1694"/>
        <v>0</v>
      </c>
      <c r="DR63" s="59">
        <f t="shared" si="1695"/>
        <v>0</v>
      </c>
      <c r="DS63" s="59">
        <f t="shared" si="1696"/>
        <v>0</v>
      </c>
      <c r="DT63" s="59">
        <f t="shared" si="1697"/>
        <v>0</v>
      </c>
      <c r="DU63" s="59"/>
      <c r="DV63" s="70">
        <v>0</v>
      </c>
      <c r="DW63" s="70">
        <v>0</v>
      </c>
      <c r="DX63" s="70">
        <v>0</v>
      </c>
      <c r="DY63" s="70">
        <v>0</v>
      </c>
      <c r="DZ63" s="70">
        <v>0</v>
      </c>
      <c r="EA63" s="70">
        <v>0</v>
      </c>
      <c r="EB63" s="59">
        <f t="shared" si="1219"/>
        <v>0</v>
      </c>
      <c r="EC63" s="59">
        <f t="shared" si="1219"/>
        <v>0</v>
      </c>
      <c r="ED63" s="59">
        <f t="shared" si="1219"/>
        <v>0</v>
      </c>
      <c r="EE63" s="59">
        <f t="shared" si="1219"/>
        <v>0</v>
      </c>
      <c r="EF63" s="59">
        <f t="shared" si="1219"/>
        <v>0</v>
      </c>
      <c r="EG63" s="59">
        <f t="shared" si="1219"/>
        <v>0</v>
      </c>
      <c r="EH63" s="59">
        <f t="shared" si="1698"/>
        <v>0</v>
      </c>
      <c r="EI63" s="59">
        <f t="shared" si="1699"/>
        <v>0</v>
      </c>
      <c r="EJ63" s="59">
        <f t="shared" si="1700"/>
        <v>0</v>
      </c>
      <c r="EK63" s="59">
        <f t="shared" si="1701"/>
        <v>0</v>
      </c>
      <c r="EL63" s="59">
        <f t="shared" si="1702"/>
        <v>0</v>
      </c>
      <c r="EM63" s="59"/>
      <c r="EN63" s="70">
        <v>0</v>
      </c>
      <c r="EO63" s="70">
        <v>0</v>
      </c>
      <c r="EP63" s="70">
        <v>0</v>
      </c>
      <c r="EQ63" s="70">
        <v>0</v>
      </c>
      <c r="ER63" s="70">
        <v>0</v>
      </c>
      <c r="ES63" s="59">
        <f t="shared" si="1322"/>
        <v>0</v>
      </c>
      <c r="ET63" s="59">
        <f t="shared" si="1322"/>
        <v>0</v>
      </c>
      <c r="EU63" s="59">
        <f t="shared" si="1322"/>
        <v>0</v>
      </c>
      <c r="EV63" s="59">
        <f t="shared" si="1322"/>
        <v>0</v>
      </c>
      <c r="EW63" s="59">
        <f t="shared" si="1322"/>
        <v>0</v>
      </c>
      <c r="EX63" s="59">
        <f t="shared" si="1322"/>
        <v>0</v>
      </c>
      <c r="EY63" s="59">
        <f t="shared" si="1322"/>
        <v>0</v>
      </c>
      <c r="EZ63" s="59">
        <f t="shared" si="1703"/>
        <v>0</v>
      </c>
      <c r="FA63" s="59">
        <f t="shared" si="1704"/>
        <v>0</v>
      </c>
      <c r="FB63" s="59">
        <f t="shared" si="1705"/>
        <v>0</v>
      </c>
      <c r="FC63" s="59">
        <f t="shared" si="1706"/>
        <v>0</v>
      </c>
      <c r="FD63" s="59">
        <f t="shared" si="1707"/>
        <v>0</v>
      </c>
      <c r="FE63" s="59"/>
      <c r="FF63" s="59">
        <f t="shared" si="1708"/>
        <v>0</v>
      </c>
      <c r="FG63" s="59">
        <f t="shared" si="1709"/>
        <v>0</v>
      </c>
      <c r="FH63" s="59">
        <f t="shared" si="1710"/>
        <v>0</v>
      </c>
      <c r="FI63" s="59">
        <f t="shared" si="1711"/>
        <v>0</v>
      </c>
      <c r="FJ63" s="59">
        <f t="shared" si="1712"/>
        <v>0</v>
      </c>
      <c r="FK63" s="59">
        <f t="shared" si="1713"/>
        <v>0</v>
      </c>
      <c r="FL63" s="59">
        <f t="shared" si="1714"/>
        <v>0</v>
      </c>
      <c r="FM63" s="59">
        <f t="shared" si="1715"/>
        <v>0</v>
      </c>
      <c r="FN63" s="59">
        <f t="shared" si="1716"/>
        <v>0</v>
      </c>
      <c r="FO63" s="59">
        <f t="shared" si="1717"/>
        <v>0</v>
      </c>
      <c r="FP63" s="59">
        <f t="shared" si="1718"/>
        <v>0</v>
      </c>
      <c r="FQ63" s="59">
        <f t="shared" si="1719"/>
        <v>0</v>
      </c>
      <c r="FR63" s="59">
        <f t="shared" si="1720"/>
        <v>0</v>
      </c>
      <c r="FS63" s="59">
        <f t="shared" si="1721"/>
        <v>0</v>
      </c>
      <c r="FT63" s="59">
        <f t="shared" si="1722"/>
        <v>0</v>
      </c>
      <c r="FU63" s="59">
        <f t="shared" si="1723"/>
        <v>0</v>
      </c>
      <c r="FV63" s="59">
        <f t="shared" si="1724"/>
        <v>0</v>
      </c>
    </row>
    <row r="64" spans="2:178" x14ac:dyDescent="0.2">
      <c r="B64" s="46"/>
      <c r="E64" s="13"/>
      <c r="F64" s="13"/>
      <c r="G64" s="17"/>
      <c r="H64" s="49"/>
      <c r="I64" s="49"/>
      <c r="J64" s="49"/>
      <c r="K64" s="54"/>
      <c r="L64" s="54"/>
      <c r="M64" s="54"/>
      <c r="N64" s="54"/>
      <c r="O64" s="48"/>
      <c r="P64" s="48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59"/>
      <c r="FU64" s="59"/>
      <c r="FV64" s="59"/>
    </row>
    <row r="65" spans="2:178" x14ac:dyDescent="0.2">
      <c r="B65" s="46"/>
      <c r="E65" s="13"/>
      <c r="F65" s="13"/>
      <c r="G65" s="17"/>
      <c r="H65" s="49"/>
      <c r="I65" s="49"/>
      <c r="J65" s="49"/>
      <c r="K65" s="54"/>
      <c r="L65" s="54"/>
      <c r="M65" s="54"/>
      <c r="N65" s="54"/>
      <c r="O65" s="48"/>
      <c r="P65" s="48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  <c r="EH65" s="59"/>
      <c r="EI65" s="59"/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59"/>
      <c r="FU65" s="59"/>
      <c r="FV65" s="59"/>
    </row>
    <row r="66" spans="2:178" s="61" customFormat="1" ht="20" customHeight="1" x14ac:dyDescent="0.15">
      <c r="B66" s="62" t="s">
        <v>252</v>
      </c>
      <c r="C66" s="63"/>
      <c r="D66" s="63"/>
      <c r="E66" s="64">
        <f>SUM(E67:E76)</f>
        <v>1400</v>
      </c>
      <c r="F66" s="64">
        <f>SUM(F67:F76)</f>
        <v>400</v>
      </c>
      <c r="G66" s="64">
        <f>SUM(G67:G76)</f>
        <v>1800</v>
      </c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5">
        <f t="shared" ref="R66" si="1726">SUM(R67:R76)</f>
        <v>0</v>
      </c>
      <c r="S66" s="65">
        <f t="shared" ref="S66" si="1727">SUM(S67:S76)</f>
        <v>0</v>
      </c>
      <c r="T66" s="65">
        <f t="shared" ref="T66" si="1728">SUM(T67:T76)</f>
        <v>0</v>
      </c>
      <c r="U66" s="65">
        <f t="shared" ref="U66" si="1729">SUM(U67:U76)</f>
        <v>0</v>
      </c>
      <c r="V66" s="65">
        <f t="shared" ref="V66" si="1730">SUM(V67:V76)</f>
        <v>0</v>
      </c>
      <c r="W66" s="65">
        <f t="shared" ref="W66" si="1731">SUM(W67:W76)</f>
        <v>50</v>
      </c>
      <c r="X66" s="65">
        <f t="shared" ref="X66" si="1732">SUM(X67:X76)</f>
        <v>350</v>
      </c>
      <c r="Y66" s="65">
        <f t="shared" ref="Y66" si="1733">SUM(Y67:Y76)</f>
        <v>500</v>
      </c>
      <c r="Z66" s="65">
        <f t="shared" ref="Z66" si="1734">SUM(Z67:Z76)</f>
        <v>250</v>
      </c>
      <c r="AA66" s="65">
        <f t="shared" ref="AA66" si="1735">SUM(AA67:AA76)</f>
        <v>0</v>
      </c>
      <c r="AB66" s="65">
        <f t="shared" ref="AB66" si="1736">SUM(AB67:AB76)</f>
        <v>250</v>
      </c>
      <c r="AC66" s="65">
        <f t="shared" ref="AC66" si="1737">SUM(AC67:AC76)</f>
        <v>0</v>
      </c>
      <c r="AD66" s="64">
        <f t="shared" ref="AD66" si="1738">SUM(AD67:AD76)</f>
        <v>0</v>
      </c>
      <c r="AE66" s="64">
        <f t="shared" ref="AE66" si="1739">SUM(AE67:AE76)</f>
        <v>50</v>
      </c>
      <c r="AF66" s="64">
        <f t="shared" ref="AF66" si="1740">SUM(AF67:AF76)</f>
        <v>1100</v>
      </c>
      <c r="AG66" s="64">
        <f t="shared" ref="AG66" si="1741">SUM(AG67:AG76)</f>
        <v>250</v>
      </c>
      <c r="AH66" s="64">
        <f t="shared" ref="AH66" si="1742">SUM(AH67:AH76)</f>
        <v>1400</v>
      </c>
      <c r="AI66" s="64"/>
      <c r="AJ66" s="65">
        <f t="shared" ref="AJ66" si="1743">SUM(AJ67:AJ76)</f>
        <v>0</v>
      </c>
      <c r="AK66" s="65">
        <f t="shared" ref="AK66" si="1744">SUM(AK67:AK76)</f>
        <v>0</v>
      </c>
      <c r="AL66" s="65">
        <f t="shared" ref="AL66" si="1745">SUM(AL67:AL76)</f>
        <v>0</v>
      </c>
      <c r="AM66" s="65">
        <f t="shared" ref="AM66" si="1746">SUM(AM67:AM76)</f>
        <v>0</v>
      </c>
      <c r="AN66" s="65">
        <f t="shared" ref="AN66" si="1747">SUM(AN67:AN76)</f>
        <v>0</v>
      </c>
      <c r="AO66" s="65">
        <f t="shared" ref="AO66" si="1748">SUM(AO67:AO76)</f>
        <v>0</v>
      </c>
      <c r="AP66" s="65">
        <f t="shared" ref="AP66" si="1749">SUM(AP67:AP76)</f>
        <v>0</v>
      </c>
      <c r="AQ66" s="65">
        <f t="shared" ref="AQ66" si="1750">SUM(AQ67:AQ76)</f>
        <v>200</v>
      </c>
      <c r="AR66" s="65">
        <f t="shared" ref="AR66" si="1751">SUM(AR67:AR76)</f>
        <v>100</v>
      </c>
      <c r="AS66" s="65">
        <f t="shared" ref="AS66" si="1752">SUM(AS67:AS76)</f>
        <v>0</v>
      </c>
      <c r="AT66" s="65">
        <f t="shared" ref="AT66" si="1753">SUM(AT67:AT76)</f>
        <v>100</v>
      </c>
      <c r="AU66" s="65">
        <f t="shared" ref="AU66" si="1754">SUM(AU67:AU76)</f>
        <v>0</v>
      </c>
      <c r="AV66" s="64">
        <f t="shared" ref="AV66" si="1755">SUM(AV67:AV76)</f>
        <v>0</v>
      </c>
      <c r="AW66" s="64">
        <f t="shared" ref="AW66" si="1756">SUM(AW67:AW76)</f>
        <v>0</v>
      </c>
      <c r="AX66" s="64">
        <f t="shared" ref="AX66" si="1757">SUM(AX67:AX76)</f>
        <v>300</v>
      </c>
      <c r="AY66" s="64">
        <f t="shared" ref="AY66" si="1758">SUM(AY67:AY76)</f>
        <v>100</v>
      </c>
      <c r="AZ66" s="64">
        <f t="shared" ref="AZ66" si="1759">SUM(AZ67:AZ76)</f>
        <v>400</v>
      </c>
      <c r="BA66" s="64"/>
      <c r="BB66" s="65">
        <f t="shared" ref="BB66" si="1760">SUM(BB67:BB76)</f>
        <v>0</v>
      </c>
      <c r="BC66" s="65">
        <f t="shared" ref="BC66" si="1761">SUM(BC67:BC76)</f>
        <v>0</v>
      </c>
      <c r="BD66" s="65">
        <f t="shared" ref="BD66" si="1762">SUM(BD67:BD76)</f>
        <v>0</v>
      </c>
      <c r="BE66" s="65">
        <f t="shared" ref="BE66" si="1763">SUM(BE67:BE76)</f>
        <v>0</v>
      </c>
      <c r="BF66" s="65">
        <f t="shared" ref="BF66" si="1764">SUM(BF67:BF76)</f>
        <v>0</v>
      </c>
      <c r="BG66" s="65">
        <f t="shared" ref="BG66" si="1765">SUM(BG67:BG76)</f>
        <v>50</v>
      </c>
      <c r="BH66" s="65">
        <f t="shared" ref="BH66" si="1766">SUM(BH67:BH76)</f>
        <v>350</v>
      </c>
      <c r="BI66" s="65">
        <f t="shared" ref="BI66" si="1767">SUM(BI67:BI76)</f>
        <v>700</v>
      </c>
      <c r="BJ66" s="65">
        <f t="shared" ref="BJ66" si="1768">SUM(BJ67:BJ76)</f>
        <v>350</v>
      </c>
      <c r="BK66" s="65">
        <f t="shared" ref="BK66" si="1769">SUM(BK67:BK76)</f>
        <v>0</v>
      </c>
      <c r="BL66" s="65">
        <f t="shared" ref="BL66" si="1770">SUM(BL67:BL76)</f>
        <v>350</v>
      </c>
      <c r="BM66" s="65">
        <f t="shared" ref="BM66" si="1771">SUM(BM67:BM76)</f>
        <v>0</v>
      </c>
      <c r="BN66" s="64">
        <f t="shared" ref="BN66" si="1772">SUM(BN67:BN76)</f>
        <v>0</v>
      </c>
      <c r="BO66" s="64">
        <f t="shared" ref="BO66" si="1773">SUM(BO67:BO76)</f>
        <v>50</v>
      </c>
      <c r="BP66" s="64">
        <f t="shared" ref="BP66" si="1774">SUM(BP67:BP76)</f>
        <v>1400</v>
      </c>
      <c r="BQ66" s="64">
        <f t="shared" ref="BQ66" si="1775">SUM(BQ67:BQ76)</f>
        <v>350</v>
      </c>
      <c r="BR66" s="64">
        <f t="shared" ref="BR66" si="1776">SUM(BR67:BR76)</f>
        <v>1800</v>
      </c>
      <c r="BS66" s="64"/>
      <c r="BT66" s="65">
        <f t="shared" ref="BT66" si="1777">SUM(BT67:BT76)</f>
        <v>0</v>
      </c>
      <c r="BU66" s="65">
        <f t="shared" ref="BU66" si="1778">SUM(BU67:BU76)</f>
        <v>0</v>
      </c>
      <c r="BV66" s="65">
        <f t="shared" ref="BV66" si="1779">SUM(BV67:BV76)</f>
        <v>0</v>
      </c>
      <c r="BW66" s="65">
        <f t="shared" ref="BW66" si="1780">SUM(BW67:BW76)</f>
        <v>0</v>
      </c>
      <c r="BX66" s="65">
        <f t="shared" ref="BX66" si="1781">SUM(BX67:BX76)</f>
        <v>0</v>
      </c>
      <c r="BY66" s="65">
        <f t="shared" ref="BY66" si="1782">SUM(BY67:BY76)</f>
        <v>0</v>
      </c>
      <c r="BZ66" s="65">
        <f t="shared" ref="BZ66" si="1783">SUM(BZ67:BZ76)</f>
        <v>50</v>
      </c>
      <c r="CA66" s="65">
        <f t="shared" ref="CA66" si="1784">SUM(CA67:CA76)</f>
        <v>125</v>
      </c>
      <c r="CB66" s="65">
        <f t="shared" ref="CB66" si="1785">SUM(CB67:CB76)</f>
        <v>158.33333333333331</v>
      </c>
      <c r="CC66" s="65">
        <f t="shared" ref="CC66" si="1786">SUM(CC67:CC76)</f>
        <v>220.83333333333331</v>
      </c>
      <c r="CD66" s="65">
        <f t="shared" ref="CD66" si="1787">SUM(CD67:CD76)</f>
        <v>220.83333333333331</v>
      </c>
      <c r="CE66" s="65">
        <f t="shared" ref="CE66" si="1788">SUM(CE67:CE76)</f>
        <v>208.33333333333331</v>
      </c>
      <c r="CF66" s="64">
        <f t="shared" ref="CF66" si="1789">SUM(CF67:CF76)</f>
        <v>0</v>
      </c>
      <c r="CG66" s="64">
        <f t="shared" ref="CG66" si="1790">SUM(CG67:CG76)</f>
        <v>0</v>
      </c>
      <c r="CH66" s="64">
        <f t="shared" ref="CH66" si="1791">SUM(CH67:CH76)</f>
        <v>333.33333333333331</v>
      </c>
      <c r="CI66" s="64">
        <f t="shared" ref="CI66" si="1792">SUM(CI67:CI76)</f>
        <v>650</v>
      </c>
      <c r="CJ66" s="64">
        <f t="shared" ref="CJ66" si="1793">SUM(CJ67:CJ76)</f>
        <v>983.33333333333326</v>
      </c>
      <c r="CK66" s="64"/>
      <c r="CL66" s="65">
        <f t="shared" ref="CL66" si="1794">SUM(CL67:CL76)</f>
        <v>0</v>
      </c>
      <c r="CM66" s="65">
        <f t="shared" ref="CM66" si="1795">SUM(CM67:CM76)</f>
        <v>0</v>
      </c>
      <c r="CN66" s="65">
        <f t="shared" ref="CN66" si="1796">SUM(CN67:CN76)</f>
        <v>0</v>
      </c>
      <c r="CO66" s="65">
        <f t="shared" ref="CO66" si="1797">SUM(CO67:CO76)</f>
        <v>0</v>
      </c>
      <c r="CP66" s="65">
        <f t="shared" ref="CP66" si="1798">SUM(CP67:CP76)</f>
        <v>0</v>
      </c>
      <c r="CQ66" s="65">
        <f t="shared" ref="CQ66" si="1799">SUM(CQ67:CQ76)</f>
        <v>0</v>
      </c>
      <c r="CR66" s="65">
        <f t="shared" ref="CR66" si="1800">SUM(CR67:CR76)</f>
        <v>0</v>
      </c>
      <c r="CS66" s="65">
        <f t="shared" ref="CS66" si="1801">SUM(CS67:CS76)</f>
        <v>0</v>
      </c>
      <c r="CT66" s="65">
        <f t="shared" ref="CT66" si="1802">SUM(CT67:CT76)</f>
        <v>0</v>
      </c>
      <c r="CU66" s="65">
        <f t="shared" ref="CU66" si="1803">SUM(CU67:CU76)</f>
        <v>0</v>
      </c>
      <c r="CV66" s="65">
        <f t="shared" ref="CV66" si="1804">SUM(CV67:CV76)</f>
        <v>0</v>
      </c>
      <c r="CW66" s="65">
        <f t="shared" ref="CW66" si="1805">SUM(CW67:CW76)</f>
        <v>0</v>
      </c>
      <c r="CX66" s="64">
        <f t="shared" ref="CX66" si="1806">SUM(CX67:CX76)</f>
        <v>0</v>
      </c>
      <c r="CY66" s="64">
        <f t="shared" ref="CY66" si="1807">SUM(CY67:CY76)</f>
        <v>0</v>
      </c>
      <c r="CZ66" s="64">
        <f t="shared" ref="CZ66" si="1808">SUM(CZ67:CZ76)</f>
        <v>0</v>
      </c>
      <c r="DA66" s="64">
        <f t="shared" ref="DA66" si="1809">SUM(DA67:DA76)</f>
        <v>0</v>
      </c>
      <c r="DB66" s="64">
        <f t="shared" ref="DB66" si="1810">SUM(DB67:DB76)</f>
        <v>0</v>
      </c>
      <c r="DC66" s="64"/>
      <c r="DD66" s="65">
        <f t="shared" ref="DD66" si="1811">SUM(DD67:DD76)</f>
        <v>0</v>
      </c>
      <c r="DE66" s="65">
        <f t="shared" ref="DE66" si="1812">SUM(DE67:DE76)</f>
        <v>0</v>
      </c>
      <c r="DF66" s="65">
        <f t="shared" ref="DF66" si="1813">SUM(DF67:DF76)</f>
        <v>0</v>
      </c>
      <c r="DG66" s="65">
        <f t="shared" ref="DG66" si="1814">SUM(DG67:DG76)</f>
        <v>0</v>
      </c>
      <c r="DH66" s="65">
        <f t="shared" ref="DH66" si="1815">SUM(DH67:DH76)</f>
        <v>0</v>
      </c>
      <c r="DI66" s="65">
        <f t="shared" ref="DI66" si="1816">SUM(DI67:DI76)</f>
        <v>0</v>
      </c>
      <c r="DJ66" s="65">
        <f t="shared" ref="DJ66" si="1817">SUM(DJ67:DJ76)</f>
        <v>50</v>
      </c>
      <c r="DK66" s="65">
        <f t="shared" ref="DK66" si="1818">SUM(DK67:DK76)</f>
        <v>125</v>
      </c>
      <c r="DL66" s="65">
        <f t="shared" ref="DL66" si="1819">SUM(DL67:DL76)</f>
        <v>158.33333333333331</v>
      </c>
      <c r="DM66" s="65">
        <f t="shared" ref="DM66" si="1820">SUM(DM67:DM76)</f>
        <v>220.83333333333331</v>
      </c>
      <c r="DN66" s="65">
        <f t="shared" ref="DN66" si="1821">SUM(DN67:DN76)</f>
        <v>220.83333333333331</v>
      </c>
      <c r="DO66" s="65">
        <f t="shared" ref="DO66" si="1822">SUM(DO67:DO76)</f>
        <v>208.33333333333331</v>
      </c>
      <c r="DP66" s="64">
        <f t="shared" ref="DP66" si="1823">SUM(DP67:DP76)</f>
        <v>0</v>
      </c>
      <c r="DQ66" s="64">
        <f t="shared" ref="DQ66" si="1824">SUM(DQ67:DQ76)</f>
        <v>0</v>
      </c>
      <c r="DR66" s="64">
        <f t="shared" ref="DR66" si="1825">SUM(DR67:DR76)</f>
        <v>333.33333333333331</v>
      </c>
      <c r="DS66" s="64">
        <f t="shared" ref="DS66" si="1826">SUM(DS67:DS76)</f>
        <v>650</v>
      </c>
      <c r="DT66" s="64">
        <f t="shared" ref="DT66" si="1827">SUM(DT67:DT76)</f>
        <v>983.33333333333326</v>
      </c>
      <c r="DU66" s="64"/>
      <c r="DV66" s="65">
        <f t="shared" ref="DV66" si="1828">SUM(DV67:DV76)</f>
        <v>0</v>
      </c>
      <c r="DW66" s="65">
        <f t="shared" ref="DW66" si="1829">SUM(DW67:DW76)</f>
        <v>0</v>
      </c>
      <c r="DX66" s="65">
        <f t="shared" ref="DX66" si="1830">SUM(DX67:DX76)</f>
        <v>0</v>
      </c>
      <c r="DY66" s="65">
        <f t="shared" ref="DY66" si="1831">SUM(DY67:DY76)</f>
        <v>0</v>
      </c>
      <c r="DZ66" s="65">
        <f t="shared" ref="DZ66" si="1832">SUM(DZ67:DZ76)</f>
        <v>0</v>
      </c>
      <c r="EA66" s="65">
        <f t="shared" ref="EA66" si="1833">SUM(EA67:EA76)</f>
        <v>9.9870000000000001</v>
      </c>
      <c r="EB66" s="65">
        <f t="shared" ref="EB66" si="1834">SUM(EB67:EB76)</f>
        <v>0</v>
      </c>
      <c r="EC66" s="65">
        <f t="shared" ref="EC66" si="1835">SUM(EC67:EC76)</f>
        <v>0</v>
      </c>
      <c r="ED66" s="65">
        <f t="shared" ref="ED66" si="1836">SUM(ED67:ED76)</f>
        <v>50</v>
      </c>
      <c r="EE66" s="65">
        <f t="shared" ref="EE66" si="1837">SUM(EE67:EE76)</f>
        <v>125</v>
      </c>
      <c r="EF66" s="65">
        <f t="shared" ref="EF66" si="1838">SUM(EF67:EF76)</f>
        <v>158.33333333333331</v>
      </c>
      <c r="EG66" s="65">
        <f t="shared" ref="EG66" si="1839">SUM(EG67:EG76)</f>
        <v>220.83333333333331</v>
      </c>
      <c r="EH66" s="64">
        <f t="shared" ref="EH66" si="1840">SUM(EH67:EH76)</f>
        <v>0</v>
      </c>
      <c r="EI66" s="64">
        <f t="shared" ref="EI66" si="1841">SUM(EI67:EI76)</f>
        <v>9.9870000000000001</v>
      </c>
      <c r="EJ66" s="64">
        <f t="shared" ref="EJ66" si="1842">SUM(EJ67:EJ76)</f>
        <v>50</v>
      </c>
      <c r="EK66" s="64">
        <f t="shared" ref="EK66" si="1843">SUM(EK67:EK76)</f>
        <v>504.16666666666663</v>
      </c>
      <c r="EL66" s="64">
        <f t="shared" ref="EL66" si="1844">SUM(EL67:EL76)</f>
        <v>564.1536666666666</v>
      </c>
      <c r="EM66" s="64"/>
      <c r="EN66" s="65">
        <f t="shared" ref="EN66" si="1845">SUM(EN67:EN76)</f>
        <v>0</v>
      </c>
      <c r="EO66" s="65">
        <f t="shared" ref="EO66" si="1846">SUM(EO67:EO76)</f>
        <v>0</v>
      </c>
      <c r="EP66" s="65">
        <f t="shared" ref="EP66" si="1847">SUM(EP67:EP76)</f>
        <v>0</v>
      </c>
      <c r="EQ66" s="65">
        <f t="shared" ref="EQ66" si="1848">SUM(EQ67:EQ76)</f>
        <v>0</v>
      </c>
      <c r="ER66" s="65">
        <f t="shared" ref="ER66" si="1849">SUM(ER67:ER76)</f>
        <v>0</v>
      </c>
      <c r="ES66" s="65">
        <f t="shared" ref="ES66" si="1850">SUM(ES67:ES76)</f>
        <v>0</v>
      </c>
      <c r="ET66" s="65">
        <f t="shared" ref="ET66" si="1851">SUM(ET67:ET76)</f>
        <v>0</v>
      </c>
      <c r="EU66" s="65">
        <f t="shared" ref="EU66" si="1852">SUM(EU67:EU76)</f>
        <v>42</v>
      </c>
      <c r="EV66" s="65">
        <f t="shared" ref="EV66" si="1853">SUM(EV67:EV76)</f>
        <v>42</v>
      </c>
      <c r="EW66" s="65">
        <f t="shared" ref="EW66" si="1854">SUM(EW67:EW76)</f>
        <v>42</v>
      </c>
      <c r="EX66" s="65">
        <f t="shared" ref="EX66" si="1855">SUM(EX67:EX76)</f>
        <v>42</v>
      </c>
      <c r="EY66" s="65">
        <f t="shared" ref="EY66" si="1856">SUM(EY67:EY76)</f>
        <v>42</v>
      </c>
      <c r="EZ66" s="64">
        <f t="shared" ref="EZ66" si="1857">SUM(EZ67:EZ76)</f>
        <v>0</v>
      </c>
      <c r="FA66" s="64">
        <f t="shared" ref="FA66" si="1858">SUM(FA67:FA76)</f>
        <v>0</v>
      </c>
      <c r="FB66" s="64">
        <f t="shared" ref="FB66" si="1859">SUM(FB67:FB76)</f>
        <v>84</v>
      </c>
      <c r="FC66" s="64">
        <f t="shared" ref="FC66" si="1860">SUM(FC67:FC76)</f>
        <v>126</v>
      </c>
      <c r="FD66" s="64">
        <f t="shared" ref="FD66" si="1861">SUM(FD67:FD76)</f>
        <v>210</v>
      </c>
      <c r="FE66" s="64"/>
      <c r="FF66" s="65">
        <f t="shared" ref="FF66" si="1862">SUM(FF67:FF76)</f>
        <v>0</v>
      </c>
      <c r="FG66" s="65">
        <f t="shared" ref="FG66" si="1863">SUM(FG67:FG76)</f>
        <v>0</v>
      </c>
      <c r="FH66" s="65">
        <f t="shared" ref="FH66" si="1864">SUM(FH67:FH76)</f>
        <v>0</v>
      </c>
      <c r="FI66" s="65">
        <f t="shared" ref="FI66" si="1865">SUM(FI67:FI76)</f>
        <v>0</v>
      </c>
      <c r="FJ66" s="65">
        <f t="shared" ref="FJ66" si="1866">SUM(FJ67:FJ76)</f>
        <v>0</v>
      </c>
      <c r="FK66" s="65">
        <f t="shared" ref="FK66" si="1867">SUM(FK67:FK76)</f>
        <v>9.9870000000000001</v>
      </c>
      <c r="FL66" s="65">
        <f t="shared" ref="FL66" si="1868">SUM(FL67:FL76)</f>
        <v>0</v>
      </c>
      <c r="FM66" s="65">
        <f t="shared" ref="FM66" si="1869">SUM(FM67:FM76)</f>
        <v>42</v>
      </c>
      <c r="FN66" s="65">
        <f t="shared" ref="FN66" si="1870">SUM(FN67:FN76)</f>
        <v>92</v>
      </c>
      <c r="FO66" s="65">
        <f t="shared" ref="FO66" si="1871">SUM(FO67:FO76)</f>
        <v>167</v>
      </c>
      <c r="FP66" s="65">
        <f t="shared" ref="FP66" si="1872">SUM(FP67:FP76)</f>
        <v>200.33333333333331</v>
      </c>
      <c r="FQ66" s="65">
        <f t="shared" ref="FQ66" si="1873">SUM(FQ67:FQ76)</f>
        <v>262.83333333333331</v>
      </c>
      <c r="FR66" s="64">
        <f t="shared" ref="FR66" si="1874">SUM(FR67:FR76)</f>
        <v>0</v>
      </c>
      <c r="FS66" s="64">
        <f t="shared" ref="FS66" si="1875">SUM(FS67:FS76)</f>
        <v>9.9870000000000001</v>
      </c>
      <c r="FT66" s="64">
        <f t="shared" ref="FT66" si="1876">SUM(FT67:FT76)</f>
        <v>134</v>
      </c>
      <c r="FU66" s="64">
        <f t="shared" ref="FU66" si="1877">SUM(FU67:FU76)</f>
        <v>630.16666666666663</v>
      </c>
      <c r="FV66" s="64">
        <f t="shared" ref="FV66" si="1878">SUM(FV67:FV76)</f>
        <v>774.15366666666671</v>
      </c>
    </row>
    <row r="67" spans="2:178" x14ac:dyDescent="0.2">
      <c r="B67" s="46">
        <v>1</v>
      </c>
      <c r="C67" s="71" t="s">
        <v>838</v>
      </c>
      <c r="E67" s="13">
        <v>0</v>
      </c>
      <c r="F67" s="13">
        <v>0</v>
      </c>
      <c r="G67" s="17">
        <f>+E67+F67</f>
        <v>0</v>
      </c>
      <c r="H67" s="49" t="s">
        <v>215</v>
      </c>
      <c r="I67" s="49" t="s">
        <v>216</v>
      </c>
      <c r="J67" s="49" t="s">
        <v>217</v>
      </c>
      <c r="K67" s="54">
        <v>0</v>
      </c>
      <c r="L67" s="54">
        <v>0</v>
      </c>
      <c r="M67" s="54">
        <v>0</v>
      </c>
      <c r="N67" s="54">
        <v>0</v>
      </c>
      <c r="O67" s="48">
        <f>+N67+1</f>
        <v>1</v>
      </c>
      <c r="P67" s="48">
        <f>+K67+L67</f>
        <v>0</v>
      </c>
      <c r="R67" s="59">
        <f>IF($N67&lt;R$4,0,IF($N67=R$4,$E67,0))</f>
        <v>0</v>
      </c>
      <c r="S67" s="59">
        <f t="shared" ref="S67:AC75" si="1879">IF($N67&lt;S$4,0,IF($N67=S$4,$E67,0))</f>
        <v>0</v>
      </c>
      <c r="T67" s="59">
        <f t="shared" si="1879"/>
        <v>0</v>
      </c>
      <c r="U67" s="59">
        <f t="shared" si="1879"/>
        <v>0</v>
      </c>
      <c r="V67" s="59">
        <f t="shared" si="1879"/>
        <v>0</v>
      </c>
      <c r="W67" s="59">
        <f t="shared" si="1879"/>
        <v>0</v>
      </c>
      <c r="X67" s="59">
        <f t="shared" si="1879"/>
        <v>0</v>
      </c>
      <c r="Y67" s="59">
        <f t="shared" si="1879"/>
        <v>0</v>
      </c>
      <c r="Z67" s="59">
        <f t="shared" si="1879"/>
        <v>0</v>
      </c>
      <c r="AA67" s="59">
        <f t="shared" si="1879"/>
        <v>0</v>
      </c>
      <c r="AB67" s="59">
        <f t="shared" si="1879"/>
        <v>0</v>
      </c>
      <c r="AC67" s="59">
        <f t="shared" si="1879"/>
        <v>0</v>
      </c>
      <c r="AD67" s="59">
        <f>SUM(R67:T67)</f>
        <v>0</v>
      </c>
      <c r="AE67" s="59">
        <f>SUM(U67:W67)</f>
        <v>0</v>
      </c>
      <c r="AF67" s="59">
        <f>SUM(X67:Z67)</f>
        <v>0</v>
      </c>
      <c r="AG67" s="59">
        <f>SUM(AA67:AC67)</f>
        <v>0</v>
      </c>
      <c r="AH67" s="59">
        <f>SUM(AD67:AG67)</f>
        <v>0</v>
      </c>
      <c r="AI67" s="59"/>
      <c r="AJ67" s="59">
        <f>IF($N67&lt;AJ$4,0,IF($N67=AJ$4,$F67,0))</f>
        <v>0</v>
      </c>
      <c r="AK67" s="59">
        <f t="shared" ref="AK67:AU75" si="1880">IF($N67&lt;AK$4,0,IF($N67=AK$4,$F67,0))</f>
        <v>0</v>
      </c>
      <c r="AL67" s="59">
        <f t="shared" si="1880"/>
        <v>0</v>
      </c>
      <c r="AM67" s="59">
        <f t="shared" si="1880"/>
        <v>0</v>
      </c>
      <c r="AN67" s="59">
        <f t="shared" si="1880"/>
        <v>0</v>
      </c>
      <c r="AO67" s="59">
        <f t="shared" si="1880"/>
        <v>0</v>
      </c>
      <c r="AP67" s="59">
        <f t="shared" si="1880"/>
        <v>0</v>
      </c>
      <c r="AQ67" s="59">
        <f t="shared" si="1880"/>
        <v>0</v>
      </c>
      <c r="AR67" s="59">
        <f t="shared" si="1880"/>
        <v>0</v>
      </c>
      <c r="AS67" s="59">
        <f t="shared" si="1880"/>
        <v>0</v>
      </c>
      <c r="AT67" s="59">
        <f t="shared" si="1880"/>
        <v>0</v>
      </c>
      <c r="AU67" s="59">
        <f t="shared" si="1880"/>
        <v>0</v>
      </c>
      <c r="AV67" s="59">
        <f>SUM(AJ67:AL67)</f>
        <v>0</v>
      </c>
      <c r="AW67" s="59">
        <f>SUM(AM67:AO67)</f>
        <v>0</v>
      </c>
      <c r="AX67" s="59">
        <f>SUM(AP67:AR67)</f>
        <v>0</v>
      </c>
      <c r="AY67" s="59">
        <f>SUM(AS67:AU67)</f>
        <v>0</v>
      </c>
      <c r="AZ67" s="59">
        <f>SUM(AV67:AY67)</f>
        <v>0</v>
      </c>
      <c r="BA67" s="59"/>
      <c r="BB67" s="59">
        <f>+R67+AJ67</f>
        <v>0</v>
      </c>
      <c r="BC67" s="59">
        <f t="shared" ref="BC67:BC75" si="1881">+S67+AK67</f>
        <v>0</v>
      </c>
      <c r="BD67" s="59">
        <f t="shared" ref="BD67:BD75" si="1882">+T67+AL67</f>
        <v>0</v>
      </c>
      <c r="BE67" s="59">
        <f t="shared" ref="BE67:BE75" si="1883">+U67+AM67</f>
        <v>0</v>
      </c>
      <c r="BF67" s="59">
        <f t="shared" ref="BF67:BF75" si="1884">+V67+AN67</f>
        <v>0</v>
      </c>
      <c r="BG67" s="59">
        <f t="shared" ref="BG67:BG75" si="1885">+W67+AO67</f>
        <v>0</v>
      </c>
      <c r="BH67" s="59">
        <f t="shared" ref="BH67:BH75" si="1886">+X67+AP67</f>
        <v>0</v>
      </c>
      <c r="BI67" s="59">
        <f t="shared" ref="BI67:BI75" si="1887">+Y67+AQ67</f>
        <v>0</v>
      </c>
      <c r="BJ67" s="59">
        <f t="shared" ref="BJ67:BJ75" si="1888">+Z67+AR67</f>
        <v>0</v>
      </c>
      <c r="BK67" s="59">
        <f t="shared" ref="BK67:BK75" si="1889">+AA67+AS67</f>
        <v>0</v>
      </c>
      <c r="BL67" s="59">
        <f t="shared" ref="BL67:BL75" si="1890">+AB67+AT67</f>
        <v>0</v>
      </c>
      <c r="BM67" s="59">
        <f t="shared" ref="BM67:BM75" si="1891">+AC67+AU67</f>
        <v>0</v>
      </c>
      <c r="BN67" s="59">
        <f>SUM(BB67:BD67)</f>
        <v>0</v>
      </c>
      <c r="BO67" s="59">
        <f>SUM(BE67:BG67)</f>
        <v>0</v>
      </c>
      <c r="BP67" s="59">
        <f t="shared" ref="BP67:BP75" si="1892">SUM(BH67:BJ67)</f>
        <v>0</v>
      </c>
      <c r="BQ67" s="59">
        <f>SUM(BK67:BM67)</f>
        <v>0</v>
      </c>
      <c r="BR67" s="59">
        <f>SUM(BN67:BQ67)</f>
        <v>0</v>
      </c>
      <c r="BS67" s="59"/>
      <c r="BT67" s="59">
        <f>IF(BT$4&lt;$O67,0,IF(AND(BT$4&gt;=$O67,BT$4&lt;=$K67+$N67),$E67/$K67,0))</f>
        <v>0</v>
      </c>
      <c r="BU67" s="59">
        <f t="shared" ref="BU67:CE75" si="1893">IF(BU$4&lt;$O67,0,IF(AND(BU$4&gt;=$O67,BU$4&lt;=$K67+$N67),$E67/$K67,0))</f>
        <v>0</v>
      </c>
      <c r="BV67" s="59">
        <f t="shared" si="1893"/>
        <v>0</v>
      </c>
      <c r="BW67" s="59">
        <f t="shared" si="1893"/>
        <v>0</v>
      </c>
      <c r="BX67" s="59">
        <f t="shared" si="1893"/>
        <v>0</v>
      </c>
      <c r="BY67" s="59">
        <f t="shared" si="1893"/>
        <v>0</v>
      </c>
      <c r="BZ67" s="59">
        <f t="shared" si="1893"/>
        <v>0</v>
      </c>
      <c r="CA67" s="59">
        <f t="shared" si="1893"/>
        <v>0</v>
      </c>
      <c r="CB67" s="59">
        <f t="shared" si="1893"/>
        <v>0</v>
      </c>
      <c r="CC67" s="59">
        <f t="shared" si="1893"/>
        <v>0</v>
      </c>
      <c r="CD67" s="59">
        <f t="shared" si="1893"/>
        <v>0</v>
      </c>
      <c r="CE67" s="59">
        <f t="shared" si="1893"/>
        <v>0</v>
      </c>
      <c r="CF67" s="59">
        <f>SUM(BT67:BV67)</f>
        <v>0</v>
      </c>
      <c r="CG67" s="59">
        <f>SUM(BW67:BY67)</f>
        <v>0</v>
      </c>
      <c r="CH67" s="59">
        <f>SUM(BZ67:CB67)</f>
        <v>0</v>
      </c>
      <c r="CI67" s="59">
        <f>SUM(CC67:CE67)</f>
        <v>0</v>
      </c>
      <c r="CJ67" s="59">
        <f>SUM(CF67:CI67)</f>
        <v>0</v>
      </c>
      <c r="CK67" s="59"/>
      <c r="CL67" s="59">
        <f t="shared" ref="CL67:CW75" si="1894">IF(CL$4&lt;$O67+$K67,0,IF(AND(CL$4&gt;=$O67+$K67,CL$4&lt;=$L67+$K67),$F67/$L67,0))</f>
        <v>0</v>
      </c>
      <c r="CM67" s="59">
        <f t="shared" si="1894"/>
        <v>0</v>
      </c>
      <c r="CN67" s="59">
        <f t="shared" si="1894"/>
        <v>0</v>
      </c>
      <c r="CO67" s="59">
        <f t="shared" si="1894"/>
        <v>0</v>
      </c>
      <c r="CP67" s="59">
        <f t="shared" si="1894"/>
        <v>0</v>
      </c>
      <c r="CQ67" s="59">
        <f t="shared" si="1894"/>
        <v>0</v>
      </c>
      <c r="CR67" s="59">
        <f t="shared" si="1894"/>
        <v>0</v>
      </c>
      <c r="CS67" s="59">
        <f t="shared" si="1894"/>
        <v>0</v>
      </c>
      <c r="CT67" s="59">
        <f t="shared" si="1894"/>
        <v>0</v>
      </c>
      <c r="CU67" s="59">
        <f t="shared" si="1894"/>
        <v>0</v>
      </c>
      <c r="CV67" s="59">
        <f t="shared" si="1894"/>
        <v>0</v>
      </c>
      <c r="CW67" s="59">
        <f t="shared" si="1894"/>
        <v>0</v>
      </c>
      <c r="CX67" s="59">
        <f>SUM(CL67:CN67)</f>
        <v>0</v>
      </c>
      <c r="CY67" s="59">
        <f>SUM(CO67:CQ67)</f>
        <v>0</v>
      </c>
      <c r="CZ67" s="59">
        <f>SUM(CR67:CT67)</f>
        <v>0</v>
      </c>
      <c r="DA67" s="59">
        <f>SUM(CU67:CW67)</f>
        <v>0</v>
      </c>
      <c r="DB67" s="59">
        <f>SUM(CX67:DA67)</f>
        <v>0</v>
      </c>
      <c r="DC67" s="59"/>
      <c r="DD67" s="59">
        <f>+BT67+CL67</f>
        <v>0</v>
      </c>
      <c r="DE67" s="59">
        <f t="shared" ref="DE67:DE75" si="1895">+BU67+CM67</f>
        <v>0</v>
      </c>
      <c r="DF67" s="59">
        <f t="shared" ref="DF67:DF75" si="1896">+BV67+CN67</f>
        <v>0</v>
      </c>
      <c r="DG67" s="59">
        <f t="shared" ref="DG67:DG75" si="1897">+BW67+CO67</f>
        <v>0</v>
      </c>
      <c r="DH67" s="59">
        <f t="shared" ref="DH67:DH75" si="1898">+BX67+CP67</f>
        <v>0</v>
      </c>
      <c r="DI67" s="59">
        <f t="shared" ref="DI67:DI75" si="1899">+BY67+CQ67</f>
        <v>0</v>
      </c>
      <c r="DJ67" s="59">
        <f t="shared" ref="DJ67:DJ75" si="1900">+BZ67+CR67</f>
        <v>0</v>
      </c>
      <c r="DK67" s="59">
        <f t="shared" ref="DK67:DK75" si="1901">+CA67+CS67</f>
        <v>0</v>
      </c>
      <c r="DL67" s="59">
        <f t="shared" ref="DL67:DL75" si="1902">+CB67+CT67</f>
        <v>0</v>
      </c>
      <c r="DM67" s="59">
        <f t="shared" ref="DM67:DM75" si="1903">+CC67+CU67</f>
        <v>0</v>
      </c>
      <c r="DN67" s="59">
        <f t="shared" ref="DN67:DN75" si="1904">+CD67+CV67</f>
        <v>0</v>
      </c>
      <c r="DO67" s="59">
        <f t="shared" ref="DO67:DO75" si="1905">+CE67+CW67</f>
        <v>0</v>
      </c>
      <c r="DP67" s="59">
        <f>SUM(DD67:DF67)</f>
        <v>0</v>
      </c>
      <c r="DQ67" s="59">
        <f>SUM(DG67:DI67)</f>
        <v>0</v>
      </c>
      <c r="DR67" s="59">
        <f>SUM(DJ67:DL67)</f>
        <v>0</v>
      </c>
      <c r="DS67" s="59">
        <f>SUM(DM67:DO67)</f>
        <v>0</v>
      </c>
      <c r="DT67" s="59">
        <f>SUM(DP67:DS67)</f>
        <v>0</v>
      </c>
      <c r="DU67" s="59"/>
      <c r="DV67" s="70">
        <v>0</v>
      </c>
      <c r="DW67" s="70">
        <v>0</v>
      </c>
      <c r="DX67" s="70">
        <v>0</v>
      </c>
      <c r="DY67" s="70">
        <v>0</v>
      </c>
      <c r="DZ67" s="70">
        <v>0</v>
      </c>
      <c r="EA67" s="70">
        <v>9.9870000000000001</v>
      </c>
      <c r="EB67" s="59">
        <f t="shared" ref="EB67:EG75" si="1906">IF(EB$4&lt;$O67+2,0,IF(AND(EB$4&gt;=$O67+2,EB$4&lt;=$K67+$N67+2),$E67/$K67,0))</f>
        <v>0</v>
      </c>
      <c r="EC67" s="59">
        <f t="shared" si="1906"/>
        <v>0</v>
      </c>
      <c r="ED67" s="59">
        <f t="shared" si="1906"/>
        <v>0</v>
      </c>
      <c r="EE67" s="59">
        <f t="shared" si="1906"/>
        <v>0</v>
      </c>
      <c r="EF67" s="59">
        <f t="shared" si="1906"/>
        <v>0</v>
      </c>
      <c r="EG67" s="59">
        <f t="shared" si="1906"/>
        <v>0</v>
      </c>
      <c r="EH67" s="59">
        <f>SUM(DV67:DX67)</f>
        <v>0</v>
      </c>
      <c r="EI67" s="59">
        <f>SUM(DY67:EA67)</f>
        <v>9.9870000000000001</v>
      </c>
      <c r="EJ67" s="59">
        <f>SUM(EB67:ED67)</f>
        <v>0</v>
      </c>
      <c r="EK67" s="59">
        <f>SUM(EE67:EG67)</f>
        <v>0</v>
      </c>
      <c r="EL67" s="59">
        <f>SUM(EH67:EK67)</f>
        <v>9.9870000000000001</v>
      </c>
      <c r="EM67" s="59"/>
      <c r="EN67" s="70">
        <v>0</v>
      </c>
      <c r="EO67" s="70">
        <v>0</v>
      </c>
      <c r="EP67" s="70">
        <v>0</v>
      </c>
      <c r="EQ67" s="70">
        <v>0</v>
      </c>
      <c r="ER67" s="70">
        <v>0</v>
      </c>
      <c r="ES67" s="59">
        <f t="shared" ref="ES67:EY75" si="1907">IF(ES$4&lt;$O67+$K67+1,0,IF(AND(ES$4=$O67+$K67+1,ES$4&lt;=$L67+$K67+1),$F67*0.5,IF(AND(ES$4&gt;$O67+$K67+1,ES$4&lt;=$L67+$K67+1),($F67*0.5)/$L67,0)))</f>
        <v>0</v>
      </c>
      <c r="ET67" s="59">
        <f t="shared" si="1907"/>
        <v>0</v>
      </c>
      <c r="EU67" s="59">
        <f t="shared" si="1907"/>
        <v>0</v>
      </c>
      <c r="EV67" s="59">
        <f t="shared" si="1907"/>
        <v>0</v>
      </c>
      <c r="EW67" s="59">
        <f t="shared" si="1907"/>
        <v>0</v>
      </c>
      <c r="EX67" s="59">
        <f t="shared" si="1907"/>
        <v>0</v>
      </c>
      <c r="EY67" s="59">
        <f t="shared" si="1907"/>
        <v>0</v>
      </c>
      <c r="EZ67" s="59">
        <f>SUM(EN67:EP67)</f>
        <v>0</v>
      </c>
      <c r="FA67" s="59">
        <f>SUM(EQ67:ES67)</f>
        <v>0</v>
      </c>
      <c r="FB67" s="59">
        <f>SUM(ET67:EV67)</f>
        <v>0</v>
      </c>
      <c r="FC67" s="59">
        <f>SUM(EW67:EY67)</f>
        <v>0</v>
      </c>
      <c r="FD67" s="59">
        <f>SUM(EZ67:FC67)</f>
        <v>0</v>
      </c>
      <c r="FE67" s="59"/>
      <c r="FF67" s="59">
        <f>+DV67+EN67</f>
        <v>0</v>
      </c>
      <c r="FG67" s="59">
        <f t="shared" ref="FG67:FG75" si="1908">+DW67+EO67</f>
        <v>0</v>
      </c>
      <c r="FH67" s="59">
        <f t="shared" ref="FH67:FH75" si="1909">+DX67+EP67</f>
        <v>0</v>
      </c>
      <c r="FI67" s="59">
        <f t="shared" ref="FI67:FI75" si="1910">+DY67+EQ67</f>
        <v>0</v>
      </c>
      <c r="FJ67" s="59">
        <f t="shared" ref="FJ67:FJ75" si="1911">+DZ67+ER67</f>
        <v>0</v>
      </c>
      <c r="FK67" s="59">
        <f t="shared" ref="FK67:FK75" si="1912">+EA67+ES67</f>
        <v>9.9870000000000001</v>
      </c>
      <c r="FL67" s="59">
        <f t="shared" ref="FL67:FL75" si="1913">+EB67+ET67</f>
        <v>0</v>
      </c>
      <c r="FM67" s="59">
        <f t="shared" ref="FM67:FM75" si="1914">+EC67+EU67</f>
        <v>0</v>
      </c>
      <c r="FN67" s="59">
        <f t="shared" ref="FN67:FN75" si="1915">+ED67+EV67</f>
        <v>0</v>
      </c>
      <c r="FO67" s="59">
        <f t="shared" ref="FO67:FO75" si="1916">+EE67+EW67</f>
        <v>0</v>
      </c>
      <c r="FP67" s="59">
        <f t="shared" ref="FP67:FP75" si="1917">+EF67+EX67</f>
        <v>0</v>
      </c>
      <c r="FQ67" s="59">
        <f t="shared" ref="FQ67:FQ75" si="1918">+EG67+EY67</f>
        <v>0</v>
      </c>
      <c r="FR67" s="59">
        <f>SUM(FF67:FH67)</f>
        <v>0</v>
      </c>
      <c r="FS67" s="59">
        <f>SUM(FI67:FK67)</f>
        <v>9.9870000000000001</v>
      </c>
      <c r="FT67" s="59">
        <f>SUM(FL67:FN67)</f>
        <v>0</v>
      </c>
      <c r="FU67" s="59">
        <f>SUM(FO67:FQ67)</f>
        <v>0</v>
      </c>
      <c r="FV67" s="59">
        <f>SUM(FR67:FU67)</f>
        <v>9.9870000000000001</v>
      </c>
    </row>
    <row r="68" spans="2:178" x14ac:dyDescent="0.2">
      <c r="B68" s="46">
        <f>+B67+1</f>
        <v>2</v>
      </c>
      <c r="C68" s="71" t="s">
        <v>561</v>
      </c>
      <c r="E68" s="13">
        <v>300</v>
      </c>
      <c r="F68" s="13">
        <v>0</v>
      </c>
      <c r="G68" s="17">
        <f>+E68+F68</f>
        <v>300</v>
      </c>
      <c r="H68" s="49" t="s">
        <v>215</v>
      </c>
      <c r="I68" s="49" t="s">
        <v>216</v>
      </c>
      <c r="J68" s="49" t="s">
        <v>217</v>
      </c>
      <c r="K68" s="54">
        <v>4</v>
      </c>
      <c r="L68" s="54">
        <v>12</v>
      </c>
      <c r="M68" s="54">
        <v>0</v>
      </c>
      <c r="N68" s="54">
        <v>7</v>
      </c>
      <c r="O68" s="48">
        <f>+N68+1</f>
        <v>8</v>
      </c>
      <c r="P68" s="48">
        <f>+K68+L68</f>
        <v>16</v>
      </c>
      <c r="R68" s="59">
        <f>IF($N68&lt;R$4,0,IF($N68=R$4,$E68,0))</f>
        <v>0</v>
      </c>
      <c r="S68" s="59">
        <f t="shared" si="1879"/>
        <v>0</v>
      </c>
      <c r="T68" s="59">
        <f t="shared" si="1879"/>
        <v>0</v>
      </c>
      <c r="U68" s="59">
        <f t="shared" si="1879"/>
        <v>0</v>
      </c>
      <c r="V68" s="59">
        <f t="shared" si="1879"/>
        <v>0</v>
      </c>
      <c r="W68" s="59">
        <f t="shared" si="1879"/>
        <v>0</v>
      </c>
      <c r="X68" s="59">
        <f t="shared" si="1879"/>
        <v>300</v>
      </c>
      <c r="Y68" s="59">
        <f t="shared" si="1879"/>
        <v>0</v>
      </c>
      <c r="Z68" s="59">
        <f t="shared" si="1879"/>
        <v>0</v>
      </c>
      <c r="AA68" s="59">
        <f t="shared" si="1879"/>
        <v>0</v>
      </c>
      <c r="AB68" s="59">
        <f t="shared" si="1879"/>
        <v>0</v>
      </c>
      <c r="AC68" s="59">
        <f t="shared" si="1879"/>
        <v>0</v>
      </c>
      <c r="AD68" s="59">
        <f>SUM(R68:T68)</f>
        <v>0</v>
      </c>
      <c r="AE68" s="59">
        <f>SUM(U68:W68)</f>
        <v>0</v>
      </c>
      <c r="AF68" s="59">
        <f>SUM(X68:Z68)</f>
        <v>300</v>
      </c>
      <c r="AG68" s="59">
        <f>SUM(AA68:AC68)</f>
        <v>0</v>
      </c>
      <c r="AH68" s="59">
        <f>SUM(AD68:AG68)</f>
        <v>300</v>
      </c>
      <c r="AI68" s="59"/>
      <c r="AJ68" s="59">
        <f>IF($N68&lt;AJ$4,0,IF($N68=AJ$4,$F68,0))</f>
        <v>0</v>
      </c>
      <c r="AK68" s="59">
        <f t="shared" si="1880"/>
        <v>0</v>
      </c>
      <c r="AL68" s="59">
        <f t="shared" si="1880"/>
        <v>0</v>
      </c>
      <c r="AM68" s="59">
        <f t="shared" si="1880"/>
        <v>0</v>
      </c>
      <c r="AN68" s="59">
        <f t="shared" si="1880"/>
        <v>0</v>
      </c>
      <c r="AO68" s="59">
        <f t="shared" si="1880"/>
        <v>0</v>
      </c>
      <c r="AP68" s="59">
        <f t="shared" si="1880"/>
        <v>0</v>
      </c>
      <c r="AQ68" s="59">
        <f t="shared" si="1880"/>
        <v>0</v>
      </c>
      <c r="AR68" s="59">
        <f t="shared" si="1880"/>
        <v>0</v>
      </c>
      <c r="AS68" s="59">
        <f t="shared" si="1880"/>
        <v>0</v>
      </c>
      <c r="AT68" s="59">
        <f t="shared" si="1880"/>
        <v>0</v>
      </c>
      <c r="AU68" s="59">
        <f t="shared" si="1880"/>
        <v>0</v>
      </c>
      <c r="AV68" s="59">
        <f>SUM(AJ68:AL68)</f>
        <v>0</v>
      </c>
      <c r="AW68" s="59">
        <f>SUM(AM68:AO68)</f>
        <v>0</v>
      </c>
      <c r="AX68" s="59">
        <f>SUM(AP68:AR68)</f>
        <v>0</v>
      </c>
      <c r="AY68" s="59">
        <f>SUM(AS68:AU68)</f>
        <v>0</v>
      </c>
      <c r="AZ68" s="59">
        <f>SUM(AV68:AY68)</f>
        <v>0</v>
      </c>
      <c r="BA68" s="59"/>
      <c r="BB68" s="59">
        <f>+R68+AJ68</f>
        <v>0</v>
      </c>
      <c r="BC68" s="59">
        <f t="shared" ref="BC68" si="1919">+S68+AK68</f>
        <v>0</v>
      </c>
      <c r="BD68" s="59">
        <f t="shared" ref="BD68" si="1920">+T68+AL68</f>
        <v>0</v>
      </c>
      <c r="BE68" s="59">
        <f t="shared" ref="BE68" si="1921">+U68+AM68</f>
        <v>0</v>
      </c>
      <c r="BF68" s="59">
        <f t="shared" ref="BF68" si="1922">+V68+AN68</f>
        <v>0</v>
      </c>
      <c r="BG68" s="59">
        <f t="shared" ref="BG68" si="1923">+W68+AO68</f>
        <v>0</v>
      </c>
      <c r="BH68" s="59">
        <f t="shared" ref="BH68" si="1924">+X68+AP68</f>
        <v>300</v>
      </c>
      <c r="BI68" s="59">
        <f t="shared" ref="BI68" si="1925">+Y68+AQ68</f>
        <v>0</v>
      </c>
      <c r="BJ68" s="59">
        <f t="shared" ref="BJ68" si="1926">+Z68+AR68</f>
        <v>0</v>
      </c>
      <c r="BK68" s="59">
        <f t="shared" ref="BK68" si="1927">+AA68+AS68</f>
        <v>0</v>
      </c>
      <c r="BL68" s="59">
        <f t="shared" ref="BL68" si="1928">+AB68+AT68</f>
        <v>0</v>
      </c>
      <c r="BM68" s="59">
        <f t="shared" ref="BM68" si="1929">+AC68+AU68</f>
        <v>0</v>
      </c>
      <c r="BN68" s="59">
        <f>SUM(BB68:BD68)</f>
        <v>0</v>
      </c>
      <c r="BO68" s="59">
        <f>SUM(BE68:BG68)</f>
        <v>0</v>
      </c>
      <c r="BP68" s="59">
        <f t="shared" ref="BP68" si="1930">SUM(BH68:BJ68)</f>
        <v>300</v>
      </c>
      <c r="BQ68" s="59">
        <f>SUM(BK68:BM68)</f>
        <v>0</v>
      </c>
      <c r="BR68" s="59">
        <f>SUM(BN68:BQ68)</f>
        <v>300</v>
      </c>
      <c r="BS68" s="59"/>
      <c r="BT68" s="59">
        <f>IF(BT$4&lt;$O68,0,IF(AND(BT$4&gt;=$O68,BT$4&lt;=$K68+$N68),$E68/$K68,0))</f>
        <v>0</v>
      </c>
      <c r="BU68" s="59">
        <f t="shared" si="1893"/>
        <v>0</v>
      </c>
      <c r="BV68" s="59">
        <f t="shared" si="1893"/>
        <v>0</v>
      </c>
      <c r="BW68" s="59">
        <f t="shared" si="1893"/>
        <v>0</v>
      </c>
      <c r="BX68" s="59">
        <f t="shared" si="1893"/>
        <v>0</v>
      </c>
      <c r="BY68" s="59">
        <f t="shared" si="1893"/>
        <v>0</v>
      </c>
      <c r="BZ68" s="59">
        <f t="shared" si="1893"/>
        <v>0</v>
      </c>
      <c r="CA68" s="59">
        <f t="shared" si="1893"/>
        <v>75</v>
      </c>
      <c r="CB68" s="59">
        <f t="shared" si="1893"/>
        <v>75</v>
      </c>
      <c r="CC68" s="59">
        <f t="shared" si="1893"/>
        <v>75</v>
      </c>
      <c r="CD68" s="59">
        <f t="shared" si="1893"/>
        <v>75</v>
      </c>
      <c r="CE68" s="59">
        <f t="shared" si="1893"/>
        <v>0</v>
      </c>
      <c r="CF68" s="59">
        <f>SUM(BT68:BV68)</f>
        <v>0</v>
      </c>
      <c r="CG68" s="59">
        <f>SUM(BW68:BY68)</f>
        <v>0</v>
      </c>
      <c r="CH68" s="59">
        <f>SUM(BZ68:CB68)</f>
        <v>150</v>
      </c>
      <c r="CI68" s="59">
        <f>SUM(CC68:CE68)</f>
        <v>150</v>
      </c>
      <c r="CJ68" s="59">
        <f>SUM(CF68:CI68)</f>
        <v>300</v>
      </c>
      <c r="CK68" s="59"/>
      <c r="CL68" s="59">
        <f t="shared" si="1894"/>
        <v>0</v>
      </c>
      <c r="CM68" s="59">
        <f t="shared" si="1894"/>
        <v>0</v>
      </c>
      <c r="CN68" s="59">
        <f t="shared" si="1894"/>
        <v>0</v>
      </c>
      <c r="CO68" s="59">
        <f t="shared" si="1894"/>
        <v>0</v>
      </c>
      <c r="CP68" s="59">
        <f t="shared" si="1894"/>
        <v>0</v>
      </c>
      <c r="CQ68" s="59">
        <f t="shared" si="1894"/>
        <v>0</v>
      </c>
      <c r="CR68" s="59">
        <f t="shared" si="1894"/>
        <v>0</v>
      </c>
      <c r="CS68" s="59">
        <f t="shared" si="1894"/>
        <v>0</v>
      </c>
      <c r="CT68" s="59">
        <f t="shared" si="1894"/>
        <v>0</v>
      </c>
      <c r="CU68" s="59">
        <f t="shared" si="1894"/>
        <v>0</v>
      </c>
      <c r="CV68" s="59">
        <f t="shared" si="1894"/>
        <v>0</v>
      </c>
      <c r="CW68" s="59">
        <f t="shared" si="1894"/>
        <v>0</v>
      </c>
      <c r="CX68" s="59">
        <f>SUM(CL68:CN68)</f>
        <v>0</v>
      </c>
      <c r="CY68" s="59">
        <f>SUM(CO68:CQ68)</f>
        <v>0</v>
      </c>
      <c r="CZ68" s="59">
        <f>SUM(CR68:CT68)</f>
        <v>0</v>
      </c>
      <c r="DA68" s="59">
        <f>SUM(CU68:CW68)</f>
        <v>0</v>
      </c>
      <c r="DB68" s="59">
        <f>SUM(CX68:DA68)</f>
        <v>0</v>
      </c>
      <c r="DC68" s="59"/>
      <c r="DD68" s="59">
        <f>+BT68+CL68</f>
        <v>0</v>
      </c>
      <c r="DE68" s="59">
        <f t="shared" ref="DE68" si="1931">+BU68+CM68</f>
        <v>0</v>
      </c>
      <c r="DF68" s="59">
        <f t="shared" ref="DF68" si="1932">+BV68+CN68</f>
        <v>0</v>
      </c>
      <c r="DG68" s="59">
        <f t="shared" ref="DG68" si="1933">+BW68+CO68</f>
        <v>0</v>
      </c>
      <c r="DH68" s="59">
        <f t="shared" ref="DH68" si="1934">+BX68+CP68</f>
        <v>0</v>
      </c>
      <c r="DI68" s="59">
        <f t="shared" ref="DI68" si="1935">+BY68+CQ68</f>
        <v>0</v>
      </c>
      <c r="DJ68" s="59">
        <f t="shared" ref="DJ68" si="1936">+BZ68+CR68</f>
        <v>0</v>
      </c>
      <c r="DK68" s="59">
        <f t="shared" ref="DK68" si="1937">+CA68+CS68</f>
        <v>75</v>
      </c>
      <c r="DL68" s="59">
        <f t="shared" ref="DL68" si="1938">+CB68+CT68</f>
        <v>75</v>
      </c>
      <c r="DM68" s="59">
        <f t="shared" ref="DM68" si="1939">+CC68+CU68</f>
        <v>75</v>
      </c>
      <c r="DN68" s="59">
        <f t="shared" ref="DN68" si="1940">+CD68+CV68</f>
        <v>75</v>
      </c>
      <c r="DO68" s="59">
        <f t="shared" ref="DO68" si="1941">+CE68+CW68</f>
        <v>0</v>
      </c>
      <c r="DP68" s="59">
        <f>SUM(DD68:DF68)</f>
        <v>0</v>
      </c>
      <c r="DQ68" s="59">
        <f>SUM(DG68:DI68)</f>
        <v>0</v>
      </c>
      <c r="DR68" s="59">
        <f>SUM(DJ68:DL68)</f>
        <v>150</v>
      </c>
      <c r="DS68" s="59">
        <f>SUM(DM68:DO68)</f>
        <v>150</v>
      </c>
      <c r="DT68" s="59">
        <f>SUM(DP68:DS68)</f>
        <v>300</v>
      </c>
      <c r="DU68" s="59"/>
      <c r="DV68" s="70">
        <v>0</v>
      </c>
      <c r="DW68" s="70">
        <v>0</v>
      </c>
      <c r="DX68" s="70">
        <v>0</v>
      </c>
      <c r="DY68" s="70">
        <v>0</v>
      </c>
      <c r="DZ68" s="70">
        <v>0</v>
      </c>
      <c r="EA68" s="70">
        <v>0</v>
      </c>
      <c r="EB68" s="59">
        <f t="shared" si="1906"/>
        <v>0</v>
      </c>
      <c r="EC68" s="59">
        <f t="shared" si="1906"/>
        <v>0</v>
      </c>
      <c r="ED68" s="59">
        <f t="shared" si="1906"/>
        <v>0</v>
      </c>
      <c r="EE68" s="59">
        <f t="shared" si="1906"/>
        <v>75</v>
      </c>
      <c r="EF68" s="59">
        <f t="shared" si="1906"/>
        <v>75</v>
      </c>
      <c r="EG68" s="59">
        <f t="shared" si="1906"/>
        <v>75</v>
      </c>
      <c r="EH68" s="59">
        <f>SUM(DV68:DX68)</f>
        <v>0</v>
      </c>
      <c r="EI68" s="59">
        <f>SUM(DY68:EA68)</f>
        <v>0</v>
      </c>
      <c r="EJ68" s="59">
        <f>SUM(EB68:ED68)</f>
        <v>0</v>
      </c>
      <c r="EK68" s="59">
        <f>SUM(EE68:EG68)</f>
        <v>225</v>
      </c>
      <c r="EL68" s="59">
        <f>SUM(EH68:EK68)</f>
        <v>225</v>
      </c>
      <c r="EM68" s="59"/>
      <c r="EN68" s="70">
        <v>0</v>
      </c>
      <c r="EO68" s="70">
        <v>0</v>
      </c>
      <c r="EP68" s="70">
        <v>0</v>
      </c>
      <c r="EQ68" s="70">
        <v>0</v>
      </c>
      <c r="ER68" s="70">
        <v>0</v>
      </c>
      <c r="ES68" s="70">
        <v>0</v>
      </c>
      <c r="ET68" s="70">
        <v>0</v>
      </c>
      <c r="EU68" s="70">
        <v>42</v>
      </c>
      <c r="EV68" s="70">
        <v>42</v>
      </c>
      <c r="EW68" s="70">
        <v>42</v>
      </c>
      <c r="EX68" s="70">
        <v>42</v>
      </c>
      <c r="EY68" s="70">
        <v>42</v>
      </c>
      <c r="EZ68" s="59">
        <f>SUM(EN68:EP68)</f>
        <v>0</v>
      </c>
      <c r="FA68" s="59">
        <f>SUM(EQ68:ES68)</f>
        <v>0</v>
      </c>
      <c r="FB68" s="59">
        <f>SUM(ET68:EV68)</f>
        <v>84</v>
      </c>
      <c r="FC68" s="59">
        <f>SUM(EW68:EY68)</f>
        <v>126</v>
      </c>
      <c r="FD68" s="59">
        <f>SUM(EZ68:FC68)</f>
        <v>210</v>
      </c>
      <c r="FE68" s="59"/>
      <c r="FF68" s="59">
        <f>+DV68+EN68</f>
        <v>0</v>
      </c>
      <c r="FG68" s="59">
        <f t="shared" ref="FG68" si="1942">+DW68+EO68</f>
        <v>0</v>
      </c>
      <c r="FH68" s="59">
        <f t="shared" ref="FH68" si="1943">+DX68+EP68</f>
        <v>0</v>
      </c>
      <c r="FI68" s="59">
        <f t="shared" ref="FI68" si="1944">+DY68+EQ68</f>
        <v>0</v>
      </c>
      <c r="FJ68" s="59">
        <f t="shared" ref="FJ68" si="1945">+DZ68+ER68</f>
        <v>0</v>
      </c>
      <c r="FK68" s="59">
        <f t="shared" ref="FK68" si="1946">+EA68+ES68</f>
        <v>0</v>
      </c>
      <c r="FL68" s="59">
        <f t="shared" ref="FL68" si="1947">+EB68+ET68</f>
        <v>0</v>
      </c>
      <c r="FM68" s="59">
        <f t="shared" ref="FM68" si="1948">+EC68+EU68</f>
        <v>42</v>
      </c>
      <c r="FN68" s="59">
        <f t="shared" ref="FN68" si="1949">+ED68+EV68</f>
        <v>42</v>
      </c>
      <c r="FO68" s="59">
        <f t="shared" ref="FO68" si="1950">+EE68+EW68</f>
        <v>117</v>
      </c>
      <c r="FP68" s="59">
        <f t="shared" ref="FP68" si="1951">+EF68+EX68</f>
        <v>117</v>
      </c>
      <c r="FQ68" s="59">
        <f t="shared" ref="FQ68" si="1952">+EG68+EY68</f>
        <v>117</v>
      </c>
      <c r="FR68" s="59">
        <f>SUM(FF68:FH68)</f>
        <v>0</v>
      </c>
      <c r="FS68" s="59">
        <f>SUM(FI68:FK68)</f>
        <v>0</v>
      </c>
      <c r="FT68" s="59">
        <f>SUM(FL68:FN68)</f>
        <v>84</v>
      </c>
      <c r="FU68" s="59">
        <f>SUM(FO68:FQ68)</f>
        <v>351</v>
      </c>
      <c r="FV68" s="59">
        <f>SUM(FR68:FU68)</f>
        <v>435</v>
      </c>
    </row>
    <row r="69" spans="2:178" x14ac:dyDescent="0.2">
      <c r="B69" s="46">
        <f t="shared" ref="B69:B75" si="1953">+B68+1</f>
        <v>3</v>
      </c>
      <c r="C69" s="71" t="s">
        <v>562</v>
      </c>
      <c r="E69" s="13">
        <v>25</v>
      </c>
      <c r="F69" s="13">
        <v>0</v>
      </c>
      <c r="G69" s="17">
        <f t="shared" ref="G69:G72" si="1954">+E69+F69</f>
        <v>25</v>
      </c>
      <c r="H69" s="49" t="s">
        <v>218</v>
      </c>
      <c r="I69" s="49" t="s">
        <v>219</v>
      </c>
      <c r="J69" s="49" t="s">
        <v>217</v>
      </c>
      <c r="K69" s="54">
        <v>1</v>
      </c>
      <c r="L69" s="54">
        <v>12</v>
      </c>
      <c r="M69" s="54">
        <v>4</v>
      </c>
      <c r="N69" s="54">
        <v>6</v>
      </c>
      <c r="O69" s="48">
        <f t="shared" ref="O69:O72" si="1955">+N69+1</f>
        <v>7</v>
      </c>
      <c r="P69" s="48">
        <f t="shared" ref="P69:P72" si="1956">+K69+L69</f>
        <v>13</v>
      </c>
      <c r="R69" s="59">
        <f t="shared" ref="R69:R72" si="1957">IF($N69&lt;R$4,0,IF($N69=R$4,$E69,0))</f>
        <v>0</v>
      </c>
      <c r="S69" s="59">
        <f t="shared" si="1879"/>
        <v>0</v>
      </c>
      <c r="T69" s="59">
        <f t="shared" si="1879"/>
        <v>0</v>
      </c>
      <c r="U69" s="59">
        <f t="shared" si="1879"/>
        <v>0</v>
      </c>
      <c r="V69" s="59">
        <f t="shared" si="1879"/>
        <v>0</v>
      </c>
      <c r="W69" s="59">
        <f t="shared" si="1879"/>
        <v>25</v>
      </c>
      <c r="X69" s="59">
        <f t="shared" si="1879"/>
        <v>0</v>
      </c>
      <c r="Y69" s="59">
        <f t="shared" si="1879"/>
        <v>0</v>
      </c>
      <c r="Z69" s="59">
        <f t="shared" si="1879"/>
        <v>0</v>
      </c>
      <c r="AA69" s="59">
        <f t="shared" si="1879"/>
        <v>0</v>
      </c>
      <c r="AB69" s="59">
        <f t="shared" si="1879"/>
        <v>0</v>
      </c>
      <c r="AC69" s="59">
        <f t="shared" si="1879"/>
        <v>0</v>
      </c>
      <c r="AD69" s="59">
        <f t="shared" ref="AD69:AD72" si="1958">SUM(R69:T69)</f>
        <v>0</v>
      </c>
      <c r="AE69" s="59">
        <f t="shared" ref="AE69:AE72" si="1959">SUM(U69:W69)</f>
        <v>25</v>
      </c>
      <c r="AF69" s="59">
        <f t="shared" ref="AF69:AF72" si="1960">SUM(X69:Z69)</f>
        <v>0</v>
      </c>
      <c r="AG69" s="59">
        <f t="shared" ref="AG69:AG72" si="1961">SUM(AA69:AC69)</f>
        <v>0</v>
      </c>
      <c r="AH69" s="59">
        <f t="shared" ref="AH69:AH72" si="1962">SUM(AD69:AG69)</f>
        <v>25</v>
      </c>
      <c r="AI69" s="59"/>
      <c r="AJ69" s="59">
        <f t="shared" ref="AJ69:AJ72" si="1963">IF($N69&lt;AJ$4,0,IF($N69=AJ$4,$F69,0))</f>
        <v>0</v>
      </c>
      <c r="AK69" s="59">
        <f t="shared" si="1880"/>
        <v>0</v>
      </c>
      <c r="AL69" s="59">
        <f t="shared" si="1880"/>
        <v>0</v>
      </c>
      <c r="AM69" s="59">
        <f t="shared" si="1880"/>
        <v>0</v>
      </c>
      <c r="AN69" s="59">
        <f t="shared" si="1880"/>
        <v>0</v>
      </c>
      <c r="AO69" s="59">
        <f t="shared" si="1880"/>
        <v>0</v>
      </c>
      <c r="AP69" s="59">
        <f t="shared" si="1880"/>
        <v>0</v>
      </c>
      <c r="AQ69" s="59">
        <f t="shared" si="1880"/>
        <v>0</v>
      </c>
      <c r="AR69" s="59">
        <f t="shared" si="1880"/>
        <v>0</v>
      </c>
      <c r="AS69" s="59">
        <f t="shared" si="1880"/>
        <v>0</v>
      </c>
      <c r="AT69" s="59">
        <f t="shared" si="1880"/>
        <v>0</v>
      </c>
      <c r="AU69" s="59">
        <f t="shared" si="1880"/>
        <v>0</v>
      </c>
      <c r="AV69" s="59">
        <f t="shared" ref="AV69:AV72" si="1964">SUM(AJ69:AL69)</f>
        <v>0</v>
      </c>
      <c r="AW69" s="59">
        <f t="shared" ref="AW69:AW72" si="1965">SUM(AM69:AO69)</f>
        <v>0</v>
      </c>
      <c r="AX69" s="59">
        <f t="shared" ref="AX69:AX72" si="1966">SUM(AP69:AR69)</f>
        <v>0</v>
      </c>
      <c r="AY69" s="59">
        <f t="shared" ref="AY69:AY72" si="1967">SUM(AS69:AU69)</f>
        <v>0</v>
      </c>
      <c r="AZ69" s="59">
        <f t="shared" ref="AZ69:AZ72" si="1968">SUM(AV69:AY69)</f>
        <v>0</v>
      </c>
      <c r="BA69" s="59"/>
      <c r="BB69" s="59">
        <f t="shared" ref="BB69:BB72" si="1969">+R69+AJ69</f>
        <v>0</v>
      </c>
      <c r="BC69" s="59">
        <f t="shared" ref="BC69:BC72" si="1970">+S69+AK69</f>
        <v>0</v>
      </c>
      <c r="BD69" s="59">
        <f t="shared" ref="BD69:BD72" si="1971">+T69+AL69</f>
        <v>0</v>
      </c>
      <c r="BE69" s="59">
        <f t="shared" ref="BE69:BE72" si="1972">+U69+AM69</f>
        <v>0</v>
      </c>
      <c r="BF69" s="59">
        <f t="shared" ref="BF69:BF72" si="1973">+V69+AN69</f>
        <v>0</v>
      </c>
      <c r="BG69" s="59">
        <f t="shared" ref="BG69:BG72" si="1974">+W69+AO69</f>
        <v>25</v>
      </c>
      <c r="BH69" s="59">
        <f t="shared" ref="BH69:BH72" si="1975">+X69+AP69</f>
        <v>0</v>
      </c>
      <c r="BI69" s="59">
        <f t="shared" ref="BI69:BI72" si="1976">+Y69+AQ69</f>
        <v>0</v>
      </c>
      <c r="BJ69" s="59">
        <f t="shared" ref="BJ69:BJ72" si="1977">+Z69+AR69</f>
        <v>0</v>
      </c>
      <c r="BK69" s="59">
        <f t="shared" ref="BK69:BK72" si="1978">+AA69+AS69</f>
        <v>0</v>
      </c>
      <c r="BL69" s="59">
        <f t="shared" ref="BL69:BL72" si="1979">+AB69+AT69</f>
        <v>0</v>
      </c>
      <c r="BM69" s="59">
        <f t="shared" ref="BM69:BM72" si="1980">+AC69+AU69</f>
        <v>0</v>
      </c>
      <c r="BN69" s="59">
        <f t="shared" ref="BN69:BN72" si="1981">SUM(BB69:BD69)</f>
        <v>0</v>
      </c>
      <c r="BO69" s="59">
        <f t="shared" ref="BO69:BO72" si="1982">SUM(BE69:BG69)</f>
        <v>25</v>
      </c>
      <c r="BP69" s="59">
        <f t="shared" ref="BP69:BP72" si="1983">SUM(BH69:BJ69)</f>
        <v>0</v>
      </c>
      <c r="BQ69" s="59">
        <f t="shared" ref="BQ69:BQ72" si="1984">SUM(BK69:BM69)</f>
        <v>0</v>
      </c>
      <c r="BR69" s="59">
        <f t="shared" ref="BR69:BR72" si="1985">SUM(BN69:BQ69)</f>
        <v>25</v>
      </c>
      <c r="BS69" s="59"/>
      <c r="BT69" s="59">
        <f t="shared" ref="BT69:BT72" si="1986">IF(BT$4&lt;$O69,0,IF(AND(BT$4&gt;=$O69,BT$4&lt;=$K69+$N69),$E69/$K69,0))</f>
        <v>0</v>
      </c>
      <c r="BU69" s="59">
        <f t="shared" si="1893"/>
        <v>0</v>
      </c>
      <c r="BV69" s="59">
        <f t="shared" si="1893"/>
        <v>0</v>
      </c>
      <c r="BW69" s="59">
        <f t="shared" si="1893"/>
        <v>0</v>
      </c>
      <c r="BX69" s="59">
        <f t="shared" si="1893"/>
        <v>0</v>
      </c>
      <c r="BY69" s="59">
        <f t="shared" si="1893"/>
        <v>0</v>
      </c>
      <c r="BZ69" s="59">
        <f t="shared" si="1893"/>
        <v>25</v>
      </c>
      <c r="CA69" s="59">
        <f t="shared" si="1893"/>
        <v>0</v>
      </c>
      <c r="CB69" s="59">
        <f t="shared" si="1893"/>
        <v>0</v>
      </c>
      <c r="CC69" s="59">
        <f t="shared" si="1893"/>
        <v>0</v>
      </c>
      <c r="CD69" s="59">
        <f t="shared" si="1893"/>
        <v>0</v>
      </c>
      <c r="CE69" s="59">
        <f t="shared" si="1893"/>
        <v>0</v>
      </c>
      <c r="CF69" s="59">
        <f t="shared" ref="CF69:CF72" si="1987">SUM(BT69:BV69)</f>
        <v>0</v>
      </c>
      <c r="CG69" s="59">
        <f t="shared" ref="CG69:CG72" si="1988">SUM(BW69:BY69)</f>
        <v>0</v>
      </c>
      <c r="CH69" s="59">
        <f t="shared" ref="CH69:CH72" si="1989">SUM(BZ69:CB69)</f>
        <v>25</v>
      </c>
      <c r="CI69" s="59">
        <f t="shared" ref="CI69:CI72" si="1990">SUM(CC69:CE69)</f>
        <v>0</v>
      </c>
      <c r="CJ69" s="59">
        <f t="shared" ref="CJ69:CJ72" si="1991">SUM(CF69:CI69)</f>
        <v>25</v>
      </c>
      <c r="CK69" s="59"/>
      <c r="CL69" s="59">
        <f t="shared" si="1894"/>
        <v>0</v>
      </c>
      <c r="CM69" s="59">
        <f t="shared" si="1894"/>
        <v>0</v>
      </c>
      <c r="CN69" s="59">
        <f t="shared" si="1894"/>
        <v>0</v>
      </c>
      <c r="CO69" s="59">
        <f t="shared" si="1894"/>
        <v>0</v>
      </c>
      <c r="CP69" s="59">
        <f t="shared" si="1894"/>
        <v>0</v>
      </c>
      <c r="CQ69" s="59">
        <f t="shared" si="1894"/>
        <v>0</v>
      </c>
      <c r="CR69" s="59">
        <f t="shared" si="1894"/>
        <v>0</v>
      </c>
      <c r="CS69" s="59">
        <f t="shared" si="1894"/>
        <v>0</v>
      </c>
      <c r="CT69" s="59">
        <f t="shared" si="1894"/>
        <v>0</v>
      </c>
      <c r="CU69" s="59">
        <f t="shared" si="1894"/>
        <v>0</v>
      </c>
      <c r="CV69" s="59">
        <f t="shared" si="1894"/>
        <v>0</v>
      </c>
      <c r="CW69" s="59">
        <f t="shared" si="1894"/>
        <v>0</v>
      </c>
      <c r="CX69" s="59">
        <f t="shared" ref="CX69:CX72" si="1992">SUM(CL69:CN69)</f>
        <v>0</v>
      </c>
      <c r="CY69" s="59">
        <f t="shared" ref="CY69:CY72" si="1993">SUM(CO69:CQ69)</f>
        <v>0</v>
      </c>
      <c r="CZ69" s="59">
        <f t="shared" ref="CZ69:CZ72" si="1994">SUM(CR69:CT69)</f>
        <v>0</v>
      </c>
      <c r="DA69" s="59">
        <f t="shared" ref="DA69:DA72" si="1995">SUM(CU69:CW69)</f>
        <v>0</v>
      </c>
      <c r="DB69" s="59">
        <f t="shared" ref="DB69:DB72" si="1996">SUM(CX69:DA69)</f>
        <v>0</v>
      </c>
      <c r="DC69" s="59"/>
      <c r="DD69" s="59">
        <f t="shared" ref="DD69:DD72" si="1997">+BT69+CL69</f>
        <v>0</v>
      </c>
      <c r="DE69" s="59">
        <f t="shared" ref="DE69:DE72" si="1998">+BU69+CM69</f>
        <v>0</v>
      </c>
      <c r="DF69" s="59">
        <f t="shared" ref="DF69:DF72" si="1999">+BV69+CN69</f>
        <v>0</v>
      </c>
      <c r="DG69" s="59">
        <f t="shared" ref="DG69:DG72" si="2000">+BW69+CO69</f>
        <v>0</v>
      </c>
      <c r="DH69" s="59">
        <f t="shared" ref="DH69:DH72" si="2001">+BX69+CP69</f>
        <v>0</v>
      </c>
      <c r="DI69" s="59">
        <f t="shared" ref="DI69:DI72" si="2002">+BY69+CQ69</f>
        <v>0</v>
      </c>
      <c r="DJ69" s="59">
        <f t="shared" ref="DJ69:DJ72" si="2003">+BZ69+CR69</f>
        <v>25</v>
      </c>
      <c r="DK69" s="59">
        <f t="shared" ref="DK69:DK72" si="2004">+CA69+CS69</f>
        <v>0</v>
      </c>
      <c r="DL69" s="59">
        <f t="shared" ref="DL69:DL72" si="2005">+CB69+CT69</f>
        <v>0</v>
      </c>
      <c r="DM69" s="59">
        <f t="shared" ref="DM69:DM72" si="2006">+CC69+CU69</f>
        <v>0</v>
      </c>
      <c r="DN69" s="59">
        <f t="shared" ref="DN69:DN72" si="2007">+CD69+CV69</f>
        <v>0</v>
      </c>
      <c r="DO69" s="59">
        <f t="shared" ref="DO69:DO72" si="2008">+CE69+CW69</f>
        <v>0</v>
      </c>
      <c r="DP69" s="59">
        <f t="shared" ref="DP69:DP72" si="2009">SUM(DD69:DF69)</f>
        <v>0</v>
      </c>
      <c r="DQ69" s="59">
        <f t="shared" ref="DQ69:DQ72" si="2010">SUM(DG69:DI69)</f>
        <v>0</v>
      </c>
      <c r="DR69" s="59">
        <f t="shared" ref="DR69:DR72" si="2011">SUM(DJ69:DL69)</f>
        <v>25</v>
      </c>
      <c r="DS69" s="59">
        <f t="shared" ref="DS69:DS72" si="2012">SUM(DM69:DO69)</f>
        <v>0</v>
      </c>
      <c r="DT69" s="59">
        <f t="shared" ref="DT69:DT72" si="2013">SUM(DP69:DS69)</f>
        <v>25</v>
      </c>
      <c r="DU69" s="59"/>
      <c r="DV69" s="70">
        <v>0</v>
      </c>
      <c r="DW69" s="70">
        <v>0</v>
      </c>
      <c r="DX69" s="70">
        <v>0</v>
      </c>
      <c r="DY69" s="70">
        <v>0</v>
      </c>
      <c r="DZ69" s="70">
        <v>0</v>
      </c>
      <c r="EA69" s="70">
        <v>0</v>
      </c>
      <c r="EB69" s="59">
        <f t="shared" si="1906"/>
        <v>0</v>
      </c>
      <c r="EC69" s="59">
        <f t="shared" si="1906"/>
        <v>0</v>
      </c>
      <c r="ED69" s="59">
        <f t="shared" si="1906"/>
        <v>25</v>
      </c>
      <c r="EE69" s="59">
        <f t="shared" si="1906"/>
        <v>0</v>
      </c>
      <c r="EF69" s="59">
        <f t="shared" si="1906"/>
        <v>0</v>
      </c>
      <c r="EG69" s="59">
        <f t="shared" si="1906"/>
        <v>0</v>
      </c>
      <c r="EH69" s="59">
        <f t="shared" ref="EH69:EH72" si="2014">SUM(DV69:DX69)</f>
        <v>0</v>
      </c>
      <c r="EI69" s="59">
        <f t="shared" ref="EI69:EI72" si="2015">SUM(DY69:EA69)</f>
        <v>0</v>
      </c>
      <c r="EJ69" s="59">
        <f t="shared" ref="EJ69:EJ72" si="2016">SUM(EB69:ED69)</f>
        <v>25</v>
      </c>
      <c r="EK69" s="59">
        <f t="shared" ref="EK69:EK72" si="2017">SUM(EE69:EG69)</f>
        <v>0</v>
      </c>
      <c r="EL69" s="59">
        <f t="shared" ref="EL69:EL72" si="2018">SUM(EH69:EK69)</f>
        <v>25</v>
      </c>
      <c r="EM69" s="59"/>
      <c r="EN69" s="70">
        <v>0</v>
      </c>
      <c r="EO69" s="70">
        <v>0</v>
      </c>
      <c r="EP69" s="70">
        <v>0</v>
      </c>
      <c r="EQ69" s="70">
        <v>0</v>
      </c>
      <c r="ER69" s="70">
        <v>0</v>
      </c>
      <c r="ES69" s="59">
        <f t="shared" si="1907"/>
        <v>0</v>
      </c>
      <c r="ET69" s="59">
        <f t="shared" si="1907"/>
        <v>0</v>
      </c>
      <c r="EU69" s="59">
        <f t="shared" si="1907"/>
        <v>0</v>
      </c>
      <c r="EV69" s="59">
        <f t="shared" si="1907"/>
        <v>0</v>
      </c>
      <c r="EW69" s="59">
        <f t="shared" si="1907"/>
        <v>0</v>
      </c>
      <c r="EX69" s="59">
        <f t="shared" si="1907"/>
        <v>0</v>
      </c>
      <c r="EY69" s="59">
        <f t="shared" si="1907"/>
        <v>0</v>
      </c>
      <c r="EZ69" s="59">
        <f t="shared" ref="EZ69:EZ72" si="2019">SUM(EN69:EP69)</f>
        <v>0</v>
      </c>
      <c r="FA69" s="59">
        <f t="shared" ref="FA69:FA72" si="2020">SUM(EQ69:ES69)</f>
        <v>0</v>
      </c>
      <c r="FB69" s="59">
        <f t="shared" ref="FB69:FB72" si="2021">SUM(ET69:EV69)</f>
        <v>0</v>
      </c>
      <c r="FC69" s="59">
        <f t="shared" ref="FC69:FC72" si="2022">SUM(EW69:EY69)</f>
        <v>0</v>
      </c>
      <c r="FD69" s="59">
        <f t="shared" ref="FD69:FD72" si="2023">SUM(EZ69:FC69)</f>
        <v>0</v>
      </c>
      <c r="FE69" s="59"/>
      <c r="FF69" s="59">
        <f t="shared" ref="FF69:FF72" si="2024">+DV69+EN69</f>
        <v>0</v>
      </c>
      <c r="FG69" s="59">
        <f t="shared" ref="FG69:FG72" si="2025">+DW69+EO69</f>
        <v>0</v>
      </c>
      <c r="FH69" s="59">
        <f t="shared" ref="FH69:FH72" si="2026">+DX69+EP69</f>
        <v>0</v>
      </c>
      <c r="FI69" s="59">
        <f t="shared" ref="FI69:FI72" si="2027">+DY69+EQ69</f>
        <v>0</v>
      </c>
      <c r="FJ69" s="59">
        <f t="shared" ref="FJ69:FJ72" si="2028">+DZ69+ER69</f>
        <v>0</v>
      </c>
      <c r="FK69" s="59">
        <f t="shared" ref="FK69:FK72" si="2029">+EA69+ES69</f>
        <v>0</v>
      </c>
      <c r="FL69" s="59">
        <f t="shared" ref="FL69:FL72" si="2030">+EB69+ET69</f>
        <v>0</v>
      </c>
      <c r="FM69" s="59">
        <f t="shared" ref="FM69:FM72" si="2031">+EC69+EU69</f>
        <v>0</v>
      </c>
      <c r="FN69" s="59">
        <f t="shared" ref="FN69:FN72" si="2032">+ED69+EV69</f>
        <v>25</v>
      </c>
      <c r="FO69" s="59">
        <f t="shared" ref="FO69:FO72" si="2033">+EE69+EW69</f>
        <v>0</v>
      </c>
      <c r="FP69" s="59">
        <f t="shared" ref="FP69:FP72" si="2034">+EF69+EX69</f>
        <v>0</v>
      </c>
      <c r="FQ69" s="59">
        <f t="shared" ref="FQ69:FQ72" si="2035">+EG69+EY69</f>
        <v>0</v>
      </c>
      <c r="FR69" s="59">
        <f t="shared" ref="FR69:FR72" si="2036">SUM(FF69:FH69)</f>
        <v>0</v>
      </c>
      <c r="FS69" s="59">
        <f t="shared" ref="FS69:FS72" si="2037">SUM(FI69:FK69)</f>
        <v>0</v>
      </c>
      <c r="FT69" s="59">
        <f t="shared" ref="FT69:FT72" si="2038">SUM(FL69:FN69)</f>
        <v>25</v>
      </c>
      <c r="FU69" s="59">
        <f t="shared" ref="FU69:FU72" si="2039">SUM(FO69:FQ69)</f>
        <v>0</v>
      </c>
      <c r="FV69" s="59">
        <f t="shared" ref="FV69:FV72" si="2040">SUM(FR69:FU69)</f>
        <v>25</v>
      </c>
    </row>
    <row r="70" spans="2:178" x14ac:dyDescent="0.2">
      <c r="B70" s="46">
        <f t="shared" si="1953"/>
        <v>4</v>
      </c>
      <c r="C70" s="71" t="s">
        <v>563</v>
      </c>
      <c r="E70" s="13">
        <v>25</v>
      </c>
      <c r="F70" s="13">
        <v>0</v>
      </c>
      <c r="G70" s="17">
        <f t="shared" si="1954"/>
        <v>25</v>
      </c>
      <c r="H70" s="49" t="s">
        <v>218</v>
      </c>
      <c r="I70" s="49" t="s">
        <v>219</v>
      </c>
      <c r="J70" s="49" t="s">
        <v>217</v>
      </c>
      <c r="K70" s="54">
        <v>1</v>
      </c>
      <c r="L70" s="54">
        <v>12</v>
      </c>
      <c r="M70" s="54">
        <v>5</v>
      </c>
      <c r="N70" s="54">
        <v>7</v>
      </c>
      <c r="O70" s="48">
        <f t="shared" si="1955"/>
        <v>8</v>
      </c>
      <c r="P70" s="48">
        <f t="shared" si="1956"/>
        <v>13</v>
      </c>
      <c r="R70" s="59">
        <f t="shared" si="1957"/>
        <v>0</v>
      </c>
      <c r="S70" s="59">
        <f t="shared" si="1879"/>
        <v>0</v>
      </c>
      <c r="T70" s="59">
        <f t="shared" si="1879"/>
        <v>0</v>
      </c>
      <c r="U70" s="59">
        <f t="shared" si="1879"/>
        <v>0</v>
      </c>
      <c r="V70" s="59">
        <f t="shared" si="1879"/>
        <v>0</v>
      </c>
      <c r="W70" s="59">
        <f t="shared" si="1879"/>
        <v>0</v>
      </c>
      <c r="X70" s="59">
        <f t="shared" si="1879"/>
        <v>25</v>
      </c>
      <c r="Y70" s="59">
        <f t="shared" si="1879"/>
        <v>0</v>
      </c>
      <c r="Z70" s="59">
        <f t="shared" si="1879"/>
        <v>0</v>
      </c>
      <c r="AA70" s="59">
        <f t="shared" si="1879"/>
        <v>0</v>
      </c>
      <c r="AB70" s="59">
        <f t="shared" si="1879"/>
        <v>0</v>
      </c>
      <c r="AC70" s="59">
        <f t="shared" si="1879"/>
        <v>0</v>
      </c>
      <c r="AD70" s="59">
        <f t="shared" si="1958"/>
        <v>0</v>
      </c>
      <c r="AE70" s="59">
        <f t="shared" si="1959"/>
        <v>0</v>
      </c>
      <c r="AF70" s="59">
        <f t="shared" si="1960"/>
        <v>25</v>
      </c>
      <c r="AG70" s="59">
        <f t="shared" si="1961"/>
        <v>0</v>
      </c>
      <c r="AH70" s="59">
        <f t="shared" si="1962"/>
        <v>25</v>
      </c>
      <c r="AI70" s="59"/>
      <c r="AJ70" s="59">
        <f t="shared" si="1963"/>
        <v>0</v>
      </c>
      <c r="AK70" s="59">
        <f t="shared" si="1880"/>
        <v>0</v>
      </c>
      <c r="AL70" s="59">
        <f t="shared" si="1880"/>
        <v>0</v>
      </c>
      <c r="AM70" s="59">
        <f t="shared" si="1880"/>
        <v>0</v>
      </c>
      <c r="AN70" s="59">
        <f t="shared" si="1880"/>
        <v>0</v>
      </c>
      <c r="AO70" s="59">
        <f t="shared" si="1880"/>
        <v>0</v>
      </c>
      <c r="AP70" s="59">
        <f t="shared" si="1880"/>
        <v>0</v>
      </c>
      <c r="AQ70" s="59">
        <f t="shared" si="1880"/>
        <v>0</v>
      </c>
      <c r="AR70" s="59">
        <f t="shared" si="1880"/>
        <v>0</v>
      </c>
      <c r="AS70" s="59">
        <f t="shared" si="1880"/>
        <v>0</v>
      </c>
      <c r="AT70" s="59">
        <f t="shared" si="1880"/>
        <v>0</v>
      </c>
      <c r="AU70" s="59">
        <f t="shared" si="1880"/>
        <v>0</v>
      </c>
      <c r="AV70" s="59">
        <f t="shared" si="1964"/>
        <v>0</v>
      </c>
      <c r="AW70" s="59">
        <f t="shared" si="1965"/>
        <v>0</v>
      </c>
      <c r="AX70" s="59">
        <f t="shared" si="1966"/>
        <v>0</v>
      </c>
      <c r="AY70" s="59">
        <f t="shared" si="1967"/>
        <v>0</v>
      </c>
      <c r="AZ70" s="59">
        <f t="shared" si="1968"/>
        <v>0</v>
      </c>
      <c r="BA70" s="59"/>
      <c r="BB70" s="59">
        <f t="shared" si="1969"/>
        <v>0</v>
      </c>
      <c r="BC70" s="59">
        <f t="shared" si="1970"/>
        <v>0</v>
      </c>
      <c r="BD70" s="59">
        <f t="shared" si="1971"/>
        <v>0</v>
      </c>
      <c r="BE70" s="59">
        <f t="shared" si="1972"/>
        <v>0</v>
      </c>
      <c r="BF70" s="59">
        <f t="shared" si="1973"/>
        <v>0</v>
      </c>
      <c r="BG70" s="59">
        <f t="shared" si="1974"/>
        <v>0</v>
      </c>
      <c r="BH70" s="59">
        <f t="shared" si="1975"/>
        <v>25</v>
      </c>
      <c r="BI70" s="59">
        <f t="shared" si="1976"/>
        <v>0</v>
      </c>
      <c r="BJ70" s="59">
        <f t="shared" si="1977"/>
        <v>0</v>
      </c>
      <c r="BK70" s="59">
        <f t="shared" si="1978"/>
        <v>0</v>
      </c>
      <c r="BL70" s="59">
        <f t="shared" si="1979"/>
        <v>0</v>
      </c>
      <c r="BM70" s="59">
        <f t="shared" si="1980"/>
        <v>0</v>
      </c>
      <c r="BN70" s="59">
        <f t="shared" si="1981"/>
        <v>0</v>
      </c>
      <c r="BO70" s="59">
        <f t="shared" si="1982"/>
        <v>0</v>
      </c>
      <c r="BP70" s="59">
        <f t="shared" si="1983"/>
        <v>25</v>
      </c>
      <c r="BQ70" s="59">
        <f t="shared" si="1984"/>
        <v>0</v>
      </c>
      <c r="BR70" s="59">
        <f t="shared" si="1985"/>
        <v>25</v>
      </c>
      <c r="BS70" s="59"/>
      <c r="BT70" s="59">
        <f t="shared" si="1986"/>
        <v>0</v>
      </c>
      <c r="BU70" s="59">
        <f t="shared" si="1893"/>
        <v>0</v>
      </c>
      <c r="BV70" s="59">
        <f t="shared" si="1893"/>
        <v>0</v>
      </c>
      <c r="BW70" s="59">
        <f t="shared" si="1893"/>
        <v>0</v>
      </c>
      <c r="BX70" s="59">
        <f t="shared" si="1893"/>
        <v>0</v>
      </c>
      <c r="BY70" s="59">
        <f t="shared" si="1893"/>
        <v>0</v>
      </c>
      <c r="BZ70" s="59">
        <f t="shared" si="1893"/>
        <v>0</v>
      </c>
      <c r="CA70" s="59">
        <f t="shared" si="1893"/>
        <v>25</v>
      </c>
      <c r="CB70" s="59">
        <f t="shared" si="1893"/>
        <v>0</v>
      </c>
      <c r="CC70" s="59">
        <f t="shared" si="1893"/>
        <v>0</v>
      </c>
      <c r="CD70" s="59">
        <f t="shared" si="1893"/>
        <v>0</v>
      </c>
      <c r="CE70" s="59">
        <f t="shared" si="1893"/>
        <v>0</v>
      </c>
      <c r="CF70" s="59">
        <f t="shared" si="1987"/>
        <v>0</v>
      </c>
      <c r="CG70" s="59">
        <f t="shared" si="1988"/>
        <v>0</v>
      </c>
      <c r="CH70" s="59">
        <f t="shared" si="1989"/>
        <v>25</v>
      </c>
      <c r="CI70" s="59">
        <f t="shared" si="1990"/>
        <v>0</v>
      </c>
      <c r="CJ70" s="59">
        <f t="shared" si="1991"/>
        <v>25</v>
      </c>
      <c r="CK70" s="59"/>
      <c r="CL70" s="59">
        <f t="shared" si="1894"/>
        <v>0</v>
      </c>
      <c r="CM70" s="59">
        <f t="shared" si="1894"/>
        <v>0</v>
      </c>
      <c r="CN70" s="59">
        <f t="shared" si="1894"/>
        <v>0</v>
      </c>
      <c r="CO70" s="59">
        <f t="shared" si="1894"/>
        <v>0</v>
      </c>
      <c r="CP70" s="59">
        <f t="shared" si="1894"/>
        <v>0</v>
      </c>
      <c r="CQ70" s="59">
        <f t="shared" si="1894"/>
        <v>0</v>
      </c>
      <c r="CR70" s="59">
        <f t="shared" si="1894"/>
        <v>0</v>
      </c>
      <c r="CS70" s="59">
        <f t="shared" si="1894"/>
        <v>0</v>
      </c>
      <c r="CT70" s="59">
        <f t="shared" si="1894"/>
        <v>0</v>
      </c>
      <c r="CU70" s="59">
        <f t="shared" si="1894"/>
        <v>0</v>
      </c>
      <c r="CV70" s="59">
        <f t="shared" si="1894"/>
        <v>0</v>
      </c>
      <c r="CW70" s="59">
        <f t="shared" si="1894"/>
        <v>0</v>
      </c>
      <c r="CX70" s="59">
        <f t="shared" si="1992"/>
        <v>0</v>
      </c>
      <c r="CY70" s="59">
        <f t="shared" si="1993"/>
        <v>0</v>
      </c>
      <c r="CZ70" s="59">
        <f t="shared" si="1994"/>
        <v>0</v>
      </c>
      <c r="DA70" s="59">
        <f t="shared" si="1995"/>
        <v>0</v>
      </c>
      <c r="DB70" s="59">
        <f t="shared" si="1996"/>
        <v>0</v>
      </c>
      <c r="DC70" s="59"/>
      <c r="DD70" s="59">
        <f t="shared" si="1997"/>
        <v>0</v>
      </c>
      <c r="DE70" s="59">
        <f t="shared" si="1998"/>
        <v>0</v>
      </c>
      <c r="DF70" s="59">
        <f t="shared" si="1999"/>
        <v>0</v>
      </c>
      <c r="DG70" s="59">
        <f t="shared" si="2000"/>
        <v>0</v>
      </c>
      <c r="DH70" s="59">
        <f t="shared" si="2001"/>
        <v>0</v>
      </c>
      <c r="DI70" s="59">
        <f t="shared" si="2002"/>
        <v>0</v>
      </c>
      <c r="DJ70" s="59">
        <f t="shared" si="2003"/>
        <v>0</v>
      </c>
      <c r="DK70" s="59">
        <f t="shared" si="2004"/>
        <v>25</v>
      </c>
      <c r="DL70" s="59">
        <f t="shared" si="2005"/>
        <v>0</v>
      </c>
      <c r="DM70" s="59">
        <f t="shared" si="2006"/>
        <v>0</v>
      </c>
      <c r="DN70" s="59">
        <f t="shared" si="2007"/>
        <v>0</v>
      </c>
      <c r="DO70" s="59">
        <f t="shared" si="2008"/>
        <v>0</v>
      </c>
      <c r="DP70" s="59">
        <f t="shared" si="2009"/>
        <v>0</v>
      </c>
      <c r="DQ70" s="59">
        <f t="shared" si="2010"/>
        <v>0</v>
      </c>
      <c r="DR70" s="59">
        <f t="shared" si="2011"/>
        <v>25</v>
      </c>
      <c r="DS70" s="59">
        <f t="shared" si="2012"/>
        <v>0</v>
      </c>
      <c r="DT70" s="59">
        <f t="shared" si="2013"/>
        <v>25</v>
      </c>
      <c r="DU70" s="59"/>
      <c r="DV70" s="70">
        <v>0</v>
      </c>
      <c r="DW70" s="70">
        <v>0</v>
      </c>
      <c r="DX70" s="70">
        <v>0</v>
      </c>
      <c r="DY70" s="70">
        <v>0</v>
      </c>
      <c r="DZ70" s="70">
        <v>0</v>
      </c>
      <c r="EA70" s="70">
        <v>0</v>
      </c>
      <c r="EB70" s="59">
        <f t="shared" si="1906"/>
        <v>0</v>
      </c>
      <c r="EC70" s="59">
        <f t="shared" si="1906"/>
        <v>0</v>
      </c>
      <c r="ED70" s="59">
        <f t="shared" si="1906"/>
        <v>0</v>
      </c>
      <c r="EE70" s="59">
        <f t="shared" si="1906"/>
        <v>25</v>
      </c>
      <c r="EF70" s="59">
        <f t="shared" si="1906"/>
        <v>0</v>
      </c>
      <c r="EG70" s="59">
        <f t="shared" si="1906"/>
        <v>0</v>
      </c>
      <c r="EH70" s="59">
        <f t="shared" si="2014"/>
        <v>0</v>
      </c>
      <c r="EI70" s="59">
        <f t="shared" si="2015"/>
        <v>0</v>
      </c>
      <c r="EJ70" s="59">
        <f t="shared" si="2016"/>
        <v>0</v>
      </c>
      <c r="EK70" s="59">
        <f t="shared" si="2017"/>
        <v>25</v>
      </c>
      <c r="EL70" s="59">
        <f t="shared" si="2018"/>
        <v>25</v>
      </c>
      <c r="EM70" s="59"/>
      <c r="EN70" s="70">
        <v>0</v>
      </c>
      <c r="EO70" s="70">
        <v>0</v>
      </c>
      <c r="EP70" s="70">
        <v>0</v>
      </c>
      <c r="EQ70" s="70">
        <v>0</v>
      </c>
      <c r="ER70" s="70">
        <v>0</v>
      </c>
      <c r="ES70" s="59">
        <f t="shared" si="1907"/>
        <v>0</v>
      </c>
      <c r="ET70" s="59">
        <f t="shared" si="1907"/>
        <v>0</v>
      </c>
      <c r="EU70" s="59">
        <f t="shared" si="1907"/>
        <v>0</v>
      </c>
      <c r="EV70" s="59">
        <f t="shared" si="1907"/>
        <v>0</v>
      </c>
      <c r="EW70" s="59">
        <f t="shared" si="1907"/>
        <v>0</v>
      </c>
      <c r="EX70" s="59">
        <f t="shared" si="1907"/>
        <v>0</v>
      </c>
      <c r="EY70" s="59">
        <f t="shared" si="1907"/>
        <v>0</v>
      </c>
      <c r="EZ70" s="59">
        <f t="shared" si="2019"/>
        <v>0</v>
      </c>
      <c r="FA70" s="59">
        <f t="shared" si="2020"/>
        <v>0</v>
      </c>
      <c r="FB70" s="59">
        <f t="shared" si="2021"/>
        <v>0</v>
      </c>
      <c r="FC70" s="59">
        <f t="shared" si="2022"/>
        <v>0</v>
      </c>
      <c r="FD70" s="59">
        <f t="shared" si="2023"/>
        <v>0</v>
      </c>
      <c r="FE70" s="59"/>
      <c r="FF70" s="59">
        <f t="shared" si="2024"/>
        <v>0</v>
      </c>
      <c r="FG70" s="59">
        <f t="shared" si="2025"/>
        <v>0</v>
      </c>
      <c r="FH70" s="59">
        <f t="shared" si="2026"/>
        <v>0</v>
      </c>
      <c r="FI70" s="59">
        <f t="shared" si="2027"/>
        <v>0</v>
      </c>
      <c r="FJ70" s="59">
        <f t="shared" si="2028"/>
        <v>0</v>
      </c>
      <c r="FK70" s="59">
        <f t="shared" si="2029"/>
        <v>0</v>
      </c>
      <c r="FL70" s="59">
        <f t="shared" si="2030"/>
        <v>0</v>
      </c>
      <c r="FM70" s="59">
        <f t="shared" si="2031"/>
        <v>0</v>
      </c>
      <c r="FN70" s="59">
        <f t="shared" si="2032"/>
        <v>0</v>
      </c>
      <c r="FO70" s="59">
        <f t="shared" si="2033"/>
        <v>25</v>
      </c>
      <c r="FP70" s="59">
        <f t="shared" si="2034"/>
        <v>0</v>
      </c>
      <c r="FQ70" s="59">
        <f t="shared" si="2035"/>
        <v>0</v>
      </c>
      <c r="FR70" s="59">
        <f t="shared" si="2036"/>
        <v>0</v>
      </c>
      <c r="FS70" s="59">
        <f t="shared" si="2037"/>
        <v>0</v>
      </c>
      <c r="FT70" s="59">
        <f t="shared" si="2038"/>
        <v>0</v>
      </c>
      <c r="FU70" s="59">
        <f t="shared" si="2039"/>
        <v>25</v>
      </c>
      <c r="FV70" s="59">
        <f t="shared" si="2040"/>
        <v>25</v>
      </c>
    </row>
    <row r="71" spans="2:178" x14ac:dyDescent="0.2">
      <c r="B71" s="46">
        <f t="shared" si="1953"/>
        <v>5</v>
      </c>
      <c r="C71" s="71" t="s">
        <v>564</v>
      </c>
      <c r="E71" s="13">
        <v>25</v>
      </c>
      <c r="F71" s="13">
        <v>0</v>
      </c>
      <c r="G71" s="17">
        <f t="shared" si="1954"/>
        <v>25</v>
      </c>
      <c r="H71" s="49" t="s">
        <v>218</v>
      </c>
      <c r="I71" s="49" t="s">
        <v>219</v>
      </c>
      <c r="J71" s="49" t="s">
        <v>217</v>
      </c>
      <c r="K71" s="54">
        <v>1</v>
      </c>
      <c r="L71" s="54">
        <v>12</v>
      </c>
      <c r="M71" s="54">
        <v>4</v>
      </c>
      <c r="N71" s="54">
        <v>6</v>
      </c>
      <c r="O71" s="48">
        <f t="shared" si="1955"/>
        <v>7</v>
      </c>
      <c r="P71" s="48">
        <f t="shared" si="1956"/>
        <v>13</v>
      </c>
      <c r="R71" s="59">
        <f t="shared" si="1957"/>
        <v>0</v>
      </c>
      <c r="S71" s="59">
        <f t="shared" si="1879"/>
        <v>0</v>
      </c>
      <c r="T71" s="59">
        <f t="shared" si="1879"/>
        <v>0</v>
      </c>
      <c r="U71" s="59">
        <f t="shared" si="1879"/>
        <v>0</v>
      </c>
      <c r="V71" s="59">
        <f t="shared" si="1879"/>
        <v>0</v>
      </c>
      <c r="W71" s="59">
        <f t="shared" si="1879"/>
        <v>25</v>
      </c>
      <c r="X71" s="59">
        <f t="shared" si="1879"/>
        <v>0</v>
      </c>
      <c r="Y71" s="59">
        <f t="shared" si="1879"/>
        <v>0</v>
      </c>
      <c r="Z71" s="59">
        <f t="shared" si="1879"/>
        <v>0</v>
      </c>
      <c r="AA71" s="59">
        <f t="shared" si="1879"/>
        <v>0</v>
      </c>
      <c r="AB71" s="59">
        <f t="shared" si="1879"/>
        <v>0</v>
      </c>
      <c r="AC71" s="59">
        <f t="shared" si="1879"/>
        <v>0</v>
      </c>
      <c r="AD71" s="59">
        <f t="shared" si="1958"/>
        <v>0</v>
      </c>
      <c r="AE71" s="59">
        <f t="shared" si="1959"/>
        <v>25</v>
      </c>
      <c r="AF71" s="59">
        <f t="shared" si="1960"/>
        <v>0</v>
      </c>
      <c r="AG71" s="59">
        <f t="shared" si="1961"/>
        <v>0</v>
      </c>
      <c r="AH71" s="59">
        <f t="shared" si="1962"/>
        <v>25</v>
      </c>
      <c r="AI71" s="59"/>
      <c r="AJ71" s="59">
        <f t="shared" si="1963"/>
        <v>0</v>
      </c>
      <c r="AK71" s="59">
        <f t="shared" si="1880"/>
        <v>0</v>
      </c>
      <c r="AL71" s="59">
        <f t="shared" si="1880"/>
        <v>0</v>
      </c>
      <c r="AM71" s="59">
        <f t="shared" si="1880"/>
        <v>0</v>
      </c>
      <c r="AN71" s="59">
        <f t="shared" si="1880"/>
        <v>0</v>
      </c>
      <c r="AO71" s="59">
        <f t="shared" si="1880"/>
        <v>0</v>
      </c>
      <c r="AP71" s="59">
        <f t="shared" si="1880"/>
        <v>0</v>
      </c>
      <c r="AQ71" s="59">
        <f t="shared" si="1880"/>
        <v>0</v>
      </c>
      <c r="AR71" s="59">
        <f t="shared" si="1880"/>
        <v>0</v>
      </c>
      <c r="AS71" s="59">
        <f t="shared" si="1880"/>
        <v>0</v>
      </c>
      <c r="AT71" s="59">
        <f t="shared" si="1880"/>
        <v>0</v>
      </c>
      <c r="AU71" s="59">
        <f t="shared" si="1880"/>
        <v>0</v>
      </c>
      <c r="AV71" s="59">
        <f t="shared" si="1964"/>
        <v>0</v>
      </c>
      <c r="AW71" s="59">
        <f t="shared" si="1965"/>
        <v>0</v>
      </c>
      <c r="AX71" s="59">
        <f t="shared" si="1966"/>
        <v>0</v>
      </c>
      <c r="AY71" s="59">
        <f t="shared" si="1967"/>
        <v>0</v>
      </c>
      <c r="AZ71" s="59">
        <f t="shared" si="1968"/>
        <v>0</v>
      </c>
      <c r="BA71" s="59"/>
      <c r="BB71" s="59">
        <f t="shared" si="1969"/>
        <v>0</v>
      </c>
      <c r="BC71" s="59">
        <f t="shared" si="1970"/>
        <v>0</v>
      </c>
      <c r="BD71" s="59">
        <f t="shared" si="1971"/>
        <v>0</v>
      </c>
      <c r="BE71" s="59">
        <f t="shared" si="1972"/>
        <v>0</v>
      </c>
      <c r="BF71" s="59">
        <f t="shared" si="1973"/>
        <v>0</v>
      </c>
      <c r="BG71" s="59">
        <f t="shared" si="1974"/>
        <v>25</v>
      </c>
      <c r="BH71" s="59">
        <f t="shared" si="1975"/>
        <v>0</v>
      </c>
      <c r="BI71" s="59">
        <f t="shared" si="1976"/>
        <v>0</v>
      </c>
      <c r="BJ71" s="59">
        <f t="shared" si="1977"/>
        <v>0</v>
      </c>
      <c r="BK71" s="59">
        <f t="shared" si="1978"/>
        <v>0</v>
      </c>
      <c r="BL71" s="59">
        <f t="shared" si="1979"/>
        <v>0</v>
      </c>
      <c r="BM71" s="59">
        <f t="shared" si="1980"/>
        <v>0</v>
      </c>
      <c r="BN71" s="59">
        <f t="shared" si="1981"/>
        <v>0</v>
      </c>
      <c r="BO71" s="59">
        <f t="shared" si="1982"/>
        <v>25</v>
      </c>
      <c r="BP71" s="59">
        <f t="shared" si="1983"/>
        <v>0</v>
      </c>
      <c r="BQ71" s="59">
        <f t="shared" si="1984"/>
        <v>0</v>
      </c>
      <c r="BR71" s="59">
        <f t="shared" si="1985"/>
        <v>25</v>
      </c>
      <c r="BS71" s="59"/>
      <c r="BT71" s="59">
        <f t="shared" si="1986"/>
        <v>0</v>
      </c>
      <c r="BU71" s="59">
        <f t="shared" si="1893"/>
        <v>0</v>
      </c>
      <c r="BV71" s="59">
        <f t="shared" si="1893"/>
        <v>0</v>
      </c>
      <c r="BW71" s="59">
        <f t="shared" si="1893"/>
        <v>0</v>
      </c>
      <c r="BX71" s="59">
        <f t="shared" si="1893"/>
        <v>0</v>
      </c>
      <c r="BY71" s="59">
        <f t="shared" si="1893"/>
        <v>0</v>
      </c>
      <c r="BZ71" s="59">
        <f t="shared" si="1893"/>
        <v>25</v>
      </c>
      <c r="CA71" s="59">
        <f t="shared" si="1893"/>
        <v>0</v>
      </c>
      <c r="CB71" s="59">
        <f t="shared" si="1893"/>
        <v>0</v>
      </c>
      <c r="CC71" s="59">
        <f t="shared" si="1893"/>
        <v>0</v>
      </c>
      <c r="CD71" s="59">
        <f t="shared" si="1893"/>
        <v>0</v>
      </c>
      <c r="CE71" s="59">
        <f t="shared" si="1893"/>
        <v>0</v>
      </c>
      <c r="CF71" s="59">
        <f t="shared" si="1987"/>
        <v>0</v>
      </c>
      <c r="CG71" s="59">
        <f t="shared" si="1988"/>
        <v>0</v>
      </c>
      <c r="CH71" s="59">
        <f t="shared" si="1989"/>
        <v>25</v>
      </c>
      <c r="CI71" s="59">
        <f t="shared" si="1990"/>
        <v>0</v>
      </c>
      <c r="CJ71" s="59">
        <f t="shared" si="1991"/>
        <v>25</v>
      </c>
      <c r="CK71" s="59"/>
      <c r="CL71" s="59">
        <f t="shared" si="1894"/>
        <v>0</v>
      </c>
      <c r="CM71" s="59">
        <f t="shared" si="1894"/>
        <v>0</v>
      </c>
      <c r="CN71" s="59">
        <f t="shared" si="1894"/>
        <v>0</v>
      </c>
      <c r="CO71" s="59">
        <f t="shared" si="1894"/>
        <v>0</v>
      </c>
      <c r="CP71" s="59">
        <f t="shared" si="1894"/>
        <v>0</v>
      </c>
      <c r="CQ71" s="59">
        <f t="shared" si="1894"/>
        <v>0</v>
      </c>
      <c r="CR71" s="59">
        <f t="shared" si="1894"/>
        <v>0</v>
      </c>
      <c r="CS71" s="59">
        <f t="shared" si="1894"/>
        <v>0</v>
      </c>
      <c r="CT71" s="59">
        <f t="shared" si="1894"/>
        <v>0</v>
      </c>
      <c r="CU71" s="59">
        <f t="shared" si="1894"/>
        <v>0</v>
      </c>
      <c r="CV71" s="59">
        <f t="shared" si="1894"/>
        <v>0</v>
      </c>
      <c r="CW71" s="59">
        <f t="shared" si="1894"/>
        <v>0</v>
      </c>
      <c r="CX71" s="59">
        <f t="shared" si="1992"/>
        <v>0</v>
      </c>
      <c r="CY71" s="59">
        <f t="shared" si="1993"/>
        <v>0</v>
      </c>
      <c r="CZ71" s="59">
        <f t="shared" si="1994"/>
        <v>0</v>
      </c>
      <c r="DA71" s="59">
        <f t="shared" si="1995"/>
        <v>0</v>
      </c>
      <c r="DB71" s="59">
        <f t="shared" si="1996"/>
        <v>0</v>
      </c>
      <c r="DC71" s="59"/>
      <c r="DD71" s="59">
        <f t="shared" si="1997"/>
        <v>0</v>
      </c>
      <c r="DE71" s="59">
        <f t="shared" si="1998"/>
        <v>0</v>
      </c>
      <c r="DF71" s="59">
        <f t="shared" si="1999"/>
        <v>0</v>
      </c>
      <c r="DG71" s="59">
        <f t="shared" si="2000"/>
        <v>0</v>
      </c>
      <c r="DH71" s="59">
        <f t="shared" si="2001"/>
        <v>0</v>
      </c>
      <c r="DI71" s="59">
        <f t="shared" si="2002"/>
        <v>0</v>
      </c>
      <c r="DJ71" s="59">
        <f t="shared" si="2003"/>
        <v>25</v>
      </c>
      <c r="DK71" s="59">
        <f t="shared" si="2004"/>
        <v>0</v>
      </c>
      <c r="DL71" s="59">
        <f t="shared" si="2005"/>
        <v>0</v>
      </c>
      <c r="DM71" s="59">
        <f t="shared" si="2006"/>
        <v>0</v>
      </c>
      <c r="DN71" s="59">
        <f t="shared" si="2007"/>
        <v>0</v>
      </c>
      <c r="DO71" s="59">
        <f t="shared" si="2008"/>
        <v>0</v>
      </c>
      <c r="DP71" s="59">
        <f t="shared" si="2009"/>
        <v>0</v>
      </c>
      <c r="DQ71" s="59">
        <f t="shared" si="2010"/>
        <v>0</v>
      </c>
      <c r="DR71" s="59">
        <f t="shared" si="2011"/>
        <v>25</v>
      </c>
      <c r="DS71" s="59">
        <f t="shared" si="2012"/>
        <v>0</v>
      </c>
      <c r="DT71" s="59">
        <f t="shared" si="2013"/>
        <v>25</v>
      </c>
      <c r="DU71" s="59"/>
      <c r="DV71" s="70">
        <v>0</v>
      </c>
      <c r="DW71" s="70">
        <v>0</v>
      </c>
      <c r="DX71" s="70">
        <v>0</v>
      </c>
      <c r="DY71" s="70">
        <v>0</v>
      </c>
      <c r="DZ71" s="70">
        <v>0</v>
      </c>
      <c r="EA71" s="70">
        <v>0</v>
      </c>
      <c r="EB71" s="59">
        <f t="shared" si="1906"/>
        <v>0</v>
      </c>
      <c r="EC71" s="59">
        <f t="shared" si="1906"/>
        <v>0</v>
      </c>
      <c r="ED71" s="59">
        <f t="shared" si="1906"/>
        <v>25</v>
      </c>
      <c r="EE71" s="59">
        <f t="shared" si="1906"/>
        <v>0</v>
      </c>
      <c r="EF71" s="59">
        <f t="shared" si="1906"/>
        <v>0</v>
      </c>
      <c r="EG71" s="59">
        <f t="shared" si="1906"/>
        <v>0</v>
      </c>
      <c r="EH71" s="59">
        <f t="shared" si="2014"/>
        <v>0</v>
      </c>
      <c r="EI71" s="59">
        <f t="shared" si="2015"/>
        <v>0</v>
      </c>
      <c r="EJ71" s="59">
        <f t="shared" si="2016"/>
        <v>25</v>
      </c>
      <c r="EK71" s="59">
        <f t="shared" si="2017"/>
        <v>0</v>
      </c>
      <c r="EL71" s="59">
        <f t="shared" si="2018"/>
        <v>25</v>
      </c>
      <c r="EM71" s="59"/>
      <c r="EN71" s="70">
        <v>0</v>
      </c>
      <c r="EO71" s="70">
        <v>0</v>
      </c>
      <c r="EP71" s="70">
        <v>0</v>
      </c>
      <c r="EQ71" s="70">
        <v>0</v>
      </c>
      <c r="ER71" s="70">
        <v>0</v>
      </c>
      <c r="ES71" s="59">
        <f t="shared" si="1907"/>
        <v>0</v>
      </c>
      <c r="ET71" s="59">
        <f t="shared" si="1907"/>
        <v>0</v>
      </c>
      <c r="EU71" s="59">
        <f t="shared" si="1907"/>
        <v>0</v>
      </c>
      <c r="EV71" s="59">
        <f t="shared" si="1907"/>
        <v>0</v>
      </c>
      <c r="EW71" s="59">
        <f t="shared" si="1907"/>
        <v>0</v>
      </c>
      <c r="EX71" s="59">
        <f t="shared" si="1907"/>
        <v>0</v>
      </c>
      <c r="EY71" s="59">
        <f t="shared" si="1907"/>
        <v>0</v>
      </c>
      <c r="EZ71" s="59">
        <f t="shared" si="2019"/>
        <v>0</v>
      </c>
      <c r="FA71" s="59">
        <f t="shared" si="2020"/>
        <v>0</v>
      </c>
      <c r="FB71" s="59">
        <f t="shared" si="2021"/>
        <v>0</v>
      </c>
      <c r="FC71" s="59">
        <f t="shared" si="2022"/>
        <v>0</v>
      </c>
      <c r="FD71" s="59">
        <f t="shared" si="2023"/>
        <v>0</v>
      </c>
      <c r="FE71" s="59"/>
      <c r="FF71" s="59">
        <f t="shared" si="2024"/>
        <v>0</v>
      </c>
      <c r="FG71" s="59">
        <f t="shared" si="2025"/>
        <v>0</v>
      </c>
      <c r="FH71" s="59">
        <f t="shared" si="2026"/>
        <v>0</v>
      </c>
      <c r="FI71" s="59">
        <f t="shared" si="2027"/>
        <v>0</v>
      </c>
      <c r="FJ71" s="59">
        <f t="shared" si="2028"/>
        <v>0</v>
      </c>
      <c r="FK71" s="59">
        <f t="shared" si="2029"/>
        <v>0</v>
      </c>
      <c r="FL71" s="59">
        <f t="shared" si="2030"/>
        <v>0</v>
      </c>
      <c r="FM71" s="59">
        <f t="shared" si="2031"/>
        <v>0</v>
      </c>
      <c r="FN71" s="59">
        <f t="shared" si="2032"/>
        <v>25</v>
      </c>
      <c r="FO71" s="59">
        <f t="shared" si="2033"/>
        <v>0</v>
      </c>
      <c r="FP71" s="59">
        <f t="shared" si="2034"/>
        <v>0</v>
      </c>
      <c r="FQ71" s="59">
        <f t="shared" si="2035"/>
        <v>0</v>
      </c>
      <c r="FR71" s="59">
        <f t="shared" si="2036"/>
        <v>0</v>
      </c>
      <c r="FS71" s="59">
        <f t="shared" si="2037"/>
        <v>0</v>
      </c>
      <c r="FT71" s="59">
        <f t="shared" si="2038"/>
        <v>25</v>
      </c>
      <c r="FU71" s="59">
        <f t="shared" si="2039"/>
        <v>0</v>
      </c>
      <c r="FV71" s="59">
        <f t="shared" si="2040"/>
        <v>25</v>
      </c>
    </row>
    <row r="72" spans="2:178" x14ac:dyDescent="0.2">
      <c r="B72" s="46">
        <f t="shared" si="1953"/>
        <v>6</v>
      </c>
      <c r="C72" s="71" t="s">
        <v>565</v>
      </c>
      <c r="E72" s="13">
        <v>25</v>
      </c>
      <c r="F72" s="13">
        <v>0</v>
      </c>
      <c r="G72" s="17">
        <f t="shared" si="1954"/>
        <v>25</v>
      </c>
      <c r="H72" s="49" t="s">
        <v>218</v>
      </c>
      <c r="I72" s="49" t="s">
        <v>219</v>
      </c>
      <c r="J72" s="49" t="s">
        <v>217</v>
      </c>
      <c r="K72" s="54">
        <v>1</v>
      </c>
      <c r="L72" s="54">
        <v>12</v>
      </c>
      <c r="M72" s="54">
        <v>5</v>
      </c>
      <c r="N72" s="54">
        <v>7</v>
      </c>
      <c r="O72" s="48">
        <f t="shared" si="1955"/>
        <v>8</v>
      </c>
      <c r="P72" s="48">
        <f t="shared" si="1956"/>
        <v>13</v>
      </c>
      <c r="R72" s="59">
        <f t="shared" si="1957"/>
        <v>0</v>
      </c>
      <c r="S72" s="59">
        <f t="shared" si="1879"/>
        <v>0</v>
      </c>
      <c r="T72" s="59">
        <f t="shared" si="1879"/>
        <v>0</v>
      </c>
      <c r="U72" s="59">
        <f t="shared" si="1879"/>
        <v>0</v>
      </c>
      <c r="V72" s="59">
        <f t="shared" si="1879"/>
        <v>0</v>
      </c>
      <c r="W72" s="59">
        <f t="shared" si="1879"/>
        <v>0</v>
      </c>
      <c r="X72" s="59">
        <f t="shared" si="1879"/>
        <v>25</v>
      </c>
      <c r="Y72" s="59">
        <f t="shared" si="1879"/>
        <v>0</v>
      </c>
      <c r="Z72" s="59">
        <f t="shared" si="1879"/>
        <v>0</v>
      </c>
      <c r="AA72" s="59">
        <f t="shared" si="1879"/>
        <v>0</v>
      </c>
      <c r="AB72" s="59">
        <f t="shared" si="1879"/>
        <v>0</v>
      </c>
      <c r="AC72" s="59">
        <f t="shared" si="1879"/>
        <v>0</v>
      </c>
      <c r="AD72" s="59">
        <f t="shared" si="1958"/>
        <v>0</v>
      </c>
      <c r="AE72" s="59">
        <f t="shared" si="1959"/>
        <v>0</v>
      </c>
      <c r="AF72" s="59">
        <f t="shared" si="1960"/>
        <v>25</v>
      </c>
      <c r="AG72" s="59">
        <f t="shared" si="1961"/>
        <v>0</v>
      </c>
      <c r="AH72" s="59">
        <f t="shared" si="1962"/>
        <v>25</v>
      </c>
      <c r="AI72" s="59"/>
      <c r="AJ72" s="59">
        <f t="shared" si="1963"/>
        <v>0</v>
      </c>
      <c r="AK72" s="59">
        <f t="shared" si="1880"/>
        <v>0</v>
      </c>
      <c r="AL72" s="59">
        <f t="shared" si="1880"/>
        <v>0</v>
      </c>
      <c r="AM72" s="59">
        <f t="shared" si="1880"/>
        <v>0</v>
      </c>
      <c r="AN72" s="59">
        <f t="shared" si="1880"/>
        <v>0</v>
      </c>
      <c r="AO72" s="59">
        <f t="shared" si="1880"/>
        <v>0</v>
      </c>
      <c r="AP72" s="59">
        <f t="shared" si="1880"/>
        <v>0</v>
      </c>
      <c r="AQ72" s="59">
        <f t="shared" si="1880"/>
        <v>0</v>
      </c>
      <c r="AR72" s="59">
        <f t="shared" si="1880"/>
        <v>0</v>
      </c>
      <c r="AS72" s="59">
        <f t="shared" si="1880"/>
        <v>0</v>
      </c>
      <c r="AT72" s="59">
        <f t="shared" si="1880"/>
        <v>0</v>
      </c>
      <c r="AU72" s="59">
        <f t="shared" si="1880"/>
        <v>0</v>
      </c>
      <c r="AV72" s="59">
        <f t="shared" si="1964"/>
        <v>0</v>
      </c>
      <c r="AW72" s="59">
        <f t="shared" si="1965"/>
        <v>0</v>
      </c>
      <c r="AX72" s="59">
        <f t="shared" si="1966"/>
        <v>0</v>
      </c>
      <c r="AY72" s="59">
        <f t="shared" si="1967"/>
        <v>0</v>
      </c>
      <c r="AZ72" s="59">
        <f t="shared" si="1968"/>
        <v>0</v>
      </c>
      <c r="BA72" s="59"/>
      <c r="BB72" s="59">
        <f t="shared" si="1969"/>
        <v>0</v>
      </c>
      <c r="BC72" s="59">
        <f t="shared" si="1970"/>
        <v>0</v>
      </c>
      <c r="BD72" s="59">
        <f t="shared" si="1971"/>
        <v>0</v>
      </c>
      <c r="BE72" s="59">
        <f t="shared" si="1972"/>
        <v>0</v>
      </c>
      <c r="BF72" s="59">
        <f t="shared" si="1973"/>
        <v>0</v>
      </c>
      <c r="BG72" s="59">
        <f t="shared" si="1974"/>
        <v>0</v>
      </c>
      <c r="BH72" s="59">
        <f t="shared" si="1975"/>
        <v>25</v>
      </c>
      <c r="BI72" s="59">
        <f t="shared" si="1976"/>
        <v>0</v>
      </c>
      <c r="BJ72" s="59">
        <f t="shared" si="1977"/>
        <v>0</v>
      </c>
      <c r="BK72" s="59">
        <f t="shared" si="1978"/>
        <v>0</v>
      </c>
      <c r="BL72" s="59">
        <f t="shared" si="1979"/>
        <v>0</v>
      </c>
      <c r="BM72" s="59">
        <f t="shared" si="1980"/>
        <v>0</v>
      </c>
      <c r="BN72" s="59">
        <f t="shared" si="1981"/>
        <v>0</v>
      </c>
      <c r="BO72" s="59">
        <f t="shared" si="1982"/>
        <v>0</v>
      </c>
      <c r="BP72" s="59">
        <f t="shared" si="1983"/>
        <v>25</v>
      </c>
      <c r="BQ72" s="59">
        <f t="shared" si="1984"/>
        <v>0</v>
      </c>
      <c r="BR72" s="59">
        <f t="shared" si="1985"/>
        <v>25</v>
      </c>
      <c r="BS72" s="59"/>
      <c r="BT72" s="59">
        <f t="shared" si="1986"/>
        <v>0</v>
      </c>
      <c r="BU72" s="59">
        <f t="shared" si="1893"/>
        <v>0</v>
      </c>
      <c r="BV72" s="59">
        <f t="shared" si="1893"/>
        <v>0</v>
      </c>
      <c r="BW72" s="59">
        <f t="shared" si="1893"/>
        <v>0</v>
      </c>
      <c r="BX72" s="59">
        <f t="shared" si="1893"/>
        <v>0</v>
      </c>
      <c r="BY72" s="59">
        <f t="shared" si="1893"/>
        <v>0</v>
      </c>
      <c r="BZ72" s="59">
        <f t="shared" si="1893"/>
        <v>0</v>
      </c>
      <c r="CA72" s="59">
        <f t="shared" si="1893"/>
        <v>25</v>
      </c>
      <c r="CB72" s="59">
        <f t="shared" si="1893"/>
        <v>0</v>
      </c>
      <c r="CC72" s="59">
        <f t="shared" si="1893"/>
        <v>0</v>
      </c>
      <c r="CD72" s="59">
        <f t="shared" si="1893"/>
        <v>0</v>
      </c>
      <c r="CE72" s="59">
        <f t="shared" si="1893"/>
        <v>0</v>
      </c>
      <c r="CF72" s="59">
        <f t="shared" si="1987"/>
        <v>0</v>
      </c>
      <c r="CG72" s="59">
        <f t="shared" si="1988"/>
        <v>0</v>
      </c>
      <c r="CH72" s="59">
        <f t="shared" si="1989"/>
        <v>25</v>
      </c>
      <c r="CI72" s="59">
        <f t="shared" si="1990"/>
        <v>0</v>
      </c>
      <c r="CJ72" s="59">
        <f t="shared" si="1991"/>
        <v>25</v>
      </c>
      <c r="CK72" s="59"/>
      <c r="CL72" s="59">
        <f t="shared" si="1894"/>
        <v>0</v>
      </c>
      <c r="CM72" s="59">
        <f t="shared" si="1894"/>
        <v>0</v>
      </c>
      <c r="CN72" s="59">
        <f t="shared" si="1894"/>
        <v>0</v>
      </c>
      <c r="CO72" s="59">
        <f t="shared" si="1894"/>
        <v>0</v>
      </c>
      <c r="CP72" s="59">
        <f t="shared" si="1894"/>
        <v>0</v>
      </c>
      <c r="CQ72" s="59">
        <f t="shared" si="1894"/>
        <v>0</v>
      </c>
      <c r="CR72" s="59">
        <f t="shared" si="1894"/>
        <v>0</v>
      </c>
      <c r="CS72" s="59">
        <f t="shared" si="1894"/>
        <v>0</v>
      </c>
      <c r="CT72" s="59">
        <f t="shared" si="1894"/>
        <v>0</v>
      </c>
      <c r="CU72" s="59">
        <f t="shared" si="1894"/>
        <v>0</v>
      </c>
      <c r="CV72" s="59">
        <f t="shared" si="1894"/>
        <v>0</v>
      </c>
      <c r="CW72" s="59">
        <f t="shared" si="1894"/>
        <v>0</v>
      </c>
      <c r="CX72" s="59">
        <f t="shared" si="1992"/>
        <v>0</v>
      </c>
      <c r="CY72" s="59">
        <f t="shared" si="1993"/>
        <v>0</v>
      </c>
      <c r="CZ72" s="59">
        <f t="shared" si="1994"/>
        <v>0</v>
      </c>
      <c r="DA72" s="59">
        <f t="shared" si="1995"/>
        <v>0</v>
      </c>
      <c r="DB72" s="59">
        <f t="shared" si="1996"/>
        <v>0</v>
      </c>
      <c r="DC72" s="59"/>
      <c r="DD72" s="59">
        <f t="shared" si="1997"/>
        <v>0</v>
      </c>
      <c r="DE72" s="59">
        <f t="shared" si="1998"/>
        <v>0</v>
      </c>
      <c r="DF72" s="59">
        <f t="shared" si="1999"/>
        <v>0</v>
      </c>
      <c r="DG72" s="59">
        <f t="shared" si="2000"/>
        <v>0</v>
      </c>
      <c r="DH72" s="59">
        <f t="shared" si="2001"/>
        <v>0</v>
      </c>
      <c r="DI72" s="59">
        <f t="shared" si="2002"/>
        <v>0</v>
      </c>
      <c r="DJ72" s="59">
        <f t="shared" si="2003"/>
        <v>0</v>
      </c>
      <c r="DK72" s="59">
        <f t="shared" si="2004"/>
        <v>25</v>
      </c>
      <c r="DL72" s="59">
        <f t="shared" si="2005"/>
        <v>0</v>
      </c>
      <c r="DM72" s="59">
        <f t="shared" si="2006"/>
        <v>0</v>
      </c>
      <c r="DN72" s="59">
        <f t="shared" si="2007"/>
        <v>0</v>
      </c>
      <c r="DO72" s="59">
        <f t="shared" si="2008"/>
        <v>0</v>
      </c>
      <c r="DP72" s="59">
        <f t="shared" si="2009"/>
        <v>0</v>
      </c>
      <c r="DQ72" s="59">
        <f t="shared" si="2010"/>
        <v>0</v>
      </c>
      <c r="DR72" s="59">
        <f t="shared" si="2011"/>
        <v>25</v>
      </c>
      <c r="DS72" s="59">
        <f t="shared" si="2012"/>
        <v>0</v>
      </c>
      <c r="DT72" s="59">
        <f t="shared" si="2013"/>
        <v>25</v>
      </c>
      <c r="DU72" s="59"/>
      <c r="DV72" s="70">
        <v>0</v>
      </c>
      <c r="DW72" s="70">
        <v>0</v>
      </c>
      <c r="DX72" s="70">
        <v>0</v>
      </c>
      <c r="DY72" s="70">
        <v>0</v>
      </c>
      <c r="DZ72" s="70">
        <v>0</v>
      </c>
      <c r="EA72" s="70">
        <v>0</v>
      </c>
      <c r="EB72" s="59">
        <f t="shared" si="1906"/>
        <v>0</v>
      </c>
      <c r="EC72" s="59">
        <f t="shared" si="1906"/>
        <v>0</v>
      </c>
      <c r="ED72" s="59">
        <f t="shared" si="1906"/>
        <v>0</v>
      </c>
      <c r="EE72" s="59">
        <f t="shared" si="1906"/>
        <v>25</v>
      </c>
      <c r="EF72" s="59">
        <f t="shared" si="1906"/>
        <v>0</v>
      </c>
      <c r="EG72" s="59">
        <f t="shared" si="1906"/>
        <v>0</v>
      </c>
      <c r="EH72" s="59">
        <f t="shared" si="2014"/>
        <v>0</v>
      </c>
      <c r="EI72" s="59">
        <f t="shared" si="2015"/>
        <v>0</v>
      </c>
      <c r="EJ72" s="59">
        <f t="shared" si="2016"/>
        <v>0</v>
      </c>
      <c r="EK72" s="59">
        <f t="shared" si="2017"/>
        <v>25</v>
      </c>
      <c r="EL72" s="59">
        <f t="shared" si="2018"/>
        <v>25</v>
      </c>
      <c r="EM72" s="59"/>
      <c r="EN72" s="70">
        <v>0</v>
      </c>
      <c r="EO72" s="70">
        <v>0</v>
      </c>
      <c r="EP72" s="70">
        <v>0</v>
      </c>
      <c r="EQ72" s="70">
        <v>0</v>
      </c>
      <c r="ER72" s="70">
        <v>0</v>
      </c>
      <c r="ES72" s="59">
        <f t="shared" si="1907"/>
        <v>0</v>
      </c>
      <c r="ET72" s="59">
        <f t="shared" si="1907"/>
        <v>0</v>
      </c>
      <c r="EU72" s="59">
        <f t="shared" si="1907"/>
        <v>0</v>
      </c>
      <c r="EV72" s="59">
        <f t="shared" si="1907"/>
        <v>0</v>
      </c>
      <c r="EW72" s="59">
        <f t="shared" si="1907"/>
        <v>0</v>
      </c>
      <c r="EX72" s="59">
        <f t="shared" si="1907"/>
        <v>0</v>
      </c>
      <c r="EY72" s="59">
        <f t="shared" si="1907"/>
        <v>0</v>
      </c>
      <c r="EZ72" s="59">
        <f t="shared" si="2019"/>
        <v>0</v>
      </c>
      <c r="FA72" s="59">
        <f t="shared" si="2020"/>
        <v>0</v>
      </c>
      <c r="FB72" s="59">
        <f t="shared" si="2021"/>
        <v>0</v>
      </c>
      <c r="FC72" s="59">
        <f t="shared" si="2022"/>
        <v>0</v>
      </c>
      <c r="FD72" s="59">
        <f t="shared" si="2023"/>
        <v>0</v>
      </c>
      <c r="FE72" s="59"/>
      <c r="FF72" s="59">
        <f t="shared" si="2024"/>
        <v>0</v>
      </c>
      <c r="FG72" s="59">
        <f t="shared" si="2025"/>
        <v>0</v>
      </c>
      <c r="FH72" s="59">
        <f t="shared" si="2026"/>
        <v>0</v>
      </c>
      <c r="FI72" s="59">
        <f t="shared" si="2027"/>
        <v>0</v>
      </c>
      <c r="FJ72" s="59">
        <f t="shared" si="2028"/>
        <v>0</v>
      </c>
      <c r="FK72" s="59">
        <f t="shared" si="2029"/>
        <v>0</v>
      </c>
      <c r="FL72" s="59">
        <f t="shared" si="2030"/>
        <v>0</v>
      </c>
      <c r="FM72" s="59">
        <f t="shared" si="2031"/>
        <v>0</v>
      </c>
      <c r="FN72" s="59">
        <f t="shared" si="2032"/>
        <v>0</v>
      </c>
      <c r="FO72" s="59">
        <f t="shared" si="2033"/>
        <v>25</v>
      </c>
      <c r="FP72" s="59">
        <f t="shared" si="2034"/>
        <v>0</v>
      </c>
      <c r="FQ72" s="59">
        <f t="shared" si="2035"/>
        <v>0</v>
      </c>
      <c r="FR72" s="59">
        <f t="shared" si="2036"/>
        <v>0</v>
      </c>
      <c r="FS72" s="59">
        <f t="shared" si="2037"/>
        <v>0</v>
      </c>
      <c r="FT72" s="59">
        <f t="shared" si="2038"/>
        <v>0</v>
      </c>
      <c r="FU72" s="59">
        <f t="shared" si="2039"/>
        <v>25</v>
      </c>
      <c r="FV72" s="59">
        <f t="shared" si="2040"/>
        <v>25</v>
      </c>
    </row>
    <row r="73" spans="2:178" x14ac:dyDescent="0.2">
      <c r="B73" s="46">
        <f t="shared" si="1953"/>
        <v>7</v>
      </c>
      <c r="C73" s="71" t="s">
        <v>566</v>
      </c>
      <c r="E73" s="13">
        <v>500</v>
      </c>
      <c r="F73" s="13">
        <v>200</v>
      </c>
      <c r="G73" s="17">
        <f t="shared" ref="G73:G75" si="2041">+E73+F73</f>
        <v>700</v>
      </c>
      <c r="H73" s="49" t="s">
        <v>218</v>
      </c>
      <c r="I73" s="49" t="s">
        <v>219</v>
      </c>
      <c r="J73" s="49" t="s">
        <v>217</v>
      </c>
      <c r="K73" s="54">
        <v>6</v>
      </c>
      <c r="L73" s="54">
        <v>12</v>
      </c>
      <c r="M73" s="54">
        <v>4</v>
      </c>
      <c r="N73" s="54">
        <v>8</v>
      </c>
      <c r="O73" s="48">
        <f t="shared" ref="O73:O75" si="2042">+N73+1</f>
        <v>9</v>
      </c>
      <c r="P73" s="48">
        <f t="shared" ref="P73:P75" si="2043">+K73+L73</f>
        <v>18</v>
      </c>
      <c r="R73" s="59">
        <f t="shared" ref="R73:R75" si="2044">IF($N73&lt;R$4,0,IF($N73=R$4,$E73,0))</f>
        <v>0</v>
      </c>
      <c r="S73" s="59">
        <f t="shared" si="1879"/>
        <v>0</v>
      </c>
      <c r="T73" s="59">
        <f t="shared" si="1879"/>
        <v>0</v>
      </c>
      <c r="U73" s="59">
        <f t="shared" si="1879"/>
        <v>0</v>
      </c>
      <c r="V73" s="59">
        <f t="shared" si="1879"/>
        <v>0</v>
      </c>
      <c r="W73" s="59">
        <f t="shared" si="1879"/>
        <v>0</v>
      </c>
      <c r="X73" s="59">
        <f t="shared" si="1879"/>
        <v>0</v>
      </c>
      <c r="Y73" s="59">
        <f t="shared" si="1879"/>
        <v>500</v>
      </c>
      <c r="Z73" s="59">
        <f t="shared" si="1879"/>
        <v>0</v>
      </c>
      <c r="AA73" s="59">
        <f t="shared" si="1879"/>
        <v>0</v>
      </c>
      <c r="AB73" s="59">
        <f t="shared" si="1879"/>
        <v>0</v>
      </c>
      <c r="AC73" s="59">
        <f t="shared" si="1879"/>
        <v>0</v>
      </c>
      <c r="AD73" s="59">
        <f t="shared" ref="AD73:AD75" si="2045">SUM(R73:T73)</f>
        <v>0</v>
      </c>
      <c r="AE73" s="59">
        <f t="shared" ref="AE73:AE75" si="2046">SUM(U73:W73)</f>
        <v>0</v>
      </c>
      <c r="AF73" s="59">
        <f t="shared" ref="AF73:AF75" si="2047">SUM(X73:Z73)</f>
        <v>500</v>
      </c>
      <c r="AG73" s="59">
        <f t="shared" ref="AG73:AG75" si="2048">SUM(AA73:AC73)</f>
        <v>0</v>
      </c>
      <c r="AH73" s="59">
        <f t="shared" ref="AH73:AH75" si="2049">SUM(AD73:AG73)</f>
        <v>500</v>
      </c>
      <c r="AI73" s="59"/>
      <c r="AJ73" s="59">
        <f t="shared" ref="AJ73:AJ75" si="2050">IF($N73&lt;AJ$4,0,IF($N73=AJ$4,$F73,0))</f>
        <v>0</v>
      </c>
      <c r="AK73" s="59">
        <f t="shared" si="1880"/>
        <v>0</v>
      </c>
      <c r="AL73" s="59">
        <f t="shared" si="1880"/>
        <v>0</v>
      </c>
      <c r="AM73" s="59">
        <f t="shared" si="1880"/>
        <v>0</v>
      </c>
      <c r="AN73" s="59">
        <f t="shared" si="1880"/>
        <v>0</v>
      </c>
      <c r="AO73" s="59">
        <f t="shared" si="1880"/>
        <v>0</v>
      </c>
      <c r="AP73" s="59">
        <f t="shared" si="1880"/>
        <v>0</v>
      </c>
      <c r="AQ73" s="59">
        <f t="shared" si="1880"/>
        <v>200</v>
      </c>
      <c r="AR73" s="59">
        <f t="shared" si="1880"/>
        <v>0</v>
      </c>
      <c r="AS73" s="59">
        <f t="shared" si="1880"/>
        <v>0</v>
      </c>
      <c r="AT73" s="59">
        <f t="shared" si="1880"/>
        <v>0</v>
      </c>
      <c r="AU73" s="59">
        <f t="shared" si="1880"/>
        <v>0</v>
      </c>
      <c r="AV73" s="59">
        <f t="shared" ref="AV73:AV75" si="2051">SUM(AJ73:AL73)</f>
        <v>0</v>
      </c>
      <c r="AW73" s="59">
        <f t="shared" ref="AW73:AW75" si="2052">SUM(AM73:AO73)</f>
        <v>0</v>
      </c>
      <c r="AX73" s="59">
        <f t="shared" ref="AX73:AX75" si="2053">SUM(AP73:AR73)</f>
        <v>200</v>
      </c>
      <c r="AY73" s="59">
        <f t="shared" ref="AY73:AY75" si="2054">SUM(AS73:AU73)</f>
        <v>0</v>
      </c>
      <c r="AZ73" s="59">
        <f t="shared" ref="AZ73:AZ75" si="2055">SUM(AV73:AY73)</f>
        <v>200</v>
      </c>
      <c r="BA73" s="59"/>
      <c r="BB73" s="59">
        <f t="shared" ref="BB73:BB75" si="2056">+R73+AJ73</f>
        <v>0</v>
      </c>
      <c r="BC73" s="59">
        <f t="shared" si="1881"/>
        <v>0</v>
      </c>
      <c r="BD73" s="59">
        <f t="shared" si="1882"/>
        <v>0</v>
      </c>
      <c r="BE73" s="59">
        <f t="shared" si="1883"/>
        <v>0</v>
      </c>
      <c r="BF73" s="59">
        <f t="shared" si="1884"/>
        <v>0</v>
      </c>
      <c r="BG73" s="59">
        <f t="shared" si="1885"/>
        <v>0</v>
      </c>
      <c r="BH73" s="59">
        <f t="shared" si="1886"/>
        <v>0</v>
      </c>
      <c r="BI73" s="59">
        <f t="shared" si="1887"/>
        <v>700</v>
      </c>
      <c r="BJ73" s="59">
        <f t="shared" si="1888"/>
        <v>0</v>
      </c>
      <c r="BK73" s="59">
        <f t="shared" si="1889"/>
        <v>0</v>
      </c>
      <c r="BL73" s="59">
        <f t="shared" si="1890"/>
        <v>0</v>
      </c>
      <c r="BM73" s="59">
        <f t="shared" si="1891"/>
        <v>0</v>
      </c>
      <c r="BN73" s="59">
        <f t="shared" ref="BN73:BN75" si="2057">SUM(BB73:BD73)</f>
        <v>0</v>
      </c>
      <c r="BO73" s="59">
        <f t="shared" ref="BO73:BO75" si="2058">SUM(BE73:BG73)</f>
        <v>0</v>
      </c>
      <c r="BP73" s="59">
        <f t="shared" si="1892"/>
        <v>700</v>
      </c>
      <c r="BQ73" s="59">
        <f t="shared" ref="BQ73:BQ75" si="2059">SUM(BK73:BM73)</f>
        <v>0</v>
      </c>
      <c r="BR73" s="59">
        <f t="shared" ref="BR73:BR75" si="2060">SUM(BN73:BQ73)</f>
        <v>700</v>
      </c>
      <c r="BS73" s="59"/>
      <c r="BT73" s="59">
        <f t="shared" ref="BT73:BT75" si="2061">IF(BT$4&lt;$O73,0,IF(AND(BT$4&gt;=$O73,BT$4&lt;=$K73+$N73),$E73/$K73,0))</f>
        <v>0</v>
      </c>
      <c r="BU73" s="59">
        <f t="shared" si="1893"/>
        <v>0</v>
      </c>
      <c r="BV73" s="59">
        <f t="shared" si="1893"/>
        <v>0</v>
      </c>
      <c r="BW73" s="59">
        <f t="shared" si="1893"/>
        <v>0</v>
      </c>
      <c r="BX73" s="59">
        <f t="shared" si="1893"/>
        <v>0</v>
      </c>
      <c r="BY73" s="59">
        <f t="shared" si="1893"/>
        <v>0</v>
      </c>
      <c r="BZ73" s="59">
        <f t="shared" si="1893"/>
        <v>0</v>
      </c>
      <c r="CA73" s="59">
        <f t="shared" si="1893"/>
        <v>0</v>
      </c>
      <c r="CB73" s="59">
        <f t="shared" si="1893"/>
        <v>83.333333333333329</v>
      </c>
      <c r="CC73" s="59">
        <f t="shared" si="1893"/>
        <v>83.333333333333329</v>
      </c>
      <c r="CD73" s="59">
        <f t="shared" si="1893"/>
        <v>83.333333333333329</v>
      </c>
      <c r="CE73" s="59">
        <f t="shared" si="1893"/>
        <v>83.333333333333329</v>
      </c>
      <c r="CF73" s="59">
        <f t="shared" ref="CF73:CF75" si="2062">SUM(BT73:BV73)</f>
        <v>0</v>
      </c>
      <c r="CG73" s="59">
        <f t="shared" ref="CG73:CG75" si="2063">SUM(BW73:BY73)</f>
        <v>0</v>
      </c>
      <c r="CH73" s="59">
        <f t="shared" ref="CH73:CH75" si="2064">SUM(BZ73:CB73)</f>
        <v>83.333333333333329</v>
      </c>
      <c r="CI73" s="59">
        <f t="shared" ref="CI73:CI75" si="2065">SUM(CC73:CE73)</f>
        <v>250</v>
      </c>
      <c r="CJ73" s="59">
        <f t="shared" ref="CJ73:CJ75" si="2066">SUM(CF73:CI73)</f>
        <v>333.33333333333331</v>
      </c>
      <c r="CK73" s="59"/>
      <c r="CL73" s="59">
        <f t="shared" si="1894"/>
        <v>0</v>
      </c>
      <c r="CM73" s="59">
        <f t="shared" si="1894"/>
        <v>0</v>
      </c>
      <c r="CN73" s="59">
        <f t="shared" si="1894"/>
        <v>0</v>
      </c>
      <c r="CO73" s="59">
        <f t="shared" si="1894"/>
        <v>0</v>
      </c>
      <c r="CP73" s="59">
        <f t="shared" si="1894"/>
        <v>0</v>
      </c>
      <c r="CQ73" s="59">
        <f t="shared" si="1894"/>
        <v>0</v>
      </c>
      <c r="CR73" s="59">
        <f t="shared" si="1894"/>
        <v>0</v>
      </c>
      <c r="CS73" s="59">
        <f t="shared" si="1894"/>
        <v>0</v>
      </c>
      <c r="CT73" s="59">
        <f t="shared" si="1894"/>
        <v>0</v>
      </c>
      <c r="CU73" s="59">
        <f t="shared" si="1894"/>
        <v>0</v>
      </c>
      <c r="CV73" s="59">
        <f t="shared" si="1894"/>
        <v>0</v>
      </c>
      <c r="CW73" s="59">
        <f t="shared" si="1894"/>
        <v>0</v>
      </c>
      <c r="CX73" s="59">
        <f t="shared" ref="CX73:CX75" si="2067">SUM(CL73:CN73)</f>
        <v>0</v>
      </c>
      <c r="CY73" s="59">
        <f t="shared" ref="CY73:CY75" si="2068">SUM(CO73:CQ73)</f>
        <v>0</v>
      </c>
      <c r="CZ73" s="59">
        <f t="shared" ref="CZ73:CZ75" si="2069">SUM(CR73:CT73)</f>
        <v>0</v>
      </c>
      <c r="DA73" s="59">
        <f t="shared" ref="DA73:DA75" si="2070">SUM(CU73:CW73)</f>
        <v>0</v>
      </c>
      <c r="DB73" s="59">
        <f t="shared" ref="DB73:DB75" si="2071">SUM(CX73:DA73)</f>
        <v>0</v>
      </c>
      <c r="DC73" s="59"/>
      <c r="DD73" s="59">
        <f t="shared" ref="DD73:DD75" si="2072">+BT73+CL73</f>
        <v>0</v>
      </c>
      <c r="DE73" s="59">
        <f t="shared" si="1895"/>
        <v>0</v>
      </c>
      <c r="DF73" s="59">
        <f t="shared" si="1896"/>
        <v>0</v>
      </c>
      <c r="DG73" s="59">
        <f t="shared" si="1897"/>
        <v>0</v>
      </c>
      <c r="DH73" s="59">
        <f t="shared" si="1898"/>
        <v>0</v>
      </c>
      <c r="DI73" s="59">
        <f t="shared" si="1899"/>
        <v>0</v>
      </c>
      <c r="DJ73" s="59">
        <f t="shared" si="1900"/>
        <v>0</v>
      </c>
      <c r="DK73" s="59">
        <f t="shared" si="1901"/>
        <v>0</v>
      </c>
      <c r="DL73" s="59">
        <f t="shared" si="1902"/>
        <v>83.333333333333329</v>
      </c>
      <c r="DM73" s="59">
        <f t="shared" si="1903"/>
        <v>83.333333333333329</v>
      </c>
      <c r="DN73" s="59">
        <f t="shared" si="1904"/>
        <v>83.333333333333329</v>
      </c>
      <c r="DO73" s="59">
        <f t="shared" si="1905"/>
        <v>83.333333333333329</v>
      </c>
      <c r="DP73" s="59">
        <f t="shared" ref="DP73:DP75" si="2073">SUM(DD73:DF73)</f>
        <v>0</v>
      </c>
      <c r="DQ73" s="59">
        <f t="shared" ref="DQ73:DQ75" si="2074">SUM(DG73:DI73)</f>
        <v>0</v>
      </c>
      <c r="DR73" s="59">
        <f t="shared" ref="DR73:DR75" si="2075">SUM(DJ73:DL73)</f>
        <v>83.333333333333329</v>
      </c>
      <c r="DS73" s="59">
        <f t="shared" ref="DS73:DS75" si="2076">SUM(DM73:DO73)</f>
        <v>250</v>
      </c>
      <c r="DT73" s="59">
        <f t="shared" ref="DT73:DT75" si="2077">SUM(DP73:DS73)</f>
        <v>333.33333333333331</v>
      </c>
      <c r="DU73" s="59"/>
      <c r="DV73" s="70">
        <v>0</v>
      </c>
      <c r="DW73" s="70">
        <v>0</v>
      </c>
      <c r="DX73" s="70">
        <v>0</v>
      </c>
      <c r="DY73" s="70">
        <v>0</v>
      </c>
      <c r="DZ73" s="70">
        <v>0</v>
      </c>
      <c r="EA73" s="70">
        <v>0</v>
      </c>
      <c r="EB73" s="59">
        <f t="shared" si="1906"/>
        <v>0</v>
      </c>
      <c r="EC73" s="59">
        <f t="shared" si="1906"/>
        <v>0</v>
      </c>
      <c r="ED73" s="59">
        <f t="shared" si="1906"/>
        <v>0</v>
      </c>
      <c r="EE73" s="59">
        <f t="shared" si="1906"/>
        <v>0</v>
      </c>
      <c r="EF73" s="59">
        <f t="shared" si="1906"/>
        <v>83.333333333333329</v>
      </c>
      <c r="EG73" s="59">
        <f t="shared" si="1906"/>
        <v>83.333333333333329</v>
      </c>
      <c r="EH73" s="59">
        <f t="shared" ref="EH73:EH75" si="2078">SUM(DV73:DX73)</f>
        <v>0</v>
      </c>
      <c r="EI73" s="59">
        <f t="shared" ref="EI73:EI75" si="2079">SUM(DY73:EA73)</f>
        <v>0</v>
      </c>
      <c r="EJ73" s="59">
        <f t="shared" ref="EJ73:EJ75" si="2080">SUM(EB73:ED73)</f>
        <v>0</v>
      </c>
      <c r="EK73" s="59">
        <f t="shared" ref="EK73:EK75" si="2081">SUM(EE73:EG73)</f>
        <v>166.66666666666666</v>
      </c>
      <c r="EL73" s="59">
        <f t="shared" ref="EL73:EL75" si="2082">SUM(EH73:EK73)</f>
        <v>166.66666666666666</v>
      </c>
      <c r="EM73" s="59"/>
      <c r="EN73" s="70">
        <v>0</v>
      </c>
      <c r="EO73" s="70">
        <v>0</v>
      </c>
      <c r="EP73" s="70">
        <v>0</v>
      </c>
      <c r="EQ73" s="70">
        <v>0</v>
      </c>
      <c r="ER73" s="70">
        <v>0</v>
      </c>
      <c r="ES73" s="59">
        <f t="shared" si="1907"/>
        <v>0</v>
      </c>
      <c r="ET73" s="59">
        <f t="shared" si="1907"/>
        <v>0</v>
      </c>
      <c r="EU73" s="59">
        <f t="shared" si="1907"/>
        <v>0</v>
      </c>
      <c r="EV73" s="59">
        <f t="shared" si="1907"/>
        <v>0</v>
      </c>
      <c r="EW73" s="59">
        <f t="shared" si="1907"/>
        <v>0</v>
      </c>
      <c r="EX73" s="59">
        <f t="shared" si="1907"/>
        <v>0</v>
      </c>
      <c r="EY73" s="59">
        <f t="shared" si="1907"/>
        <v>0</v>
      </c>
      <c r="EZ73" s="59">
        <f t="shared" ref="EZ73:EZ75" si="2083">SUM(EN73:EP73)</f>
        <v>0</v>
      </c>
      <c r="FA73" s="59">
        <f t="shared" ref="FA73:FA75" si="2084">SUM(EQ73:ES73)</f>
        <v>0</v>
      </c>
      <c r="FB73" s="59">
        <f t="shared" ref="FB73:FB75" si="2085">SUM(ET73:EV73)</f>
        <v>0</v>
      </c>
      <c r="FC73" s="59">
        <f t="shared" ref="FC73:FC75" si="2086">SUM(EW73:EY73)</f>
        <v>0</v>
      </c>
      <c r="FD73" s="59">
        <f t="shared" ref="FD73:FD75" si="2087">SUM(EZ73:FC73)</f>
        <v>0</v>
      </c>
      <c r="FE73" s="59"/>
      <c r="FF73" s="59">
        <f t="shared" ref="FF73:FF75" si="2088">+DV73+EN73</f>
        <v>0</v>
      </c>
      <c r="FG73" s="59">
        <f t="shared" si="1908"/>
        <v>0</v>
      </c>
      <c r="FH73" s="59">
        <f t="shared" si="1909"/>
        <v>0</v>
      </c>
      <c r="FI73" s="59">
        <f t="shared" si="1910"/>
        <v>0</v>
      </c>
      <c r="FJ73" s="59">
        <f t="shared" si="1911"/>
        <v>0</v>
      </c>
      <c r="FK73" s="59">
        <f t="shared" si="1912"/>
        <v>0</v>
      </c>
      <c r="FL73" s="59">
        <f t="shared" si="1913"/>
        <v>0</v>
      </c>
      <c r="FM73" s="59">
        <f t="shared" si="1914"/>
        <v>0</v>
      </c>
      <c r="FN73" s="59">
        <f t="shared" si="1915"/>
        <v>0</v>
      </c>
      <c r="FO73" s="59">
        <f t="shared" si="1916"/>
        <v>0</v>
      </c>
      <c r="FP73" s="59">
        <f t="shared" si="1917"/>
        <v>83.333333333333329</v>
      </c>
      <c r="FQ73" s="59">
        <f t="shared" si="1918"/>
        <v>83.333333333333329</v>
      </c>
      <c r="FR73" s="59">
        <f t="shared" ref="FR73:FR75" si="2089">SUM(FF73:FH73)</f>
        <v>0</v>
      </c>
      <c r="FS73" s="59">
        <f t="shared" ref="FS73:FS75" si="2090">SUM(FI73:FK73)</f>
        <v>0</v>
      </c>
      <c r="FT73" s="59">
        <f t="shared" ref="FT73:FT75" si="2091">SUM(FL73:FN73)</f>
        <v>0</v>
      </c>
      <c r="FU73" s="59">
        <f t="shared" ref="FU73:FU75" si="2092">SUM(FO73:FQ73)</f>
        <v>166.66666666666666</v>
      </c>
      <c r="FV73" s="59">
        <f t="shared" ref="FV73:FV75" si="2093">SUM(FR73:FU73)</f>
        <v>166.66666666666666</v>
      </c>
    </row>
    <row r="74" spans="2:178" x14ac:dyDescent="0.2">
      <c r="B74" s="46">
        <f t="shared" si="1953"/>
        <v>8</v>
      </c>
      <c r="C74" s="71" t="s">
        <v>567</v>
      </c>
      <c r="E74" s="13">
        <v>250</v>
      </c>
      <c r="F74" s="13">
        <v>100</v>
      </c>
      <c r="G74" s="17">
        <f t="shared" si="2041"/>
        <v>350</v>
      </c>
      <c r="H74" s="49" t="s">
        <v>218</v>
      </c>
      <c r="I74" s="49" t="s">
        <v>219</v>
      </c>
      <c r="J74" s="49" t="s">
        <v>217</v>
      </c>
      <c r="K74" s="54">
        <v>4</v>
      </c>
      <c r="L74" s="54">
        <v>12</v>
      </c>
      <c r="M74" s="54">
        <v>4</v>
      </c>
      <c r="N74" s="54">
        <v>9</v>
      </c>
      <c r="O74" s="48">
        <f t="shared" si="2042"/>
        <v>10</v>
      </c>
      <c r="P74" s="48">
        <f t="shared" si="2043"/>
        <v>16</v>
      </c>
      <c r="R74" s="59">
        <f t="shared" si="2044"/>
        <v>0</v>
      </c>
      <c r="S74" s="59">
        <f t="shared" si="1879"/>
        <v>0</v>
      </c>
      <c r="T74" s="59">
        <f t="shared" si="1879"/>
        <v>0</v>
      </c>
      <c r="U74" s="59">
        <f t="shared" si="1879"/>
        <v>0</v>
      </c>
      <c r="V74" s="59">
        <f t="shared" si="1879"/>
        <v>0</v>
      </c>
      <c r="W74" s="59">
        <f t="shared" si="1879"/>
        <v>0</v>
      </c>
      <c r="X74" s="59">
        <f t="shared" si="1879"/>
        <v>0</v>
      </c>
      <c r="Y74" s="59">
        <f t="shared" si="1879"/>
        <v>0</v>
      </c>
      <c r="Z74" s="59">
        <f t="shared" si="1879"/>
        <v>250</v>
      </c>
      <c r="AA74" s="59">
        <f t="shared" si="1879"/>
        <v>0</v>
      </c>
      <c r="AB74" s="59">
        <f t="shared" si="1879"/>
        <v>0</v>
      </c>
      <c r="AC74" s="59">
        <f t="shared" si="1879"/>
        <v>0</v>
      </c>
      <c r="AD74" s="59">
        <f t="shared" si="2045"/>
        <v>0</v>
      </c>
      <c r="AE74" s="59">
        <f t="shared" si="2046"/>
        <v>0</v>
      </c>
      <c r="AF74" s="59">
        <f t="shared" si="2047"/>
        <v>250</v>
      </c>
      <c r="AG74" s="59">
        <f t="shared" si="2048"/>
        <v>0</v>
      </c>
      <c r="AH74" s="59">
        <f t="shared" si="2049"/>
        <v>250</v>
      </c>
      <c r="AI74" s="59"/>
      <c r="AJ74" s="59">
        <f t="shared" si="2050"/>
        <v>0</v>
      </c>
      <c r="AK74" s="59">
        <f t="shared" si="1880"/>
        <v>0</v>
      </c>
      <c r="AL74" s="59">
        <f t="shared" si="1880"/>
        <v>0</v>
      </c>
      <c r="AM74" s="59">
        <f t="shared" si="1880"/>
        <v>0</v>
      </c>
      <c r="AN74" s="59">
        <f t="shared" si="1880"/>
        <v>0</v>
      </c>
      <c r="AO74" s="59">
        <f t="shared" si="1880"/>
        <v>0</v>
      </c>
      <c r="AP74" s="59">
        <f t="shared" si="1880"/>
        <v>0</v>
      </c>
      <c r="AQ74" s="59">
        <f t="shared" si="1880"/>
        <v>0</v>
      </c>
      <c r="AR74" s="59">
        <f t="shared" si="1880"/>
        <v>100</v>
      </c>
      <c r="AS74" s="59">
        <f t="shared" si="1880"/>
        <v>0</v>
      </c>
      <c r="AT74" s="59">
        <f t="shared" si="1880"/>
        <v>0</v>
      </c>
      <c r="AU74" s="59">
        <f t="shared" si="1880"/>
        <v>0</v>
      </c>
      <c r="AV74" s="59">
        <f t="shared" si="2051"/>
        <v>0</v>
      </c>
      <c r="AW74" s="59">
        <f t="shared" si="2052"/>
        <v>0</v>
      </c>
      <c r="AX74" s="59">
        <f t="shared" si="2053"/>
        <v>100</v>
      </c>
      <c r="AY74" s="59">
        <f t="shared" si="2054"/>
        <v>0</v>
      </c>
      <c r="AZ74" s="59">
        <f t="shared" si="2055"/>
        <v>100</v>
      </c>
      <c r="BA74" s="59"/>
      <c r="BB74" s="59">
        <f t="shared" si="2056"/>
        <v>0</v>
      </c>
      <c r="BC74" s="59">
        <f t="shared" si="1881"/>
        <v>0</v>
      </c>
      <c r="BD74" s="59">
        <f t="shared" si="1882"/>
        <v>0</v>
      </c>
      <c r="BE74" s="59">
        <f t="shared" si="1883"/>
        <v>0</v>
      </c>
      <c r="BF74" s="59">
        <f t="shared" si="1884"/>
        <v>0</v>
      </c>
      <c r="BG74" s="59">
        <f t="shared" si="1885"/>
        <v>0</v>
      </c>
      <c r="BH74" s="59">
        <f t="shared" si="1886"/>
        <v>0</v>
      </c>
      <c r="BI74" s="59">
        <f t="shared" si="1887"/>
        <v>0</v>
      </c>
      <c r="BJ74" s="59">
        <f t="shared" si="1888"/>
        <v>350</v>
      </c>
      <c r="BK74" s="59">
        <f t="shared" si="1889"/>
        <v>0</v>
      </c>
      <c r="BL74" s="59">
        <f t="shared" si="1890"/>
        <v>0</v>
      </c>
      <c r="BM74" s="59">
        <f t="shared" si="1891"/>
        <v>0</v>
      </c>
      <c r="BN74" s="59">
        <f t="shared" si="2057"/>
        <v>0</v>
      </c>
      <c r="BO74" s="59">
        <f t="shared" si="2058"/>
        <v>0</v>
      </c>
      <c r="BP74" s="59">
        <f t="shared" si="1892"/>
        <v>350</v>
      </c>
      <c r="BQ74" s="59">
        <f t="shared" si="2059"/>
        <v>0</v>
      </c>
      <c r="BR74" s="59">
        <f t="shared" si="2060"/>
        <v>350</v>
      </c>
      <c r="BS74" s="59"/>
      <c r="BT74" s="59">
        <f t="shared" si="2061"/>
        <v>0</v>
      </c>
      <c r="BU74" s="59">
        <f t="shared" si="1893"/>
        <v>0</v>
      </c>
      <c r="BV74" s="59">
        <f t="shared" si="1893"/>
        <v>0</v>
      </c>
      <c r="BW74" s="59">
        <f t="shared" si="1893"/>
        <v>0</v>
      </c>
      <c r="BX74" s="59">
        <f t="shared" si="1893"/>
        <v>0</v>
      </c>
      <c r="BY74" s="59">
        <f t="shared" si="1893"/>
        <v>0</v>
      </c>
      <c r="BZ74" s="59">
        <f t="shared" si="1893"/>
        <v>0</v>
      </c>
      <c r="CA74" s="59">
        <f t="shared" si="1893"/>
        <v>0</v>
      </c>
      <c r="CB74" s="59">
        <f t="shared" si="1893"/>
        <v>0</v>
      </c>
      <c r="CC74" s="59">
        <f t="shared" si="1893"/>
        <v>62.5</v>
      </c>
      <c r="CD74" s="59">
        <f t="shared" si="1893"/>
        <v>62.5</v>
      </c>
      <c r="CE74" s="59">
        <f t="shared" si="1893"/>
        <v>62.5</v>
      </c>
      <c r="CF74" s="59">
        <f t="shared" si="2062"/>
        <v>0</v>
      </c>
      <c r="CG74" s="59">
        <f t="shared" si="2063"/>
        <v>0</v>
      </c>
      <c r="CH74" s="59">
        <f t="shared" si="2064"/>
        <v>0</v>
      </c>
      <c r="CI74" s="59">
        <f t="shared" si="2065"/>
        <v>187.5</v>
      </c>
      <c r="CJ74" s="59">
        <f t="shared" si="2066"/>
        <v>187.5</v>
      </c>
      <c r="CK74" s="59"/>
      <c r="CL74" s="59">
        <f t="shared" si="1894"/>
        <v>0</v>
      </c>
      <c r="CM74" s="59">
        <f t="shared" si="1894"/>
        <v>0</v>
      </c>
      <c r="CN74" s="59">
        <f t="shared" si="1894"/>
        <v>0</v>
      </c>
      <c r="CO74" s="59">
        <f t="shared" si="1894"/>
        <v>0</v>
      </c>
      <c r="CP74" s="59">
        <f t="shared" si="1894"/>
        <v>0</v>
      </c>
      <c r="CQ74" s="59">
        <f t="shared" si="1894"/>
        <v>0</v>
      </c>
      <c r="CR74" s="59">
        <f t="shared" si="1894"/>
        <v>0</v>
      </c>
      <c r="CS74" s="59">
        <f t="shared" si="1894"/>
        <v>0</v>
      </c>
      <c r="CT74" s="59">
        <f t="shared" si="1894"/>
        <v>0</v>
      </c>
      <c r="CU74" s="59">
        <f t="shared" si="1894"/>
        <v>0</v>
      </c>
      <c r="CV74" s="59">
        <f t="shared" si="1894"/>
        <v>0</v>
      </c>
      <c r="CW74" s="59">
        <f t="shared" si="1894"/>
        <v>0</v>
      </c>
      <c r="CX74" s="59">
        <f t="shared" si="2067"/>
        <v>0</v>
      </c>
      <c r="CY74" s="59">
        <f t="shared" si="2068"/>
        <v>0</v>
      </c>
      <c r="CZ74" s="59">
        <f t="shared" si="2069"/>
        <v>0</v>
      </c>
      <c r="DA74" s="59">
        <f t="shared" si="2070"/>
        <v>0</v>
      </c>
      <c r="DB74" s="59">
        <f t="shared" si="2071"/>
        <v>0</v>
      </c>
      <c r="DC74" s="59"/>
      <c r="DD74" s="59">
        <f t="shared" si="2072"/>
        <v>0</v>
      </c>
      <c r="DE74" s="59">
        <f t="shared" si="1895"/>
        <v>0</v>
      </c>
      <c r="DF74" s="59">
        <f t="shared" si="1896"/>
        <v>0</v>
      </c>
      <c r="DG74" s="59">
        <f t="shared" si="1897"/>
        <v>0</v>
      </c>
      <c r="DH74" s="59">
        <f t="shared" si="1898"/>
        <v>0</v>
      </c>
      <c r="DI74" s="59">
        <f t="shared" si="1899"/>
        <v>0</v>
      </c>
      <c r="DJ74" s="59">
        <f t="shared" si="1900"/>
        <v>0</v>
      </c>
      <c r="DK74" s="59">
        <f t="shared" si="1901"/>
        <v>0</v>
      </c>
      <c r="DL74" s="59">
        <f t="shared" si="1902"/>
        <v>0</v>
      </c>
      <c r="DM74" s="59">
        <f t="shared" si="1903"/>
        <v>62.5</v>
      </c>
      <c r="DN74" s="59">
        <f t="shared" si="1904"/>
        <v>62.5</v>
      </c>
      <c r="DO74" s="59">
        <f t="shared" si="1905"/>
        <v>62.5</v>
      </c>
      <c r="DP74" s="59">
        <f t="shared" si="2073"/>
        <v>0</v>
      </c>
      <c r="DQ74" s="59">
        <f t="shared" si="2074"/>
        <v>0</v>
      </c>
      <c r="DR74" s="59">
        <f t="shared" si="2075"/>
        <v>0</v>
      </c>
      <c r="DS74" s="59">
        <f t="shared" si="2076"/>
        <v>187.5</v>
      </c>
      <c r="DT74" s="59">
        <f t="shared" si="2077"/>
        <v>187.5</v>
      </c>
      <c r="DU74" s="59"/>
      <c r="DV74" s="70">
        <v>0</v>
      </c>
      <c r="DW74" s="70">
        <v>0</v>
      </c>
      <c r="DX74" s="70">
        <v>0</v>
      </c>
      <c r="DY74" s="70">
        <v>0</v>
      </c>
      <c r="DZ74" s="70">
        <v>0</v>
      </c>
      <c r="EA74" s="70">
        <v>0</v>
      </c>
      <c r="EB74" s="59">
        <f t="shared" si="1906"/>
        <v>0</v>
      </c>
      <c r="EC74" s="59">
        <f t="shared" si="1906"/>
        <v>0</v>
      </c>
      <c r="ED74" s="59">
        <f t="shared" si="1906"/>
        <v>0</v>
      </c>
      <c r="EE74" s="59">
        <f t="shared" si="1906"/>
        <v>0</v>
      </c>
      <c r="EF74" s="59">
        <f t="shared" si="1906"/>
        <v>0</v>
      </c>
      <c r="EG74" s="59">
        <f t="shared" si="1906"/>
        <v>62.5</v>
      </c>
      <c r="EH74" s="59">
        <f t="shared" si="2078"/>
        <v>0</v>
      </c>
      <c r="EI74" s="59">
        <f t="shared" si="2079"/>
        <v>0</v>
      </c>
      <c r="EJ74" s="59">
        <f t="shared" si="2080"/>
        <v>0</v>
      </c>
      <c r="EK74" s="59">
        <f t="shared" si="2081"/>
        <v>62.5</v>
      </c>
      <c r="EL74" s="59">
        <f t="shared" si="2082"/>
        <v>62.5</v>
      </c>
      <c r="EM74" s="59"/>
      <c r="EN74" s="70">
        <v>0</v>
      </c>
      <c r="EO74" s="70">
        <v>0</v>
      </c>
      <c r="EP74" s="70">
        <v>0</v>
      </c>
      <c r="EQ74" s="70">
        <v>0</v>
      </c>
      <c r="ER74" s="70">
        <v>0</v>
      </c>
      <c r="ES74" s="59">
        <f t="shared" si="1907"/>
        <v>0</v>
      </c>
      <c r="ET74" s="59">
        <f t="shared" si="1907"/>
        <v>0</v>
      </c>
      <c r="EU74" s="59">
        <f t="shared" si="1907"/>
        <v>0</v>
      </c>
      <c r="EV74" s="59">
        <f t="shared" si="1907"/>
        <v>0</v>
      </c>
      <c r="EW74" s="59">
        <f t="shared" si="1907"/>
        <v>0</v>
      </c>
      <c r="EX74" s="59">
        <f t="shared" si="1907"/>
        <v>0</v>
      </c>
      <c r="EY74" s="59">
        <f t="shared" si="1907"/>
        <v>0</v>
      </c>
      <c r="EZ74" s="59">
        <f t="shared" si="2083"/>
        <v>0</v>
      </c>
      <c r="FA74" s="59">
        <f t="shared" si="2084"/>
        <v>0</v>
      </c>
      <c r="FB74" s="59">
        <f t="shared" si="2085"/>
        <v>0</v>
      </c>
      <c r="FC74" s="59">
        <f t="shared" si="2086"/>
        <v>0</v>
      </c>
      <c r="FD74" s="59">
        <f t="shared" si="2087"/>
        <v>0</v>
      </c>
      <c r="FE74" s="59"/>
      <c r="FF74" s="59">
        <f t="shared" si="2088"/>
        <v>0</v>
      </c>
      <c r="FG74" s="59">
        <f t="shared" si="1908"/>
        <v>0</v>
      </c>
      <c r="FH74" s="59">
        <f t="shared" si="1909"/>
        <v>0</v>
      </c>
      <c r="FI74" s="59">
        <f t="shared" si="1910"/>
        <v>0</v>
      </c>
      <c r="FJ74" s="59">
        <f t="shared" si="1911"/>
        <v>0</v>
      </c>
      <c r="FK74" s="59">
        <f t="shared" si="1912"/>
        <v>0</v>
      </c>
      <c r="FL74" s="59">
        <f t="shared" si="1913"/>
        <v>0</v>
      </c>
      <c r="FM74" s="59">
        <f t="shared" si="1914"/>
        <v>0</v>
      </c>
      <c r="FN74" s="59">
        <f t="shared" si="1915"/>
        <v>0</v>
      </c>
      <c r="FO74" s="59">
        <f t="shared" si="1916"/>
        <v>0</v>
      </c>
      <c r="FP74" s="59">
        <f t="shared" si="1917"/>
        <v>0</v>
      </c>
      <c r="FQ74" s="59">
        <f t="shared" si="1918"/>
        <v>62.5</v>
      </c>
      <c r="FR74" s="59">
        <f t="shared" si="2089"/>
        <v>0</v>
      </c>
      <c r="FS74" s="59">
        <f t="shared" si="2090"/>
        <v>0</v>
      </c>
      <c r="FT74" s="59">
        <f t="shared" si="2091"/>
        <v>0</v>
      </c>
      <c r="FU74" s="59">
        <f t="shared" si="2092"/>
        <v>62.5</v>
      </c>
      <c r="FV74" s="59">
        <f t="shared" si="2093"/>
        <v>62.5</v>
      </c>
    </row>
    <row r="75" spans="2:178" x14ac:dyDescent="0.2">
      <c r="B75" s="46">
        <f t="shared" si="1953"/>
        <v>9</v>
      </c>
      <c r="C75" s="71" t="s">
        <v>568</v>
      </c>
      <c r="E75" s="13">
        <v>250</v>
      </c>
      <c r="F75" s="13">
        <v>100</v>
      </c>
      <c r="G75" s="17">
        <f t="shared" si="2041"/>
        <v>350</v>
      </c>
      <c r="H75" s="49" t="s">
        <v>218</v>
      </c>
      <c r="I75" s="49" t="s">
        <v>216</v>
      </c>
      <c r="J75" s="49" t="s">
        <v>217</v>
      </c>
      <c r="K75" s="54">
        <v>4</v>
      </c>
      <c r="L75" s="54">
        <v>12</v>
      </c>
      <c r="M75" s="54">
        <v>6</v>
      </c>
      <c r="N75" s="54">
        <v>11</v>
      </c>
      <c r="O75" s="48">
        <f t="shared" si="2042"/>
        <v>12</v>
      </c>
      <c r="P75" s="48">
        <f t="shared" si="2043"/>
        <v>16</v>
      </c>
      <c r="R75" s="59">
        <f t="shared" si="2044"/>
        <v>0</v>
      </c>
      <c r="S75" s="59">
        <f t="shared" si="1879"/>
        <v>0</v>
      </c>
      <c r="T75" s="59">
        <f t="shared" si="1879"/>
        <v>0</v>
      </c>
      <c r="U75" s="59">
        <f t="shared" si="1879"/>
        <v>0</v>
      </c>
      <c r="V75" s="59">
        <f t="shared" si="1879"/>
        <v>0</v>
      </c>
      <c r="W75" s="59">
        <f t="shared" si="1879"/>
        <v>0</v>
      </c>
      <c r="X75" s="59">
        <f t="shared" si="1879"/>
        <v>0</v>
      </c>
      <c r="Y75" s="59">
        <f t="shared" si="1879"/>
        <v>0</v>
      </c>
      <c r="Z75" s="59">
        <f t="shared" si="1879"/>
        <v>0</v>
      </c>
      <c r="AA75" s="59">
        <f t="shared" si="1879"/>
        <v>0</v>
      </c>
      <c r="AB75" s="59">
        <f t="shared" si="1879"/>
        <v>250</v>
      </c>
      <c r="AC75" s="59">
        <f t="shared" si="1879"/>
        <v>0</v>
      </c>
      <c r="AD75" s="59">
        <f t="shared" si="2045"/>
        <v>0</v>
      </c>
      <c r="AE75" s="59">
        <f t="shared" si="2046"/>
        <v>0</v>
      </c>
      <c r="AF75" s="59">
        <f t="shared" si="2047"/>
        <v>0</v>
      </c>
      <c r="AG75" s="59">
        <f t="shared" si="2048"/>
        <v>250</v>
      </c>
      <c r="AH75" s="59">
        <f t="shared" si="2049"/>
        <v>250</v>
      </c>
      <c r="AI75" s="59"/>
      <c r="AJ75" s="59">
        <f t="shared" si="2050"/>
        <v>0</v>
      </c>
      <c r="AK75" s="59">
        <f t="shared" si="1880"/>
        <v>0</v>
      </c>
      <c r="AL75" s="59">
        <f t="shared" si="1880"/>
        <v>0</v>
      </c>
      <c r="AM75" s="59">
        <f t="shared" si="1880"/>
        <v>0</v>
      </c>
      <c r="AN75" s="59">
        <f t="shared" si="1880"/>
        <v>0</v>
      </c>
      <c r="AO75" s="59">
        <f t="shared" si="1880"/>
        <v>0</v>
      </c>
      <c r="AP75" s="59">
        <f t="shared" si="1880"/>
        <v>0</v>
      </c>
      <c r="AQ75" s="59">
        <f t="shared" si="1880"/>
        <v>0</v>
      </c>
      <c r="AR75" s="59">
        <f t="shared" si="1880"/>
        <v>0</v>
      </c>
      <c r="AS75" s="59">
        <f t="shared" si="1880"/>
        <v>0</v>
      </c>
      <c r="AT75" s="59">
        <f t="shared" si="1880"/>
        <v>100</v>
      </c>
      <c r="AU75" s="59">
        <f t="shared" si="1880"/>
        <v>0</v>
      </c>
      <c r="AV75" s="59">
        <f t="shared" si="2051"/>
        <v>0</v>
      </c>
      <c r="AW75" s="59">
        <f t="shared" si="2052"/>
        <v>0</v>
      </c>
      <c r="AX75" s="59">
        <f t="shared" si="2053"/>
        <v>0</v>
      </c>
      <c r="AY75" s="59">
        <f t="shared" si="2054"/>
        <v>100</v>
      </c>
      <c r="AZ75" s="59">
        <f t="shared" si="2055"/>
        <v>100</v>
      </c>
      <c r="BA75" s="59"/>
      <c r="BB75" s="59">
        <f t="shared" si="2056"/>
        <v>0</v>
      </c>
      <c r="BC75" s="59">
        <f t="shared" si="1881"/>
        <v>0</v>
      </c>
      <c r="BD75" s="59">
        <f t="shared" si="1882"/>
        <v>0</v>
      </c>
      <c r="BE75" s="59">
        <f t="shared" si="1883"/>
        <v>0</v>
      </c>
      <c r="BF75" s="59">
        <f t="shared" si="1884"/>
        <v>0</v>
      </c>
      <c r="BG75" s="59">
        <f t="shared" si="1885"/>
        <v>0</v>
      </c>
      <c r="BH75" s="59">
        <f t="shared" si="1886"/>
        <v>0</v>
      </c>
      <c r="BI75" s="59">
        <f t="shared" si="1887"/>
        <v>0</v>
      </c>
      <c r="BJ75" s="59">
        <f t="shared" si="1888"/>
        <v>0</v>
      </c>
      <c r="BK75" s="59">
        <f t="shared" si="1889"/>
        <v>0</v>
      </c>
      <c r="BL75" s="59">
        <f t="shared" si="1890"/>
        <v>350</v>
      </c>
      <c r="BM75" s="59">
        <f t="shared" si="1891"/>
        <v>0</v>
      </c>
      <c r="BN75" s="59">
        <f t="shared" si="2057"/>
        <v>0</v>
      </c>
      <c r="BO75" s="59">
        <f t="shared" si="2058"/>
        <v>0</v>
      </c>
      <c r="BP75" s="59">
        <f t="shared" si="1892"/>
        <v>0</v>
      </c>
      <c r="BQ75" s="59">
        <f t="shared" si="2059"/>
        <v>350</v>
      </c>
      <c r="BR75" s="59">
        <f t="shared" si="2060"/>
        <v>350</v>
      </c>
      <c r="BS75" s="59"/>
      <c r="BT75" s="59">
        <f t="shared" si="2061"/>
        <v>0</v>
      </c>
      <c r="BU75" s="59">
        <f t="shared" si="1893"/>
        <v>0</v>
      </c>
      <c r="BV75" s="59">
        <f t="shared" si="1893"/>
        <v>0</v>
      </c>
      <c r="BW75" s="59">
        <f t="shared" si="1893"/>
        <v>0</v>
      </c>
      <c r="BX75" s="59">
        <f t="shared" si="1893"/>
        <v>0</v>
      </c>
      <c r="BY75" s="59">
        <f t="shared" si="1893"/>
        <v>0</v>
      </c>
      <c r="BZ75" s="59">
        <f t="shared" si="1893"/>
        <v>0</v>
      </c>
      <c r="CA75" s="59">
        <f t="shared" si="1893"/>
        <v>0</v>
      </c>
      <c r="CB75" s="59">
        <f t="shared" si="1893"/>
        <v>0</v>
      </c>
      <c r="CC75" s="59">
        <f t="shared" si="1893"/>
        <v>0</v>
      </c>
      <c r="CD75" s="59">
        <f t="shared" si="1893"/>
        <v>0</v>
      </c>
      <c r="CE75" s="59">
        <f t="shared" si="1893"/>
        <v>62.5</v>
      </c>
      <c r="CF75" s="59">
        <f t="shared" si="2062"/>
        <v>0</v>
      </c>
      <c r="CG75" s="59">
        <f t="shared" si="2063"/>
        <v>0</v>
      </c>
      <c r="CH75" s="59">
        <f t="shared" si="2064"/>
        <v>0</v>
      </c>
      <c r="CI75" s="59">
        <f t="shared" si="2065"/>
        <v>62.5</v>
      </c>
      <c r="CJ75" s="59">
        <f t="shared" si="2066"/>
        <v>62.5</v>
      </c>
      <c r="CK75" s="59"/>
      <c r="CL75" s="59">
        <f t="shared" si="1894"/>
        <v>0</v>
      </c>
      <c r="CM75" s="59">
        <f t="shared" si="1894"/>
        <v>0</v>
      </c>
      <c r="CN75" s="59">
        <f t="shared" si="1894"/>
        <v>0</v>
      </c>
      <c r="CO75" s="59">
        <f t="shared" si="1894"/>
        <v>0</v>
      </c>
      <c r="CP75" s="59">
        <f t="shared" si="1894"/>
        <v>0</v>
      </c>
      <c r="CQ75" s="59">
        <f t="shared" si="1894"/>
        <v>0</v>
      </c>
      <c r="CR75" s="59">
        <f t="shared" si="1894"/>
        <v>0</v>
      </c>
      <c r="CS75" s="59">
        <f t="shared" si="1894"/>
        <v>0</v>
      </c>
      <c r="CT75" s="59">
        <f t="shared" si="1894"/>
        <v>0</v>
      </c>
      <c r="CU75" s="59">
        <f t="shared" si="1894"/>
        <v>0</v>
      </c>
      <c r="CV75" s="59">
        <f t="shared" si="1894"/>
        <v>0</v>
      </c>
      <c r="CW75" s="59">
        <f t="shared" si="1894"/>
        <v>0</v>
      </c>
      <c r="CX75" s="59">
        <f t="shared" si="2067"/>
        <v>0</v>
      </c>
      <c r="CY75" s="59">
        <f t="shared" si="2068"/>
        <v>0</v>
      </c>
      <c r="CZ75" s="59">
        <f t="shared" si="2069"/>
        <v>0</v>
      </c>
      <c r="DA75" s="59">
        <f t="shared" si="2070"/>
        <v>0</v>
      </c>
      <c r="DB75" s="59">
        <f t="shared" si="2071"/>
        <v>0</v>
      </c>
      <c r="DC75" s="59"/>
      <c r="DD75" s="59">
        <f t="shared" si="2072"/>
        <v>0</v>
      </c>
      <c r="DE75" s="59">
        <f t="shared" si="1895"/>
        <v>0</v>
      </c>
      <c r="DF75" s="59">
        <f t="shared" si="1896"/>
        <v>0</v>
      </c>
      <c r="DG75" s="59">
        <f t="shared" si="1897"/>
        <v>0</v>
      </c>
      <c r="DH75" s="59">
        <f t="shared" si="1898"/>
        <v>0</v>
      </c>
      <c r="DI75" s="59">
        <f t="shared" si="1899"/>
        <v>0</v>
      </c>
      <c r="DJ75" s="59">
        <f t="shared" si="1900"/>
        <v>0</v>
      </c>
      <c r="DK75" s="59">
        <f t="shared" si="1901"/>
        <v>0</v>
      </c>
      <c r="DL75" s="59">
        <f t="shared" si="1902"/>
        <v>0</v>
      </c>
      <c r="DM75" s="59">
        <f t="shared" si="1903"/>
        <v>0</v>
      </c>
      <c r="DN75" s="59">
        <f t="shared" si="1904"/>
        <v>0</v>
      </c>
      <c r="DO75" s="59">
        <f t="shared" si="1905"/>
        <v>62.5</v>
      </c>
      <c r="DP75" s="59">
        <f t="shared" si="2073"/>
        <v>0</v>
      </c>
      <c r="DQ75" s="59">
        <f t="shared" si="2074"/>
        <v>0</v>
      </c>
      <c r="DR75" s="59">
        <f t="shared" si="2075"/>
        <v>0</v>
      </c>
      <c r="DS75" s="59">
        <f t="shared" si="2076"/>
        <v>62.5</v>
      </c>
      <c r="DT75" s="59">
        <f t="shared" si="2077"/>
        <v>62.5</v>
      </c>
      <c r="DU75" s="59"/>
      <c r="DV75" s="70">
        <v>0</v>
      </c>
      <c r="DW75" s="70">
        <v>0</v>
      </c>
      <c r="DX75" s="70">
        <v>0</v>
      </c>
      <c r="DY75" s="70">
        <v>0</v>
      </c>
      <c r="DZ75" s="70">
        <v>0</v>
      </c>
      <c r="EA75" s="70">
        <v>0</v>
      </c>
      <c r="EB75" s="59">
        <f t="shared" si="1906"/>
        <v>0</v>
      </c>
      <c r="EC75" s="59">
        <f t="shared" si="1906"/>
        <v>0</v>
      </c>
      <c r="ED75" s="59">
        <f t="shared" si="1906"/>
        <v>0</v>
      </c>
      <c r="EE75" s="59">
        <f t="shared" si="1906"/>
        <v>0</v>
      </c>
      <c r="EF75" s="59">
        <f t="shared" si="1906"/>
        <v>0</v>
      </c>
      <c r="EG75" s="59">
        <f t="shared" si="1906"/>
        <v>0</v>
      </c>
      <c r="EH75" s="59">
        <f t="shared" si="2078"/>
        <v>0</v>
      </c>
      <c r="EI75" s="59">
        <f t="shared" si="2079"/>
        <v>0</v>
      </c>
      <c r="EJ75" s="59">
        <f t="shared" si="2080"/>
        <v>0</v>
      </c>
      <c r="EK75" s="59">
        <f t="shared" si="2081"/>
        <v>0</v>
      </c>
      <c r="EL75" s="59">
        <f t="shared" si="2082"/>
        <v>0</v>
      </c>
      <c r="EM75" s="59"/>
      <c r="EN75" s="70">
        <v>0</v>
      </c>
      <c r="EO75" s="70">
        <v>0</v>
      </c>
      <c r="EP75" s="70">
        <v>0</v>
      </c>
      <c r="EQ75" s="70">
        <v>0</v>
      </c>
      <c r="ER75" s="70">
        <v>0</v>
      </c>
      <c r="ES75" s="59">
        <f t="shared" si="1907"/>
        <v>0</v>
      </c>
      <c r="ET75" s="59">
        <f t="shared" si="1907"/>
        <v>0</v>
      </c>
      <c r="EU75" s="59">
        <f t="shared" si="1907"/>
        <v>0</v>
      </c>
      <c r="EV75" s="59">
        <f t="shared" si="1907"/>
        <v>0</v>
      </c>
      <c r="EW75" s="59">
        <f t="shared" si="1907"/>
        <v>0</v>
      </c>
      <c r="EX75" s="59">
        <f t="shared" si="1907"/>
        <v>0</v>
      </c>
      <c r="EY75" s="59">
        <f t="shared" si="1907"/>
        <v>0</v>
      </c>
      <c r="EZ75" s="59">
        <f t="shared" si="2083"/>
        <v>0</v>
      </c>
      <c r="FA75" s="59">
        <f t="shared" si="2084"/>
        <v>0</v>
      </c>
      <c r="FB75" s="59">
        <f t="shared" si="2085"/>
        <v>0</v>
      </c>
      <c r="FC75" s="59">
        <f t="shared" si="2086"/>
        <v>0</v>
      </c>
      <c r="FD75" s="59">
        <f t="shared" si="2087"/>
        <v>0</v>
      </c>
      <c r="FE75" s="59"/>
      <c r="FF75" s="59">
        <f t="shared" si="2088"/>
        <v>0</v>
      </c>
      <c r="FG75" s="59">
        <f t="shared" si="1908"/>
        <v>0</v>
      </c>
      <c r="FH75" s="59">
        <f t="shared" si="1909"/>
        <v>0</v>
      </c>
      <c r="FI75" s="59">
        <f t="shared" si="1910"/>
        <v>0</v>
      </c>
      <c r="FJ75" s="59">
        <f t="shared" si="1911"/>
        <v>0</v>
      </c>
      <c r="FK75" s="59">
        <f t="shared" si="1912"/>
        <v>0</v>
      </c>
      <c r="FL75" s="59">
        <f t="shared" si="1913"/>
        <v>0</v>
      </c>
      <c r="FM75" s="59">
        <f t="shared" si="1914"/>
        <v>0</v>
      </c>
      <c r="FN75" s="59">
        <f t="shared" si="1915"/>
        <v>0</v>
      </c>
      <c r="FO75" s="59">
        <f t="shared" si="1916"/>
        <v>0</v>
      </c>
      <c r="FP75" s="59">
        <f t="shared" si="1917"/>
        <v>0</v>
      </c>
      <c r="FQ75" s="59">
        <f t="shared" si="1918"/>
        <v>0</v>
      </c>
      <c r="FR75" s="59">
        <f t="shared" si="2089"/>
        <v>0</v>
      </c>
      <c r="FS75" s="59">
        <f t="shared" si="2090"/>
        <v>0</v>
      </c>
      <c r="FT75" s="59">
        <f t="shared" si="2091"/>
        <v>0</v>
      </c>
      <c r="FU75" s="59">
        <f t="shared" si="2092"/>
        <v>0</v>
      </c>
      <c r="FV75" s="59">
        <f t="shared" si="2093"/>
        <v>0</v>
      </c>
    </row>
    <row r="76" spans="2:178" x14ac:dyDescent="0.2"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60"/>
      <c r="FF76" s="60"/>
      <c r="FG76" s="60"/>
      <c r="FH76" s="60"/>
      <c r="FI76" s="60"/>
      <c r="FJ76" s="60"/>
      <c r="FK76" s="60"/>
      <c r="FL76" s="60"/>
      <c r="FM76" s="60"/>
      <c r="FN76" s="60"/>
      <c r="FO76" s="60"/>
      <c r="FP76" s="60"/>
      <c r="FQ76" s="60"/>
      <c r="FR76" s="60"/>
      <c r="FS76" s="60"/>
      <c r="FT76" s="60"/>
      <c r="FU76" s="60"/>
      <c r="FV76" s="60"/>
    </row>
    <row r="77" spans="2:178" x14ac:dyDescent="0.2"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60"/>
      <c r="FF77" s="60"/>
      <c r="FG77" s="60"/>
      <c r="FH77" s="60"/>
      <c r="FI77" s="60"/>
      <c r="FJ77" s="60"/>
      <c r="FK77" s="60"/>
      <c r="FL77" s="60"/>
      <c r="FM77" s="60"/>
      <c r="FN77" s="60"/>
      <c r="FO77" s="60"/>
      <c r="FP77" s="60"/>
      <c r="FQ77" s="60"/>
      <c r="FR77" s="60"/>
      <c r="FS77" s="60"/>
      <c r="FT77" s="60"/>
      <c r="FU77" s="60"/>
      <c r="FV77" s="60"/>
    </row>
    <row r="78" spans="2:178" s="61" customFormat="1" ht="20" customHeight="1" x14ac:dyDescent="0.15">
      <c r="B78" s="62" t="s">
        <v>546</v>
      </c>
      <c r="C78" s="63"/>
      <c r="D78" s="63"/>
      <c r="E78" s="64">
        <f>SUM(E79:E89)</f>
        <v>503.495</v>
      </c>
      <c r="F78" s="64">
        <f>SUM(F79:F89)</f>
        <v>410</v>
      </c>
      <c r="G78" s="64">
        <f>SUM(G79:G89)</f>
        <v>913.495</v>
      </c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5">
        <f t="shared" ref="R78:AH78" si="2094">SUM(R79:R89)</f>
        <v>0</v>
      </c>
      <c r="S78" s="65">
        <f t="shared" si="2094"/>
        <v>50</v>
      </c>
      <c r="T78" s="65">
        <f t="shared" si="2094"/>
        <v>82</v>
      </c>
      <c r="U78" s="65">
        <f t="shared" si="2094"/>
        <v>0</v>
      </c>
      <c r="V78" s="65">
        <f t="shared" si="2094"/>
        <v>21</v>
      </c>
      <c r="W78" s="65">
        <f t="shared" si="2094"/>
        <v>50</v>
      </c>
      <c r="X78" s="65">
        <f t="shared" si="2094"/>
        <v>0</v>
      </c>
      <c r="Y78" s="65">
        <f t="shared" si="2094"/>
        <v>75</v>
      </c>
      <c r="Z78" s="65">
        <f t="shared" si="2094"/>
        <v>75</v>
      </c>
      <c r="AA78" s="65">
        <f t="shared" si="2094"/>
        <v>75</v>
      </c>
      <c r="AB78" s="65">
        <f t="shared" si="2094"/>
        <v>75</v>
      </c>
      <c r="AC78" s="65">
        <f t="shared" si="2094"/>
        <v>0</v>
      </c>
      <c r="AD78" s="64">
        <f t="shared" si="2094"/>
        <v>132</v>
      </c>
      <c r="AE78" s="64">
        <f t="shared" si="2094"/>
        <v>71</v>
      </c>
      <c r="AF78" s="64">
        <f t="shared" si="2094"/>
        <v>150</v>
      </c>
      <c r="AG78" s="64">
        <f t="shared" si="2094"/>
        <v>150</v>
      </c>
      <c r="AH78" s="64">
        <f t="shared" si="2094"/>
        <v>503</v>
      </c>
      <c r="AI78" s="64"/>
      <c r="AJ78" s="65">
        <f t="shared" ref="AJ78:AZ78" si="2095">SUM(AJ79:AJ89)</f>
        <v>0</v>
      </c>
      <c r="AK78" s="65">
        <f t="shared" si="2095"/>
        <v>0</v>
      </c>
      <c r="AL78" s="65">
        <f t="shared" si="2095"/>
        <v>144</v>
      </c>
      <c r="AM78" s="65">
        <f t="shared" si="2095"/>
        <v>0</v>
      </c>
      <c r="AN78" s="65">
        <f t="shared" si="2095"/>
        <v>36</v>
      </c>
      <c r="AO78" s="65">
        <f t="shared" si="2095"/>
        <v>30</v>
      </c>
      <c r="AP78" s="65">
        <f t="shared" si="2095"/>
        <v>0</v>
      </c>
      <c r="AQ78" s="65">
        <f t="shared" si="2095"/>
        <v>50</v>
      </c>
      <c r="AR78" s="65">
        <f t="shared" si="2095"/>
        <v>50</v>
      </c>
      <c r="AS78" s="65">
        <f t="shared" si="2095"/>
        <v>50</v>
      </c>
      <c r="AT78" s="65">
        <f t="shared" si="2095"/>
        <v>50</v>
      </c>
      <c r="AU78" s="65">
        <f t="shared" si="2095"/>
        <v>0</v>
      </c>
      <c r="AV78" s="64">
        <f t="shared" si="2095"/>
        <v>144</v>
      </c>
      <c r="AW78" s="64">
        <f t="shared" si="2095"/>
        <v>66</v>
      </c>
      <c r="AX78" s="64">
        <f t="shared" si="2095"/>
        <v>100</v>
      </c>
      <c r="AY78" s="64">
        <f t="shared" si="2095"/>
        <v>100</v>
      </c>
      <c r="AZ78" s="64">
        <f t="shared" si="2095"/>
        <v>410</v>
      </c>
      <c r="BA78" s="64"/>
      <c r="BB78" s="65">
        <f t="shared" ref="BB78:BR78" si="2096">SUM(BB79:BB89)</f>
        <v>0</v>
      </c>
      <c r="BC78" s="65">
        <f t="shared" si="2096"/>
        <v>50</v>
      </c>
      <c r="BD78" s="65">
        <f t="shared" si="2096"/>
        <v>226</v>
      </c>
      <c r="BE78" s="65">
        <f t="shared" si="2096"/>
        <v>0</v>
      </c>
      <c r="BF78" s="65">
        <f t="shared" si="2096"/>
        <v>57</v>
      </c>
      <c r="BG78" s="65">
        <f t="shared" si="2096"/>
        <v>80</v>
      </c>
      <c r="BH78" s="65">
        <f t="shared" si="2096"/>
        <v>0</v>
      </c>
      <c r="BI78" s="65">
        <f t="shared" si="2096"/>
        <v>125</v>
      </c>
      <c r="BJ78" s="65">
        <f t="shared" si="2096"/>
        <v>125</v>
      </c>
      <c r="BK78" s="65">
        <f t="shared" si="2096"/>
        <v>125</v>
      </c>
      <c r="BL78" s="65">
        <f t="shared" si="2096"/>
        <v>125</v>
      </c>
      <c r="BM78" s="65">
        <f t="shared" si="2096"/>
        <v>0</v>
      </c>
      <c r="BN78" s="64">
        <f t="shared" si="2096"/>
        <v>276</v>
      </c>
      <c r="BO78" s="64">
        <f t="shared" si="2096"/>
        <v>137</v>
      </c>
      <c r="BP78" s="64">
        <f t="shared" si="2096"/>
        <v>250</v>
      </c>
      <c r="BQ78" s="64">
        <f t="shared" si="2096"/>
        <v>250</v>
      </c>
      <c r="BR78" s="64">
        <f t="shared" si="2096"/>
        <v>913</v>
      </c>
      <c r="BS78" s="64"/>
      <c r="BT78" s="65">
        <f t="shared" ref="BT78:CJ78" si="2097">SUM(BT79:BT89)</f>
        <v>0.495</v>
      </c>
      <c r="BU78" s="65">
        <f t="shared" si="2097"/>
        <v>0</v>
      </c>
      <c r="BV78" s="65">
        <f t="shared" si="2097"/>
        <v>16.666666666666668</v>
      </c>
      <c r="BW78" s="65">
        <f t="shared" si="2097"/>
        <v>57.666666666666671</v>
      </c>
      <c r="BX78" s="65">
        <f t="shared" si="2097"/>
        <v>57.666666666666671</v>
      </c>
      <c r="BY78" s="65">
        <f t="shared" si="2097"/>
        <v>10.5</v>
      </c>
      <c r="BZ78" s="65">
        <f t="shared" si="2097"/>
        <v>35.5</v>
      </c>
      <c r="CA78" s="65">
        <f t="shared" si="2097"/>
        <v>25</v>
      </c>
      <c r="CB78" s="65">
        <f t="shared" si="2097"/>
        <v>25</v>
      </c>
      <c r="CC78" s="65">
        <f t="shared" si="2097"/>
        <v>50</v>
      </c>
      <c r="CD78" s="65">
        <f t="shared" si="2097"/>
        <v>75</v>
      </c>
      <c r="CE78" s="65">
        <f t="shared" si="2097"/>
        <v>75</v>
      </c>
      <c r="CF78" s="64">
        <f t="shared" si="2097"/>
        <v>17.161666666666669</v>
      </c>
      <c r="CG78" s="64">
        <f t="shared" si="2097"/>
        <v>125.83333333333334</v>
      </c>
      <c r="CH78" s="64">
        <f t="shared" si="2097"/>
        <v>85.5</v>
      </c>
      <c r="CI78" s="64">
        <f t="shared" si="2097"/>
        <v>200</v>
      </c>
      <c r="CJ78" s="64">
        <f t="shared" si="2097"/>
        <v>428.495</v>
      </c>
      <c r="CK78" s="64"/>
      <c r="CL78" s="65">
        <f t="shared" ref="CL78:DB78" si="2098">SUM(CL79:CL89)</f>
        <v>0</v>
      </c>
      <c r="CM78" s="65">
        <f t="shared" si="2098"/>
        <v>0</v>
      </c>
      <c r="CN78" s="65">
        <f t="shared" si="2098"/>
        <v>0</v>
      </c>
      <c r="CO78" s="65">
        <f t="shared" si="2098"/>
        <v>0</v>
      </c>
      <c r="CP78" s="65">
        <f t="shared" si="2098"/>
        <v>0</v>
      </c>
      <c r="CQ78" s="65">
        <f t="shared" si="2098"/>
        <v>12</v>
      </c>
      <c r="CR78" s="65">
        <f t="shared" si="2098"/>
        <v>12</v>
      </c>
      <c r="CS78" s="65">
        <f t="shared" si="2098"/>
        <v>15</v>
      </c>
      <c r="CT78" s="65">
        <f t="shared" si="2098"/>
        <v>17.5</v>
      </c>
      <c r="CU78" s="65">
        <f t="shared" si="2098"/>
        <v>17.5</v>
      </c>
      <c r="CV78" s="65">
        <f t="shared" si="2098"/>
        <v>17.5</v>
      </c>
      <c r="CW78" s="65">
        <f t="shared" si="2098"/>
        <v>21.666666666666668</v>
      </c>
      <c r="CX78" s="64">
        <f t="shared" si="2098"/>
        <v>0</v>
      </c>
      <c r="CY78" s="64">
        <f t="shared" si="2098"/>
        <v>12</v>
      </c>
      <c r="CZ78" s="64">
        <f t="shared" si="2098"/>
        <v>44.5</v>
      </c>
      <c r="DA78" s="64">
        <f t="shared" si="2098"/>
        <v>56.666666666666664</v>
      </c>
      <c r="DB78" s="64">
        <f t="shared" si="2098"/>
        <v>113.16666666666667</v>
      </c>
      <c r="DC78" s="64"/>
      <c r="DD78" s="65">
        <f t="shared" ref="DD78:DT78" si="2099">SUM(DD79:DD89)</f>
        <v>0.495</v>
      </c>
      <c r="DE78" s="65">
        <f t="shared" si="2099"/>
        <v>0</v>
      </c>
      <c r="DF78" s="65">
        <f t="shared" si="2099"/>
        <v>16.666666666666668</v>
      </c>
      <c r="DG78" s="65">
        <f t="shared" si="2099"/>
        <v>57.666666666666671</v>
      </c>
      <c r="DH78" s="65">
        <f t="shared" si="2099"/>
        <v>57.666666666666671</v>
      </c>
      <c r="DI78" s="65">
        <f t="shared" si="2099"/>
        <v>22.5</v>
      </c>
      <c r="DJ78" s="65">
        <f t="shared" si="2099"/>
        <v>47.5</v>
      </c>
      <c r="DK78" s="65">
        <f t="shared" si="2099"/>
        <v>40</v>
      </c>
      <c r="DL78" s="65">
        <f t="shared" si="2099"/>
        <v>42.5</v>
      </c>
      <c r="DM78" s="65">
        <f t="shared" si="2099"/>
        <v>67.5</v>
      </c>
      <c r="DN78" s="65">
        <f t="shared" si="2099"/>
        <v>92.5</v>
      </c>
      <c r="DO78" s="65">
        <f t="shared" si="2099"/>
        <v>96.666666666666671</v>
      </c>
      <c r="DP78" s="64">
        <f t="shared" si="2099"/>
        <v>17.161666666666669</v>
      </c>
      <c r="DQ78" s="64">
        <f t="shared" si="2099"/>
        <v>137.83333333333334</v>
      </c>
      <c r="DR78" s="64">
        <f t="shared" si="2099"/>
        <v>130</v>
      </c>
      <c r="DS78" s="64">
        <f t="shared" si="2099"/>
        <v>256.66666666666663</v>
      </c>
      <c r="DT78" s="64">
        <f t="shared" si="2099"/>
        <v>541.66166666666663</v>
      </c>
      <c r="DU78" s="64"/>
      <c r="DV78" s="65">
        <f t="shared" ref="DV78:EL78" si="2100">SUM(DV79:DV89)</f>
        <v>4.6500000000000004</v>
      </c>
      <c r="DW78" s="65">
        <f t="shared" si="2100"/>
        <v>10.55</v>
      </c>
      <c r="DX78" s="65">
        <f t="shared" si="2100"/>
        <v>0</v>
      </c>
      <c r="DY78" s="65">
        <f t="shared" si="2100"/>
        <v>25.495000000000001</v>
      </c>
      <c r="DZ78" s="65">
        <f t="shared" si="2100"/>
        <v>2.6288</v>
      </c>
      <c r="EA78" s="65">
        <f t="shared" si="2100"/>
        <v>17.046799999999998</v>
      </c>
      <c r="EB78" s="65">
        <f t="shared" si="2100"/>
        <v>36.716799999999999</v>
      </c>
      <c r="EC78" s="65">
        <f t="shared" si="2100"/>
        <v>36.507599999999996</v>
      </c>
      <c r="ED78" s="65">
        <f t="shared" si="2100"/>
        <v>35.5</v>
      </c>
      <c r="EE78" s="65">
        <f t="shared" si="2100"/>
        <v>25</v>
      </c>
      <c r="EF78" s="65">
        <f t="shared" si="2100"/>
        <v>25</v>
      </c>
      <c r="EG78" s="65">
        <f t="shared" si="2100"/>
        <v>50</v>
      </c>
      <c r="EH78" s="64">
        <f t="shared" si="2100"/>
        <v>15.200000000000001</v>
      </c>
      <c r="EI78" s="64">
        <f t="shared" si="2100"/>
        <v>45.170599999999993</v>
      </c>
      <c r="EJ78" s="64">
        <f t="shared" si="2100"/>
        <v>108.7244</v>
      </c>
      <c r="EK78" s="64">
        <f t="shared" si="2100"/>
        <v>100</v>
      </c>
      <c r="EL78" s="64">
        <f t="shared" si="2100"/>
        <v>269.09500000000003</v>
      </c>
      <c r="EM78" s="64"/>
      <c r="EN78" s="65">
        <f t="shared" ref="EN78:FD78" si="2101">SUM(EN79:EN89)</f>
        <v>0</v>
      </c>
      <c r="EO78" s="65">
        <f t="shared" si="2101"/>
        <v>0</v>
      </c>
      <c r="EP78" s="65">
        <f t="shared" si="2101"/>
        <v>0</v>
      </c>
      <c r="EQ78" s="65">
        <f t="shared" si="2101"/>
        <v>0</v>
      </c>
      <c r="ER78" s="65">
        <f t="shared" si="2101"/>
        <v>0</v>
      </c>
      <c r="ES78" s="65">
        <f t="shared" si="2101"/>
        <v>0</v>
      </c>
      <c r="ET78" s="65">
        <f t="shared" si="2101"/>
        <v>0</v>
      </c>
      <c r="EU78" s="65">
        <f t="shared" si="2101"/>
        <v>12</v>
      </c>
      <c r="EV78" s="65">
        <f t="shared" si="2101"/>
        <v>30</v>
      </c>
      <c r="EW78" s="65">
        <f t="shared" si="2101"/>
        <v>28.5</v>
      </c>
      <c r="EX78" s="65">
        <f t="shared" si="2101"/>
        <v>14.75</v>
      </c>
      <c r="EY78" s="65">
        <f t="shared" si="2101"/>
        <v>14.75</v>
      </c>
      <c r="EZ78" s="64">
        <f t="shared" si="2101"/>
        <v>0</v>
      </c>
      <c r="FA78" s="64">
        <f t="shared" si="2101"/>
        <v>0</v>
      </c>
      <c r="FB78" s="64">
        <f t="shared" si="2101"/>
        <v>42</v>
      </c>
      <c r="FC78" s="64">
        <f t="shared" si="2101"/>
        <v>58</v>
      </c>
      <c r="FD78" s="64">
        <f t="shared" si="2101"/>
        <v>100</v>
      </c>
      <c r="FE78" s="64"/>
      <c r="FF78" s="65">
        <f t="shared" ref="FF78:FU78" si="2102">SUM(FF79:FF89)</f>
        <v>4.6500000000000004</v>
      </c>
      <c r="FG78" s="65">
        <f t="shared" si="2102"/>
        <v>10.55</v>
      </c>
      <c r="FH78" s="65">
        <f t="shared" si="2102"/>
        <v>0</v>
      </c>
      <c r="FI78" s="65">
        <f t="shared" si="2102"/>
        <v>25.495000000000001</v>
      </c>
      <c r="FJ78" s="65">
        <f t="shared" si="2102"/>
        <v>2.6288</v>
      </c>
      <c r="FK78" s="65">
        <f t="shared" si="2102"/>
        <v>17.046799999999998</v>
      </c>
      <c r="FL78" s="65">
        <f t="shared" si="2102"/>
        <v>36.716799999999999</v>
      </c>
      <c r="FM78" s="65">
        <f t="shared" si="2102"/>
        <v>48.507599999999996</v>
      </c>
      <c r="FN78" s="65">
        <f t="shared" si="2102"/>
        <v>65.5</v>
      </c>
      <c r="FO78" s="65">
        <f t="shared" si="2102"/>
        <v>53.5</v>
      </c>
      <c r="FP78" s="65">
        <f t="shared" si="2102"/>
        <v>39.75</v>
      </c>
      <c r="FQ78" s="65">
        <f t="shared" si="2102"/>
        <v>64.75</v>
      </c>
      <c r="FR78" s="64">
        <f t="shared" si="2102"/>
        <v>15.200000000000001</v>
      </c>
      <c r="FS78" s="64">
        <f t="shared" si="2102"/>
        <v>45.170599999999993</v>
      </c>
      <c r="FT78" s="64">
        <f t="shared" si="2102"/>
        <v>150.7244</v>
      </c>
      <c r="FU78" s="64">
        <f t="shared" si="2102"/>
        <v>158</v>
      </c>
      <c r="FV78" s="64">
        <f>SUM(FV79:FV89)</f>
        <v>369.09500000000003</v>
      </c>
    </row>
    <row r="79" spans="2:178" x14ac:dyDescent="0.2">
      <c r="B79" s="46">
        <v>1</v>
      </c>
      <c r="C79" s="14" t="s">
        <v>267</v>
      </c>
      <c r="E79" s="13">
        <v>0.495</v>
      </c>
      <c r="F79" s="13">
        <v>0</v>
      </c>
      <c r="G79" s="17">
        <f t="shared" ref="G79:G80" si="2103">+E79+F79</f>
        <v>0.495</v>
      </c>
      <c r="H79" s="49" t="s">
        <v>215</v>
      </c>
      <c r="I79" s="49" t="s">
        <v>216</v>
      </c>
      <c r="J79" s="49" t="s">
        <v>262</v>
      </c>
      <c r="K79" s="54">
        <v>1</v>
      </c>
      <c r="L79" s="54">
        <v>0</v>
      </c>
      <c r="M79" s="54">
        <v>0</v>
      </c>
      <c r="N79" s="54">
        <v>0</v>
      </c>
      <c r="O79" s="48">
        <f t="shared" ref="O79:O80" si="2104">+N79+1</f>
        <v>1</v>
      </c>
      <c r="P79" s="48">
        <f t="shared" ref="P79:P80" si="2105">+K79+L79</f>
        <v>1</v>
      </c>
      <c r="R79" s="59">
        <f t="shared" ref="R79:AC81" si="2106">IF($N79&lt;R$4,0,IF($N79=R$4,$E79,0))</f>
        <v>0</v>
      </c>
      <c r="S79" s="59">
        <f t="shared" si="2106"/>
        <v>0</v>
      </c>
      <c r="T79" s="59">
        <f t="shared" si="2106"/>
        <v>0</v>
      </c>
      <c r="U79" s="59">
        <f t="shared" si="2106"/>
        <v>0</v>
      </c>
      <c r="V79" s="59">
        <f t="shared" si="2106"/>
        <v>0</v>
      </c>
      <c r="W79" s="59">
        <f t="shared" si="2106"/>
        <v>0</v>
      </c>
      <c r="X79" s="59">
        <f t="shared" si="2106"/>
        <v>0</v>
      </c>
      <c r="Y79" s="59">
        <f t="shared" si="2106"/>
        <v>0</v>
      </c>
      <c r="Z79" s="59">
        <f t="shared" si="2106"/>
        <v>0</v>
      </c>
      <c r="AA79" s="59">
        <f t="shared" si="2106"/>
        <v>0</v>
      </c>
      <c r="AB79" s="59">
        <f t="shared" si="2106"/>
        <v>0</v>
      </c>
      <c r="AC79" s="59">
        <f t="shared" si="2106"/>
        <v>0</v>
      </c>
      <c r="AD79" s="59">
        <f t="shared" ref="AD79:AD80" si="2107">SUM(R79:T79)</f>
        <v>0</v>
      </c>
      <c r="AE79" s="59">
        <f t="shared" ref="AE79:AE80" si="2108">SUM(U79:W79)</f>
        <v>0</v>
      </c>
      <c r="AF79" s="59">
        <f t="shared" ref="AF79:AF80" si="2109">SUM(X79:Z79)</f>
        <v>0</v>
      </c>
      <c r="AG79" s="59">
        <f t="shared" ref="AG79:AG80" si="2110">SUM(AA79:AC79)</f>
        <v>0</v>
      </c>
      <c r="AH79" s="59">
        <f t="shared" ref="AH79:AH80" si="2111">SUM(AD79:AG79)</f>
        <v>0</v>
      </c>
      <c r="AI79" s="59"/>
      <c r="AJ79" s="59">
        <f t="shared" ref="AJ79:AU81" si="2112">IF($N79&lt;AJ$4,0,IF($N79=AJ$4,$F79,0))</f>
        <v>0</v>
      </c>
      <c r="AK79" s="59">
        <f t="shared" si="2112"/>
        <v>0</v>
      </c>
      <c r="AL79" s="59">
        <f t="shared" si="2112"/>
        <v>0</v>
      </c>
      <c r="AM79" s="59">
        <f t="shared" si="2112"/>
        <v>0</v>
      </c>
      <c r="AN79" s="59">
        <f t="shared" si="2112"/>
        <v>0</v>
      </c>
      <c r="AO79" s="59">
        <f t="shared" si="2112"/>
        <v>0</v>
      </c>
      <c r="AP79" s="59">
        <f t="shared" si="2112"/>
        <v>0</v>
      </c>
      <c r="AQ79" s="59">
        <f t="shared" si="2112"/>
        <v>0</v>
      </c>
      <c r="AR79" s="59">
        <f t="shared" si="2112"/>
        <v>0</v>
      </c>
      <c r="AS79" s="59">
        <f t="shared" si="2112"/>
        <v>0</v>
      </c>
      <c r="AT79" s="59">
        <f t="shared" si="2112"/>
        <v>0</v>
      </c>
      <c r="AU79" s="59">
        <f t="shared" si="2112"/>
        <v>0</v>
      </c>
      <c r="AV79" s="59">
        <f t="shared" ref="AV79:AV80" si="2113">SUM(AJ79:AL79)</f>
        <v>0</v>
      </c>
      <c r="AW79" s="59">
        <f t="shared" ref="AW79:AW80" si="2114">SUM(AM79:AO79)</f>
        <v>0</v>
      </c>
      <c r="AX79" s="59">
        <f t="shared" ref="AX79:AX80" si="2115">SUM(AP79:AR79)</f>
        <v>0</v>
      </c>
      <c r="AY79" s="59">
        <f t="shared" ref="AY79:AY80" si="2116">SUM(AS79:AU79)</f>
        <v>0</v>
      </c>
      <c r="AZ79" s="59">
        <f t="shared" ref="AZ79:AZ80" si="2117">SUM(AV79:AY79)</f>
        <v>0</v>
      </c>
      <c r="BA79" s="59"/>
      <c r="BB79" s="59">
        <f t="shared" ref="BB79:BB80" si="2118">+R79+AJ79</f>
        <v>0</v>
      </c>
      <c r="BC79" s="59">
        <f t="shared" ref="BC79:BC88" si="2119">+S79+AK79</f>
        <v>0</v>
      </c>
      <c r="BD79" s="59">
        <f t="shared" ref="BD79:BD88" si="2120">+T79+AL79</f>
        <v>0</v>
      </c>
      <c r="BE79" s="59">
        <f t="shared" ref="BE79:BE88" si="2121">+U79+AM79</f>
        <v>0</v>
      </c>
      <c r="BF79" s="59">
        <f t="shared" ref="BF79:BF88" si="2122">+V79+AN79</f>
        <v>0</v>
      </c>
      <c r="BG79" s="59">
        <f t="shared" ref="BG79:BG88" si="2123">+W79+AO79</f>
        <v>0</v>
      </c>
      <c r="BH79" s="59">
        <f t="shared" ref="BH79:BH88" si="2124">+X79+AP79</f>
        <v>0</v>
      </c>
      <c r="BI79" s="59">
        <f t="shared" ref="BI79:BI88" si="2125">+Y79+AQ79</f>
        <v>0</v>
      </c>
      <c r="BJ79" s="59">
        <f t="shared" ref="BJ79:BJ88" si="2126">+Z79+AR79</f>
        <v>0</v>
      </c>
      <c r="BK79" s="59">
        <f t="shared" ref="BK79:BK88" si="2127">+AA79+AS79</f>
        <v>0</v>
      </c>
      <c r="BL79" s="59">
        <f t="shared" ref="BL79:BL88" si="2128">+AB79+AT79</f>
        <v>0</v>
      </c>
      <c r="BM79" s="59">
        <f t="shared" ref="BM79:BM88" si="2129">+AC79+AU79</f>
        <v>0</v>
      </c>
      <c r="BN79" s="59">
        <f t="shared" ref="BN79:BN80" si="2130">SUM(BB79:BD79)</f>
        <v>0</v>
      </c>
      <c r="BO79" s="59">
        <f t="shared" ref="BO79:BO80" si="2131">SUM(BE79:BG79)</f>
        <v>0</v>
      </c>
      <c r="BP79" s="59">
        <f t="shared" ref="BP79:BP81" si="2132">SUM(BH79:BJ79)</f>
        <v>0</v>
      </c>
      <c r="BQ79" s="59">
        <f t="shared" ref="BQ79:BQ80" si="2133">SUM(BK79:BM79)</f>
        <v>0</v>
      </c>
      <c r="BR79" s="59">
        <f t="shared" ref="BR79:BR80" si="2134">SUM(BN79:BQ79)</f>
        <v>0</v>
      </c>
      <c r="BS79" s="59"/>
      <c r="BT79" s="59">
        <f t="shared" ref="BT79:CE81" si="2135">IF(BT$4&lt;$O79,0,IF(AND(BT$4&gt;=$O79,BT$4&lt;=$K79+$N79),$E79/$K79,0))</f>
        <v>0.495</v>
      </c>
      <c r="BU79" s="59">
        <f t="shared" si="2135"/>
        <v>0</v>
      </c>
      <c r="BV79" s="59">
        <f t="shared" si="2135"/>
        <v>0</v>
      </c>
      <c r="BW79" s="59">
        <f t="shared" si="2135"/>
        <v>0</v>
      </c>
      <c r="BX79" s="59">
        <f t="shared" si="2135"/>
        <v>0</v>
      </c>
      <c r="BY79" s="59">
        <f t="shared" si="2135"/>
        <v>0</v>
      </c>
      <c r="BZ79" s="59">
        <f t="shared" si="2135"/>
        <v>0</v>
      </c>
      <c r="CA79" s="59">
        <f t="shared" si="2135"/>
        <v>0</v>
      </c>
      <c r="CB79" s="59">
        <f t="shared" si="2135"/>
        <v>0</v>
      </c>
      <c r="CC79" s="59">
        <f t="shared" si="2135"/>
        <v>0</v>
      </c>
      <c r="CD79" s="59">
        <f t="shared" si="2135"/>
        <v>0</v>
      </c>
      <c r="CE79" s="59">
        <f t="shared" si="2135"/>
        <v>0</v>
      </c>
      <c r="CF79" s="59">
        <f t="shared" ref="CF79:CF80" si="2136">SUM(BT79:BV79)</f>
        <v>0.495</v>
      </c>
      <c r="CG79" s="59">
        <f t="shared" ref="CG79:CG80" si="2137">SUM(BW79:BY79)</f>
        <v>0</v>
      </c>
      <c r="CH79" s="59">
        <f t="shared" ref="CH79:CH80" si="2138">SUM(BZ79:CB79)</f>
        <v>0</v>
      </c>
      <c r="CI79" s="59">
        <f t="shared" ref="CI79:CI80" si="2139">SUM(CC79:CE79)</f>
        <v>0</v>
      </c>
      <c r="CJ79" s="59">
        <f t="shared" ref="CJ79:CJ80" si="2140">SUM(CF79:CI79)</f>
        <v>0.495</v>
      </c>
      <c r="CK79" s="59"/>
      <c r="CL79" s="59">
        <f t="shared" ref="CL79:CW88" si="2141">IF(CL$4&lt;$O79+$K79,0,IF(AND(CL$4&gt;=$O79+$K79,CL$4&lt;=$L79+$K79),$F79/$L79,0))</f>
        <v>0</v>
      </c>
      <c r="CM79" s="59">
        <f t="shared" si="2141"/>
        <v>0</v>
      </c>
      <c r="CN79" s="59">
        <f t="shared" si="2141"/>
        <v>0</v>
      </c>
      <c r="CO79" s="59">
        <f t="shared" si="2141"/>
        <v>0</v>
      </c>
      <c r="CP79" s="59">
        <f t="shared" si="2141"/>
        <v>0</v>
      </c>
      <c r="CQ79" s="59">
        <f t="shared" si="2141"/>
        <v>0</v>
      </c>
      <c r="CR79" s="59">
        <f t="shared" si="2141"/>
        <v>0</v>
      </c>
      <c r="CS79" s="59">
        <f t="shared" si="2141"/>
        <v>0</v>
      </c>
      <c r="CT79" s="59">
        <f t="shared" si="2141"/>
        <v>0</v>
      </c>
      <c r="CU79" s="59">
        <f t="shared" si="2141"/>
        <v>0</v>
      </c>
      <c r="CV79" s="59">
        <f t="shared" si="2141"/>
        <v>0</v>
      </c>
      <c r="CW79" s="59">
        <f t="shared" si="2141"/>
        <v>0</v>
      </c>
      <c r="CX79" s="59">
        <f t="shared" ref="CX79:CX80" si="2142">SUM(CL79:CN79)</f>
        <v>0</v>
      </c>
      <c r="CY79" s="59">
        <f t="shared" ref="CY79:CY80" si="2143">SUM(CO79:CQ79)</f>
        <v>0</v>
      </c>
      <c r="CZ79" s="59">
        <f t="shared" ref="CZ79:CZ80" si="2144">SUM(CR79:CT79)</f>
        <v>0</v>
      </c>
      <c r="DA79" s="59">
        <f t="shared" ref="DA79:DA80" si="2145">SUM(CU79:CW79)</f>
        <v>0</v>
      </c>
      <c r="DB79" s="59">
        <f t="shared" ref="DB79:DB80" si="2146">SUM(CX79:DA79)</f>
        <v>0</v>
      </c>
      <c r="DC79" s="59"/>
      <c r="DD79" s="59">
        <f t="shared" ref="DD79:DD80" si="2147">+BT79+CL79</f>
        <v>0.495</v>
      </c>
      <c r="DE79" s="59">
        <f t="shared" ref="DE79:DE88" si="2148">+BU79+CM79</f>
        <v>0</v>
      </c>
      <c r="DF79" s="59">
        <f t="shared" ref="DF79:DF88" si="2149">+BV79+CN79</f>
        <v>0</v>
      </c>
      <c r="DG79" s="59">
        <f t="shared" ref="DG79:DG88" si="2150">+BW79+CO79</f>
        <v>0</v>
      </c>
      <c r="DH79" s="59">
        <f t="shared" ref="DH79:DH88" si="2151">+BX79+CP79</f>
        <v>0</v>
      </c>
      <c r="DI79" s="59">
        <f t="shared" ref="DI79:DI88" si="2152">+BY79+CQ79</f>
        <v>0</v>
      </c>
      <c r="DJ79" s="59">
        <f t="shared" ref="DJ79:DJ88" si="2153">+BZ79+CR79</f>
        <v>0</v>
      </c>
      <c r="DK79" s="59">
        <f t="shared" ref="DK79:DK88" si="2154">+CA79+CS79</f>
        <v>0</v>
      </c>
      <c r="DL79" s="59">
        <f t="shared" ref="DL79:DL88" si="2155">+CB79+CT79</f>
        <v>0</v>
      </c>
      <c r="DM79" s="59">
        <f t="shared" ref="DM79:DM88" si="2156">+CC79+CU79</f>
        <v>0</v>
      </c>
      <c r="DN79" s="59">
        <f t="shared" ref="DN79:DN88" si="2157">+CD79+CV79</f>
        <v>0</v>
      </c>
      <c r="DO79" s="59">
        <f t="shared" ref="DO79:DO88" si="2158">+CE79+CW79</f>
        <v>0</v>
      </c>
      <c r="DP79" s="59">
        <f t="shared" ref="DP79:DP80" si="2159">SUM(DD79:DF79)</f>
        <v>0.495</v>
      </c>
      <c r="DQ79" s="59">
        <f t="shared" ref="DQ79:DQ80" si="2160">SUM(DG79:DI79)</f>
        <v>0</v>
      </c>
      <c r="DR79" s="59">
        <f t="shared" ref="DR79:DR80" si="2161">SUM(DJ79:DL79)</f>
        <v>0</v>
      </c>
      <c r="DS79" s="59">
        <f t="shared" ref="DS79:DS80" si="2162">SUM(DM79:DO79)</f>
        <v>0</v>
      </c>
      <c r="DT79" s="59">
        <f t="shared" ref="DT79:DT80" si="2163">SUM(DP79:DS79)</f>
        <v>0.495</v>
      </c>
      <c r="DU79" s="59"/>
      <c r="DV79" s="70">
        <v>4.6500000000000004</v>
      </c>
      <c r="DW79" s="70">
        <v>10.55</v>
      </c>
      <c r="DX79" s="70">
        <v>0</v>
      </c>
      <c r="DY79" s="70">
        <v>0.495</v>
      </c>
      <c r="DZ79" s="70">
        <v>0</v>
      </c>
      <c r="EA79" s="70">
        <v>0</v>
      </c>
      <c r="EB79" s="59">
        <f t="shared" ref="EB79:EG81" si="2164">IF(EB$4&lt;$O79+2,0,IF(AND(EB$4&gt;=$O79+2,EB$4&lt;=$K79+$N79+2),$E79/$K79,0))</f>
        <v>0</v>
      </c>
      <c r="EC79" s="59">
        <f t="shared" si="2164"/>
        <v>0</v>
      </c>
      <c r="ED79" s="59">
        <f t="shared" si="2164"/>
        <v>0</v>
      </c>
      <c r="EE79" s="59">
        <f t="shared" si="2164"/>
        <v>0</v>
      </c>
      <c r="EF79" s="59">
        <f t="shared" si="2164"/>
        <v>0</v>
      </c>
      <c r="EG79" s="59">
        <f t="shared" si="2164"/>
        <v>0</v>
      </c>
      <c r="EH79" s="59">
        <f t="shared" ref="EH79:EH80" si="2165">SUM(DV79:DX79)</f>
        <v>15.200000000000001</v>
      </c>
      <c r="EI79" s="59">
        <f t="shared" ref="EI79:EI80" si="2166">SUM(DY79:EA79)</f>
        <v>0.495</v>
      </c>
      <c r="EJ79" s="59">
        <f t="shared" ref="EJ79:EJ80" si="2167">SUM(EB79:ED79)</f>
        <v>0</v>
      </c>
      <c r="EK79" s="59">
        <f t="shared" ref="EK79:EK80" si="2168">SUM(EE79:EG79)</f>
        <v>0</v>
      </c>
      <c r="EL79" s="59">
        <f t="shared" ref="EL79:EL80" si="2169">SUM(EH79:EK79)</f>
        <v>15.695</v>
      </c>
      <c r="EM79" s="59"/>
      <c r="EN79" s="70">
        <v>0</v>
      </c>
      <c r="EO79" s="70">
        <v>0</v>
      </c>
      <c r="EP79" s="70">
        <v>0</v>
      </c>
      <c r="EQ79" s="70">
        <v>0</v>
      </c>
      <c r="ER79" s="70">
        <v>0</v>
      </c>
      <c r="ES79" s="59">
        <f t="shared" ref="ES79:EY80" si="2170">IF(ES$4&lt;$O79+$K79+1,0,IF(AND(ES$4=$O79+$K79+1,ES$4&lt;=$L79+$K79+1),$F79*0.5,IF(AND(ES$4&gt;$O79+$K79+1,ES$4&lt;=$L79+$K79+1),($F79*0.5)/$L79,0)))</f>
        <v>0</v>
      </c>
      <c r="ET79" s="59">
        <f t="shared" si="2170"/>
        <v>0</v>
      </c>
      <c r="EU79" s="59">
        <f t="shared" si="2170"/>
        <v>0</v>
      </c>
      <c r="EV79" s="59">
        <f t="shared" si="2170"/>
        <v>0</v>
      </c>
      <c r="EW79" s="59">
        <f t="shared" si="2170"/>
        <v>0</v>
      </c>
      <c r="EX79" s="59">
        <f t="shared" si="2170"/>
        <v>0</v>
      </c>
      <c r="EY79" s="59">
        <f t="shared" si="2170"/>
        <v>0</v>
      </c>
      <c r="EZ79" s="59">
        <f t="shared" ref="EZ79:EZ80" si="2171">SUM(EN79:EP79)</f>
        <v>0</v>
      </c>
      <c r="FA79" s="59">
        <f t="shared" ref="FA79:FA80" si="2172">SUM(EQ79:ES79)</f>
        <v>0</v>
      </c>
      <c r="FB79" s="59">
        <f t="shared" ref="FB79:FB80" si="2173">SUM(ET79:EV79)</f>
        <v>0</v>
      </c>
      <c r="FC79" s="59">
        <f t="shared" ref="FC79:FC80" si="2174">SUM(EW79:EY79)</f>
        <v>0</v>
      </c>
      <c r="FD79" s="59">
        <f t="shared" ref="FD79:FD80" si="2175">SUM(EZ79:FC79)</f>
        <v>0</v>
      </c>
      <c r="FE79" s="59"/>
      <c r="FF79" s="59">
        <f t="shared" ref="FF79:FF80" si="2176">+DV79+EN79</f>
        <v>4.6500000000000004</v>
      </c>
      <c r="FG79" s="59">
        <f t="shared" ref="FG79:FG88" si="2177">+DW79+EO79</f>
        <v>10.55</v>
      </c>
      <c r="FH79" s="59">
        <f t="shared" ref="FH79:FH88" si="2178">+DX79+EP79</f>
        <v>0</v>
      </c>
      <c r="FI79" s="59">
        <f t="shared" ref="FI79:FI88" si="2179">+DY79+EQ79</f>
        <v>0.495</v>
      </c>
      <c r="FJ79" s="59">
        <f t="shared" ref="FJ79:FJ88" si="2180">+DZ79+ER79</f>
        <v>0</v>
      </c>
      <c r="FK79" s="59">
        <f t="shared" ref="FK79:FK88" si="2181">+EA79+ES79</f>
        <v>0</v>
      </c>
      <c r="FL79" s="59">
        <f t="shared" ref="FL79:FL88" si="2182">+EB79+ET79</f>
        <v>0</v>
      </c>
      <c r="FM79" s="59">
        <f t="shared" ref="FM79:FM88" si="2183">+EC79+EU79</f>
        <v>0</v>
      </c>
      <c r="FN79" s="59">
        <f t="shared" ref="FN79:FN88" si="2184">+ED79+EV79</f>
        <v>0</v>
      </c>
      <c r="FO79" s="59">
        <f t="shared" ref="FO79:FO88" si="2185">+EE79+EW79</f>
        <v>0</v>
      </c>
      <c r="FP79" s="59">
        <f t="shared" ref="FP79:FP88" si="2186">+EF79+EX79</f>
        <v>0</v>
      </c>
      <c r="FQ79" s="59">
        <f t="shared" ref="FQ79:FQ88" si="2187">+EG79+EY79</f>
        <v>0</v>
      </c>
      <c r="FR79" s="59">
        <f t="shared" ref="FR79:FR80" si="2188">SUM(FF79:FH79)</f>
        <v>15.200000000000001</v>
      </c>
      <c r="FS79" s="59">
        <f t="shared" ref="FS79:FS80" si="2189">SUM(FI79:FK79)</f>
        <v>0.495</v>
      </c>
      <c r="FT79" s="59">
        <f t="shared" ref="FT79:FT80" si="2190">SUM(FL79:FN79)</f>
        <v>0</v>
      </c>
      <c r="FU79" s="59">
        <f t="shared" ref="FU79:FU80" si="2191">SUM(FO79:FQ79)</f>
        <v>0</v>
      </c>
      <c r="FV79" s="59">
        <f t="shared" ref="FV79:FV80" si="2192">SUM(FR79:FU79)</f>
        <v>15.695</v>
      </c>
    </row>
    <row r="80" spans="2:178" x14ac:dyDescent="0.2">
      <c r="B80" s="46">
        <f t="shared" ref="B80:B88" si="2193">+B79+1</f>
        <v>2</v>
      </c>
      <c r="C80" s="14" t="s">
        <v>537</v>
      </c>
      <c r="E80" s="13">
        <f>50000/1000</f>
        <v>50</v>
      </c>
      <c r="F80" s="13">
        <v>0</v>
      </c>
      <c r="G80" s="17">
        <f t="shared" si="2103"/>
        <v>50</v>
      </c>
      <c r="H80" s="49" t="s">
        <v>215</v>
      </c>
      <c r="I80" s="49" t="s">
        <v>216</v>
      </c>
      <c r="J80" s="49" t="s">
        <v>262</v>
      </c>
      <c r="K80" s="54">
        <v>3</v>
      </c>
      <c r="L80" s="54">
        <v>0</v>
      </c>
      <c r="M80" s="54">
        <v>0</v>
      </c>
      <c r="N80" s="54">
        <v>2</v>
      </c>
      <c r="O80" s="48">
        <f t="shared" si="2104"/>
        <v>3</v>
      </c>
      <c r="P80" s="48">
        <f t="shared" si="2105"/>
        <v>3</v>
      </c>
      <c r="R80" s="59">
        <f t="shared" si="2106"/>
        <v>0</v>
      </c>
      <c r="S80" s="59">
        <f t="shared" si="2106"/>
        <v>50</v>
      </c>
      <c r="T80" s="59">
        <f t="shared" si="2106"/>
        <v>0</v>
      </c>
      <c r="U80" s="59">
        <f t="shared" si="2106"/>
        <v>0</v>
      </c>
      <c r="V80" s="59">
        <f t="shared" si="2106"/>
        <v>0</v>
      </c>
      <c r="W80" s="59">
        <f t="shared" si="2106"/>
        <v>0</v>
      </c>
      <c r="X80" s="59">
        <f t="shared" si="2106"/>
        <v>0</v>
      </c>
      <c r="Y80" s="59">
        <f t="shared" si="2106"/>
        <v>0</v>
      </c>
      <c r="Z80" s="59">
        <f t="shared" si="2106"/>
        <v>0</v>
      </c>
      <c r="AA80" s="59">
        <f t="shared" si="2106"/>
        <v>0</v>
      </c>
      <c r="AB80" s="59">
        <f t="shared" si="2106"/>
        <v>0</v>
      </c>
      <c r="AC80" s="59">
        <f t="shared" si="2106"/>
        <v>0</v>
      </c>
      <c r="AD80" s="59">
        <f t="shared" si="2107"/>
        <v>50</v>
      </c>
      <c r="AE80" s="59">
        <f t="shared" si="2108"/>
        <v>0</v>
      </c>
      <c r="AF80" s="59">
        <f t="shared" si="2109"/>
        <v>0</v>
      </c>
      <c r="AG80" s="59">
        <f t="shared" si="2110"/>
        <v>0</v>
      </c>
      <c r="AH80" s="59">
        <f t="shared" si="2111"/>
        <v>50</v>
      </c>
      <c r="AI80" s="59"/>
      <c r="AJ80" s="59">
        <f t="shared" si="2112"/>
        <v>0</v>
      </c>
      <c r="AK80" s="59">
        <f t="shared" si="2112"/>
        <v>0</v>
      </c>
      <c r="AL80" s="59">
        <f t="shared" si="2112"/>
        <v>0</v>
      </c>
      <c r="AM80" s="59">
        <f t="shared" si="2112"/>
        <v>0</v>
      </c>
      <c r="AN80" s="59">
        <f t="shared" si="2112"/>
        <v>0</v>
      </c>
      <c r="AO80" s="59">
        <f t="shared" si="2112"/>
        <v>0</v>
      </c>
      <c r="AP80" s="59">
        <f t="shared" si="2112"/>
        <v>0</v>
      </c>
      <c r="AQ80" s="59">
        <f t="shared" si="2112"/>
        <v>0</v>
      </c>
      <c r="AR80" s="59">
        <f t="shared" si="2112"/>
        <v>0</v>
      </c>
      <c r="AS80" s="59">
        <f t="shared" si="2112"/>
        <v>0</v>
      </c>
      <c r="AT80" s="59">
        <f t="shared" si="2112"/>
        <v>0</v>
      </c>
      <c r="AU80" s="59">
        <f t="shared" si="2112"/>
        <v>0</v>
      </c>
      <c r="AV80" s="59">
        <f t="shared" si="2113"/>
        <v>0</v>
      </c>
      <c r="AW80" s="59">
        <f t="shared" si="2114"/>
        <v>0</v>
      </c>
      <c r="AX80" s="59">
        <f t="shared" si="2115"/>
        <v>0</v>
      </c>
      <c r="AY80" s="59">
        <f t="shared" si="2116"/>
        <v>0</v>
      </c>
      <c r="AZ80" s="59">
        <f t="shared" si="2117"/>
        <v>0</v>
      </c>
      <c r="BA80" s="59"/>
      <c r="BB80" s="59">
        <f t="shared" si="2118"/>
        <v>0</v>
      </c>
      <c r="BC80" s="59">
        <f t="shared" si="2119"/>
        <v>50</v>
      </c>
      <c r="BD80" s="59">
        <f t="shared" si="2120"/>
        <v>0</v>
      </c>
      <c r="BE80" s="59">
        <f t="shared" si="2121"/>
        <v>0</v>
      </c>
      <c r="BF80" s="59">
        <f t="shared" si="2122"/>
        <v>0</v>
      </c>
      <c r="BG80" s="59">
        <f t="shared" si="2123"/>
        <v>0</v>
      </c>
      <c r="BH80" s="59">
        <f t="shared" si="2124"/>
        <v>0</v>
      </c>
      <c r="BI80" s="59">
        <f t="shared" si="2125"/>
        <v>0</v>
      </c>
      <c r="BJ80" s="59">
        <f t="shared" si="2126"/>
        <v>0</v>
      </c>
      <c r="BK80" s="59">
        <f t="shared" si="2127"/>
        <v>0</v>
      </c>
      <c r="BL80" s="59">
        <f t="shared" si="2128"/>
        <v>0</v>
      </c>
      <c r="BM80" s="59">
        <f t="shared" si="2129"/>
        <v>0</v>
      </c>
      <c r="BN80" s="59">
        <f t="shared" si="2130"/>
        <v>50</v>
      </c>
      <c r="BO80" s="59">
        <f t="shared" si="2131"/>
        <v>0</v>
      </c>
      <c r="BP80" s="59">
        <f t="shared" si="2132"/>
        <v>0</v>
      </c>
      <c r="BQ80" s="59">
        <f t="shared" si="2133"/>
        <v>0</v>
      </c>
      <c r="BR80" s="59">
        <f t="shared" si="2134"/>
        <v>50</v>
      </c>
      <c r="BS80" s="59"/>
      <c r="BT80" s="59">
        <f t="shared" si="2135"/>
        <v>0</v>
      </c>
      <c r="BU80" s="59">
        <f t="shared" si="2135"/>
        <v>0</v>
      </c>
      <c r="BV80" s="59">
        <f t="shared" si="2135"/>
        <v>16.666666666666668</v>
      </c>
      <c r="BW80" s="59">
        <f t="shared" si="2135"/>
        <v>16.666666666666668</v>
      </c>
      <c r="BX80" s="59">
        <f t="shared" si="2135"/>
        <v>16.666666666666668</v>
      </c>
      <c r="BY80" s="59">
        <f t="shared" si="2135"/>
        <v>0</v>
      </c>
      <c r="BZ80" s="59">
        <f t="shared" si="2135"/>
        <v>0</v>
      </c>
      <c r="CA80" s="59">
        <f t="shared" si="2135"/>
        <v>0</v>
      </c>
      <c r="CB80" s="59">
        <f t="shared" si="2135"/>
        <v>0</v>
      </c>
      <c r="CC80" s="59">
        <f t="shared" si="2135"/>
        <v>0</v>
      </c>
      <c r="CD80" s="59">
        <f t="shared" si="2135"/>
        <v>0</v>
      </c>
      <c r="CE80" s="59">
        <f t="shared" si="2135"/>
        <v>0</v>
      </c>
      <c r="CF80" s="59">
        <f t="shared" si="2136"/>
        <v>16.666666666666668</v>
      </c>
      <c r="CG80" s="59">
        <f t="shared" si="2137"/>
        <v>33.333333333333336</v>
      </c>
      <c r="CH80" s="59">
        <f t="shared" si="2138"/>
        <v>0</v>
      </c>
      <c r="CI80" s="59">
        <f t="shared" si="2139"/>
        <v>0</v>
      </c>
      <c r="CJ80" s="59">
        <f t="shared" si="2140"/>
        <v>50</v>
      </c>
      <c r="CK80" s="59"/>
      <c r="CL80" s="59">
        <f t="shared" si="2141"/>
        <v>0</v>
      </c>
      <c r="CM80" s="59">
        <f t="shared" si="2141"/>
        <v>0</v>
      </c>
      <c r="CN80" s="59">
        <f t="shared" si="2141"/>
        <v>0</v>
      </c>
      <c r="CO80" s="59">
        <f t="shared" si="2141"/>
        <v>0</v>
      </c>
      <c r="CP80" s="59">
        <f t="shared" si="2141"/>
        <v>0</v>
      </c>
      <c r="CQ80" s="59">
        <f t="shared" si="2141"/>
        <v>0</v>
      </c>
      <c r="CR80" s="59">
        <f t="shared" si="2141"/>
        <v>0</v>
      </c>
      <c r="CS80" s="59">
        <f t="shared" si="2141"/>
        <v>0</v>
      </c>
      <c r="CT80" s="59">
        <f t="shared" si="2141"/>
        <v>0</v>
      </c>
      <c r="CU80" s="59">
        <f t="shared" si="2141"/>
        <v>0</v>
      </c>
      <c r="CV80" s="59">
        <f t="shared" si="2141"/>
        <v>0</v>
      </c>
      <c r="CW80" s="59">
        <f t="shared" si="2141"/>
        <v>0</v>
      </c>
      <c r="CX80" s="59">
        <f t="shared" si="2142"/>
        <v>0</v>
      </c>
      <c r="CY80" s="59">
        <f t="shared" si="2143"/>
        <v>0</v>
      </c>
      <c r="CZ80" s="59">
        <f t="shared" si="2144"/>
        <v>0</v>
      </c>
      <c r="DA80" s="59">
        <f t="shared" si="2145"/>
        <v>0</v>
      </c>
      <c r="DB80" s="59">
        <f t="shared" si="2146"/>
        <v>0</v>
      </c>
      <c r="DC80" s="59"/>
      <c r="DD80" s="59">
        <f t="shared" si="2147"/>
        <v>0</v>
      </c>
      <c r="DE80" s="59">
        <f t="shared" si="2148"/>
        <v>0</v>
      </c>
      <c r="DF80" s="59">
        <f t="shared" si="2149"/>
        <v>16.666666666666668</v>
      </c>
      <c r="DG80" s="59">
        <f t="shared" si="2150"/>
        <v>16.666666666666668</v>
      </c>
      <c r="DH80" s="59">
        <f t="shared" si="2151"/>
        <v>16.666666666666668</v>
      </c>
      <c r="DI80" s="59">
        <f t="shared" si="2152"/>
        <v>0</v>
      </c>
      <c r="DJ80" s="59">
        <f t="shared" si="2153"/>
        <v>0</v>
      </c>
      <c r="DK80" s="59">
        <f t="shared" si="2154"/>
        <v>0</v>
      </c>
      <c r="DL80" s="59">
        <f t="shared" si="2155"/>
        <v>0</v>
      </c>
      <c r="DM80" s="59">
        <f t="shared" si="2156"/>
        <v>0</v>
      </c>
      <c r="DN80" s="59">
        <f t="shared" si="2157"/>
        <v>0</v>
      </c>
      <c r="DO80" s="59">
        <f t="shared" si="2158"/>
        <v>0</v>
      </c>
      <c r="DP80" s="59">
        <f t="shared" si="2159"/>
        <v>16.666666666666668</v>
      </c>
      <c r="DQ80" s="59">
        <f t="shared" si="2160"/>
        <v>33.333333333333336</v>
      </c>
      <c r="DR80" s="59">
        <f t="shared" si="2161"/>
        <v>0</v>
      </c>
      <c r="DS80" s="59">
        <f t="shared" si="2162"/>
        <v>0</v>
      </c>
      <c r="DT80" s="59">
        <f t="shared" si="2163"/>
        <v>50</v>
      </c>
      <c r="DU80" s="59"/>
      <c r="DV80" s="70">
        <v>0</v>
      </c>
      <c r="DW80" s="70">
        <v>0</v>
      </c>
      <c r="DX80" s="70">
        <v>0</v>
      </c>
      <c r="DY80" s="70">
        <v>0</v>
      </c>
      <c r="DZ80" s="70">
        <v>2.6288</v>
      </c>
      <c r="EA80" s="70">
        <v>17.046799999999998</v>
      </c>
      <c r="EB80" s="70">
        <v>16.716799999999999</v>
      </c>
      <c r="EC80" s="70">
        <f>14007.6/1000</f>
        <v>14.0076</v>
      </c>
      <c r="ED80" s="70">
        <v>0</v>
      </c>
      <c r="EE80" s="70">
        <v>0</v>
      </c>
      <c r="EF80" s="59">
        <f t="shared" si="2164"/>
        <v>0</v>
      </c>
      <c r="EG80" s="59">
        <f t="shared" si="2164"/>
        <v>0</v>
      </c>
      <c r="EH80" s="59">
        <f t="shared" si="2165"/>
        <v>0</v>
      </c>
      <c r="EI80" s="59">
        <f t="shared" si="2166"/>
        <v>19.675599999999996</v>
      </c>
      <c r="EJ80" s="59">
        <f t="shared" si="2167"/>
        <v>30.724399999999999</v>
      </c>
      <c r="EK80" s="59">
        <f t="shared" si="2168"/>
        <v>0</v>
      </c>
      <c r="EL80" s="59">
        <f t="shared" si="2169"/>
        <v>50.399999999999991</v>
      </c>
      <c r="EM80" s="59"/>
      <c r="EN80" s="70">
        <v>0</v>
      </c>
      <c r="EO80" s="70">
        <v>0</v>
      </c>
      <c r="EP80" s="70">
        <v>0</v>
      </c>
      <c r="EQ80" s="70">
        <v>0</v>
      </c>
      <c r="ER80" s="70">
        <v>0</v>
      </c>
      <c r="ES80" s="59">
        <f t="shared" si="2170"/>
        <v>0</v>
      </c>
      <c r="ET80" s="59">
        <f t="shared" si="2170"/>
        <v>0</v>
      </c>
      <c r="EU80" s="59">
        <f t="shared" si="2170"/>
        <v>0</v>
      </c>
      <c r="EV80" s="59">
        <f t="shared" si="2170"/>
        <v>0</v>
      </c>
      <c r="EW80" s="59">
        <f t="shared" si="2170"/>
        <v>0</v>
      </c>
      <c r="EX80" s="59">
        <f t="shared" si="2170"/>
        <v>0</v>
      </c>
      <c r="EY80" s="59">
        <f t="shared" si="2170"/>
        <v>0</v>
      </c>
      <c r="EZ80" s="59">
        <f t="shared" si="2171"/>
        <v>0</v>
      </c>
      <c r="FA80" s="59">
        <f t="shared" si="2172"/>
        <v>0</v>
      </c>
      <c r="FB80" s="59">
        <f t="shared" si="2173"/>
        <v>0</v>
      </c>
      <c r="FC80" s="59">
        <f t="shared" si="2174"/>
        <v>0</v>
      </c>
      <c r="FD80" s="59">
        <f t="shared" si="2175"/>
        <v>0</v>
      </c>
      <c r="FE80" s="59"/>
      <c r="FF80" s="59">
        <f t="shared" si="2176"/>
        <v>0</v>
      </c>
      <c r="FG80" s="59">
        <f t="shared" si="2177"/>
        <v>0</v>
      </c>
      <c r="FH80" s="59">
        <f t="shared" si="2178"/>
        <v>0</v>
      </c>
      <c r="FI80" s="59">
        <f t="shared" si="2179"/>
        <v>0</v>
      </c>
      <c r="FJ80" s="59">
        <f t="shared" si="2180"/>
        <v>2.6288</v>
      </c>
      <c r="FK80" s="59">
        <f t="shared" si="2181"/>
        <v>17.046799999999998</v>
      </c>
      <c r="FL80" s="59">
        <f t="shared" si="2182"/>
        <v>16.716799999999999</v>
      </c>
      <c r="FM80" s="59">
        <f t="shared" si="2183"/>
        <v>14.0076</v>
      </c>
      <c r="FN80" s="59">
        <f t="shared" si="2184"/>
        <v>0</v>
      </c>
      <c r="FO80" s="59">
        <f t="shared" si="2185"/>
        <v>0</v>
      </c>
      <c r="FP80" s="59">
        <f t="shared" si="2186"/>
        <v>0</v>
      </c>
      <c r="FQ80" s="59">
        <f t="shared" si="2187"/>
        <v>0</v>
      </c>
      <c r="FR80" s="59">
        <f t="shared" si="2188"/>
        <v>0</v>
      </c>
      <c r="FS80" s="59">
        <f t="shared" si="2189"/>
        <v>19.675599999999996</v>
      </c>
      <c r="FT80" s="59">
        <f t="shared" si="2190"/>
        <v>30.724399999999999</v>
      </c>
      <c r="FU80" s="59">
        <f t="shared" si="2191"/>
        <v>0</v>
      </c>
      <c r="FV80" s="59">
        <f t="shared" si="2192"/>
        <v>50.399999999999991</v>
      </c>
    </row>
    <row r="81" spans="2:178" x14ac:dyDescent="0.2">
      <c r="B81" s="46">
        <f t="shared" si="2193"/>
        <v>3</v>
      </c>
      <c r="C81" s="14" t="s">
        <v>560</v>
      </c>
      <c r="E81" s="13">
        <v>82</v>
      </c>
      <c r="F81" s="13">
        <v>144</v>
      </c>
      <c r="G81" s="17">
        <f>+E81+F81</f>
        <v>226</v>
      </c>
      <c r="H81" s="49" t="s">
        <v>215</v>
      </c>
      <c r="I81" s="49" t="s">
        <v>216</v>
      </c>
      <c r="J81" s="49" t="s">
        <v>217</v>
      </c>
      <c r="K81" s="54">
        <v>2</v>
      </c>
      <c r="L81" s="54">
        <v>12</v>
      </c>
      <c r="M81" s="54">
        <v>0</v>
      </c>
      <c r="N81" s="54">
        <v>3</v>
      </c>
      <c r="O81" s="48">
        <f>+N81+1</f>
        <v>4</v>
      </c>
      <c r="P81" s="48">
        <f>+K81+L81</f>
        <v>14</v>
      </c>
      <c r="R81" s="59">
        <f>IF($N81&lt;R$4,0,IF($N81=R$4,$E81,0))</f>
        <v>0</v>
      </c>
      <c r="S81" s="59">
        <f t="shared" si="2106"/>
        <v>0</v>
      </c>
      <c r="T81" s="59">
        <f t="shared" si="2106"/>
        <v>82</v>
      </c>
      <c r="U81" s="59">
        <f t="shared" si="2106"/>
        <v>0</v>
      </c>
      <c r="V81" s="59">
        <f t="shared" si="2106"/>
        <v>0</v>
      </c>
      <c r="W81" s="59">
        <f t="shared" si="2106"/>
        <v>0</v>
      </c>
      <c r="X81" s="59">
        <f t="shared" si="2106"/>
        <v>0</v>
      </c>
      <c r="Y81" s="59">
        <f t="shared" si="2106"/>
        <v>0</v>
      </c>
      <c r="Z81" s="59">
        <f t="shared" si="2106"/>
        <v>0</v>
      </c>
      <c r="AA81" s="59">
        <f t="shared" si="2106"/>
        <v>0</v>
      </c>
      <c r="AB81" s="59">
        <f t="shared" si="2106"/>
        <v>0</v>
      </c>
      <c r="AC81" s="59">
        <f t="shared" si="2106"/>
        <v>0</v>
      </c>
      <c r="AD81" s="59">
        <f>SUM(R81:T81)</f>
        <v>82</v>
      </c>
      <c r="AE81" s="59">
        <f>SUM(U81:W81)</f>
        <v>0</v>
      </c>
      <c r="AF81" s="59">
        <f>SUM(X81:Z81)</f>
        <v>0</v>
      </c>
      <c r="AG81" s="59">
        <f>SUM(AA81:AC81)</f>
        <v>0</v>
      </c>
      <c r="AH81" s="59">
        <f>SUM(AD81:AG81)</f>
        <v>82</v>
      </c>
      <c r="AI81" s="59"/>
      <c r="AJ81" s="59">
        <f>IF($N81&lt;AJ$4,0,IF($N81=AJ$4,$F81,0))</f>
        <v>0</v>
      </c>
      <c r="AK81" s="59">
        <f t="shared" si="2112"/>
        <v>0</v>
      </c>
      <c r="AL81" s="59">
        <f t="shared" si="2112"/>
        <v>144</v>
      </c>
      <c r="AM81" s="59">
        <f t="shared" si="2112"/>
        <v>0</v>
      </c>
      <c r="AN81" s="59">
        <f t="shared" si="2112"/>
        <v>0</v>
      </c>
      <c r="AO81" s="59">
        <f t="shared" si="2112"/>
        <v>0</v>
      </c>
      <c r="AP81" s="59">
        <f t="shared" si="2112"/>
        <v>0</v>
      </c>
      <c r="AQ81" s="59">
        <f t="shared" si="2112"/>
        <v>0</v>
      </c>
      <c r="AR81" s="59">
        <f t="shared" si="2112"/>
        <v>0</v>
      </c>
      <c r="AS81" s="59">
        <f t="shared" si="2112"/>
        <v>0</v>
      </c>
      <c r="AT81" s="59">
        <f t="shared" si="2112"/>
        <v>0</v>
      </c>
      <c r="AU81" s="59">
        <f t="shared" si="2112"/>
        <v>0</v>
      </c>
      <c r="AV81" s="59">
        <f>SUM(AJ81:AL81)</f>
        <v>144</v>
      </c>
      <c r="AW81" s="59">
        <f>SUM(AM81:AO81)</f>
        <v>0</v>
      </c>
      <c r="AX81" s="59">
        <f>SUM(AP81:AR81)</f>
        <v>0</v>
      </c>
      <c r="AY81" s="59">
        <f>SUM(AS81:AU81)</f>
        <v>0</v>
      </c>
      <c r="AZ81" s="59">
        <f>SUM(AV81:AY81)</f>
        <v>144</v>
      </c>
      <c r="BA81" s="59"/>
      <c r="BB81" s="59">
        <f>+R81+AJ81</f>
        <v>0</v>
      </c>
      <c r="BC81" s="59">
        <f t="shared" si="2119"/>
        <v>0</v>
      </c>
      <c r="BD81" s="59">
        <f t="shared" si="2120"/>
        <v>226</v>
      </c>
      <c r="BE81" s="59">
        <f t="shared" si="2121"/>
        <v>0</v>
      </c>
      <c r="BF81" s="59">
        <f t="shared" si="2122"/>
        <v>0</v>
      </c>
      <c r="BG81" s="59">
        <f t="shared" si="2123"/>
        <v>0</v>
      </c>
      <c r="BH81" s="59">
        <f t="shared" si="2124"/>
        <v>0</v>
      </c>
      <c r="BI81" s="59">
        <f t="shared" si="2125"/>
        <v>0</v>
      </c>
      <c r="BJ81" s="59">
        <f t="shared" si="2126"/>
        <v>0</v>
      </c>
      <c r="BK81" s="59">
        <f t="shared" si="2127"/>
        <v>0</v>
      </c>
      <c r="BL81" s="59">
        <f t="shared" si="2128"/>
        <v>0</v>
      </c>
      <c r="BM81" s="59">
        <f t="shared" si="2129"/>
        <v>0</v>
      </c>
      <c r="BN81" s="59">
        <f>SUM(BB81:BD81)</f>
        <v>226</v>
      </c>
      <c r="BO81" s="59">
        <f>SUM(BE81:BG81)</f>
        <v>0</v>
      </c>
      <c r="BP81" s="59">
        <f t="shared" si="2132"/>
        <v>0</v>
      </c>
      <c r="BQ81" s="59">
        <f>SUM(BK81:BM81)</f>
        <v>0</v>
      </c>
      <c r="BR81" s="59">
        <f>SUM(BN81:BQ81)</f>
        <v>226</v>
      </c>
      <c r="BS81" s="59"/>
      <c r="BT81" s="59">
        <f>IF(BT$4&lt;$O81,0,IF(AND(BT$4&gt;=$O81,BT$4&lt;=$K81+$N81),$E81/$K81,0))</f>
        <v>0</v>
      </c>
      <c r="BU81" s="59">
        <f t="shared" si="2135"/>
        <v>0</v>
      </c>
      <c r="BV81" s="59">
        <f t="shared" si="2135"/>
        <v>0</v>
      </c>
      <c r="BW81" s="59">
        <f t="shared" si="2135"/>
        <v>41</v>
      </c>
      <c r="BX81" s="59">
        <f t="shared" si="2135"/>
        <v>41</v>
      </c>
      <c r="BY81" s="59">
        <f t="shared" si="2135"/>
        <v>0</v>
      </c>
      <c r="BZ81" s="59">
        <f t="shared" si="2135"/>
        <v>0</v>
      </c>
      <c r="CA81" s="59">
        <f t="shared" si="2135"/>
        <v>0</v>
      </c>
      <c r="CB81" s="59">
        <f t="shared" si="2135"/>
        <v>0</v>
      </c>
      <c r="CC81" s="59">
        <f t="shared" si="2135"/>
        <v>0</v>
      </c>
      <c r="CD81" s="59">
        <f t="shared" si="2135"/>
        <v>0</v>
      </c>
      <c r="CE81" s="59">
        <f t="shared" si="2135"/>
        <v>0</v>
      </c>
      <c r="CF81" s="59">
        <f>SUM(BT81:BV81)</f>
        <v>0</v>
      </c>
      <c r="CG81" s="59">
        <f>SUM(BW81:BY81)</f>
        <v>82</v>
      </c>
      <c r="CH81" s="59">
        <f>SUM(BZ81:CB81)</f>
        <v>0</v>
      </c>
      <c r="CI81" s="59">
        <f>SUM(CC81:CE81)</f>
        <v>0</v>
      </c>
      <c r="CJ81" s="59">
        <f>SUM(CF81:CI81)</f>
        <v>82</v>
      </c>
      <c r="CK81" s="59"/>
      <c r="CL81" s="59">
        <f t="shared" si="2141"/>
        <v>0</v>
      </c>
      <c r="CM81" s="59">
        <f t="shared" si="2141"/>
        <v>0</v>
      </c>
      <c r="CN81" s="59">
        <f t="shared" si="2141"/>
        <v>0</v>
      </c>
      <c r="CO81" s="59">
        <f t="shared" si="2141"/>
        <v>0</v>
      </c>
      <c r="CP81" s="59">
        <f t="shared" si="2141"/>
        <v>0</v>
      </c>
      <c r="CQ81" s="59">
        <f t="shared" si="2141"/>
        <v>12</v>
      </c>
      <c r="CR81" s="59">
        <f t="shared" si="2141"/>
        <v>12</v>
      </c>
      <c r="CS81" s="59">
        <f t="shared" si="2141"/>
        <v>12</v>
      </c>
      <c r="CT81" s="59">
        <f t="shared" si="2141"/>
        <v>12</v>
      </c>
      <c r="CU81" s="59">
        <f t="shared" si="2141"/>
        <v>12</v>
      </c>
      <c r="CV81" s="59">
        <f t="shared" si="2141"/>
        <v>12</v>
      </c>
      <c r="CW81" s="59">
        <f t="shared" si="2141"/>
        <v>12</v>
      </c>
      <c r="CX81" s="59">
        <f>SUM(CL81:CN81)</f>
        <v>0</v>
      </c>
      <c r="CY81" s="59">
        <f>SUM(CO81:CQ81)</f>
        <v>12</v>
      </c>
      <c r="CZ81" s="59">
        <f>SUM(CR81:CT81)</f>
        <v>36</v>
      </c>
      <c r="DA81" s="59">
        <f>SUM(CU81:CW81)</f>
        <v>36</v>
      </c>
      <c r="DB81" s="59">
        <f>SUM(CX81:DA81)</f>
        <v>84</v>
      </c>
      <c r="DC81" s="59"/>
      <c r="DD81" s="59">
        <f>+BT81+CL81</f>
        <v>0</v>
      </c>
      <c r="DE81" s="59">
        <f t="shared" si="2148"/>
        <v>0</v>
      </c>
      <c r="DF81" s="59">
        <f t="shared" si="2149"/>
        <v>0</v>
      </c>
      <c r="DG81" s="59">
        <f t="shared" si="2150"/>
        <v>41</v>
      </c>
      <c r="DH81" s="59">
        <f t="shared" si="2151"/>
        <v>41</v>
      </c>
      <c r="DI81" s="59">
        <f t="shared" si="2152"/>
        <v>12</v>
      </c>
      <c r="DJ81" s="59">
        <f t="shared" si="2153"/>
        <v>12</v>
      </c>
      <c r="DK81" s="59">
        <f t="shared" si="2154"/>
        <v>12</v>
      </c>
      <c r="DL81" s="59">
        <f t="shared" si="2155"/>
        <v>12</v>
      </c>
      <c r="DM81" s="59">
        <f t="shared" si="2156"/>
        <v>12</v>
      </c>
      <c r="DN81" s="59">
        <f t="shared" si="2157"/>
        <v>12</v>
      </c>
      <c r="DO81" s="59">
        <f t="shared" si="2158"/>
        <v>12</v>
      </c>
      <c r="DP81" s="59">
        <f>SUM(DD81:DF81)</f>
        <v>0</v>
      </c>
      <c r="DQ81" s="59">
        <f>SUM(DG81:DI81)</f>
        <v>94</v>
      </c>
      <c r="DR81" s="59">
        <f>SUM(DJ81:DL81)</f>
        <v>36</v>
      </c>
      <c r="DS81" s="59">
        <f>SUM(DM81:DO81)</f>
        <v>36</v>
      </c>
      <c r="DT81" s="59">
        <f>SUM(DP81:DS81)</f>
        <v>166</v>
      </c>
      <c r="DU81" s="59"/>
      <c r="DV81" s="70">
        <v>0</v>
      </c>
      <c r="DW81" s="70">
        <v>0</v>
      </c>
      <c r="DX81" s="70">
        <v>0</v>
      </c>
      <c r="DY81" s="70">
        <v>25</v>
      </c>
      <c r="DZ81" s="70">
        <v>0</v>
      </c>
      <c r="EA81" s="70">
        <v>0</v>
      </c>
      <c r="EB81" s="70">
        <v>20</v>
      </c>
      <c r="EC81" s="70">
        <f>12000/1000</f>
        <v>12</v>
      </c>
      <c r="ED81" s="59">
        <f t="shared" si="2164"/>
        <v>0</v>
      </c>
      <c r="EE81" s="59">
        <f t="shared" si="2164"/>
        <v>0</v>
      </c>
      <c r="EF81" s="59">
        <f t="shared" si="2164"/>
        <v>0</v>
      </c>
      <c r="EG81" s="59">
        <f t="shared" si="2164"/>
        <v>0</v>
      </c>
      <c r="EH81" s="59">
        <f>SUM(DV81:DX81)</f>
        <v>0</v>
      </c>
      <c r="EI81" s="59">
        <f>SUM(DY81:EA81)</f>
        <v>25</v>
      </c>
      <c r="EJ81" s="59">
        <f>SUM(EB81:ED81)</f>
        <v>32</v>
      </c>
      <c r="EK81" s="59">
        <f>SUM(EE81:EG81)</f>
        <v>0</v>
      </c>
      <c r="EL81" s="59">
        <f>SUM(EH81:EK81)</f>
        <v>57</v>
      </c>
      <c r="EM81" s="59"/>
      <c r="EN81" s="70">
        <v>0</v>
      </c>
      <c r="EO81" s="70">
        <v>0</v>
      </c>
      <c r="EP81" s="70">
        <v>0</v>
      </c>
      <c r="EQ81" s="70">
        <v>0</v>
      </c>
      <c r="ER81" s="70">
        <v>0</v>
      </c>
      <c r="ES81" s="70">
        <v>0</v>
      </c>
      <c r="ET81" s="70">
        <v>0</v>
      </c>
      <c r="EU81" s="70">
        <f>144/12</f>
        <v>12</v>
      </c>
      <c r="EV81" s="70">
        <f t="shared" ref="EV81:EY81" si="2194">144/12</f>
        <v>12</v>
      </c>
      <c r="EW81" s="70">
        <f t="shared" si="2194"/>
        <v>12</v>
      </c>
      <c r="EX81" s="70">
        <f t="shared" si="2194"/>
        <v>12</v>
      </c>
      <c r="EY81" s="70">
        <f t="shared" si="2194"/>
        <v>12</v>
      </c>
      <c r="EZ81" s="59">
        <f>SUM(EN81:EP81)</f>
        <v>0</v>
      </c>
      <c r="FA81" s="59">
        <f>SUM(EQ81:ES81)</f>
        <v>0</v>
      </c>
      <c r="FB81" s="59">
        <f>SUM(ET81:EV81)</f>
        <v>24</v>
      </c>
      <c r="FC81" s="59">
        <f>SUM(EW81:EY81)</f>
        <v>36</v>
      </c>
      <c r="FD81" s="59">
        <f>SUM(EZ81:FC81)</f>
        <v>60</v>
      </c>
      <c r="FE81" s="59"/>
      <c r="FF81" s="59">
        <f>+DV81+EN81</f>
        <v>0</v>
      </c>
      <c r="FG81" s="59">
        <f t="shared" si="2177"/>
        <v>0</v>
      </c>
      <c r="FH81" s="59">
        <f t="shared" si="2178"/>
        <v>0</v>
      </c>
      <c r="FI81" s="59">
        <f t="shared" si="2179"/>
        <v>25</v>
      </c>
      <c r="FJ81" s="59">
        <f t="shared" si="2180"/>
        <v>0</v>
      </c>
      <c r="FK81" s="59">
        <f t="shared" si="2181"/>
        <v>0</v>
      </c>
      <c r="FL81" s="59">
        <f t="shared" si="2182"/>
        <v>20</v>
      </c>
      <c r="FM81" s="59">
        <f t="shared" si="2183"/>
        <v>24</v>
      </c>
      <c r="FN81" s="59">
        <f t="shared" si="2184"/>
        <v>12</v>
      </c>
      <c r="FO81" s="59">
        <f t="shared" si="2185"/>
        <v>12</v>
      </c>
      <c r="FP81" s="59">
        <f t="shared" si="2186"/>
        <v>12</v>
      </c>
      <c r="FQ81" s="59">
        <f t="shared" si="2187"/>
        <v>12</v>
      </c>
      <c r="FR81" s="59">
        <f>SUM(FF81:FH81)</f>
        <v>0</v>
      </c>
      <c r="FS81" s="59">
        <f>SUM(FI81:FK81)</f>
        <v>25</v>
      </c>
      <c r="FT81" s="59">
        <f>SUM(FL81:FN81)</f>
        <v>56</v>
      </c>
      <c r="FU81" s="59">
        <f>SUM(FO81:FQ81)</f>
        <v>36</v>
      </c>
      <c r="FV81" s="59">
        <f>SUM(FR81:FU81)</f>
        <v>117</v>
      </c>
    </row>
    <row r="82" spans="2:178" x14ac:dyDescent="0.2">
      <c r="B82" s="46">
        <f t="shared" si="2193"/>
        <v>4</v>
      </c>
      <c r="C82" s="71" t="s">
        <v>745</v>
      </c>
      <c r="E82" s="13">
        <v>0</v>
      </c>
      <c r="F82" s="13">
        <v>0</v>
      </c>
      <c r="G82" s="17">
        <f>+E82+F82</f>
        <v>0</v>
      </c>
      <c r="H82" s="49" t="s">
        <v>215</v>
      </c>
      <c r="I82" s="49" t="s">
        <v>216</v>
      </c>
      <c r="J82" s="49" t="s">
        <v>217</v>
      </c>
      <c r="K82" s="54">
        <v>2</v>
      </c>
      <c r="L82" s="54">
        <v>12</v>
      </c>
      <c r="M82" s="54">
        <v>2</v>
      </c>
      <c r="N82" s="54">
        <v>6</v>
      </c>
      <c r="O82" s="48">
        <f>+N82+1</f>
        <v>7</v>
      </c>
      <c r="P82" s="48">
        <f>+K82+L82</f>
        <v>14</v>
      </c>
      <c r="R82" s="59">
        <f>IF($N82&lt;R$4,0,IF($N82=R$4,$E82,0))</f>
        <v>0</v>
      </c>
      <c r="S82" s="59">
        <f t="shared" ref="S82:AC88" si="2195">IF($N82&lt;S$4,0,IF($N82=S$4,$E82,0))</f>
        <v>0</v>
      </c>
      <c r="T82" s="59">
        <f t="shared" si="2195"/>
        <v>0</v>
      </c>
      <c r="U82" s="59">
        <f t="shared" si="2195"/>
        <v>0</v>
      </c>
      <c r="V82" s="59">
        <f t="shared" si="2195"/>
        <v>0</v>
      </c>
      <c r="W82" s="59">
        <f t="shared" si="2195"/>
        <v>0</v>
      </c>
      <c r="X82" s="59">
        <f t="shared" si="2195"/>
        <v>0</v>
      </c>
      <c r="Y82" s="59">
        <f t="shared" si="2195"/>
        <v>0</v>
      </c>
      <c r="Z82" s="59">
        <f t="shared" si="2195"/>
        <v>0</v>
      </c>
      <c r="AA82" s="59">
        <f t="shared" si="2195"/>
        <v>0</v>
      </c>
      <c r="AB82" s="59">
        <f t="shared" si="2195"/>
        <v>0</v>
      </c>
      <c r="AC82" s="59">
        <f t="shared" si="2195"/>
        <v>0</v>
      </c>
      <c r="AD82" s="59">
        <f>SUM(R82:T82)</f>
        <v>0</v>
      </c>
      <c r="AE82" s="59">
        <f>SUM(U82:W82)</f>
        <v>0</v>
      </c>
      <c r="AF82" s="59">
        <f>SUM(X82:Z82)</f>
        <v>0</v>
      </c>
      <c r="AG82" s="59">
        <f>SUM(AA82:AC82)</f>
        <v>0</v>
      </c>
      <c r="AH82" s="59">
        <f>SUM(AD82:AG82)</f>
        <v>0</v>
      </c>
      <c r="AI82" s="59"/>
      <c r="AJ82" s="59">
        <f>IF($N82&lt;AJ$4,0,IF($N82=AJ$4,$F82,0))</f>
        <v>0</v>
      </c>
      <c r="AK82" s="59">
        <f t="shared" ref="AK82:AU88" si="2196">IF($N82&lt;AK$4,0,IF($N82=AK$4,$F82,0))</f>
        <v>0</v>
      </c>
      <c r="AL82" s="59">
        <f t="shared" si="2196"/>
        <v>0</v>
      </c>
      <c r="AM82" s="59">
        <f t="shared" si="2196"/>
        <v>0</v>
      </c>
      <c r="AN82" s="59">
        <f t="shared" si="2196"/>
        <v>0</v>
      </c>
      <c r="AO82" s="59">
        <f t="shared" si="2196"/>
        <v>0</v>
      </c>
      <c r="AP82" s="59">
        <f t="shared" si="2196"/>
        <v>0</v>
      </c>
      <c r="AQ82" s="59">
        <f t="shared" si="2196"/>
        <v>0</v>
      </c>
      <c r="AR82" s="59">
        <f t="shared" si="2196"/>
        <v>0</v>
      </c>
      <c r="AS82" s="59">
        <f t="shared" si="2196"/>
        <v>0</v>
      </c>
      <c r="AT82" s="59">
        <f t="shared" si="2196"/>
        <v>0</v>
      </c>
      <c r="AU82" s="59">
        <f t="shared" si="2196"/>
        <v>0</v>
      </c>
      <c r="AV82" s="59">
        <f>SUM(AJ82:AL82)</f>
        <v>0</v>
      </c>
      <c r="AW82" s="59">
        <f>SUM(AM82:AO82)</f>
        <v>0</v>
      </c>
      <c r="AX82" s="59">
        <f>SUM(AP82:AR82)</f>
        <v>0</v>
      </c>
      <c r="AY82" s="59">
        <f>SUM(AS82:AU82)</f>
        <v>0</v>
      </c>
      <c r="AZ82" s="59">
        <f>SUM(AV82:AY82)</f>
        <v>0</v>
      </c>
      <c r="BA82" s="59"/>
      <c r="BB82" s="59">
        <f>+R82+AJ82</f>
        <v>0</v>
      </c>
      <c r="BC82" s="59">
        <f t="shared" ref="BC82:BC86" si="2197">+S82+AK82</f>
        <v>0</v>
      </c>
      <c r="BD82" s="59">
        <f t="shared" ref="BD82:BD86" si="2198">+T82+AL82</f>
        <v>0</v>
      </c>
      <c r="BE82" s="59">
        <f t="shared" ref="BE82:BE86" si="2199">+U82+AM82</f>
        <v>0</v>
      </c>
      <c r="BF82" s="59">
        <f t="shared" ref="BF82:BF86" si="2200">+V82+AN82</f>
        <v>0</v>
      </c>
      <c r="BG82" s="59">
        <f t="shared" ref="BG82:BG86" si="2201">+W82+AO82</f>
        <v>0</v>
      </c>
      <c r="BH82" s="59">
        <f t="shared" ref="BH82:BH86" si="2202">+X82+AP82</f>
        <v>0</v>
      </c>
      <c r="BI82" s="59">
        <f t="shared" ref="BI82:BI86" si="2203">+Y82+AQ82</f>
        <v>0</v>
      </c>
      <c r="BJ82" s="59">
        <f t="shared" ref="BJ82:BJ86" si="2204">+Z82+AR82</f>
        <v>0</v>
      </c>
      <c r="BK82" s="59">
        <f t="shared" ref="BK82:BK86" si="2205">+AA82+AS82</f>
        <v>0</v>
      </c>
      <c r="BL82" s="59">
        <f t="shared" ref="BL82:BL86" si="2206">+AB82+AT82</f>
        <v>0</v>
      </c>
      <c r="BM82" s="59">
        <f t="shared" ref="BM82:BM86" si="2207">+AC82+AU82</f>
        <v>0</v>
      </c>
      <c r="BN82" s="59">
        <f>SUM(BB82:BD82)</f>
        <v>0</v>
      </c>
      <c r="BO82" s="59">
        <f>SUM(BE82:BG82)</f>
        <v>0</v>
      </c>
      <c r="BP82" s="59">
        <f t="shared" ref="BP82:BP86" si="2208">SUM(BH82:BJ82)</f>
        <v>0</v>
      </c>
      <c r="BQ82" s="59">
        <f>SUM(BK82:BM82)</f>
        <v>0</v>
      </c>
      <c r="BR82" s="59">
        <f>SUM(BN82:BQ82)</f>
        <v>0</v>
      </c>
      <c r="BS82" s="59"/>
      <c r="BT82" s="59">
        <f>IF(BT$4&lt;$O82,0,IF(AND(BT$4&gt;=$O82,BT$4&lt;=$K82+$N82),$E82/$K82,0))</f>
        <v>0</v>
      </c>
      <c r="BU82" s="59">
        <f t="shared" ref="BU82:CE88" si="2209">IF(BU$4&lt;$O82,0,IF(AND(BU$4&gt;=$O82,BU$4&lt;=$K82+$N82),$E82/$K82,0))</f>
        <v>0</v>
      </c>
      <c r="BV82" s="59">
        <f t="shared" si="2209"/>
        <v>0</v>
      </c>
      <c r="BW82" s="59">
        <f t="shared" si="2209"/>
        <v>0</v>
      </c>
      <c r="BX82" s="59">
        <f t="shared" si="2209"/>
        <v>0</v>
      </c>
      <c r="BY82" s="59">
        <f t="shared" si="2209"/>
        <v>0</v>
      </c>
      <c r="BZ82" s="59">
        <f t="shared" si="2209"/>
        <v>0</v>
      </c>
      <c r="CA82" s="59">
        <f t="shared" si="2209"/>
        <v>0</v>
      </c>
      <c r="CB82" s="59">
        <f t="shared" si="2209"/>
        <v>0</v>
      </c>
      <c r="CC82" s="59">
        <f t="shared" si="2209"/>
        <v>0</v>
      </c>
      <c r="CD82" s="59">
        <f t="shared" si="2209"/>
        <v>0</v>
      </c>
      <c r="CE82" s="59">
        <f t="shared" si="2209"/>
        <v>0</v>
      </c>
      <c r="CF82" s="59">
        <f>SUM(BT82:BV82)</f>
        <v>0</v>
      </c>
      <c r="CG82" s="59">
        <f>SUM(BW82:BY82)</f>
        <v>0</v>
      </c>
      <c r="CH82" s="59">
        <f>SUM(BZ82:CB82)</f>
        <v>0</v>
      </c>
      <c r="CI82" s="59">
        <f>SUM(CC82:CE82)</f>
        <v>0</v>
      </c>
      <c r="CJ82" s="59">
        <f>SUM(CF82:CI82)</f>
        <v>0</v>
      </c>
      <c r="CK82" s="59"/>
      <c r="CL82" s="59">
        <f t="shared" si="2141"/>
        <v>0</v>
      </c>
      <c r="CM82" s="59">
        <f t="shared" si="2141"/>
        <v>0</v>
      </c>
      <c r="CN82" s="59">
        <f t="shared" si="2141"/>
        <v>0</v>
      </c>
      <c r="CO82" s="59">
        <f t="shared" si="2141"/>
        <v>0</v>
      </c>
      <c r="CP82" s="59">
        <f t="shared" si="2141"/>
        <v>0</v>
      </c>
      <c r="CQ82" s="59">
        <f t="shared" si="2141"/>
        <v>0</v>
      </c>
      <c r="CR82" s="59">
        <f t="shared" si="2141"/>
        <v>0</v>
      </c>
      <c r="CS82" s="59">
        <f t="shared" si="2141"/>
        <v>0</v>
      </c>
      <c r="CT82" s="59">
        <f t="shared" si="2141"/>
        <v>0</v>
      </c>
      <c r="CU82" s="59">
        <f t="shared" si="2141"/>
        <v>0</v>
      </c>
      <c r="CV82" s="59">
        <f t="shared" si="2141"/>
        <v>0</v>
      </c>
      <c r="CW82" s="59">
        <f t="shared" si="2141"/>
        <v>0</v>
      </c>
      <c r="CX82" s="59">
        <f>SUM(CL82:CN82)</f>
        <v>0</v>
      </c>
      <c r="CY82" s="59">
        <f>SUM(CO82:CQ82)</f>
        <v>0</v>
      </c>
      <c r="CZ82" s="59">
        <f>SUM(CR82:CT82)</f>
        <v>0</v>
      </c>
      <c r="DA82" s="59">
        <f>SUM(CU82:CW82)</f>
        <v>0</v>
      </c>
      <c r="DB82" s="59">
        <f>SUM(CX82:DA82)</f>
        <v>0</v>
      </c>
      <c r="DC82" s="59"/>
      <c r="DD82" s="59">
        <f>+BT82+CL82</f>
        <v>0</v>
      </c>
      <c r="DE82" s="59">
        <f t="shared" ref="DE82:DE86" si="2210">+BU82+CM82</f>
        <v>0</v>
      </c>
      <c r="DF82" s="59">
        <f t="shared" ref="DF82:DF86" si="2211">+BV82+CN82</f>
        <v>0</v>
      </c>
      <c r="DG82" s="59">
        <f t="shared" ref="DG82:DG86" si="2212">+BW82+CO82</f>
        <v>0</v>
      </c>
      <c r="DH82" s="59">
        <f t="shared" ref="DH82:DH86" si="2213">+BX82+CP82</f>
        <v>0</v>
      </c>
      <c r="DI82" s="59">
        <f t="shared" ref="DI82:DI86" si="2214">+BY82+CQ82</f>
        <v>0</v>
      </c>
      <c r="DJ82" s="59">
        <f t="shared" ref="DJ82:DJ86" si="2215">+BZ82+CR82</f>
        <v>0</v>
      </c>
      <c r="DK82" s="59">
        <f t="shared" ref="DK82:DK86" si="2216">+CA82+CS82</f>
        <v>0</v>
      </c>
      <c r="DL82" s="59">
        <f t="shared" ref="DL82:DL86" si="2217">+CB82+CT82</f>
        <v>0</v>
      </c>
      <c r="DM82" s="59">
        <f t="shared" ref="DM82:DM86" si="2218">+CC82+CU82</f>
        <v>0</v>
      </c>
      <c r="DN82" s="59">
        <f t="shared" ref="DN82:DN86" si="2219">+CD82+CV82</f>
        <v>0</v>
      </c>
      <c r="DO82" s="59">
        <f t="shared" ref="DO82:DO86" si="2220">+CE82+CW82</f>
        <v>0</v>
      </c>
      <c r="DP82" s="59">
        <f>SUM(DD82:DF82)</f>
        <v>0</v>
      </c>
      <c r="DQ82" s="59">
        <f>SUM(DG82:DI82)</f>
        <v>0</v>
      </c>
      <c r="DR82" s="59">
        <f>SUM(DJ82:DL82)</f>
        <v>0</v>
      </c>
      <c r="DS82" s="59">
        <f>SUM(DM82:DO82)</f>
        <v>0</v>
      </c>
      <c r="DT82" s="59">
        <f>SUM(DP82:DS82)</f>
        <v>0</v>
      </c>
      <c r="DU82" s="59"/>
      <c r="DV82" s="70">
        <v>0</v>
      </c>
      <c r="DW82" s="70">
        <v>0</v>
      </c>
      <c r="DX82" s="70">
        <v>0</v>
      </c>
      <c r="DY82" s="70">
        <v>0</v>
      </c>
      <c r="DZ82" s="70">
        <v>0</v>
      </c>
      <c r="EA82" s="70">
        <v>0</v>
      </c>
      <c r="EB82" s="59">
        <f t="shared" ref="EB82:EG88" si="2221">IF(EB$4&lt;$O82+2,0,IF(AND(EB$4&gt;=$O82+2,EB$4&lt;=$K82+$N82+2),$E82/$K82,0))</f>
        <v>0</v>
      </c>
      <c r="EC82" s="59">
        <f t="shared" si="2221"/>
        <v>0</v>
      </c>
      <c r="ED82" s="59">
        <f t="shared" si="2221"/>
        <v>0</v>
      </c>
      <c r="EE82" s="59">
        <f t="shared" si="2221"/>
        <v>0</v>
      </c>
      <c r="EF82" s="59">
        <f t="shared" si="2221"/>
        <v>0</v>
      </c>
      <c r="EG82" s="59">
        <f t="shared" si="2221"/>
        <v>0</v>
      </c>
      <c r="EH82" s="59">
        <f>SUM(DV82:DX82)</f>
        <v>0</v>
      </c>
      <c r="EI82" s="59">
        <f>SUM(DY82:EA82)</f>
        <v>0</v>
      </c>
      <c r="EJ82" s="59">
        <f>SUM(EB82:ED82)</f>
        <v>0</v>
      </c>
      <c r="EK82" s="59">
        <f>SUM(EE82:EG82)</f>
        <v>0</v>
      </c>
      <c r="EL82" s="59">
        <f>SUM(EH82:EK82)</f>
        <v>0</v>
      </c>
      <c r="EM82" s="59"/>
      <c r="EN82" s="70">
        <v>0</v>
      </c>
      <c r="EO82" s="70">
        <v>0</v>
      </c>
      <c r="EP82" s="70">
        <v>0</v>
      </c>
      <c r="EQ82" s="70">
        <v>0</v>
      </c>
      <c r="ER82" s="70">
        <v>0</v>
      </c>
      <c r="ES82" s="59">
        <f t="shared" ref="ES82:EY88" si="2222">IF(ES$4&lt;$O82+$K82+1,0,IF(AND(ES$4=$O82+$K82+1,ES$4&lt;=$L82+$K82+1),$F82*0.5,IF(AND(ES$4&gt;$O82+$K82+1,ES$4&lt;=$L82+$K82+1),($F82*0.5)/$L82,0)))</f>
        <v>0</v>
      </c>
      <c r="ET82" s="59">
        <f t="shared" si="2222"/>
        <v>0</v>
      </c>
      <c r="EU82" s="59">
        <f t="shared" si="2222"/>
        <v>0</v>
      </c>
      <c r="EV82" s="59">
        <f t="shared" si="2222"/>
        <v>0</v>
      </c>
      <c r="EW82" s="59">
        <f t="shared" si="2222"/>
        <v>0</v>
      </c>
      <c r="EX82" s="59">
        <f t="shared" si="2222"/>
        <v>0</v>
      </c>
      <c r="EY82" s="59">
        <f t="shared" si="2222"/>
        <v>0</v>
      </c>
      <c r="EZ82" s="59">
        <f>SUM(EN82:EP82)</f>
        <v>0</v>
      </c>
      <c r="FA82" s="59">
        <f>SUM(EQ82:ES82)</f>
        <v>0</v>
      </c>
      <c r="FB82" s="59">
        <f>SUM(ET82:EV82)</f>
        <v>0</v>
      </c>
      <c r="FC82" s="59">
        <f>SUM(EW82:EY82)</f>
        <v>0</v>
      </c>
      <c r="FD82" s="59">
        <f>SUM(EZ82:FC82)</f>
        <v>0</v>
      </c>
      <c r="FE82" s="59"/>
      <c r="FF82" s="59">
        <f>+DV82+EN82</f>
        <v>0</v>
      </c>
      <c r="FG82" s="59">
        <f t="shared" ref="FG82:FG86" si="2223">+DW82+EO82</f>
        <v>0</v>
      </c>
      <c r="FH82" s="59">
        <f t="shared" ref="FH82:FH86" si="2224">+DX82+EP82</f>
        <v>0</v>
      </c>
      <c r="FI82" s="59">
        <f t="shared" ref="FI82:FI86" si="2225">+DY82+EQ82</f>
        <v>0</v>
      </c>
      <c r="FJ82" s="59">
        <f t="shared" ref="FJ82:FJ86" si="2226">+DZ82+ER82</f>
        <v>0</v>
      </c>
      <c r="FK82" s="59">
        <f t="shared" ref="FK82:FK86" si="2227">+EA82+ES82</f>
        <v>0</v>
      </c>
      <c r="FL82" s="59">
        <f t="shared" ref="FL82:FL86" si="2228">+EB82+ET82</f>
        <v>0</v>
      </c>
      <c r="FM82" s="59">
        <f t="shared" ref="FM82:FM86" si="2229">+EC82+EU82</f>
        <v>0</v>
      </c>
      <c r="FN82" s="59">
        <f t="shared" ref="FN82:FN86" si="2230">+ED82+EV82</f>
        <v>0</v>
      </c>
      <c r="FO82" s="59">
        <f t="shared" ref="FO82:FO86" si="2231">+EE82+EW82</f>
        <v>0</v>
      </c>
      <c r="FP82" s="59">
        <f t="shared" ref="FP82:FP86" si="2232">+EF82+EX82</f>
        <v>0</v>
      </c>
      <c r="FQ82" s="59">
        <f t="shared" ref="FQ82:FQ86" si="2233">+EG82+EY82</f>
        <v>0</v>
      </c>
      <c r="FR82" s="59">
        <f>SUM(FF82:FH82)</f>
        <v>0</v>
      </c>
      <c r="FS82" s="59">
        <f>SUM(FI82:FK82)</f>
        <v>0</v>
      </c>
      <c r="FT82" s="59">
        <f>SUM(FL82:FN82)</f>
        <v>0</v>
      </c>
      <c r="FU82" s="59">
        <f>SUM(FO82:FQ82)</f>
        <v>0</v>
      </c>
      <c r="FV82" s="59">
        <f>SUM(FR82:FU82)</f>
        <v>0</v>
      </c>
    </row>
    <row r="83" spans="2:178" x14ac:dyDescent="0.2">
      <c r="B83" s="46">
        <f t="shared" si="2193"/>
        <v>5</v>
      </c>
      <c r="C83" s="71" t="s">
        <v>547</v>
      </c>
      <c r="E83" s="13">
        <v>21</v>
      </c>
      <c r="F83" s="13">
        <f>3*12</f>
        <v>36</v>
      </c>
      <c r="G83" s="17">
        <f t="shared" ref="G83:G86" si="2234">+E83+F83</f>
        <v>57</v>
      </c>
      <c r="H83" s="49" t="s">
        <v>215</v>
      </c>
      <c r="I83" s="49" t="s">
        <v>216</v>
      </c>
      <c r="J83" s="49" t="s">
        <v>217</v>
      </c>
      <c r="K83" s="54">
        <v>2</v>
      </c>
      <c r="L83" s="54">
        <v>12</v>
      </c>
      <c r="M83" s="54">
        <v>2</v>
      </c>
      <c r="N83" s="54">
        <v>5</v>
      </c>
      <c r="O83" s="48">
        <f t="shared" ref="O83:O86" si="2235">+N83+1</f>
        <v>6</v>
      </c>
      <c r="P83" s="48">
        <f t="shared" ref="P83:P86" si="2236">+K83+L83</f>
        <v>14</v>
      </c>
      <c r="R83" s="59">
        <f t="shared" ref="R83:R86" si="2237">IF($N83&lt;R$4,0,IF($N83=R$4,$E83,0))</f>
        <v>0</v>
      </c>
      <c r="S83" s="59">
        <f t="shared" si="2195"/>
        <v>0</v>
      </c>
      <c r="T83" s="59">
        <f t="shared" si="2195"/>
        <v>0</v>
      </c>
      <c r="U83" s="59">
        <f t="shared" si="2195"/>
        <v>0</v>
      </c>
      <c r="V83" s="59">
        <f t="shared" si="2195"/>
        <v>21</v>
      </c>
      <c r="W83" s="59">
        <f t="shared" si="2195"/>
        <v>0</v>
      </c>
      <c r="X83" s="59">
        <f t="shared" si="2195"/>
        <v>0</v>
      </c>
      <c r="Y83" s="59">
        <f t="shared" si="2195"/>
        <v>0</v>
      </c>
      <c r="Z83" s="59">
        <f t="shared" si="2195"/>
        <v>0</v>
      </c>
      <c r="AA83" s="59">
        <f t="shared" si="2195"/>
        <v>0</v>
      </c>
      <c r="AB83" s="59">
        <f t="shared" si="2195"/>
        <v>0</v>
      </c>
      <c r="AC83" s="59">
        <f t="shared" si="2195"/>
        <v>0</v>
      </c>
      <c r="AD83" s="59">
        <f t="shared" ref="AD83:AD86" si="2238">SUM(R83:T83)</f>
        <v>0</v>
      </c>
      <c r="AE83" s="59">
        <f t="shared" ref="AE83:AE86" si="2239">SUM(U83:W83)</f>
        <v>21</v>
      </c>
      <c r="AF83" s="59">
        <f t="shared" ref="AF83:AF86" si="2240">SUM(X83:Z83)</f>
        <v>0</v>
      </c>
      <c r="AG83" s="59">
        <f t="shared" ref="AG83:AG86" si="2241">SUM(AA83:AC83)</f>
        <v>0</v>
      </c>
      <c r="AH83" s="59">
        <f t="shared" ref="AH83:AH86" si="2242">SUM(AD83:AG83)</f>
        <v>21</v>
      </c>
      <c r="AI83" s="59"/>
      <c r="AJ83" s="59">
        <f t="shared" ref="AJ83:AJ86" si="2243">IF($N83&lt;AJ$4,0,IF($N83=AJ$4,$F83,0))</f>
        <v>0</v>
      </c>
      <c r="AK83" s="59">
        <f t="shared" si="2196"/>
        <v>0</v>
      </c>
      <c r="AL83" s="59">
        <f t="shared" si="2196"/>
        <v>0</v>
      </c>
      <c r="AM83" s="59">
        <f t="shared" si="2196"/>
        <v>0</v>
      </c>
      <c r="AN83" s="59">
        <f t="shared" si="2196"/>
        <v>36</v>
      </c>
      <c r="AO83" s="59">
        <f t="shared" si="2196"/>
        <v>0</v>
      </c>
      <c r="AP83" s="59">
        <f t="shared" si="2196"/>
        <v>0</v>
      </c>
      <c r="AQ83" s="59">
        <f t="shared" si="2196"/>
        <v>0</v>
      </c>
      <c r="AR83" s="59">
        <f t="shared" si="2196"/>
        <v>0</v>
      </c>
      <c r="AS83" s="59">
        <f t="shared" si="2196"/>
        <v>0</v>
      </c>
      <c r="AT83" s="59">
        <f t="shared" si="2196"/>
        <v>0</v>
      </c>
      <c r="AU83" s="59">
        <f t="shared" si="2196"/>
        <v>0</v>
      </c>
      <c r="AV83" s="59">
        <f t="shared" ref="AV83:AV86" si="2244">SUM(AJ83:AL83)</f>
        <v>0</v>
      </c>
      <c r="AW83" s="59">
        <f t="shared" ref="AW83:AW86" si="2245">SUM(AM83:AO83)</f>
        <v>36</v>
      </c>
      <c r="AX83" s="59">
        <f t="shared" ref="AX83:AX86" si="2246">SUM(AP83:AR83)</f>
        <v>0</v>
      </c>
      <c r="AY83" s="59">
        <f t="shared" ref="AY83:AY86" si="2247">SUM(AS83:AU83)</f>
        <v>0</v>
      </c>
      <c r="AZ83" s="59">
        <f t="shared" ref="AZ83:AZ86" si="2248">SUM(AV83:AY83)</f>
        <v>36</v>
      </c>
      <c r="BA83" s="59"/>
      <c r="BB83" s="59">
        <f t="shared" ref="BB83:BB86" si="2249">+R83+AJ83</f>
        <v>0</v>
      </c>
      <c r="BC83" s="59">
        <f t="shared" si="2197"/>
        <v>0</v>
      </c>
      <c r="BD83" s="59">
        <f t="shared" si="2198"/>
        <v>0</v>
      </c>
      <c r="BE83" s="59">
        <f t="shared" si="2199"/>
        <v>0</v>
      </c>
      <c r="BF83" s="59">
        <f t="shared" si="2200"/>
        <v>57</v>
      </c>
      <c r="BG83" s="59">
        <f t="shared" si="2201"/>
        <v>0</v>
      </c>
      <c r="BH83" s="59">
        <f t="shared" si="2202"/>
        <v>0</v>
      </c>
      <c r="BI83" s="59">
        <f t="shared" si="2203"/>
        <v>0</v>
      </c>
      <c r="BJ83" s="59">
        <f t="shared" si="2204"/>
        <v>0</v>
      </c>
      <c r="BK83" s="59">
        <f t="shared" si="2205"/>
        <v>0</v>
      </c>
      <c r="BL83" s="59">
        <f t="shared" si="2206"/>
        <v>0</v>
      </c>
      <c r="BM83" s="59">
        <f t="shared" si="2207"/>
        <v>0</v>
      </c>
      <c r="BN83" s="59">
        <f t="shared" ref="BN83:BN86" si="2250">SUM(BB83:BD83)</f>
        <v>0</v>
      </c>
      <c r="BO83" s="59">
        <f t="shared" ref="BO83:BO86" si="2251">SUM(BE83:BG83)</f>
        <v>57</v>
      </c>
      <c r="BP83" s="59">
        <f t="shared" si="2208"/>
        <v>0</v>
      </c>
      <c r="BQ83" s="59">
        <f t="shared" ref="BQ83:BQ86" si="2252">SUM(BK83:BM83)</f>
        <v>0</v>
      </c>
      <c r="BR83" s="59">
        <f t="shared" ref="BR83:BR86" si="2253">SUM(BN83:BQ83)</f>
        <v>57</v>
      </c>
      <c r="BS83" s="59"/>
      <c r="BT83" s="59">
        <f t="shared" ref="BT83:BT86" si="2254">IF(BT$4&lt;$O83,0,IF(AND(BT$4&gt;=$O83,BT$4&lt;=$K83+$N83),$E83/$K83,0))</f>
        <v>0</v>
      </c>
      <c r="BU83" s="59">
        <f t="shared" si="2209"/>
        <v>0</v>
      </c>
      <c r="BV83" s="59">
        <f t="shared" si="2209"/>
        <v>0</v>
      </c>
      <c r="BW83" s="59">
        <f t="shared" si="2209"/>
        <v>0</v>
      </c>
      <c r="BX83" s="59">
        <f t="shared" si="2209"/>
        <v>0</v>
      </c>
      <c r="BY83" s="59">
        <f t="shared" si="2209"/>
        <v>10.5</v>
      </c>
      <c r="BZ83" s="59">
        <f t="shared" si="2209"/>
        <v>10.5</v>
      </c>
      <c r="CA83" s="59">
        <f t="shared" si="2209"/>
        <v>0</v>
      </c>
      <c r="CB83" s="59">
        <f t="shared" si="2209"/>
        <v>0</v>
      </c>
      <c r="CC83" s="59">
        <f t="shared" si="2209"/>
        <v>0</v>
      </c>
      <c r="CD83" s="59">
        <f t="shared" si="2209"/>
        <v>0</v>
      </c>
      <c r="CE83" s="59">
        <f t="shared" si="2209"/>
        <v>0</v>
      </c>
      <c r="CF83" s="59">
        <f t="shared" ref="CF83:CF86" si="2255">SUM(BT83:BV83)</f>
        <v>0</v>
      </c>
      <c r="CG83" s="59">
        <f t="shared" ref="CG83:CG86" si="2256">SUM(BW83:BY83)</f>
        <v>10.5</v>
      </c>
      <c r="CH83" s="59">
        <f t="shared" ref="CH83:CH86" si="2257">SUM(BZ83:CB83)</f>
        <v>10.5</v>
      </c>
      <c r="CI83" s="59">
        <f t="shared" ref="CI83:CI86" si="2258">SUM(CC83:CE83)</f>
        <v>0</v>
      </c>
      <c r="CJ83" s="59">
        <f t="shared" ref="CJ83:CJ86" si="2259">SUM(CF83:CI83)</f>
        <v>21</v>
      </c>
      <c r="CK83" s="59"/>
      <c r="CL83" s="59">
        <f t="shared" si="2141"/>
        <v>0</v>
      </c>
      <c r="CM83" s="59">
        <f t="shared" si="2141"/>
        <v>0</v>
      </c>
      <c r="CN83" s="59">
        <f t="shared" si="2141"/>
        <v>0</v>
      </c>
      <c r="CO83" s="59">
        <f t="shared" si="2141"/>
        <v>0</v>
      </c>
      <c r="CP83" s="59">
        <f t="shared" si="2141"/>
        <v>0</v>
      </c>
      <c r="CQ83" s="59">
        <f t="shared" si="2141"/>
        <v>0</v>
      </c>
      <c r="CR83" s="59">
        <f t="shared" si="2141"/>
        <v>0</v>
      </c>
      <c r="CS83" s="59">
        <f t="shared" si="2141"/>
        <v>3</v>
      </c>
      <c r="CT83" s="59">
        <f t="shared" si="2141"/>
        <v>3</v>
      </c>
      <c r="CU83" s="59">
        <f t="shared" si="2141"/>
        <v>3</v>
      </c>
      <c r="CV83" s="59">
        <f t="shared" si="2141"/>
        <v>3</v>
      </c>
      <c r="CW83" s="59">
        <f t="shared" si="2141"/>
        <v>3</v>
      </c>
      <c r="CX83" s="59">
        <f t="shared" ref="CX83:CX86" si="2260">SUM(CL83:CN83)</f>
        <v>0</v>
      </c>
      <c r="CY83" s="59">
        <f t="shared" ref="CY83:CY86" si="2261">SUM(CO83:CQ83)</f>
        <v>0</v>
      </c>
      <c r="CZ83" s="59">
        <f t="shared" ref="CZ83:CZ86" si="2262">SUM(CR83:CT83)</f>
        <v>6</v>
      </c>
      <c r="DA83" s="59">
        <f t="shared" ref="DA83:DA86" si="2263">SUM(CU83:CW83)</f>
        <v>9</v>
      </c>
      <c r="DB83" s="59">
        <f t="shared" ref="DB83:DB86" si="2264">SUM(CX83:DA83)</f>
        <v>15</v>
      </c>
      <c r="DC83" s="59"/>
      <c r="DD83" s="59">
        <f t="shared" ref="DD83:DD86" si="2265">+BT83+CL83</f>
        <v>0</v>
      </c>
      <c r="DE83" s="59">
        <f t="shared" si="2210"/>
        <v>0</v>
      </c>
      <c r="DF83" s="59">
        <f t="shared" si="2211"/>
        <v>0</v>
      </c>
      <c r="DG83" s="59">
        <f t="shared" si="2212"/>
        <v>0</v>
      </c>
      <c r="DH83" s="59">
        <f t="shared" si="2213"/>
        <v>0</v>
      </c>
      <c r="DI83" s="59">
        <f t="shared" si="2214"/>
        <v>10.5</v>
      </c>
      <c r="DJ83" s="59">
        <f t="shared" si="2215"/>
        <v>10.5</v>
      </c>
      <c r="DK83" s="59">
        <f t="shared" si="2216"/>
        <v>3</v>
      </c>
      <c r="DL83" s="59">
        <f t="shared" si="2217"/>
        <v>3</v>
      </c>
      <c r="DM83" s="59">
        <f t="shared" si="2218"/>
        <v>3</v>
      </c>
      <c r="DN83" s="59">
        <f t="shared" si="2219"/>
        <v>3</v>
      </c>
      <c r="DO83" s="59">
        <f t="shared" si="2220"/>
        <v>3</v>
      </c>
      <c r="DP83" s="59">
        <f t="shared" ref="DP83:DP86" si="2266">SUM(DD83:DF83)</f>
        <v>0</v>
      </c>
      <c r="DQ83" s="59">
        <f t="shared" ref="DQ83:DQ86" si="2267">SUM(DG83:DI83)</f>
        <v>10.5</v>
      </c>
      <c r="DR83" s="59">
        <f t="shared" ref="DR83:DR86" si="2268">SUM(DJ83:DL83)</f>
        <v>16.5</v>
      </c>
      <c r="DS83" s="59">
        <f t="shared" ref="DS83:DS86" si="2269">SUM(DM83:DO83)</f>
        <v>9</v>
      </c>
      <c r="DT83" s="59">
        <f t="shared" ref="DT83:DT86" si="2270">SUM(DP83:DS83)</f>
        <v>36</v>
      </c>
      <c r="DU83" s="59"/>
      <c r="DV83" s="70">
        <v>0</v>
      </c>
      <c r="DW83" s="70">
        <v>0</v>
      </c>
      <c r="DX83" s="70">
        <v>0</v>
      </c>
      <c r="DY83" s="70">
        <v>0</v>
      </c>
      <c r="DZ83" s="70">
        <v>0</v>
      </c>
      <c r="EA83" s="70">
        <v>0</v>
      </c>
      <c r="EB83" s="59">
        <f t="shared" si="2221"/>
        <v>0</v>
      </c>
      <c r="EC83" s="59">
        <f t="shared" si="2221"/>
        <v>10.5</v>
      </c>
      <c r="ED83" s="59">
        <f t="shared" si="2221"/>
        <v>10.5</v>
      </c>
      <c r="EE83" s="59">
        <f t="shared" si="2221"/>
        <v>0</v>
      </c>
      <c r="EF83" s="59">
        <f t="shared" si="2221"/>
        <v>0</v>
      </c>
      <c r="EG83" s="59">
        <f t="shared" si="2221"/>
        <v>0</v>
      </c>
      <c r="EH83" s="59">
        <f t="shared" ref="EH83:EH86" si="2271">SUM(DV83:DX83)</f>
        <v>0</v>
      </c>
      <c r="EI83" s="59">
        <f t="shared" ref="EI83:EI86" si="2272">SUM(DY83:EA83)</f>
        <v>0</v>
      </c>
      <c r="EJ83" s="59">
        <f t="shared" ref="EJ83:EJ86" si="2273">SUM(EB83:ED83)</f>
        <v>21</v>
      </c>
      <c r="EK83" s="59">
        <f t="shared" ref="EK83:EK86" si="2274">SUM(EE83:EG83)</f>
        <v>0</v>
      </c>
      <c r="EL83" s="59">
        <f t="shared" ref="EL83:EL86" si="2275">SUM(EH83:EK83)</f>
        <v>21</v>
      </c>
      <c r="EM83" s="59"/>
      <c r="EN83" s="70">
        <v>0</v>
      </c>
      <c r="EO83" s="70">
        <v>0</v>
      </c>
      <c r="EP83" s="70">
        <v>0</v>
      </c>
      <c r="EQ83" s="70">
        <v>0</v>
      </c>
      <c r="ER83" s="70">
        <v>0</v>
      </c>
      <c r="ES83" s="59">
        <f t="shared" si="2222"/>
        <v>0</v>
      </c>
      <c r="ET83" s="59">
        <f t="shared" si="2222"/>
        <v>0</v>
      </c>
      <c r="EU83" s="59">
        <f t="shared" si="2222"/>
        <v>0</v>
      </c>
      <c r="EV83" s="59">
        <f t="shared" si="2222"/>
        <v>18</v>
      </c>
      <c r="EW83" s="59">
        <f t="shared" si="2222"/>
        <v>1.5</v>
      </c>
      <c r="EX83" s="59">
        <f t="shared" si="2222"/>
        <v>1.5</v>
      </c>
      <c r="EY83" s="59">
        <f t="shared" si="2222"/>
        <v>1.5</v>
      </c>
      <c r="EZ83" s="59">
        <f t="shared" ref="EZ83:EZ86" si="2276">SUM(EN83:EP83)</f>
        <v>0</v>
      </c>
      <c r="FA83" s="59">
        <f t="shared" ref="FA83:FA86" si="2277">SUM(EQ83:ES83)</f>
        <v>0</v>
      </c>
      <c r="FB83" s="59">
        <f t="shared" ref="FB83:FB86" si="2278">SUM(ET83:EV83)</f>
        <v>18</v>
      </c>
      <c r="FC83" s="59">
        <f t="shared" ref="FC83:FC86" si="2279">SUM(EW83:EY83)</f>
        <v>4.5</v>
      </c>
      <c r="FD83" s="59">
        <f t="shared" ref="FD83:FD86" si="2280">SUM(EZ83:FC83)</f>
        <v>22.5</v>
      </c>
      <c r="FE83" s="59"/>
      <c r="FF83" s="59">
        <f t="shared" ref="FF83:FF86" si="2281">+DV83+EN83</f>
        <v>0</v>
      </c>
      <c r="FG83" s="59">
        <f t="shared" si="2223"/>
        <v>0</v>
      </c>
      <c r="FH83" s="59">
        <f t="shared" si="2224"/>
        <v>0</v>
      </c>
      <c r="FI83" s="59">
        <f t="shared" si="2225"/>
        <v>0</v>
      </c>
      <c r="FJ83" s="59">
        <f t="shared" si="2226"/>
        <v>0</v>
      </c>
      <c r="FK83" s="59">
        <f t="shared" si="2227"/>
        <v>0</v>
      </c>
      <c r="FL83" s="59">
        <f t="shared" si="2228"/>
        <v>0</v>
      </c>
      <c r="FM83" s="59">
        <f t="shared" si="2229"/>
        <v>10.5</v>
      </c>
      <c r="FN83" s="59">
        <f t="shared" si="2230"/>
        <v>28.5</v>
      </c>
      <c r="FO83" s="59">
        <f t="shared" si="2231"/>
        <v>1.5</v>
      </c>
      <c r="FP83" s="59">
        <f t="shared" si="2232"/>
        <v>1.5</v>
      </c>
      <c r="FQ83" s="59">
        <f t="shared" si="2233"/>
        <v>1.5</v>
      </c>
      <c r="FR83" s="59">
        <f t="shared" ref="FR83:FR86" si="2282">SUM(FF83:FH83)</f>
        <v>0</v>
      </c>
      <c r="FS83" s="59">
        <f t="shared" ref="FS83:FS86" si="2283">SUM(FI83:FK83)</f>
        <v>0</v>
      </c>
      <c r="FT83" s="59">
        <f t="shared" ref="FT83:FT86" si="2284">SUM(FL83:FN83)</f>
        <v>39</v>
      </c>
      <c r="FU83" s="59">
        <f t="shared" ref="FU83:FU86" si="2285">SUM(FO83:FQ83)</f>
        <v>4.5</v>
      </c>
      <c r="FV83" s="59">
        <f t="shared" ref="FV83:FV86" si="2286">SUM(FR83:FU83)</f>
        <v>43.5</v>
      </c>
    </row>
    <row r="84" spans="2:178" x14ac:dyDescent="0.2">
      <c r="B84" s="46">
        <f t="shared" si="2193"/>
        <v>6</v>
      </c>
      <c r="C84" s="71" t="s">
        <v>548</v>
      </c>
      <c r="E84" s="13">
        <v>50</v>
      </c>
      <c r="F84" s="13">
        <v>30</v>
      </c>
      <c r="G84" s="17">
        <f t="shared" si="2234"/>
        <v>80</v>
      </c>
      <c r="H84" s="49" t="s">
        <v>215</v>
      </c>
      <c r="I84" s="49" t="s">
        <v>216</v>
      </c>
      <c r="J84" s="49" t="s">
        <v>217</v>
      </c>
      <c r="K84" s="54">
        <v>2</v>
      </c>
      <c r="L84" s="54">
        <v>12</v>
      </c>
      <c r="M84" s="54">
        <v>4</v>
      </c>
      <c r="N84" s="54">
        <v>6</v>
      </c>
      <c r="O84" s="48">
        <f t="shared" si="2235"/>
        <v>7</v>
      </c>
      <c r="P84" s="48">
        <f t="shared" si="2236"/>
        <v>14</v>
      </c>
      <c r="R84" s="59">
        <f t="shared" si="2237"/>
        <v>0</v>
      </c>
      <c r="S84" s="59">
        <f t="shared" si="2195"/>
        <v>0</v>
      </c>
      <c r="T84" s="59">
        <f t="shared" si="2195"/>
        <v>0</v>
      </c>
      <c r="U84" s="59">
        <f t="shared" si="2195"/>
        <v>0</v>
      </c>
      <c r="V84" s="59">
        <f t="shared" si="2195"/>
        <v>0</v>
      </c>
      <c r="W84" s="59">
        <f t="shared" si="2195"/>
        <v>50</v>
      </c>
      <c r="X84" s="59">
        <f t="shared" si="2195"/>
        <v>0</v>
      </c>
      <c r="Y84" s="59">
        <f t="shared" si="2195"/>
        <v>0</v>
      </c>
      <c r="Z84" s="59">
        <f t="shared" si="2195"/>
        <v>0</v>
      </c>
      <c r="AA84" s="59">
        <f t="shared" si="2195"/>
        <v>0</v>
      </c>
      <c r="AB84" s="59">
        <f t="shared" si="2195"/>
        <v>0</v>
      </c>
      <c r="AC84" s="59">
        <f t="shared" si="2195"/>
        <v>0</v>
      </c>
      <c r="AD84" s="59">
        <f t="shared" si="2238"/>
        <v>0</v>
      </c>
      <c r="AE84" s="59">
        <f t="shared" si="2239"/>
        <v>50</v>
      </c>
      <c r="AF84" s="59">
        <f t="shared" si="2240"/>
        <v>0</v>
      </c>
      <c r="AG84" s="59">
        <f t="shared" si="2241"/>
        <v>0</v>
      </c>
      <c r="AH84" s="59">
        <f t="shared" si="2242"/>
        <v>50</v>
      </c>
      <c r="AI84" s="59"/>
      <c r="AJ84" s="59">
        <f t="shared" si="2243"/>
        <v>0</v>
      </c>
      <c r="AK84" s="59">
        <f t="shared" si="2196"/>
        <v>0</v>
      </c>
      <c r="AL84" s="59">
        <f t="shared" si="2196"/>
        <v>0</v>
      </c>
      <c r="AM84" s="59">
        <f t="shared" si="2196"/>
        <v>0</v>
      </c>
      <c r="AN84" s="59">
        <f t="shared" si="2196"/>
        <v>0</v>
      </c>
      <c r="AO84" s="59">
        <f t="shared" si="2196"/>
        <v>30</v>
      </c>
      <c r="AP84" s="59">
        <f t="shared" si="2196"/>
        <v>0</v>
      </c>
      <c r="AQ84" s="59">
        <f t="shared" si="2196"/>
        <v>0</v>
      </c>
      <c r="AR84" s="59">
        <f t="shared" si="2196"/>
        <v>0</v>
      </c>
      <c r="AS84" s="59">
        <f t="shared" si="2196"/>
        <v>0</v>
      </c>
      <c r="AT84" s="59">
        <f t="shared" si="2196"/>
        <v>0</v>
      </c>
      <c r="AU84" s="59">
        <f t="shared" si="2196"/>
        <v>0</v>
      </c>
      <c r="AV84" s="59">
        <f t="shared" si="2244"/>
        <v>0</v>
      </c>
      <c r="AW84" s="59">
        <f t="shared" si="2245"/>
        <v>30</v>
      </c>
      <c r="AX84" s="59">
        <f t="shared" si="2246"/>
        <v>0</v>
      </c>
      <c r="AY84" s="59">
        <f t="shared" si="2247"/>
        <v>0</v>
      </c>
      <c r="AZ84" s="59">
        <f t="shared" si="2248"/>
        <v>30</v>
      </c>
      <c r="BA84" s="59"/>
      <c r="BB84" s="59">
        <f t="shared" si="2249"/>
        <v>0</v>
      </c>
      <c r="BC84" s="59">
        <f t="shared" si="2197"/>
        <v>0</v>
      </c>
      <c r="BD84" s="59">
        <f t="shared" si="2198"/>
        <v>0</v>
      </c>
      <c r="BE84" s="59">
        <f t="shared" si="2199"/>
        <v>0</v>
      </c>
      <c r="BF84" s="59">
        <f t="shared" si="2200"/>
        <v>0</v>
      </c>
      <c r="BG84" s="59">
        <f t="shared" si="2201"/>
        <v>80</v>
      </c>
      <c r="BH84" s="59">
        <f t="shared" si="2202"/>
        <v>0</v>
      </c>
      <c r="BI84" s="59">
        <f t="shared" si="2203"/>
        <v>0</v>
      </c>
      <c r="BJ84" s="59">
        <f t="shared" si="2204"/>
        <v>0</v>
      </c>
      <c r="BK84" s="59">
        <f t="shared" si="2205"/>
        <v>0</v>
      </c>
      <c r="BL84" s="59">
        <f t="shared" si="2206"/>
        <v>0</v>
      </c>
      <c r="BM84" s="59">
        <f t="shared" si="2207"/>
        <v>0</v>
      </c>
      <c r="BN84" s="59">
        <f t="shared" si="2250"/>
        <v>0</v>
      </c>
      <c r="BO84" s="59">
        <f t="shared" si="2251"/>
        <v>80</v>
      </c>
      <c r="BP84" s="59">
        <f t="shared" si="2208"/>
        <v>0</v>
      </c>
      <c r="BQ84" s="59">
        <f t="shared" si="2252"/>
        <v>0</v>
      </c>
      <c r="BR84" s="59">
        <f t="shared" si="2253"/>
        <v>80</v>
      </c>
      <c r="BS84" s="59"/>
      <c r="BT84" s="59">
        <f t="shared" si="2254"/>
        <v>0</v>
      </c>
      <c r="BU84" s="59">
        <f t="shared" si="2209"/>
        <v>0</v>
      </c>
      <c r="BV84" s="59">
        <f t="shared" si="2209"/>
        <v>0</v>
      </c>
      <c r="BW84" s="59">
        <f t="shared" si="2209"/>
        <v>0</v>
      </c>
      <c r="BX84" s="59">
        <f t="shared" si="2209"/>
        <v>0</v>
      </c>
      <c r="BY84" s="59">
        <f t="shared" si="2209"/>
        <v>0</v>
      </c>
      <c r="BZ84" s="59">
        <f t="shared" si="2209"/>
        <v>25</v>
      </c>
      <c r="CA84" s="59">
        <f t="shared" si="2209"/>
        <v>25</v>
      </c>
      <c r="CB84" s="59">
        <f t="shared" si="2209"/>
        <v>0</v>
      </c>
      <c r="CC84" s="59">
        <f t="shared" si="2209"/>
        <v>0</v>
      </c>
      <c r="CD84" s="59">
        <f t="shared" si="2209"/>
        <v>0</v>
      </c>
      <c r="CE84" s="59">
        <f t="shared" si="2209"/>
        <v>0</v>
      </c>
      <c r="CF84" s="59">
        <f t="shared" si="2255"/>
        <v>0</v>
      </c>
      <c r="CG84" s="59">
        <f t="shared" si="2256"/>
        <v>0</v>
      </c>
      <c r="CH84" s="59">
        <f t="shared" si="2257"/>
        <v>50</v>
      </c>
      <c r="CI84" s="59">
        <f t="shared" si="2258"/>
        <v>0</v>
      </c>
      <c r="CJ84" s="59">
        <f t="shared" si="2259"/>
        <v>50</v>
      </c>
      <c r="CK84" s="59"/>
      <c r="CL84" s="59">
        <f t="shared" si="2141"/>
        <v>0</v>
      </c>
      <c r="CM84" s="59">
        <f t="shared" si="2141"/>
        <v>0</v>
      </c>
      <c r="CN84" s="59">
        <f t="shared" si="2141"/>
        <v>0</v>
      </c>
      <c r="CO84" s="59">
        <f t="shared" si="2141"/>
        <v>0</v>
      </c>
      <c r="CP84" s="59">
        <f t="shared" si="2141"/>
        <v>0</v>
      </c>
      <c r="CQ84" s="59">
        <f t="shared" si="2141"/>
        <v>0</v>
      </c>
      <c r="CR84" s="59">
        <f t="shared" si="2141"/>
        <v>0</v>
      </c>
      <c r="CS84" s="59">
        <f t="shared" si="2141"/>
        <v>0</v>
      </c>
      <c r="CT84" s="59">
        <f t="shared" si="2141"/>
        <v>2.5</v>
      </c>
      <c r="CU84" s="59">
        <f t="shared" si="2141"/>
        <v>2.5</v>
      </c>
      <c r="CV84" s="59">
        <f t="shared" si="2141"/>
        <v>2.5</v>
      </c>
      <c r="CW84" s="59">
        <f t="shared" si="2141"/>
        <v>2.5</v>
      </c>
      <c r="CX84" s="59">
        <f t="shared" si="2260"/>
        <v>0</v>
      </c>
      <c r="CY84" s="59">
        <f t="shared" si="2261"/>
        <v>0</v>
      </c>
      <c r="CZ84" s="59">
        <f t="shared" si="2262"/>
        <v>2.5</v>
      </c>
      <c r="DA84" s="59">
        <f t="shared" si="2263"/>
        <v>7.5</v>
      </c>
      <c r="DB84" s="59">
        <f t="shared" si="2264"/>
        <v>10</v>
      </c>
      <c r="DC84" s="59"/>
      <c r="DD84" s="59">
        <f t="shared" si="2265"/>
        <v>0</v>
      </c>
      <c r="DE84" s="59">
        <f t="shared" si="2210"/>
        <v>0</v>
      </c>
      <c r="DF84" s="59">
        <f t="shared" si="2211"/>
        <v>0</v>
      </c>
      <c r="DG84" s="59">
        <f t="shared" si="2212"/>
        <v>0</v>
      </c>
      <c r="DH84" s="59">
        <f t="shared" si="2213"/>
        <v>0</v>
      </c>
      <c r="DI84" s="59">
        <f t="shared" si="2214"/>
        <v>0</v>
      </c>
      <c r="DJ84" s="59">
        <f t="shared" si="2215"/>
        <v>25</v>
      </c>
      <c r="DK84" s="59">
        <f t="shared" si="2216"/>
        <v>25</v>
      </c>
      <c r="DL84" s="59">
        <f t="shared" si="2217"/>
        <v>2.5</v>
      </c>
      <c r="DM84" s="59">
        <f t="shared" si="2218"/>
        <v>2.5</v>
      </c>
      <c r="DN84" s="59">
        <f t="shared" si="2219"/>
        <v>2.5</v>
      </c>
      <c r="DO84" s="59">
        <f t="shared" si="2220"/>
        <v>2.5</v>
      </c>
      <c r="DP84" s="59">
        <f t="shared" si="2266"/>
        <v>0</v>
      </c>
      <c r="DQ84" s="59">
        <f t="shared" si="2267"/>
        <v>0</v>
      </c>
      <c r="DR84" s="59">
        <f t="shared" si="2268"/>
        <v>52.5</v>
      </c>
      <c r="DS84" s="59">
        <f t="shared" si="2269"/>
        <v>7.5</v>
      </c>
      <c r="DT84" s="59">
        <f t="shared" si="2270"/>
        <v>60</v>
      </c>
      <c r="DU84" s="59"/>
      <c r="DV84" s="70">
        <v>0</v>
      </c>
      <c r="DW84" s="70">
        <v>0</v>
      </c>
      <c r="DX84" s="70">
        <v>0</v>
      </c>
      <c r="DY84" s="70">
        <v>0</v>
      </c>
      <c r="DZ84" s="70">
        <v>0</v>
      </c>
      <c r="EA84" s="70">
        <v>0</v>
      </c>
      <c r="EB84" s="59">
        <f t="shared" si="2221"/>
        <v>0</v>
      </c>
      <c r="EC84" s="59">
        <f t="shared" si="2221"/>
        <v>0</v>
      </c>
      <c r="ED84" s="59">
        <f t="shared" si="2221"/>
        <v>25</v>
      </c>
      <c r="EE84" s="59">
        <f t="shared" si="2221"/>
        <v>25</v>
      </c>
      <c r="EF84" s="59">
        <f t="shared" si="2221"/>
        <v>0</v>
      </c>
      <c r="EG84" s="59">
        <f t="shared" si="2221"/>
        <v>0</v>
      </c>
      <c r="EH84" s="59">
        <f t="shared" si="2271"/>
        <v>0</v>
      </c>
      <c r="EI84" s="59">
        <f t="shared" si="2272"/>
        <v>0</v>
      </c>
      <c r="EJ84" s="59">
        <f t="shared" si="2273"/>
        <v>25</v>
      </c>
      <c r="EK84" s="59">
        <f t="shared" si="2274"/>
        <v>25</v>
      </c>
      <c r="EL84" s="59">
        <f t="shared" si="2275"/>
        <v>50</v>
      </c>
      <c r="EM84" s="59"/>
      <c r="EN84" s="70">
        <v>0</v>
      </c>
      <c r="EO84" s="70">
        <v>0</v>
      </c>
      <c r="EP84" s="70">
        <v>0</v>
      </c>
      <c r="EQ84" s="70">
        <v>0</v>
      </c>
      <c r="ER84" s="70">
        <v>0</v>
      </c>
      <c r="ES84" s="59">
        <f t="shared" si="2222"/>
        <v>0</v>
      </c>
      <c r="ET84" s="59">
        <f t="shared" si="2222"/>
        <v>0</v>
      </c>
      <c r="EU84" s="59">
        <f t="shared" si="2222"/>
        <v>0</v>
      </c>
      <c r="EV84" s="59">
        <f t="shared" si="2222"/>
        <v>0</v>
      </c>
      <c r="EW84" s="59">
        <f t="shared" si="2222"/>
        <v>15</v>
      </c>
      <c r="EX84" s="59">
        <f t="shared" si="2222"/>
        <v>1.25</v>
      </c>
      <c r="EY84" s="59">
        <f t="shared" si="2222"/>
        <v>1.25</v>
      </c>
      <c r="EZ84" s="59">
        <f t="shared" si="2276"/>
        <v>0</v>
      </c>
      <c r="FA84" s="59">
        <f t="shared" si="2277"/>
        <v>0</v>
      </c>
      <c r="FB84" s="59">
        <f t="shared" si="2278"/>
        <v>0</v>
      </c>
      <c r="FC84" s="59">
        <f t="shared" si="2279"/>
        <v>17.5</v>
      </c>
      <c r="FD84" s="59">
        <f t="shared" si="2280"/>
        <v>17.5</v>
      </c>
      <c r="FE84" s="59"/>
      <c r="FF84" s="59">
        <f t="shared" si="2281"/>
        <v>0</v>
      </c>
      <c r="FG84" s="59">
        <f t="shared" si="2223"/>
        <v>0</v>
      </c>
      <c r="FH84" s="59">
        <f t="shared" si="2224"/>
        <v>0</v>
      </c>
      <c r="FI84" s="59">
        <f t="shared" si="2225"/>
        <v>0</v>
      </c>
      <c r="FJ84" s="59">
        <f t="shared" si="2226"/>
        <v>0</v>
      </c>
      <c r="FK84" s="59">
        <f t="shared" si="2227"/>
        <v>0</v>
      </c>
      <c r="FL84" s="59">
        <f t="shared" si="2228"/>
        <v>0</v>
      </c>
      <c r="FM84" s="59">
        <f t="shared" si="2229"/>
        <v>0</v>
      </c>
      <c r="FN84" s="59">
        <f t="shared" si="2230"/>
        <v>25</v>
      </c>
      <c r="FO84" s="59">
        <f t="shared" si="2231"/>
        <v>40</v>
      </c>
      <c r="FP84" s="59">
        <f t="shared" si="2232"/>
        <v>1.25</v>
      </c>
      <c r="FQ84" s="59">
        <f t="shared" si="2233"/>
        <v>1.25</v>
      </c>
      <c r="FR84" s="59">
        <f t="shared" si="2282"/>
        <v>0</v>
      </c>
      <c r="FS84" s="59">
        <f t="shared" si="2283"/>
        <v>0</v>
      </c>
      <c r="FT84" s="59">
        <f t="shared" si="2284"/>
        <v>25</v>
      </c>
      <c r="FU84" s="59">
        <f t="shared" si="2285"/>
        <v>42.5</v>
      </c>
      <c r="FV84" s="59">
        <f t="shared" si="2286"/>
        <v>67.5</v>
      </c>
    </row>
    <row r="85" spans="2:178" x14ac:dyDescent="0.2">
      <c r="B85" s="46">
        <f t="shared" si="2193"/>
        <v>7</v>
      </c>
      <c r="C85" s="71" t="s">
        <v>570</v>
      </c>
      <c r="E85" s="13">
        <v>75</v>
      </c>
      <c r="F85" s="13">
        <v>50</v>
      </c>
      <c r="G85" s="17">
        <f t="shared" si="2234"/>
        <v>125</v>
      </c>
      <c r="H85" s="49" t="s">
        <v>215</v>
      </c>
      <c r="I85" s="49" t="s">
        <v>219</v>
      </c>
      <c r="J85" s="49" t="s">
        <v>217</v>
      </c>
      <c r="K85" s="54">
        <v>3</v>
      </c>
      <c r="L85" s="54">
        <v>12</v>
      </c>
      <c r="M85" s="54">
        <v>5</v>
      </c>
      <c r="N85" s="54">
        <v>8</v>
      </c>
      <c r="O85" s="48">
        <f t="shared" si="2235"/>
        <v>9</v>
      </c>
      <c r="P85" s="48">
        <f t="shared" si="2236"/>
        <v>15</v>
      </c>
      <c r="R85" s="59">
        <f t="shared" si="2237"/>
        <v>0</v>
      </c>
      <c r="S85" s="59">
        <f t="shared" si="2195"/>
        <v>0</v>
      </c>
      <c r="T85" s="59">
        <f t="shared" si="2195"/>
        <v>0</v>
      </c>
      <c r="U85" s="59">
        <f t="shared" si="2195"/>
        <v>0</v>
      </c>
      <c r="V85" s="59">
        <f t="shared" si="2195"/>
        <v>0</v>
      </c>
      <c r="W85" s="59">
        <f t="shared" si="2195"/>
        <v>0</v>
      </c>
      <c r="X85" s="59">
        <f t="shared" si="2195"/>
        <v>0</v>
      </c>
      <c r="Y85" s="59">
        <f t="shared" si="2195"/>
        <v>75</v>
      </c>
      <c r="Z85" s="59">
        <f t="shared" si="2195"/>
        <v>0</v>
      </c>
      <c r="AA85" s="59">
        <f t="shared" si="2195"/>
        <v>0</v>
      </c>
      <c r="AB85" s="59">
        <f t="shared" si="2195"/>
        <v>0</v>
      </c>
      <c r="AC85" s="59">
        <f t="shared" si="2195"/>
        <v>0</v>
      </c>
      <c r="AD85" s="59">
        <f t="shared" si="2238"/>
        <v>0</v>
      </c>
      <c r="AE85" s="59">
        <f t="shared" si="2239"/>
        <v>0</v>
      </c>
      <c r="AF85" s="59">
        <f t="shared" si="2240"/>
        <v>75</v>
      </c>
      <c r="AG85" s="59">
        <f t="shared" si="2241"/>
        <v>0</v>
      </c>
      <c r="AH85" s="59">
        <f t="shared" si="2242"/>
        <v>75</v>
      </c>
      <c r="AI85" s="59"/>
      <c r="AJ85" s="59">
        <f t="shared" si="2243"/>
        <v>0</v>
      </c>
      <c r="AK85" s="59">
        <f t="shared" si="2196"/>
        <v>0</v>
      </c>
      <c r="AL85" s="59">
        <f t="shared" si="2196"/>
        <v>0</v>
      </c>
      <c r="AM85" s="59">
        <f t="shared" si="2196"/>
        <v>0</v>
      </c>
      <c r="AN85" s="59">
        <f t="shared" si="2196"/>
        <v>0</v>
      </c>
      <c r="AO85" s="59">
        <f t="shared" si="2196"/>
        <v>0</v>
      </c>
      <c r="AP85" s="59">
        <f t="shared" si="2196"/>
        <v>0</v>
      </c>
      <c r="AQ85" s="59">
        <f t="shared" si="2196"/>
        <v>50</v>
      </c>
      <c r="AR85" s="59">
        <f t="shared" si="2196"/>
        <v>0</v>
      </c>
      <c r="AS85" s="59">
        <f t="shared" si="2196"/>
        <v>0</v>
      </c>
      <c r="AT85" s="59">
        <f t="shared" si="2196"/>
        <v>0</v>
      </c>
      <c r="AU85" s="59">
        <f t="shared" si="2196"/>
        <v>0</v>
      </c>
      <c r="AV85" s="59">
        <f t="shared" si="2244"/>
        <v>0</v>
      </c>
      <c r="AW85" s="59">
        <f t="shared" si="2245"/>
        <v>0</v>
      </c>
      <c r="AX85" s="59">
        <f t="shared" si="2246"/>
        <v>50</v>
      </c>
      <c r="AY85" s="59">
        <f t="shared" si="2247"/>
        <v>0</v>
      </c>
      <c r="AZ85" s="59">
        <f t="shared" si="2248"/>
        <v>50</v>
      </c>
      <c r="BA85" s="59"/>
      <c r="BB85" s="59">
        <f t="shared" si="2249"/>
        <v>0</v>
      </c>
      <c r="BC85" s="59">
        <f t="shared" si="2197"/>
        <v>0</v>
      </c>
      <c r="BD85" s="59">
        <f t="shared" si="2198"/>
        <v>0</v>
      </c>
      <c r="BE85" s="59">
        <f t="shared" si="2199"/>
        <v>0</v>
      </c>
      <c r="BF85" s="59">
        <f t="shared" si="2200"/>
        <v>0</v>
      </c>
      <c r="BG85" s="59">
        <f t="shared" si="2201"/>
        <v>0</v>
      </c>
      <c r="BH85" s="59">
        <f t="shared" si="2202"/>
        <v>0</v>
      </c>
      <c r="BI85" s="59">
        <f t="shared" si="2203"/>
        <v>125</v>
      </c>
      <c r="BJ85" s="59">
        <f t="shared" si="2204"/>
        <v>0</v>
      </c>
      <c r="BK85" s="59">
        <f t="shared" si="2205"/>
        <v>0</v>
      </c>
      <c r="BL85" s="59">
        <f t="shared" si="2206"/>
        <v>0</v>
      </c>
      <c r="BM85" s="59">
        <f t="shared" si="2207"/>
        <v>0</v>
      </c>
      <c r="BN85" s="59">
        <f t="shared" si="2250"/>
        <v>0</v>
      </c>
      <c r="BO85" s="59">
        <f t="shared" si="2251"/>
        <v>0</v>
      </c>
      <c r="BP85" s="59">
        <f t="shared" si="2208"/>
        <v>125</v>
      </c>
      <c r="BQ85" s="59">
        <f t="shared" si="2252"/>
        <v>0</v>
      </c>
      <c r="BR85" s="59">
        <f t="shared" si="2253"/>
        <v>125</v>
      </c>
      <c r="BS85" s="59"/>
      <c r="BT85" s="59">
        <f t="shared" si="2254"/>
        <v>0</v>
      </c>
      <c r="BU85" s="59">
        <f t="shared" si="2209"/>
        <v>0</v>
      </c>
      <c r="BV85" s="59">
        <f t="shared" si="2209"/>
        <v>0</v>
      </c>
      <c r="BW85" s="59">
        <f t="shared" si="2209"/>
        <v>0</v>
      </c>
      <c r="BX85" s="59">
        <f t="shared" si="2209"/>
        <v>0</v>
      </c>
      <c r="BY85" s="59">
        <f t="shared" si="2209"/>
        <v>0</v>
      </c>
      <c r="BZ85" s="59">
        <f t="shared" si="2209"/>
        <v>0</v>
      </c>
      <c r="CA85" s="59">
        <f t="shared" si="2209"/>
        <v>0</v>
      </c>
      <c r="CB85" s="59">
        <f t="shared" si="2209"/>
        <v>25</v>
      </c>
      <c r="CC85" s="59">
        <f t="shared" si="2209"/>
        <v>25</v>
      </c>
      <c r="CD85" s="59">
        <f t="shared" si="2209"/>
        <v>25</v>
      </c>
      <c r="CE85" s="59">
        <f t="shared" si="2209"/>
        <v>0</v>
      </c>
      <c r="CF85" s="59">
        <f t="shared" si="2255"/>
        <v>0</v>
      </c>
      <c r="CG85" s="59">
        <f t="shared" si="2256"/>
        <v>0</v>
      </c>
      <c r="CH85" s="59">
        <f t="shared" si="2257"/>
        <v>25</v>
      </c>
      <c r="CI85" s="59">
        <f t="shared" si="2258"/>
        <v>50</v>
      </c>
      <c r="CJ85" s="59">
        <f t="shared" si="2259"/>
        <v>75</v>
      </c>
      <c r="CK85" s="59"/>
      <c r="CL85" s="59">
        <f t="shared" si="2141"/>
        <v>0</v>
      </c>
      <c r="CM85" s="59">
        <f t="shared" si="2141"/>
        <v>0</v>
      </c>
      <c r="CN85" s="59">
        <f t="shared" si="2141"/>
        <v>0</v>
      </c>
      <c r="CO85" s="59">
        <f t="shared" si="2141"/>
        <v>0</v>
      </c>
      <c r="CP85" s="59">
        <f t="shared" si="2141"/>
        <v>0</v>
      </c>
      <c r="CQ85" s="59">
        <f t="shared" si="2141"/>
        <v>0</v>
      </c>
      <c r="CR85" s="59">
        <f t="shared" si="2141"/>
        <v>0</v>
      </c>
      <c r="CS85" s="59">
        <f t="shared" si="2141"/>
        <v>0</v>
      </c>
      <c r="CT85" s="59">
        <f t="shared" si="2141"/>
        <v>0</v>
      </c>
      <c r="CU85" s="59">
        <f t="shared" si="2141"/>
        <v>0</v>
      </c>
      <c r="CV85" s="59">
        <f t="shared" si="2141"/>
        <v>0</v>
      </c>
      <c r="CW85" s="59">
        <f t="shared" si="2141"/>
        <v>4.166666666666667</v>
      </c>
      <c r="CX85" s="59">
        <f t="shared" si="2260"/>
        <v>0</v>
      </c>
      <c r="CY85" s="59">
        <f t="shared" si="2261"/>
        <v>0</v>
      </c>
      <c r="CZ85" s="59">
        <f t="shared" si="2262"/>
        <v>0</v>
      </c>
      <c r="DA85" s="59">
        <f t="shared" si="2263"/>
        <v>4.166666666666667</v>
      </c>
      <c r="DB85" s="59">
        <f t="shared" si="2264"/>
        <v>4.166666666666667</v>
      </c>
      <c r="DC85" s="59"/>
      <c r="DD85" s="59">
        <f t="shared" si="2265"/>
        <v>0</v>
      </c>
      <c r="DE85" s="59">
        <f t="shared" si="2210"/>
        <v>0</v>
      </c>
      <c r="DF85" s="59">
        <f t="shared" si="2211"/>
        <v>0</v>
      </c>
      <c r="DG85" s="59">
        <f t="shared" si="2212"/>
        <v>0</v>
      </c>
      <c r="DH85" s="59">
        <f t="shared" si="2213"/>
        <v>0</v>
      </c>
      <c r="DI85" s="59">
        <f t="shared" si="2214"/>
        <v>0</v>
      </c>
      <c r="DJ85" s="59">
        <f t="shared" si="2215"/>
        <v>0</v>
      </c>
      <c r="DK85" s="59">
        <f t="shared" si="2216"/>
        <v>0</v>
      </c>
      <c r="DL85" s="59">
        <f t="shared" si="2217"/>
        <v>25</v>
      </c>
      <c r="DM85" s="59">
        <f t="shared" si="2218"/>
        <v>25</v>
      </c>
      <c r="DN85" s="59">
        <f t="shared" si="2219"/>
        <v>25</v>
      </c>
      <c r="DO85" s="59">
        <f t="shared" si="2220"/>
        <v>4.166666666666667</v>
      </c>
      <c r="DP85" s="59">
        <f t="shared" si="2266"/>
        <v>0</v>
      </c>
      <c r="DQ85" s="59">
        <f t="shared" si="2267"/>
        <v>0</v>
      </c>
      <c r="DR85" s="59">
        <f t="shared" si="2268"/>
        <v>25</v>
      </c>
      <c r="DS85" s="59">
        <f t="shared" si="2269"/>
        <v>54.166666666666664</v>
      </c>
      <c r="DT85" s="59">
        <f t="shared" si="2270"/>
        <v>79.166666666666657</v>
      </c>
      <c r="DU85" s="59"/>
      <c r="DV85" s="70">
        <v>0</v>
      </c>
      <c r="DW85" s="70">
        <v>0</v>
      </c>
      <c r="DX85" s="70">
        <v>0</v>
      </c>
      <c r="DY85" s="70">
        <v>0</v>
      </c>
      <c r="DZ85" s="70">
        <v>0</v>
      </c>
      <c r="EA85" s="70">
        <v>0</v>
      </c>
      <c r="EB85" s="59">
        <f t="shared" si="2221"/>
        <v>0</v>
      </c>
      <c r="EC85" s="59">
        <f t="shared" si="2221"/>
        <v>0</v>
      </c>
      <c r="ED85" s="59">
        <f t="shared" si="2221"/>
        <v>0</v>
      </c>
      <c r="EE85" s="59">
        <f t="shared" si="2221"/>
        <v>0</v>
      </c>
      <c r="EF85" s="59">
        <f t="shared" si="2221"/>
        <v>25</v>
      </c>
      <c r="EG85" s="59">
        <f t="shared" si="2221"/>
        <v>25</v>
      </c>
      <c r="EH85" s="59">
        <f t="shared" si="2271"/>
        <v>0</v>
      </c>
      <c r="EI85" s="59">
        <f t="shared" si="2272"/>
        <v>0</v>
      </c>
      <c r="EJ85" s="59">
        <f t="shared" si="2273"/>
        <v>0</v>
      </c>
      <c r="EK85" s="59">
        <f t="shared" si="2274"/>
        <v>50</v>
      </c>
      <c r="EL85" s="59">
        <f t="shared" si="2275"/>
        <v>50</v>
      </c>
      <c r="EM85" s="59"/>
      <c r="EN85" s="70">
        <v>0</v>
      </c>
      <c r="EO85" s="70">
        <v>0</v>
      </c>
      <c r="EP85" s="70">
        <v>0</v>
      </c>
      <c r="EQ85" s="70">
        <v>0</v>
      </c>
      <c r="ER85" s="70">
        <v>0</v>
      </c>
      <c r="ES85" s="59">
        <f t="shared" si="2222"/>
        <v>0</v>
      </c>
      <c r="ET85" s="59">
        <f t="shared" si="2222"/>
        <v>0</v>
      </c>
      <c r="EU85" s="59">
        <f t="shared" si="2222"/>
        <v>0</v>
      </c>
      <c r="EV85" s="59">
        <f t="shared" si="2222"/>
        <v>0</v>
      </c>
      <c r="EW85" s="59">
        <f t="shared" si="2222"/>
        <v>0</v>
      </c>
      <c r="EX85" s="59">
        <f t="shared" si="2222"/>
        <v>0</v>
      </c>
      <c r="EY85" s="59">
        <f t="shared" si="2222"/>
        <v>0</v>
      </c>
      <c r="EZ85" s="59">
        <f t="shared" si="2276"/>
        <v>0</v>
      </c>
      <c r="FA85" s="59">
        <f t="shared" si="2277"/>
        <v>0</v>
      </c>
      <c r="FB85" s="59">
        <f t="shared" si="2278"/>
        <v>0</v>
      </c>
      <c r="FC85" s="59">
        <f t="shared" si="2279"/>
        <v>0</v>
      </c>
      <c r="FD85" s="59">
        <f t="shared" si="2280"/>
        <v>0</v>
      </c>
      <c r="FE85" s="59"/>
      <c r="FF85" s="59">
        <f t="shared" si="2281"/>
        <v>0</v>
      </c>
      <c r="FG85" s="59">
        <f t="shared" si="2223"/>
        <v>0</v>
      </c>
      <c r="FH85" s="59">
        <f t="shared" si="2224"/>
        <v>0</v>
      </c>
      <c r="FI85" s="59">
        <f t="shared" si="2225"/>
        <v>0</v>
      </c>
      <c r="FJ85" s="59">
        <f t="shared" si="2226"/>
        <v>0</v>
      </c>
      <c r="FK85" s="59">
        <f t="shared" si="2227"/>
        <v>0</v>
      </c>
      <c r="FL85" s="59">
        <f t="shared" si="2228"/>
        <v>0</v>
      </c>
      <c r="FM85" s="59">
        <f t="shared" si="2229"/>
        <v>0</v>
      </c>
      <c r="FN85" s="59">
        <f t="shared" si="2230"/>
        <v>0</v>
      </c>
      <c r="FO85" s="59">
        <f t="shared" si="2231"/>
        <v>0</v>
      </c>
      <c r="FP85" s="59">
        <f t="shared" si="2232"/>
        <v>25</v>
      </c>
      <c r="FQ85" s="59">
        <f t="shared" si="2233"/>
        <v>25</v>
      </c>
      <c r="FR85" s="59">
        <f t="shared" si="2282"/>
        <v>0</v>
      </c>
      <c r="FS85" s="59">
        <f t="shared" si="2283"/>
        <v>0</v>
      </c>
      <c r="FT85" s="59">
        <f t="shared" si="2284"/>
        <v>0</v>
      </c>
      <c r="FU85" s="59">
        <f t="shared" si="2285"/>
        <v>50</v>
      </c>
      <c r="FV85" s="59">
        <f t="shared" si="2286"/>
        <v>50</v>
      </c>
    </row>
    <row r="86" spans="2:178" x14ac:dyDescent="0.2">
      <c r="B86" s="46">
        <f t="shared" si="2193"/>
        <v>8</v>
      </c>
      <c r="C86" s="71" t="s">
        <v>571</v>
      </c>
      <c r="E86" s="13">
        <v>75</v>
      </c>
      <c r="F86" s="13">
        <v>50</v>
      </c>
      <c r="G86" s="17">
        <f t="shared" si="2234"/>
        <v>125</v>
      </c>
      <c r="H86" s="49" t="s">
        <v>215</v>
      </c>
      <c r="I86" s="49" t="s">
        <v>219</v>
      </c>
      <c r="J86" s="49" t="s">
        <v>217</v>
      </c>
      <c r="K86" s="54">
        <v>3</v>
      </c>
      <c r="L86" s="54">
        <v>12</v>
      </c>
      <c r="M86" s="54">
        <v>6</v>
      </c>
      <c r="N86" s="54">
        <v>9</v>
      </c>
      <c r="O86" s="48">
        <f t="shared" si="2235"/>
        <v>10</v>
      </c>
      <c r="P86" s="48">
        <f t="shared" si="2236"/>
        <v>15</v>
      </c>
      <c r="R86" s="59">
        <f t="shared" si="2237"/>
        <v>0</v>
      </c>
      <c r="S86" s="59">
        <f t="shared" si="2195"/>
        <v>0</v>
      </c>
      <c r="T86" s="59">
        <f t="shared" si="2195"/>
        <v>0</v>
      </c>
      <c r="U86" s="59">
        <f t="shared" si="2195"/>
        <v>0</v>
      </c>
      <c r="V86" s="59">
        <f t="shared" si="2195"/>
        <v>0</v>
      </c>
      <c r="W86" s="59">
        <f t="shared" si="2195"/>
        <v>0</v>
      </c>
      <c r="X86" s="59">
        <f t="shared" si="2195"/>
        <v>0</v>
      </c>
      <c r="Y86" s="59">
        <f t="shared" si="2195"/>
        <v>0</v>
      </c>
      <c r="Z86" s="59">
        <f t="shared" si="2195"/>
        <v>75</v>
      </c>
      <c r="AA86" s="59">
        <f t="shared" si="2195"/>
        <v>0</v>
      </c>
      <c r="AB86" s="59">
        <f t="shared" si="2195"/>
        <v>0</v>
      </c>
      <c r="AC86" s="59">
        <f t="shared" si="2195"/>
        <v>0</v>
      </c>
      <c r="AD86" s="59">
        <f t="shared" si="2238"/>
        <v>0</v>
      </c>
      <c r="AE86" s="59">
        <f t="shared" si="2239"/>
        <v>0</v>
      </c>
      <c r="AF86" s="59">
        <f t="shared" si="2240"/>
        <v>75</v>
      </c>
      <c r="AG86" s="59">
        <f t="shared" si="2241"/>
        <v>0</v>
      </c>
      <c r="AH86" s="59">
        <f t="shared" si="2242"/>
        <v>75</v>
      </c>
      <c r="AI86" s="59"/>
      <c r="AJ86" s="59">
        <f t="shared" si="2243"/>
        <v>0</v>
      </c>
      <c r="AK86" s="59">
        <f t="shared" si="2196"/>
        <v>0</v>
      </c>
      <c r="AL86" s="59">
        <f t="shared" si="2196"/>
        <v>0</v>
      </c>
      <c r="AM86" s="59">
        <f t="shared" si="2196"/>
        <v>0</v>
      </c>
      <c r="AN86" s="59">
        <f t="shared" si="2196"/>
        <v>0</v>
      </c>
      <c r="AO86" s="59">
        <f t="shared" si="2196"/>
        <v>0</v>
      </c>
      <c r="AP86" s="59">
        <f t="shared" si="2196"/>
        <v>0</v>
      </c>
      <c r="AQ86" s="59">
        <f t="shared" si="2196"/>
        <v>0</v>
      </c>
      <c r="AR86" s="59">
        <f t="shared" si="2196"/>
        <v>50</v>
      </c>
      <c r="AS86" s="59">
        <f t="shared" si="2196"/>
        <v>0</v>
      </c>
      <c r="AT86" s="59">
        <f t="shared" si="2196"/>
        <v>0</v>
      </c>
      <c r="AU86" s="59">
        <f t="shared" si="2196"/>
        <v>0</v>
      </c>
      <c r="AV86" s="59">
        <f t="shared" si="2244"/>
        <v>0</v>
      </c>
      <c r="AW86" s="59">
        <f t="shared" si="2245"/>
        <v>0</v>
      </c>
      <c r="AX86" s="59">
        <f t="shared" si="2246"/>
        <v>50</v>
      </c>
      <c r="AY86" s="59">
        <f t="shared" si="2247"/>
        <v>0</v>
      </c>
      <c r="AZ86" s="59">
        <f t="shared" si="2248"/>
        <v>50</v>
      </c>
      <c r="BA86" s="59"/>
      <c r="BB86" s="59">
        <f t="shared" si="2249"/>
        <v>0</v>
      </c>
      <c r="BC86" s="59">
        <f t="shared" si="2197"/>
        <v>0</v>
      </c>
      <c r="BD86" s="59">
        <f t="shared" si="2198"/>
        <v>0</v>
      </c>
      <c r="BE86" s="59">
        <f t="shared" si="2199"/>
        <v>0</v>
      </c>
      <c r="BF86" s="59">
        <f t="shared" si="2200"/>
        <v>0</v>
      </c>
      <c r="BG86" s="59">
        <f t="shared" si="2201"/>
        <v>0</v>
      </c>
      <c r="BH86" s="59">
        <f t="shared" si="2202"/>
        <v>0</v>
      </c>
      <c r="BI86" s="59">
        <f t="shared" si="2203"/>
        <v>0</v>
      </c>
      <c r="BJ86" s="59">
        <f t="shared" si="2204"/>
        <v>125</v>
      </c>
      <c r="BK86" s="59">
        <f t="shared" si="2205"/>
        <v>0</v>
      </c>
      <c r="BL86" s="59">
        <f t="shared" si="2206"/>
        <v>0</v>
      </c>
      <c r="BM86" s="59">
        <f t="shared" si="2207"/>
        <v>0</v>
      </c>
      <c r="BN86" s="59">
        <f t="shared" si="2250"/>
        <v>0</v>
      </c>
      <c r="BO86" s="59">
        <f t="shared" si="2251"/>
        <v>0</v>
      </c>
      <c r="BP86" s="59">
        <f t="shared" si="2208"/>
        <v>125</v>
      </c>
      <c r="BQ86" s="59">
        <f t="shared" si="2252"/>
        <v>0</v>
      </c>
      <c r="BR86" s="59">
        <f t="shared" si="2253"/>
        <v>125</v>
      </c>
      <c r="BS86" s="59"/>
      <c r="BT86" s="59">
        <f t="shared" si="2254"/>
        <v>0</v>
      </c>
      <c r="BU86" s="59">
        <f t="shared" si="2209"/>
        <v>0</v>
      </c>
      <c r="BV86" s="59">
        <f t="shared" si="2209"/>
        <v>0</v>
      </c>
      <c r="BW86" s="59">
        <f t="shared" si="2209"/>
        <v>0</v>
      </c>
      <c r="BX86" s="59">
        <f t="shared" si="2209"/>
        <v>0</v>
      </c>
      <c r="BY86" s="59">
        <f t="shared" si="2209"/>
        <v>0</v>
      </c>
      <c r="BZ86" s="59">
        <f t="shared" si="2209"/>
        <v>0</v>
      </c>
      <c r="CA86" s="59">
        <f t="shared" si="2209"/>
        <v>0</v>
      </c>
      <c r="CB86" s="59">
        <f t="shared" si="2209"/>
        <v>0</v>
      </c>
      <c r="CC86" s="59">
        <f t="shared" si="2209"/>
        <v>25</v>
      </c>
      <c r="CD86" s="59">
        <f t="shared" si="2209"/>
        <v>25</v>
      </c>
      <c r="CE86" s="59">
        <f t="shared" si="2209"/>
        <v>25</v>
      </c>
      <c r="CF86" s="59">
        <f t="shared" si="2255"/>
        <v>0</v>
      </c>
      <c r="CG86" s="59">
        <f t="shared" si="2256"/>
        <v>0</v>
      </c>
      <c r="CH86" s="59">
        <f t="shared" si="2257"/>
        <v>0</v>
      </c>
      <c r="CI86" s="59">
        <f t="shared" si="2258"/>
        <v>75</v>
      </c>
      <c r="CJ86" s="59">
        <f t="shared" si="2259"/>
        <v>75</v>
      </c>
      <c r="CK86" s="59"/>
      <c r="CL86" s="59">
        <f t="shared" si="2141"/>
        <v>0</v>
      </c>
      <c r="CM86" s="59">
        <f t="shared" si="2141"/>
        <v>0</v>
      </c>
      <c r="CN86" s="59">
        <f t="shared" si="2141"/>
        <v>0</v>
      </c>
      <c r="CO86" s="59">
        <f t="shared" si="2141"/>
        <v>0</v>
      </c>
      <c r="CP86" s="59">
        <f t="shared" si="2141"/>
        <v>0</v>
      </c>
      <c r="CQ86" s="59">
        <f t="shared" si="2141"/>
        <v>0</v>
      </c>
      <c r="CR86" s="59">
        <f t="shared" si="2141"/>
        <v>0</v>
      </c>
      <c r="CS86" s="59">
        <f t="shared" si="2141"/>
        <v>0</v>
      </c>
      <c r="CT86" s="59">
        <f t="shared" si="2141"/>
        <v>0</v>
      </c>
      <c r="CU86" s="59">
        <f t="shared" si="2141"/>
        <v>0</v>
      </c>
      <c r="CV86" s="59">
        <f t="shared" si="2141"/>
        <v>0</v>
      </c>
      <c r="CW86" s="59">
        <f t="shared" si="2141"/>
        <v>0</v>
      </c>
      <c r="CX86" s="59">
        <f t="shared" si="2260"/>
        <v>0</v>
      </c>
      <c r="CY86" s="59">
        <f t="shared" si="2261"/>
        <v>0</v>
      </c>
      <c r="CZ86" s="59">
        <f t="shared" si="2262"/>
        <v>0</v>
      </c>
      <c r="DA86" s="59">
        <f t="shared" si="2263"/>
        <v>0</v>
      </c>
      <c r="DB86" s="59">
        <f t="shared" si="2264"/>
        <v>0</v>
      </c>
      <c r="DC86" s="59"/>
      <c r="DD86" s="59">
        <f t="shared" si="2265"/>
        <v>0</v>
      </c>
      <c r="DE86" s="59">
        <f t="shared" si="2210"/>
        <v>0</v>
      </c>
      <c r="DF86" s="59">
        <f t="shared" si="2211"/>
        <v>0</v>
      </c>
      <c r="DG86" s="59">
        <f t="shared" si="2212"/>
        <v>0</v>
      </c>
      <c r="DH86" s="59">
        <f t="shared" si="2213"/>
        <v>0</v>
      </c>
      <c r="DI86" s="59">
        <f t="shared" si="2214"/>
        <v>0</v>
      </c>
      <c r="DJ86" s="59">
        <f t="shared" si="2215"/>
        <v>0</v>
      </c>
      <c r="DK86" s="59">
        <f t="shared" si="2216"/>
        <v>0</v>
      </c>
      <c r="DL86" s="59">
        <f t="shared" si="2217"/>
        <v>0</v>
      </c>
      <c r="DM86" s="59">
        <f t="shared" si="2218"/>
        <v>25</v>
      </c>
      <c r="DN86" s="59">
        <f t="shared" si="2219"/>
        <v>25</v>
      </c>
      <c r="DO86" s="59">
        <f t="shared" si="2220"/>
        <v>25</v>
      </c>
      <c r="DP86" s="59">
        <f t="shared" si="2266"/>
        <v>0</v>
      </c>
      <c r="DQ86" s="59">
        <f t="shared" si="2267"/>
        <v>0</v>
      </c>
      <c r="DR86" s="59">
        <f t="shared" si="2268"/>
        <v>0</v>
      </c>
      <c r="DS86" s="59">
        <f t="shared" si="2269"/>
        <v>75</v>
      </c>
      <c r="DT86" s="59">
        <f t="shared" si="2270"/>
        <v>75</v>
      </c>
      <c r="DU86" s="59"/>
      <c r="DV86" s="70">
        <v>0</v>
      </c>
      <c r="DW86" s="70">
        <v>0</v>
      </c>
      <c r="DX86" s="70">
        <v>0</v>
      </c>
      <c r="DY86" s="70">
        <v>0</v>
      </c>
      <c r="DZ86" s="70">
        <v>0</v>
      </c>
      <c r="EA86" s="70">
        <v>0</v>
      </c>
      <c r="EB86" s="59">
        <f t="shared" si="2221"/>
        <v>0</v>
      </c>
      <c r="EC86" s="59">
        <f t="shared" si="2221"/>
        <v>0</v>
      </c>
      <c r="ED86" s="59">
        <f t="shared" si="2221"/>
        <v>0</v>
      </c>
      <c r="EE86" s="59">
        <f t="shared" si="2221"/>
        <v>0</v>
      </c>
      <c r="EF86" s="59">
        <f t="shared" si="2221"/>
        <v>0</v>
      </c>
      <c r="EG86" s="59">
        <f t="shared" si="2221"/>
        <v>25</v>
      </c>
      <c r="EH86" s="59">
        <f t="shared" si="2271"/>
        <v>0</v>
      </c>
      <c r="EI86" s="59">
        <f t="shared" si="2272"/>
        <v>0</v>
      </c>
      <c r="EJ86" s="59">
        <f t="shared" si="2273"/>
        <v>0</v>
      </c>
      <c r="EK86" s="59">
        <f t="shared" si="2274"/>
        <v>25</v>
      </c>
      <c r="EL86" s="59">
        <f t="shared" si="2275"/>
        <v>25</v>
      </c>
      <c r="EM86" s="59"/>
      <c r="EN86" s="70">
        <v>0</v>
      </c>
      <c r="EO86" s="70">
        <v>0</v>
      </c>
      <c r="EP86" s="70">
        <v>0</v>
      </c>
      <c r="EQ86" s="70">
        <v>0</v>
      </c>
      <c r="ER86" s="70">
        <v>0</v>
      </c>
      <c r="ES86" s="59">
        <f t="shared" si="2222"/>
        <v>0</v>
      </c>
      <c r="ET86" s="59">
        <f t="shared" si="2222"/>
        <v>0</v>
      </c>
      <c r="EU86" s="59">
        <f t="shared" si="2222"/>
        <v>0</v>
      </c>
      <c r="EV86" s="59">
        <f t="shared" si="2222"/>
        <v>0</v>
      </c>
      <c r="EW86" s="59">
        <f t="shared" si="2222"/>
        <v>0</v>
      </c>
      <c r="EX86" s="59">
        <f t="shared" si="2222"/>
        <v>0</v>
      </c>
      <c r="EY86" s="59">
        <f t="shared" si="2222"/>
        <v>0</v>
      </c>
      <c r="EZ86" s="59">
        <f t="shared" si="2276"/>
        <v>0</v>
      </c>
      <c r="FA86" s="59">
        <f t="shared" si="2277"/>
        <v>0</v>
      </c>
      <c r="FB86" s="59">
        <f t="shared" si="2278"/>
        <v>0</v>
      </c>
      <c r="FC86" s="59">
        <f t="shared" si="2279"/>
        <v>0</v>
      </c>
      <c r="FD86" s="59">
        <f t="shared" si="2280"/>
        <v>0</v>
      </c>
      <c r="FE86" s="59"/>
      <c r="FF86" s="59">
        <f t="shared" si="2281"/>
        <v>0</v>
      </c>
      <c r="FG86" s="59">
        <f t="shared" si="2223"/>
        <v>0</v>
      </c>
      <c r="FH86" s="59">
        <f t="shared" si="2224"/>
        <v>0</v>
      </c>
      <c r="FI86" s="59">
        <f t="shared" si="2225"/>
        <v>0</v>
      </c>
      <c r="FJ86" s="59">
        <f t="shared" si="2226"/>
        <v>0</v>
      </c>
      <c r="FK86" s="59">
        <f t="shared" si="2227"/>
        <v>0</v>
      </c>
      <c r="FL86" s="59">
        <f t="shared" si="2228"/>
        <v>0</v>
      </c>
      <c r="FM86" s="59">
        <f t="shared" si="2229"/>
        <v>0</v>
      </c>
      <c r="FN86" s="59">
        <f t="shared" si="2230"/>
        <v>0</v>
      </c>
      <c r="FO86" s="59">
        <f t="shared" si="2231"/>
        <v>0</v>
      </c>
      <c r="FP86" s="59">
        <f t="shared" si="2232"/>
        <v>0</v>
      </c>
      <c r="FQ86" s="59">
        <f t="shared" si="2233"/>
        <v>25</v>
      </c>
      <c r="FR86" s="59">
        <f t="shared" si="2282"/>
        <v>0</v>
      </c>
      <c r="FS86" s="59">
        <f t="shared" si="2283"/>
        <v>0</v>
      </c>
      <c r="FT86" s="59">
        <f t="shared" si="2284"/>
        <v>0</v>
      </c>
      <c r="FU86" s="59">
        <f t="shared" si="2285"/>
        <v>25</v>
      </c>
      <c r="FV86" s="59">
        <f t="shared" si="2286"/>
        <v>25</v>
      </c>
    </row>
    <row r="87" spans="2:178" x14ac:dyDescent="0.2">
      <c r="B87" s="46">
        <f t="shared" si="2193"/>
        <v>9</v>
      </c>
      <c r="C87" s="71" t="s">
        <v>572</v>
      </c>
      <c r="E87" s="13">
        <v>75</v>
      </c>
      <c r="F87" s="13">
        <v>50</v>
      </c>
      <c r="G87" s="17">
        <f t="shared" ref="G87:G88" si="2287">+E87+F87</f>
        <v>125</v>
      </c>
      <c r="H87" s="49" t="s">
        <v>215</v>
      </c>
      <c r="I87" s="49" t="s">
        <v>219</v>
      </c>
      <c r="J87" s="49" t="s">
        <v>217</v>
      </c>
      <c r="K87" s="54">
        <v>3</v>
      </c>
      <c r="L87" s="54">
        <v>12</v>
      </c>
      <c r="M87" s="54">
        <v>7</v>
      </c>
      <c r="N87" s="54">
        <v>10</v>
      </c>
      <c r="O87" s="48">
        <f t="shared" ref="O87:O88" si="2288">+N87+1</f>
        <v>11</v>
      </c>
      <c r="P87" s="48">
        <f t="shared" ref="P87:P88" si="2289">+K87+L87</f>
        <v>15</v>
      </c>
      <c r="R87" s="59">
        <f t="shared" ref="R87:R88" si="2290">IF($N87&lt;R$4,0,IF($N87=R$4,$E87,0))</f>
        <v>0</v>
      </c>
      <c r="S87" s="59">
        <f t="shared" si="2195"/>
        <v>0</v>
      </c>
      <c r="T87" s="59">
        <f t="shared" si="2195"/>
        <v>0</v>
      </c>
      <c r="U87" s="59">
        <f t="shared" si="2195"/>
        <v>0</v>
      </c>
      <c r="V87" s="59">
        <f t="shared" si="2195"/>
        <v>0</v>
      </c>
      <c r="W87" s="59">
        <f t="shared" si="2195"/>
        <v>0</v>
      </c>
      <c r="X87" s="59">
        <f t="shared" si="2195"/>
        <v>0</v>
      </c>
      <c r="Y87" s="59">
        <f t="shared" si="2195"/>
        <v>0</v>
      </c>
      <c r="Z87" s="59">
        <f t="shared" si="2195"/>
        <v>0</v>
      </c>
      <c r="AA87" s="59">
        <f t="shared" si="2195"/>
        <v>75</v>
      </c>
      <c r="AB87" s="59">
        <f t="shared" si="2195"/>
        <v>0</v>
      </c>
      <c r="AC87" s="59">
        <f t="shared" si="2195"/>
        <v>0</v>
      </c>
      <c r="AD87" s="59">
        <f t="shared" ref="AD87:AD88" si="2291">SUM(R87:T87)</f>
        <v>0</v>
      </c>
      <c r="AE87" s="59">
        <f t="shared" ref="AE87:AE88" si="2292">SUM(U87:W87)</f>
        <v>0</v>
      </c>
      <c r="AF87" s="59">
        <f t="shared" ref="AF87:AF88" si="2293">SUM(X87:Z87)</f>
        <v>0</v>
      </c>
      <c r="AG87" s="59">
        <f t="shared" ref="AG87:AG88" si="2294">SUM(AA87:AC87)</f>
        <v>75</v>
      </c>
      <c r="AH87" s="59">
        <f t="shared" ref="AH87:AH88" si="2295">SUM(AD87:AG87)</f>
        <v>75</v>
      </c>
      <c r="AI87" s="59"/>
      <c r="AJ87" s="59">
        <f t="shared" ref="AJ87:AJ88" si="2296">IF($N87&lt;AJ$4,0,IF($N87=AJ$4,$F87,0))</f>
        <v>0</v>
      </c>
      <c r="AK87" s="59">
        <f t="shared" si="2196"/>
        <v>0</v>
      </c>
      <c r="AL87" s="59">
        <f t="shared" si="2196"/>
        <v>0</v>
      </c>
      <c r="AM87" s="59">
        <f t="shared" si="2196"/>
        <v>0</v>
      </c>
      <c r="AN87" s="59">
        <f t="shared" si="2196"/>
        <v>0</v>
      </c>
      <c r="AO87" s="59">
        <f t="shared" si="2196"/>
        <v>0</v>
      </c>
      <c r="AP87" s="59">
        <f t="shared" si="2196"/>
        <v>0</v>
      </c>
      <c r="AQ87" s="59">
        <f t="shared" si="2196"/>
        <v>0</v>
      </c>
      <c r="AR87" s="59">
        <f t="shared" si="2196"/>
        <v>0</v>
      </c>
      <c r="AS87" s="59">
        <f t="shared" si="2196"/>
        <v>50</v>
      </c>
      <c r="AT87" s="59">
        <f t="shared" si="2196"/>
        <v>0</v>
      </c>
      <c r="AU87" s="59">
        <f t="shared" si="2196"/>
        <v>0</v>
      </c>
      <c r="AV87" s="59">
        <f t="shared" ref="AV87:AV88" si="2297">SUM(AJ87:AL87)</f>
        <v>0</v>
      </c>
      <c r="AW87" s="59">
        <f t="shared" ref="AW87:AW88" si="2298">SUM(AM87:AO87)</f>
        <v>0</v>
      </c>
      <c r="AX87" s="59">
        <f t="shared" ref="AX87:AX88" si="2299">SUM(AP87:AR87)</f>
        <v>0</v>
      </c>
      <c r="AY87" s="59">
        <f t="shared" ref="AY87:AY88" si="2300">SUM(AS87:AU87)</f>
        <v>50</v>
      </c>
      <c r="AZ87" s="59">
        <f t="shared" ref="AZ87:AZ88" si="2301">SUM(AV87:AY87)</f>
        <v>50</v>
      </c>
      <c r="BA87" s="59"/>
      <c r="BB87" s="59">
        <f t="shared" ref="BB87:BB88" si="2302">+R87+AJ87</f>
        <v>0</v>
      </c>
      <c r="BC87" s="59">
        <f t="shared" si="2119"/>
        <v>0</v>
      </c>
      <c r="BD87" s="59">
        <f t="shared" si="2120"/>
        <v>0</v>
      </c>
      <c r="BE87" s="59">
        <f t="shared" si="2121"/>
        <v>0</v>
      </c>
      <c r="BF87" s="59">
        <f t="shared" si="2122"/>
        <v>0</v>
      </c>
      <c r="BG87" s="59">
        <f t="shared" si="2123"/>
        <v>0</v>
      </c>
      <c r="BH87" s="59">
        <f t="shared" si="2124"/>
        <v>0</v>
      </c>
      <c r="BI87" s="59">
        <f t="shared" si="2125"/>
        <v>0</v>
      </c>
      <c r="BJ87" s="59">
        <f t="shared" si="2126"/>
        <v>0</v>
      </c>
      <c r="BK87" s="59">
        <f t="shared" si="2127"/>
        <v>125</v>
      </c>
      <c r="BL87" s="59">
        <f t="shared" si="2128"/>
        <v>0</v>
      </c>
      <c r="BM87" s="59">
        <f t="shared" si="2129"/>
        <v>0</v>
      </c>
      <c r="BN87" s="59">
        <f t="shared" ref="BN87:BN88" si="2303">SUM(BB87:BD87)</f>
        <v>0</v>
      </c>
      <c r="BO87" s="59">
        <f t="shared" ref="BO87:BO88" si="2304">SUM(BE87:BG87)</f>
        <v>0</v>
      </c>
      <c r="BP87" s="59">
        <f t="shared" ref="BP87:BP88" si="2305">SUM(BH87:BJ87)</f>
        <v>0</v>
      </c>
      <c r="BQ87" s="59">
        <f t="shared" ref="BQ87:BQ88" si="2306">SUM(BK87:BM87)</f>
        <v>125</v>
      </c>
      <c r="BR87" s="59">
        <f t="shared" ref="BR87:BR88" si="2307">SUM(BN87:BQ87)</f>
        <v>125</v>
      </c>
      <c r="BS87" s="59"/>
      <c r="BT87" s="59">
        <f t="shared" ref="BT87:BT88" si="2308">IF(BT$4&lt;$O87,0,IF(AND(BT$4&gt;=$O87,BT$4&lt;=$K87+$N87),$E87/$K87,0))</f>
        <v>0</v>
      </c>
      <c r="BU87" s="59">
        <f t="shared" si="2209"/>
        <v>0</v>
      </c>
      <c r="BV87" s="59">
        <f t="shared" si="2209"/>
        <v>0</v>
      </c>
      <c r="BW87" s="59">
        <f t="shared" si="2209"/>
        <v>0</v>
      </c>
      <c r="BX87" s="59">
        <f t="shared" si="2209"/>
        <v>0</v>
      </c>
      <c r="BY87" s="59">
        <f t="shared" si="2209"/>
        <v>0</v>
      </c>
      <c r="BZ87" s="59">
        <f t="shared" si="2209"/>
        <v>0</v>
      </c>
      <c r="CA87" s="59">
        <f t="shared" si="2209"/>
        <v>0</v>
      </c>
      <c r="CB87" s="59">
        <f t="shared" si="2209"/>
        <v>0</v>
      </c>
      <c r="CC87" s="59">
        <f t="shared" si="2209"/>
        <v>0</v>
      </c>
      <c r="CD87" s="59">
        <f t="shared" si="2209"/>
        <v>25</v>
      </c>
      <c r="CE87" s="59">
        <f t="shared" si="2209"/>
        <v>25</v>
      </c>
      <c r="CF87" s="59">
        <f t="shared" ref="CF87:CF88" si="2309">SUM(BT87:BV87)</f>
        <v>0</v>
      </c>
      <c r="CG87" s="59">
        <f t="shared" ref="CG87:CG88" si="2310">SUM(BW87:BY87)</f>
        <v>0</v>
      </c>
      <c r="CH87" s="59">
        <f t="shared" ref="CH87:CH88" si="2311">SUM(BZ87:CB87)</f>
        <v>0</v>
      </c>
      <c r="CI87" s="59">
        <f t="shared" ref="CI87:CI88" si="2312">SUM(CC87:CE87)</f>
        <v>50</v>
      </c>
      <c r="CJ87" s="59">
        <f t="shared" ref="CJ87:CJ88" si="2313">SUM(CF87:CI87)</f>
        <v>50</v>
      </c>
      <c r="CK87" s="59"/>
      <c r="CL87" s="59">
        <f t="shared" si="2141"/>
        <v>0</v>
      </c>
      <c r="CM87" s="59">
        <f t="shared" si="2141"/>
        <v>0</v>
      </c>
      <c r="CN87" s="59">
        <f t="shared" si="2141"/>
        <v>0</v>
      </c>
      <c r="CO87" s="59">
        <f t="shared" si="2141"/>
        <v>0</v>
      </c>
      <c r="CP87" s="59">
        <f t="shared" si="2141"/>
        <v>0</v>
      </c>
      <c r="CQ87" s="59">
        <f t="shared" si="2141"/>
        <v>0</v>
      </c>
      <c r="CR87" s="59">
        <f t="shared" si="2141"/>
        <v>0</v>
      </c>
      <c r="CS87" s="59">
        <f t="shared" si="2141"/>
        <v>0</v>
      </c>
      <c r="CT87" s="59">
        <f t="shared" si="2141"/>
        <v>0</v>
      </c>
      <c r="CU87" s="59">
        <f t="shared" si="2141"/>
        <v>0</v>
      </c>
      <c r="CV87" s="59">
        <f t="shared" si="2141"/>
        <v>0</v>
      </c>
      <c r="CW87" s="59">
        <f t="shared" si="2141"/>
        <v>0</v>
      </c>
      <c r="CX87" s="59">
        <f t="shared" ref="CX87:CX88" si="2314">SUM(CL87:CN87)</f>
        <v>0</v>
      </c>
      <c r="CY87" s="59">
        <f t="shared" ref="CY87:CY88" si="2315">SUM(CO87:CQ87)</f>
        <v>0</v>
      </c>
      <c r="CZ87" s="59">
        <f t="shared" ref="CZ87:CZ88" si="2316">SUM(CR87:CT87)</f>
        <v>0</v>
      </c>
      <c r="DA87" s="59">
        <f t="shared" ref="DA87:DA88" si="2317">SUM(CU87:CW87)</f>
        <v>0</v>
      </c>
      <c r="DB87" s="59">
        <f t="shared" ref="DB87:DB88" si="2318">SUM(CX87:DA87)</f>
        <v>0</v>
      </c>
      <c r="DC87" s="59"/>
      <c r="DD87" s="59">
        <f t="shared" ref="DD87:DD88" si="2319">+BT87+CL87</f>
        <v>0</v>
      </c>
      <c r="DE87" s="59">
        <f t="shared" si="2148"/>
        <v>0</v>
      </c>
      <c r="DF87" s="59">
        <f t="shared" si="2149"/>
        <v>0</v>
      </c>
      <c r="DG87" s="59">
        <f t="shared" si="2150"/>
        <v>0</v>
      </c>
      <c r="DH87" s="59">
        <f t="shared" si="2151"/>
        <v>0</v>
      </c>
      <c r="DI87" s="59">
        <f t="shared" si="2152"/>
        <v>0</v>
      </c>
      <c r="DJ87" s="59">
        <f t="shared" si="2153"/>
        <v>0</v>
      </c>
      <c r="DK87" s="59">
        <f t="shared" si="2154"/>
        <v>0</v>
      </c>
      <c r="DL87" s="59">
        <f t="shared" si="2155"/>
        <v>0</v>
      </c>
      <c r="DM87" s="59">
        <f t="shared" si="2156"/>
        <v>0</v>
      </c>
      <c r="DN87" s="59">
        <f t="shared" si="2157"/>
        <v>25</v>
      </c>
      <c r="DO87" s="59">
        <f t="shared" si="2158"/>
        <v>25</v>
      </c>
      <c r="DP87" s="59">
        <f t="shared" ref="DP87:DP88" si="2320">SUM(DD87:DF87)</f>
        <v>0</v>
      </c>
      <c r="DQ87" s="59">
        <f t="shared" ref="DQ87:DQ88" si="2321">SUM(DG87:DI87)</f>
        <v>0</v>
      </c>
      <c r="DR87" s="59">
        <f t="shared" ref="DR87:DR88" si="2322">SUM(DJ87:DL87)</f>
        <v>0</v>
      </c>
      <c r="DS87" s="59">
        <f t="shared" ref="DS87:DS88" si="2323">SUM(DM87:DO87)</f>
        <v>50</v>
      </c>
      <c r="DT87" s="59">
        <f t="shared" ref="DT87:DT88" si="2324">SUM(DP87:DS87)</f>
        <v>50</v>
      </c>
      <c r="DU87" s="59"/>
      <c r="DV87" s="70">
        <v>0</v>
      </c>
      <c r="DW87" s="70">
        <v>0</v>
      </c>
      <c r="DX87" s="70">
        <v>0</v>
      </c>
      <c r="DY87" s="70">
        <v>0</v>
      </c>
      <c r="DZ87" s="70">
        <v>0</v>
      </c>
      <c r="EA87" s="70">
        <v>0</v>
      </c>
      <c r="EB87" s="59">
        <f t="shared" si="2221"/>
        <v>0</v>
      </c>
      <c r="EC87" s="59">
        <f t="shared" si="2221"/>
        <v>0</v>
      </c>
      <c r="ED87" s="59">
        <f t="shared" si="2221"/>
        <v>0</v>
      </c>
      <c r="EE87" s="59">
        <f t="shared" si="2221"/>
        <v>0</v>
      </c>
      <c r="EF87" s="59">
        <f t="shared" si="2221"/>
        <v>0</v>
      </c>
      <c r="EG87" s="59">
        <f t="shared" si="2221"/>
        <v>0</v>
      </c>
      <c r="EH87" s="59">
        <f t="shared" ref="EH87:EH88" si="2325">SUM(DV87:DX87)</f>
        <v>0</v>
      </c>
      <c r="EI87" s="59">
        <f t="shared" ref="EI87:EI88" si="2326">SUM(DY87:EA87)</f>
        <v>0</v>
      </c>
      <c r="EJ87" s="59">
        <f t="shared" ref="EJ87:EJ88" si="2327">SUM(EB87:ED87)</f>
        <v>0</v>
      </c>
      <c r="EK87" s="59">
        <f t="shared" ref="EK87:EK88" si="2328">SUM(EE87:EG87)</f>
        <v>0</v>
      </c>
      <c r="EL87" s="59">
        <f t="shared" ref="EL87:EL88" si="2329">SUM(EH87:EK87)</f>
        <v>0</v>
      </c>
      <c r="EM87" s="59"/>
      <c r="EN87" s="70">
        <v>0</v>
      </c>
      <c r="EO87" s="70">
        <v>0</v>
      </c>
      <c r="EP87" s="70">
        <v>0</v>
      </c>
      <c r="EQ87" s="70">
        <v>0</v>
      </c>
      <c r="ER87" s="70">
        <v>0</v>
      </c>
      <c r="ES87" s="59">
        <f t="shared" si="2222"/>
        <v>0</v>
      </c>
      <c r="ET87" s="59">
        <f t="shared" si="2222"/>
        <v>0</v>
      </c>
      <c r="EU87" s="59">
        <f t="shared" si="2222"/>
        <v>0</v>
      </c>
      <c r="EV87" s="59">
        <f t="shared" si="2222"/>
        <v>0</v>
      </c>
      <c r="EW87" s="59">
        <f t="shared" si="2222"/>
        <v>0</v>
      </c>
      <c r="EX87" s="59">
        <f t="shared" si="2222"/>
        <v>0</v>
      </c>
      <c r="EY87" s="59">
        <f t="shared" si="2222"/>
        <v>0</v>
      </c>
      <c r="EZ87" s="59">
        <f t="shared" ref="EZ87:EZ88" si="2330">SUM(EN87:EP87)</f>
        <v>0</v>
      </c>
      <c r="FA87" s="59">
        <f t="shared" ref="FA87:FA88" si="2331">SUM(EQ87:ES87)</f>
        <v>0</v>
      </c>
      <c r="FB87" s="59">
        <f t="shared" ref="FB87:FB88" si="2332">SUM(ET87:EV87)</f>
        <v>0</v>
      </c>
      <c r="FC87" s="59">
        <f t="shared" ref="FC87:FC88" si="2333">SUM(EW87:EY87)</f>
        <v>0</v>
      </c>
      <c r="FD87" s="59">
        <f t="shared" ref="FD87:FD88" si="2334">SUM(EZ87:FC87)</f>
        <v>0</v>
      </c>
      <c r="FE87" s="59"/>
      <c r="FF87" s="59">
        <f t="shared" ref="FF87:FF88" si="2335">+DV87+EN87</f>
        <v>0</v>
      </c>
      <c r="FG87" s="59">
        <f t="shared" si="2177"/>
        <v>0</v>
      </c>
      <c r="FH87" s="59">
        <f t="shared" si="2178"/>
        <v>0</v>
      </c>
      <c r="FI87" s="59">
        <f t="shared" si="2179"/>
        <v>0</v>
      </c>
      <c r="FJ87" s="59">
        <f t="shared" si="2180"/>
        <v>0</v>
      </c>
      <c r="FK87" s="59">
        <f t="shared" si="2181"/>
        <v>0</v>
      </c>
      <c r="FL87" s="59">
        <f t="shared" si="2182"/>
        <v>0</v>
      </c>
      <c r="FM87" s="59">
        <f t="shared" si="2183"/>
        <v>0</v>
      </c>
      <c r="FN87" s="59">
        <f t="shared" si="2184"/>
        <v>0</v>
      </c>
      <c r="FO87" s="59">
        <f t="shared" si="2185"/>
        <v>0</v>
      </c>
      <c r="FP87" s="59">
        <f t="shared" si="2186"/>
        <v>0</v>
      </c>
      <c r="FQ87" s="59">
        <f t="shared" si="2187"/>
        <v>0</v>
      </c>
      <c r="FR87" s="59">
        <f t="shared" ref="FR87:FR88" si="2336">SUM(FF87:FH87)</f>
        <v>0</v>
      </c>
      <c r="FS87" s="59">
        <f t="shared" ref="FS87:FS88" si="2337">SUM(FI87:FK87)</f>
        <v>0</v>
      </c>
      <c r="FT87" s="59">
        <f t="shared" ref="FT87:FT88" si="2338">SUM(FL87:FN87)</f>
        <v>0</v>
      </c>
      <c r="FU87" s="59">
        <f t="shared" ref="FU87:FU88" si="2339">SUM(FO87:FQ87)</f>
        <v>0</v>
      </c>
      <c r="FV87" s="59">
        <f t="shared" ref="FV87:FV88" si="2340">SUM(FR87:FU87)</f>
        <v>0</v>
      </c>
    </row>
    <row r="88" spans="2:178" x14ac:dyDescent="0.2">
      <c r="B88" s="46">
        <f t="shared" si="2193"/>
        <v>10</v>
      </c>
      <c r="C88" s="71" t="s">
        <v>573</v>
      </c>
      <c r="E88" s="13">
        <v>75</v>
      </c>
      <c r="F88" s="13">
        <v>50</v>
      </c>
      <c r="G88" s="17">
        <f t="shared" si="2287"/>
        <v>125</v>
      </c>
      <c r="H88" s="49" t="s">
        <v>215</v>
      </c>
      <c r="I88" s="49" t="s">
        <v>219</v>
      </c>
      <c r="J88" s="49" t="s">
        <v>217</v>
      </c>
      <c r="K88" s="54">
        <v>3</v>
      </c>
      <c r="L88" s="54">
        <v>12</v>
      </c>
      <c r="M88" s="54">
        <v>8</v>
      </c>
      <c r="N88" s="54">
        <v>11</v>
      </c>
      <c r="O88" s="48">
        <f t="shared" si="2288"/>
        <v>12</v>
      </c>
      <c r="P88" s="48">
        <f t="shared" si="2289"/>
        <v>15</v>
      </c>
      <c r="R88" s="59">
        <f t="shared" si="2290"/>
        <v>0</v>
      </c>
      <c r="S88" s="59">
        <f t="shared" si="2195"/>
        <v>0</v>
      </c>
      <c r="T88" s="59">
        <f t="shared" si="2195"/>
        <v>0</v>
      </c>
      <c r="U88" s="59">
        <f t="shared" si="2195"/>
        <v>0</v>
      </c>
      <c r="V88" s="59">
        <f t="shared" si="2195"/>
        <v>0</v>
      </c>
      <c r="W88" s="59">
        <f t="shared" si="2195"/>
        <v>0</v>
      </c>
      <c r="X88" s="59">
        <f t="shared" si="2195"/>
        <v>0</v>
      </c>
      <c r="Y88" s="59">
        <f t="shared" si="2195"/>
        <v>0</v>
      </c>
      <c r="Z88" s="59">
        <f t="shared" si="2195"/>
        <v>0</v>
      </c>
      <c r="AA88" s="59">
        <f t="shared" si="2195"/>
        <v>0</v>
      </c>
      <c r="AB88" s="59">
        <f t="shared" si="2195"/>
        <v>75</v>
      </c>
      <c r="AC88" s="59">
        <f t="shared" si="2195"/>
        <v>0</v>
      </c>
      <c r="AD88" s="59">
        <f t="shared" si="2291"/>
        <v>0</v>
      </c>
      <c r="AE88" s="59">
        <f t="shared" si="2292"/>
        <v>0</v>
      </c>
      <c r="AF88" s="59">
        <f t="shared" si="2293"/>
        <v>0</v>
      </c>
      <c r="AG88" s="59">
        <f t="shared" si="2294"/>
        <v>75</v>
      </c>
      <c r="AH88" s="59">
        <f t="shared" si="2295"/>
        <v>75</v>
      </c>
      <c r="AI88" s="59"/>
      <c r="AJ88" s="59">
        <f t="shared" si="2296"/>
        <v>0</v>
      </c>
      <c r="AK88" s="59">
        <f t="shared" si="2196"/>
        <v>0</v>
      </c>
      <c r="AL88" s="59">
        <f t="shared" si="2196"/>
        <v>0</v>
      </c>
      <c r="AM88" s="59">
        <f t="shared" si="2196"/>
        <v>0</v>
      </c>
      <c r="AN88" s="59">
        <f t="shared" si="2196"/>
        <v>0</v>
      </c>
      <c r="AO88" s="59">
        <f t="shared" si="2196"/>
        <v>0</v>
      </c>
      <c r="AP88" s="59">
        <f t="shared" si="2196"/>
        <v>0</v>
      </c>
      <c r="AQ88" s="59">
        <f t="shared" si="2196"/>
        <v>0</v>
      </c>
      <c r="AR88" s="59">
        <f t="shared" si="2196"/>
        <v>0</v>
      </c>
      <c r="AS88" s="59">
        <f t="shared" si="2196"/>
        <v>0</v>
      </c>
      <c r="AT88" s="59">
        <f t="shared" si="2196"/>
        <v>50</v>
      </c>
      <c r="AU88" s="59">
        <f t="shared" si="2196"/>
        <v>0</v>
      </c>
      <c r="AV88" s="59">
        <f t="shared" si="2297"/>
        <v>0</v>
      </c>
      <c r="AW88" s="59">
        <f t="shared" si="2298"/>
        <v>0</v>
      </c>
      <c r="AX88" s="59">
        <f t="shared" si="2299"/>
        <v>0</v>
      </c>
      <c r="AY88" s="59">
        <f t="shared" si="2300"/>
        <v>50</v>
      </c>
      <c r="AZ88" s="59">
        <f t="shared" si="2301"/>
        <v>50</v>
      </c>
      <c r="BA88" s="59"/>
      <c r="BB88" s="59">
        <f t="shared" si="2302"/>
        <v>0</v>
      </c>
      <c r="BC88" s="59">
        <f t="shared" si="2119"/>
        <v>0</v>
      </c>
      <c r="BD88" s="59">
        <f t="shared" si="2120"/>
        <v>0</v>
      </c>
      <c r="BE88" s="59">
        <f t="shared" si="2121"/>
        <v>0</v>
      </c>
      <c r="BF88" s="59">
        <f t="shared" si="2122"/>
        <v>0</v>
      </c>
      <c r="BG88" s="59">
        <f t="shared" si="2123"/>
        <v>0</v>
      </c>
      <c r="BH88" s="59">
        <f t="shared" si="2124"/>
        <v>0</v>
      </c>
      <c r="BI88" s="59">
        <f t="shared" si="2125"/>
        <v>0</v>
      </c>
      <c r="BJ88" s="59">
        <f t="shared" si="2126"/>
        <v>0</v>
      </c>
      <c r="BK88" s="59">
        <f t="shared" si="2127"/>
        <v>0</v>
      </c>
      <c r="BL88" s="59">
        <f t="shared" si="2128"/>
        <v>125</v>
      </c>
      <c r="BM88" s="59">
        <f t="shared" si="2129"/>
        <v>0</v>
      </c>
      <c r="BN88" s="59">
        <f t="shared" si="2303"/>
        <v>0</v>
      </c>
      <c r="BO88" s="59">
        <f t="shared" si="2304"/>
        <v>0</v>
      </c>
      <c r="BP88" s="59">
        <f t="shared" si="2305"/>
        <v>0</v>
      </c>
      <c r="BQ88" s="59">
        <f t="shared" si="2306"/>
        <v>125</v>
      </c>
      <c r="BR88" s="59">
        <f t="shared" si="2307"/>
        <v>125</v>
      </c>
      <c r="BS88" s="59"/>
      <c r="BT88" s="59">
        <f t="shared" si="2308"/>
        <v>0</v>
      </c>
      <c r="BU88" s="59">
        <f t="shared" si="2209"/>
        <v>0</v>
      </c>
      <c r="BV88" s="59">
        <f t="shared" si="2209"/>
        <v>0</v>
      </c>
      <c r="BW88" s="59">
        <f t="shared" si="2209"/>
        <v>0</v>
      </c>
      <c r="BX88" s="59">
        <f t="shared" si="2209"/>
        <v>0</v>
      </c>
      <c r="BY88" s="59">
        <f t="shared" si="2209"/>
        <v>0</v>
      </c>
      <c r="BZ88" s="59">
        <f t="shared" si="2209"/>
        <v>0</v>
      </c>
      <c r="CA88" s="59">
        <f t="shared" si="2209"/>
        <v>0</v>
      </c>
      <c r="CB88" s="59">
        <f t="shared" si="2209"/>
        <v>0</v>
      </c>
      <c r="CC88" s="59">
        <f t="shared" si="2209"/>
        <v>0</v>
      </c>
      <c r="CD88" s="59">
        <f t="shared" si="2209"/>
        <v>0</v>
      </c>
      <c r="CE88" s="59">
        <f t="shared" si="2209"/>
        <v>25</v>
      </c>
      <c r="CF88" s="59">
        <f t="shared" si="2309"/>
        <v>0</v>
      </c>
      <c r="CG88" s="59">
        <f t="shared" si="2310"/>
        <v>0</v>
      </c>
      <c r="CH88" s="59">
        <f t="shared" si="2311"/>
        <v>0</v>
      </c>
      <c r="CI88" s="59">
        <f t="shared" si="2312"/>
        <v>25</v>
      </c>
      <c r="CJ88" s="59">
        <f t="shared" si="2313"/>
        <v>25</v>
      </c>
      <c r="CK88" s="59"/>
      <c r="CL88" s="59">
        <f t="shared" si="2141"/>
        <v>0</v>
      </c>
      <c r="CM88" s="59">
        <f t="shared" si="2141"/>
        <v>0</v>
      </c>
      <c r="CN88" s="59">
        <f t="shared" si="2141"/>
        <v>0</v>
      </c>
      <c r="CO88" s="59">
        <f t="shared" si="2141"/>
        <v>0</v>
      </c>
      <c r="CP88" s="59">
        <f t="shared" si="2141"/>
        <v>0</v>
      </c>
      <c r="CQ88" s="59">
        <f t="shared" si="2141"/>
        <v>0</v>
      </c>
      <c r="CR88" s="59">
        <f t="shared" si="2141"/>
        <v>0</v>
      </c>
      <c r="CS88" s="59">
        <f t="shared" si="2141"/>
        <v>0</v>
      </c>
      <c r="CT88" s="59">
        <f t="shared" si="2141"/>
        <v>0</v>
      </c>
      <c r="CU88" s="59">
        <f t="shared" si="2141"/>
        <v>0</v>
      </c>
      <c r="CV88" s="59">
        <f t="shared" si="2141"/>
        <v>0</v>
      </c>
      <c r="CW88" s="59">
        <f t="shared" si="2141"/>
        <v>0</v>
      </c>
      <c r="CX88" s="59">
        <f t="shared" si="2314"/>
        <v>0</v>
      </c>
      <c r="CY88" s="59">
        <f t="shared" si="2315"/>
        <v>0</v>
      </c>
      <c r="CZ88" s="59">
        <f t="shared" si="2316"/>
        <v>0</v>
      </c>
      <c r="DA88" s="59">
        <f t="shared" si="2317"/>
        <v>0</v>
      </c>
      <c r="DB88" s="59">
        <f t="shared" si="2318"/>
        <v>0</v>
      </c>
      <c r="DC88" s="59"/>
      <c r="DD88" s="59">
        <f t="shared" si="2319"/>
        <v>0</v>
      </c>
      <c r="DE88" s="59">
        <f t="shared" si="2148"/>
        <v>0</v>
      </c>
      <c r="DF88" s="59">
        <f t="shared" si="2149"/>
        <v>0</v>
      </c>
      <c r="DG88" s="59">
        <f t="shared" si="2150"/>
        <v>0</v>
      </c>
      <c r="DH88" s="59">
        <f t="shared" si="2151"/>
        <v>0</v>
      </c>
      <c r="DI88" s="59">
        <f t="shared" si="2152"/>
        <v>0</v>
      </c>
      <c r="DJ88" s="59">
        <f t="shared" si="2153"/>
        <v>0</v>
      </c>
      <c r="DK88" s="59">
        <f t="shared" si="2154"/>
        <v>0</v>
      </c>
      <c r="DL88" s="59">
        <f t="shared" si="2155"/>
        <v>0</v>
      </c>
      <c r="DM88" s="59">
        <f t="shared" si="2156"/>
        <v>0</v>
      </c>
      <c r="DN88" s="59">
        <f t="shared" si="2157"/>
        <v>0</v>
      </c>
      <c r="DO88" s="59">
        <f t="shared" si="2158"/>
        <v>25</v>
      </c>
      <c r="DP88" s="59">
        <f t="shared" si="2320"/>
        <v>0</v>
      </c>
      <c r="DQ88" s="59">
        <f t="shared" si="2321"/>
        <v>0</v>
      </c>
      <c r="DR88" s="59">
        <f t="shared" si="2322"/>
        <v>0</v>
      </c>
      <c r="DS88" s="59">
        <f t="shared" si="2323"/>
        <v>25</v>
      </c>
      <c r="DT88" s="59">
        <f t="shared" si="2324"/>
        <v>25</v>
      </c>
      <c r="DU88" s="59"/>
      <c r="DV88" s="70">
        <v>0</v>
      </c>
      <c r="DW88" s="70">
        <v>0</v>
      </c>
      <c r="DX88" s="70">
        <v>0</v>
      </c>
      <c r="DY88" s="70">
        <v>0</v>
      </c>
      <c r="DZ88" s="70">
        <v>0</v>
      </c>
      <c r="EA88" s="70">
        <v>0</v>
      </c>
      <c r="EB88" s="59">
        <f t="shared" si="2221"/>
        <v>0</v>
      </c>
      <c r="EC88" s="59">
        <f t="shared" si="2221"/>
        <v>0</v>
      </c>
      <c r="ED88" s="59">
        <f t="shared" si="2221"/>
        <v>0</v>
      </c>
      <c r="EE88" s="59">
        <f t="shared" si="2221"/>
        <v>0</v>
      </c>
      <c r="EF88" s="59">
        <f t="shared" si="2221"/>
        <v>0</v>
      </c>
      <c r="EG88" s="59">
        <f t="shared" si="2221"/>
        <v>0</v>
      </c>
      <c r="EH88" s="59">
        <f t="shared" si="2325"/>
        <v>0</v>
      </c>
      <c r="EI88" s="59">
        <f t="shared" si="2326"/>
        <v>0</v>
      </c>
      <c r="EJ88" s="59">
        <f t="shared" si="2327"/>
        <v>0</v>
      </c>
      <c r="EK88" s="59">
        <f t="shared" si="2328"/>
        <v>0</v>
      </c>
      <c r="EL88" s="59">
        <f t="shared" si="2329"/>
        <v>0</v>
      </c>
      <c r="EM88" s="59"/>
      <c r="EN88" s="70">
        <v>0</v>
      </c>
      <c r="EO88" s="70">
        <v>0</v>
      </c>
      <c r="EP88" s="70">
        <v>0</v>
      </c>
      <c r="EQ88" s="70">
        <v>0</v>
      </c>
      <c r="ER88" s="70">
        <v>0</v>
      </c>
      <c r="ES88" s="59">
        <f t="shared" si="2222"/>
        <v>0</v>
      </c>
      <c r="ET88" s="59">
        <f t="shared" si="2222"/>
        <v>0</v>
      </c>
      <c r="EU88" s="59">
        <f t="shared" si="2222"/>
        <v>0</v>
      </c>
      <c r="EV88" s="59">
        <f t="shared" si="2222"/>
        <v>0</v>
      </c>
      <c r="EW88" s="59">
        <f t="shared" si="2222"/>
        <v>0</v>
      </c>
      <c r="EX88" s="59">
        <f t="shared" si="2222"/>
        <v>0</v>
      </c>
      <c r="EY88" s="59">
        <f t="shared" si="2222"/>
        <v>0</v>
      </c>
      <c r="EZ88" s="59">
        <f t="shared" si="2330"/>
        <v>0</v>
      </c>
      <c r="FA88" s="59">
        <f t="shared" si="2331"/>
        <v>0</v>
      </c>
      <c r="FB88" s="59">
        <f t="shared" si="2332"/>
        <v>0</v>
      </c>
      <c r="FC88" s="59">
        <f t="shared" si="2333"/>
        <v>0</v>
      </c>
      <c r="FD88" s="59">
        <f t="shared" si="2334"/>
        <v>0</v>
      </c>
      <c r="FE88" s="59"/>
      <c r="FF88" s="59">
        <f t="shared" si="2335"/>
        <v>0</v>
      </c>
      <c r="FG88" s="59">
        <f t="shared" si="2177"/>
        <v>0</v>
      </c>
      <c r="FH88" s="59">
        <f t="shared" si="2178"/>
        <v>0</v>
      </c>
      <c r="FI88" s="59">
        <f t="shared" si="2179"/>
        <v>0</v>
      </c>
      <c r="FJ88" s="59">
        <f t="shared" si="2180"/>
        <v>0</v>
      </c>
      <c r="FK88" s="59">
        <f t="shared" si="2181"/>
        <v>0</v>
      </c>
      <c r="FL88" s="59">
        <f t="shared" si="2182"/>
        <v>0</v>
      </c>
      <c r="FM88" s="59">
        <f t="shared" si="2183"/>
        <v>0</v>
      </c>
      <c r="FN88" s="59">
        <f t="shared" si="2184"/>
        <v>0</v>
      </c>
      <c r="FO88" s="59">
        <f t="shared" si="2185"/>
        <v>0</v>
      </c>
      <c r="FP88" s="59">
        <f t="shared" si="2186"/>
        <v>0</v>
      </c>
      <c r="FQ88" s="59">
        <f t="shared" si="2187"/>
        <v>0</v>
      </c>
      <c r="FR88" s="59">
        <f t="shared" si="2336"/>
        <v>0</v>
      </c>
      <c r="FS88" s="59">
        <f t="shared" si="2337"/>
        <v>0</v>
      </c>
      <c r="FT88" s="59">
        <f t="shared" si="2338"/>
        <v>0</v>
      </c>
      <c r="FU88" s="59">
        <f t="shared" si="2339"/>
        <v>0</v>
      </c>
      <c r="FV88" s="59">
        <f t="shared" si="2340"/>
        <v>0</v>
      </c>
    </row>
    <row r="89" spans="2:178" x14ac:dyDescent="0.2"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</row>
    <row r="90" spans="2:178" hidden="1" x14ac:dyDescent="0.2"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</row>
    <row r="91" spans="2:178" hidden="1" x14ac:dyDescent="0.2">
      <c r="C91" s="14" t="s">
        <v>328</v>
      </c>
      <c r="DX91" s="95">
        <v>18447</v>
      </c>
    </row>
    <row r="92" spans="2:178" hidden="1" x14ac:dyDescent="0.2">
      <c r="C92" s="14" t="s">
        <v>328</v>
      </c>
      <c r="DX92" s="95">
        <v>22880</v>
      </c>
      <c r="DY92" s="17">
        <f>SUM(DX91:DX92)/1000</f>
        <v>41.326999999999998</v>
      </c>
    </row>
    <row r="93" spans="2:178" hidden="1" x14ac:dyDescent="0.2">
      <c r="C93" s="14" t="s">
        <v>49</v>
      </c>
      <c r="DX93" s="95">
        <v>8750</v>
      </c>
      <c r="DY93" s="14">
        <f>+DX93/1000</f>
        <v>8.75</v>
      </c>
    </row>
    <row r="94" spans="2:178" hidden="1" x14ac:dyDescent="0.2">
      <c r="C94" s="14" t="s">
        <v>49</v>
      </c>
      <c r="DX94" s="95">
        <v>15575</v>
      </c>
      <c r="DY94" s="14">
        <f t="shared" ref="DY94:DY102" si="2341">+DX94/1000</f>
        <v>15.574999999999999</v>
      </c>
    </row>
    <row r="95" spans="2:178" hidden="1" x14ac:dyDescent="0.2">
      <c r="C95" s="14" t="s">
        <v>472</v>
      </c>
      <c r="DX95" s="95">
        <v>29995</v>
      </c>
      <c r="DY95" s="17">
        <f>SUM(DX95:DX99)/1000</f>
        <v>126.29298000000001</v>
      </c>
    </row>
    <row r="96" spans="2:178" hidden="1" x14ac:dyDescent="0.2">
      <c r="C96" s="14" t="s">
        <v>472</v>
      </c>
      <c r="DX96" s="95">
        <v>31667.66</v>
      </c>
    </row>
    <row r="97" spans="3:129" hidden="1" x14ac:dyDescent="0.2">
      <c r="C97" s="14" t="s">
        <v>472</v>
      </c>
      <c r="DX97" s="95">
        <v>31667.66</v>
      </c>
    </row>
    <row r="98" spans="3:129" hidden="1" x14ac:dyDescent="0.2">
      <c r="C98" s="14" t="s">
        <v>472</v>
      </c>
      <c r="DX98" s="95">
        <v>31667.66</v>
      </c>
    </row>
    <row r="99" spans="3:129" hidden="1" x14ac:dyDescent="0.2">
      <c r="C99" s="14" t="s">
        <v>521</v>
      </c>
      <c r="DX99" s="95">
        <v>1295</v>
      </c>
    </row>
    <row r="100" spans="3:129" hidden="1" x14ac:dyDescent="0.2">
      <c r="C100" s="14" t="s">
        <v>322</v>
      </c>
      <c r="DX100" s="95">
        <v>5250</v>
      </c>
      <c r="DY100" s="14">
        <f t="shared" si="2341"/>
        <v>5.25</v>
      </c>
    </row>
    <row r="101" spans="3:129" hidden="1" x14ac:dyDescent="0.2">
      <c r="C101" s="14" t="s">
        <v>320</v>
      </c>
      <c r="DX101" s="95">
        <v>30357.5</v>
      </c>
      <c r="DY101" s="14">
        <f t="shared" si="2341"/>
        <v>30.357500000000002</v>
      </c>
    </row>
    <row r="102" spans="3:129" hidden="1" x14ac:dyDescent="0.2">
      <c r="C102" s="14" t="s">
        <v>69</v>
      </c>
      <c r="DX102" s="95">
        <v>14500</v>
      </c>
      <c r="DY102" s="14">
        <f t="shared" si="2341"/>
        <v>14.5</v>
      </c>
    </row>
    <row r="103" spans="3:129" hidden="1" x14ac:dyDescent="0.2">
      <c r="C103" s="14" t="s">
        <v>10</v>
      </c>
      <c r="DX103" s="95">
        <v>4200</v>
      </c>
      <c r="DY103" s="14">
        <f>SUM(DX103:DX104)/1000</f>
        <v>8.4</v>
      </c>
    </row>
    <row r="104" spans="3:129" hidden="1" x14ac:dyDescent="0.2">
      <c r="C104" s="14" t="s">
        <v>10</v>
      </c>
      <c r="DX104" s="95">
        <v>4200</v>
      </c>
    </row>
    <row r="105" spans="3:129" hidden="1" x14ac:dyDescent="0.2">
      <c r="C105" s="14" t="s">
        <v>348</v>
      </c>
      <c r="DX105" s="95">
        <v>12400</v>
      </c>
      <c r="DY105" s="14">
        <f>SUM(DX105:DX106)/1000</f>
        <v>24.8</v>
      </c>
    </row>
    <row r="106" spans="3:129" hidden="1" x14ac:dyDescent="0.2">
      <c r="C106" s="14" t="s">
        <v>348</v>
      </c>
      <c r="DX106" s="95">
        <v>12400</v>
      </c>
    </row>
    <row r="107" spans="3:129" hidden="1" x14ac:dyDescent="0.2"/>
    <row r="108" spans="3:129" hidden="1" x14ac:dyDescent="0.2">
      <c r="DX108" s="96">
        <f>SUM(DX91:DX106)/1000</f>
        <v>275.25247999999999</v>
      </c>
    </row>
    <row r="109" spans="3:129" hidden="1" x14ac:dyDescent="0.2">
      <c r="DX109" s="96">
        <f>SUM(DX6:DX18,DX22:DX35,DX39:DX43,DX47:DX63,DX67:DX75,DX79:DX88)</f>
        <v>275.25247999999999</v>
      </c>
    </row>
    <row r="110" spans="3:129" hidden="1" x14ac:dyDescent="0.2">
      <c r="DX110" s="96">
        <f>+DX108-DX109</f>
        <v>0</v>
      </c>
    </row>
    <row r="111" spans="3:129" hidden="1" x14ac:dyDescent="0.2"/>
    <row r="112" spans="3:129" hidden="1" x14ac:dyDescent="0.2"/>
    <row r="113" spans="3:130" hidden="1" x14ac:dyDescent="0.2">
      <c r="C113" s="14" t="s">
        <v>328</v>
      </c>
      <c r="DW113" s="14" t="s">
        <v>459</v>
      </c>
      <c r="DY113" s="95">
        <v>22880</v>
      </c>
      <c r="DZ113" s="97">
        <f>+DY113/1000</f>
        <v>22.88</v>
      </c>
    </row>
    <row r="114" spans="3:130" hidden="1" x14ac:dyDescent="0.2">
      <c r="C114" s="14" t="s">
        <v>49</v>
      </c>
      <c r="DW114" s="14" t="s">
        <v>459</v>
      </c>
      <c r="DY114" s="95">
        <v>15575</v>
      </c>
      <c r="DZ114" s="97">
        <f t="shared" ref="DZ114:DZ132" si="2342">+DY114/1000</f>
        <v>15.574999999999999</v>
      </c>
    </row>
    <row r="115" spans="3:130" hidden="1" x14ac:dyDescent="0.2">
      <c r="C115" s="14" t="s">
        <v>49</v>
      </c>
      <c r="DW115" s="14" t="s">
        <v>528</v>
      </c>
      <c r="DY115" s="95">
        <v>8750</v>
      </c>
      <c r="DZ115" s="97">
        <f t="shared" si="2342"/>
        <v>8.75</v>
      </c>
    </row>
    <row r="116" spans="3:130" hidden="1" x14ac:dyDescent="0.2">
      <c r="C116" s="14" t="s">
        <v>49</v>
      </c>
      <c r="DW116" s="14" t="s">
        <v>529</v>
      </c>
      <c r="DY116" s="95">
        <v>8750</v>
      </c>
      <c r="DZ116" s="97">
        <f t="shared" si="2342"/>
        <v>8.75</v>
      </c>
    </row>
    <row r="117" spans="3:130" hidden="1" x14ac:dyDescent="0.2">
      <c r="C117" s="14" t="s">
        <v>109</v>
      </c>
      <c r="DW117" s="14" t="s">
        <v>459</v>
      </c>
      <c r="DY117" s="95">
        <v>495</v>
      </c>
      <c r="DZ117" s="97">
        <f t="shared" si="2342"/>
        <v>0.495</v>
      </c>
    </row>
    <row r="118" spans="3:130" hidden="1" x14ac:dyDescent="0.2">
      <c r="C118" s="14" t="s">
        <v>527</v>
      </c>
      <c r="DW118" s="14" t="s">
        <v>514</v>
      </c>
      <c r="DY118" s="95">
        <v>2628.8</v>
      </c>
      <c r="DZ118" s="97">
        <f t="shared" si="2342"/>
        <v>2.6288</v>
      </c>
    </row>
    <row r="119" spans="3:130" hidden="1" x14ac:dyDescent="0.2">
      <c r="C119" s="14" t="s">
        <v>526</v>
      </c>
      <c r="DW119" s="14" t="s">
        <v>509</v>
      </c>
      <c r="DY119" s="95">
        <v>25000</v>
      </c>
      <c r="DZ119" s="97">
        <f t="shared" si="2342"/>
        <v>25</v>
      </c>
    </row>
    <row r="120" spans="3:130" hidden="1" x14ac:dyDescent="0.2">
      <c r="C120" s="14" t="s">
        <v>521</v>
      </c>
      <c r="DW120" s="14" t="s">
        <v>514</v>
      </c>
      <c r="DY120" s="95">
        <v>11377.5</v>
      </c>
      <c r="DZ120" s="97">
        <f t="shared" si="2342"/>
        <v>11.3775</v>
      </c>
    </row>
    <row r="121" spans="3:130" hidden="1" x14ac:dyDescent="0.2">
      <c r="C121" s="14" t="s">
        <v>12</v>
      </c>
      <c r="DW121" s="14" t="s">
        <v>529</v>
      </c>
      <c r="DY121" s="95">
        <v>1500</v>
      </c>
      <c r="DZ121" s="97">
        <f t="shared" si="2342"/>
        <v>1.5</v>
      </c>
    </row>
    <row r="122" spans="3:130" hidden="1" x14ac:dyDescent="0.2">
      <c r="C122" s="14" t="s">
        <v>322</v>
      </c>
      <c r="DW122" s="14" t="s">
        <v>529</v>
      </c>
      <c r="DY122" s="95">
        <v>5250</v>
      </c>
      <c r="DZ122" s="97">
        <f t="shared" si="2342"/>
        <v>5.25</v>
      </c>
    </row>
    <row r="123" spans="3:130" hidden="1" x14ac:dyDescent="0.2">
      <c r="C123" s="14" t="s">
        <v>320</v>
      </c>
      <c r="DW123" s="14" t="s">
        <v>514</v>
      </c>
      <c r="DY123" s="95">
        <v>63412</v>
      </c>
      <c r="DZ123" s="97">
        <f t="shared" si="2342"/>
        <v>63.411999999999999</v>
      </c>
    </row>
    <row r="124" spans="3:130" hidden="1" x14ac:dyDescent="0.2">
      <c r="C124" s="14" t="s">
        <v>69</v>
      </c>
      <c r="DW124" s="14" t="s">
        <v>529</v>
      </c>
      <c r="DY124" s="95">
        <v>14500</v>
      </c>
      <c r="DZ124" s="97">
        <f t="shared" si="2342"/>
        <v>14.5</v>
      </c>
    </row>
    <row r="125" spans="3:130" hidden="1" x14ac:dyDescent="0.2">
      <c r="C125" s="14" t="s">
        <v>10</v>
      </c>
      <c r="DW125" s="14" t="s">
        <v>529</v>
      </c>
      <c r="DY125" s="95">
        <v>4200</v>
      </c>
      <c r="DZ125" s="97">
        <f t="shared" si="2342"/>
        <v>4.2</v>
      </c>
    </row>
    <row r="126" spans="3:130" hidden="1" x14ac:dyDescent="0.2">
      <c r="C126" s="14" t="s">
        <v>348</v>
      </c>
      <c r="DW126" s="14" t="s">
        <v>459</v>
      </c>
      <c r="DY126" s="95">
        <v>13640</v>
      </c>
      <c r="DZ126" s="97">
        <f t="shared" si="2342"/>
        <v>13.64</v>
      </c>
    </row>
    <row r="127" spans="3:130" hidden="1" x14ac:dyDescent="0.2">
      <c r="C127" s="14" t="s">
        <v>348</v>
      </c>
      <c r="DW127" s="14" t="s">
        <v>514</v>
      </c>
      <c r="DY127" s="95">
        <v>6200</v>
      </c>
      <c r="DZ127" s="97">
        <f t="shared" si="2342"/>
        <v>6.2</v>
      </c>
    </row>
    <row r="128" spans="3:130" hidden="1" x14ac:dyDescent="0.2">
      <c r="C128" s="14" t="s">
        <v>329</v>
      </c>
      <c r="DW128" s="14" t="s">
        <v>528</v>
      </c>
      <c r="DY128" s="95">
        <v>24777.599999999999</v>
      </c>
      <c r="DZ128" s="97">
        <f t="shared" si="2342"/>
        <v>24.7776</v>
      </c>
    </row>
    <row r="129" spans="3:130" hidden="1" x14ac:dyDescent="0.2">
      <c r="C129" s="14" t="s">
        <v>329</v>
      </c>
      <c r="DW129" s="14" t="s">
        <v>529</v>
      </c>
      <c r="DY129" s="95">
        <v>24777.599999999999</v>
      </c>
      <c r="DZ129" s="97">
        <f t="shared" si="2342"/>
        <v>24.7776</v>
      </c>
    </row>
    <row r="130" spans="3:130" hidden="1" x14ac:dyDescent="0.2">
      <c r="C130" s="14" t="s">
        <v>387</v>
      </c>
      <c r="DW130" s="14" t="s">
        <v>406</v>
      </c>
      <c r="DY130" s="95">
        <v>5722.25</v>
      </c>
      <c r="DZ130" s="97">
        <f t="shared" si="2342"/>
        <v>5.7222499999999998</v>
      </c>
    </row>
    <row r="131" spans="3:130" hidden="1" x14ac:dyDescent="0.2">
      <c r="C131" s="14" t="s">
        <v>387</v>
      </c>
      <c r="DW131" s="14" t="s">
        <v>459</v>
      </c>
      <c r="DY131" s="95">
        <v>41456.5</v>
      </c>
      <c r="DZ131" s="97">
        <f t="shared" si="2342"/>
        <v>41.456499999999998</v>
      </c>
    </row>
    <row r="132" spans="3:130" hidden="1" x14ac:dyDescent="0.2">
      <c r="C132" s="14" t="s">
        <v>387</v>
      </c>
      <c r="DW132" s="14" t="s">
        <v>514</v>
      </c>
      <c r="DY132" s="95">
        <v>11534.5</v>
      </c>
      <c r="DZ132" s="97">
        <f t="shared" si="2342"/>
        <v>11.5345</v>
      </c>
    </row>
    <row r="133" spans="3:130" hidden="1" x14ac:dyDescent="0.2"/>
    <row r="134" spans="3:130" hidden="1" x14ac:dyDescent="0.2"/>
    <row r="135" spans="3:130" hidden="1" x14ac:dyDescent="0.2">
      <c r="C135" s="14" t="s">
        <v>328</v>
      </c>
      <c r="DX135" s="97">
        <v>22880</v>
      </c>
      <c r="DY135" s="97">
        <f t="shared" ref="DY135:DY148" si="2343">+DX135/1000</f>
        <v>22.88</v>
      </c>
    </row>
    <row r="136" spans="3:130" hidden="1" x14ac:dyDescent="0.2">
      <c r="C136" s="14" t="s">
        <v>49</v>
      </c>
      <c r="DX136" s="97">
        <v>8750</v>
      </c>
      <c r="DY136" s="97">
        <f t="shared" si="2343"/>
        <v>8.75</v>
      </c>
    </row>
    <row r="137" spans="3:130" hidden="1" x14ac:dyDescent="0.2">
      <c r="C137" s="14" t="s">
        <v>49</v>
      </c>
      <c r="DX137" s="97">
        <v>15575</v>
      </c>
      <c r="DY137" s="97">
        <f t="shared" si="2343"/>
        <v>15.574999999999999</v>
      </c>
    </row>
    <row r="138" spans="3:130" hidden="1" x14ac:dyDescent="0.2">
      <c r="C138" s="14" t="s">
        <v>109</v>
      </c>
      <c r="DX138" s="97">
        <v>495</v>
      </c>
      <c r="DY138" s="97">
        <f t="shared" si="2343"/>
        <v>0.495</v>
      </c>
    </row>
    <row r="139" spans="3:130" hidden="1" x14ac:dyDescent="0.2">
      <c r="C139" s="14" t="s">
        <v>664</v>
      </c>
      <c r="DX139" s="97">
        <v>25000</v>
      </c>
      <c r="DY139" s="97">
        <f t="shared" si="2343"/>
        <v>25</v>
      </c>
    </row>
    <row r="140" spans="3:130" hidden="1" x14ac:dyDescent="0.2">
      <c r="C140" s="14" t="s">
        <v>521</v>
      </c>
      <c r="DX140" s="98">
        <v>11377.5</v>
      </c>
      <c r="DY140" s="98">
        <f t="shared" si="2343"/>
        <v>11.3775</v>
      </c>
    </row>
    <row r="141" spans="3:130" hidden="1" x14ac:dyDescent="0.2">
      <c r="C141" s="14" t="s">
        <v>12</v>
      </c>
      <c r="DX141" s="97">
        <v>1500</v>
      </c>
      <c r="DY141" s="97">
        <f t="shared" si="2343"/>
        <v>1.5</v>
      </c>
    </row>
    <row r="142" spans="3:130" hidden="1" x14ac:dyDescent="0.2">
      <c r="C142" s="14" t="s">
        <v>320</v>
      </c>
      <c r="DX142" s="97">
        <v>38360</v>
      </c>
      <c r="DY142" s="97">
        <f t="shared" si="2343"/>
        <v>38.36</v>
      </c>
    </row>
    <row r="143" spans="3:130" hidden="1" x14ac:dyDescent="0.2">
      <c r="C143" s="14" t="s">
        <v>69</v>
      </c>
      <c r="DX143" s="97">
        <v>14500</v>
      </c>
      <c r="DY143" s="97">
        <f t="shared" si="2343"/>
        <v>14.5</v>
      </c>
    </row>
    <row r="144" spans="3:130" hidden="1" x14ac:dyDescent="0.2">
      <c r="C144" s="14" t="s">
        <v>10</v>
      </c>
      <c r="DX144" s="97">
        <v>4200</v>
      </c>
      <c r="DY144" s="97">
        <f t="shared" si="2343"/>
        <v>4.2</v>
      </c>
    </row>
    <row r="145" spans="3:130" hidden="1" x14ac:dyDescent="0.2">
      <c r="C145" s="14" t="s">
        <v>348</v>
      </c>
      <c r="DX145" s="97">
        <v>6200</v>
      </c>
      <c r="DY145" s="97">
        <f t="shared" si="2343"/>
        <v>6.2</v>
      </c>
    </row>
    <row r="146" spans="3:130" hidden="1" x14ac:dyDescent="0.2">
      <c r="C146" s="14" t="s">
        <v>348</v>
      </c>
      <c r="DX146" s="97">
        <v>13640</v>
      </c>
      <c r="DY146" s="97">
        <f t="shared" si="2343"/>
        <v>13.64</v>
      </c>
      <c r="DZ146" s="14">
        <f>+DY146+DY145</f>
        <v>19.84</v>
      </c>
    </row>
    <row r="147" spans="3:130" hidden="1" x14ac:dyDescent="0.2">
      <c r="C147" s="14" t="s">
        <v>329</v>
      </c>
      <c r="DX147" s="97">
        <v>24777.599999999999</v>
      </c>
      <c r="DY147" s="97">
        <f t="shared" si="2343"/>
        <v>24.7776</v>
      </c>
    </row>
    <row r="148" spans="3:130" hidden="1" x14ac:dyDescent="0.2">
      <c r="C148" s="14" t="s">
        <v>329</v>
      </c>
      <c r="DX148" s="97">
        <v>24777.599999999999</v>
      </c>
      <c r="DY148" s="97">
        <f t="shared" si="2343"/>
        <v>24.7776</v>
      </c>
      <c r="DZ148" s="14">
        <f>+DY148+DY147</f>
        <v>49.555199999999999</v>
      </c>
    </row>
    <row r="149" spans="3:130" hidden="1" x14ac:dyDescent="0.2"/>
    <row r="150" spans="3:130" hidden="1" x14ac:dyDescent="0.2"/>
    <row r="151" spans="3:130" hidden="1" x14ac:dyDescent="0.2">
      <c r="C151" s="14" t="s">
        <v>49</v>
      </c>
      <c r="DW151" s="14" t="s">
        <v>529</v>
      </c>
      <c r="DY151" s="17">
        <v>8750</v>
      </c>
      <c r="DZ151" s="141">
        <f t="shared" ref="DZ151:DZ169" si="2344">+DY151/1000</f>
        <v>8.75</v>
      </c>
    </row>
    <row r="152" spans="3:130" hidden="1" x14ac:dyDescent="0.2">
      <c r="C152" s="14" t="s">
        <v>49</v>
      </c>
      <c r="DW152" s="14" t="s">
        <v>593</v>
      </c>
      <c r="DY152" s="17">
        <v>3456.25</v>
      </c>
      <c r="DZ152" s="141">
        <f t="shared" si="2344"/>
        <v>3.4562499999999998</v>
      </c>
    </row>
    <row r="153" spans="3:130" hidden="1" x14ac:dyDescent="0.2">
      <c r="C153" s="14" t="s">
        <v>49</v>
      </c>
      <c r="DW153" s="14" t="s">
        <v>667</v>
      </c>
      <c r="DY153" s="17">
        <v>8750</v>
      </c>
      <c r="DZ153" s="141">
        <f t="shared" si="2344"/>
        <v>8.75</v>
      </c>
    </row>
    <row r="154" spans="3:130" hidden="1" x14ac:dyDescent="0.2">
      <c r="C154" s="14" t="s">
        <v>664</v>
      </c>
      <c r="DW154" s="14" t="s">
        <v>589</v>
      </c>
      <c r="DY154" s="17">
        <v>25000</v>
      </c>
      <c r="DZ154" s="141">
        <f t="shared" si="2344"/>
        <v>25</v>
      </c>
    </row>
    <row r="155" spans="3:130" hidden="1" x14ac:dyDescent="0.2">
      <c r="C155" s="14" t="s">
        <v>527</v>
      </c>
      <c r="DW155" s="14" t="s">
        <v>514</v>
      </c>
      <c r="DY155" s="17">
        <v>2628.8</v>
      </c>
      <c r="DZ155" s="141">
        <f t="shared" si="2344"/>
        <v>2.6288</v>
      </c>
    </row>
    <row r="156" spans="3:130" hidden="1" x14ac:dyDescent="0.2">
      <c r="C156" s="14" t="s">
        <v>527</v>
      </c>
      <c r="DW156" s="14" t="s">
        <v>593</v>
      </c>
      <c r="DY156" s="17">
        <v>17046.8</v>
      </c>
      <c r="DZ156" s="141">
        <f t="shared" si="2344"/>
        <v>17.046799999999998</v>
      </c>
    </row>
    <row r="157" spans="3:130" hidden="1" x14ac:dyDescent="0.2">
      <c r="C157" s="14" t="s">
        <v>521</v>
      </c>
      <c r="DW157" s="14" t="s">
        <v>593</v>
      </c>
      <c r="DY157" s="17">
        <v>27472.5</v>
      </c>
      <c r="DZ157" s="141">
        <f t="shared" si="2344"/>
        <v>27.4725</v>
      </c>
    </row>
    <row r="158" spans="3:130" hidden="1" x14ac:dyDescent="0.2">
      <c r="C158" s="14" t="s">
        <v>12</v>
      </c>
      <c r="DW158" s="14" t="s">
        <v>667</v>
      </c>
      <c r="DY158" s="17">
        <v>1500</v>
      </c>
      <c r="DZ158" s="141">
        <f t="shared" si="2344"/>
        <v>1.5</v>
      </c>
    </row>
    <row r="159" spans="3:130" hidden="1" x14ac:dyDescent="0.2">
      <c r="C159" s="14" t="s">
        <v>322</v>
      </c>
      <c r="DW159" s="14" t="s">
        <v>529</v>
      </c>
      <c r="DY159" s="17">
        <v>5250</v>
      </c>
      <c r="DZ159" s="141">
        <f t="shared" si="2344"/>
        <v>5.25</v>
      </c>
    </row>
    <row r="160" spans="3:130" hidden="1" x14ac:dyDescent="0.2">
      <c r="C160" s="14" t="s">
        <v>322</v>
      </c>
      <c r="DW160" s="14" t="s">
        <v>667</v>
      </c>
      <c r="DY160" s="17">
        <v>5250</v>
      </c>
      <c r="DZ160" s="141">
        <f t="shared" si="2344"/>
        <v>5.25</v>
      </c>
    </row>
    <row r="161" spans="3:131" hidden="1" x14ac:dyDescent="0.2">
      <c r="C161" s="14" t="s">
        <v>320</v>
      </c>
      <c r="DW161" s="14" t="s">
        <v>593</v>
      </c>
      <c r="DY161" s="17">
        <v>77014</v>
      </c>
      <c r="DZ161" s="141">
        <f t="shared" si="2344"/>
        <v>77.013999999999996</v>
      </c>
    </row>
    <row r="162" spans="3:131" hidden="1" x14ac:dyDescent="0.2">
      <c r="C162" s="14" t="s">
        <v>69</v>
      </c>
      <c r="DW162" s="14" t="s">
        <v>667</v>
      </c>
      <c r="DY162" s="17">
        <v>14500</v>
      </c>
      <c r="DZ162" s="141">
        <f t="shared" si="2344"/>
        <v>14.5</v>
      </c>
    </row>
    <row r="163" spans="3:131" hidden="1" x14ac:dyDescent="0.2">
      <c r="C163" s="14" t="s">
        <v>10</v>
      </c>
      <c r="DW163" s="14" t="s">
        <v>667</v>
      </c>
      <c r="DY163" s="17">
        <v>4200</v>
      </c>
      <c r="DZ163" s="141">
        <f t="shared" si="2344"/>
        <v>4.2</v>
      </c>
    </row>
    <row r="164" spans="3:131" hidden="1" x14ac:dyDescent="0.2">
      <c r="C164" s="14" t="s">
        <v>329</v>
      </c>
      <c r="DW164" s="14" t="s">
        <v>667</v>
      </c>
      <c r="DY164" s="17">
        <v>24777.599999999999</v>
      </c>
      <c r="DZ164" s="141">
        <f t="shared" si="2344"/>
        <v>24.7776</v>
      </c>
    </row>
    <row r="165" spans="3:131" hidden="1" x14ac:dyDescent="0.2">
      <c r="C165" s="14" t="s">
        <v>387</v>
      </c>
      <c r="DW165" s="14" t="s">
        <v>406</v>
      </c>
      <c r="DY165" s="17">
        <v>5722.25</v>
      </c>
      <c r="DZ165" s="141">
        <f t="shared" si="2344"/>
        <v>5.7222499999999998</v>
      </c>
      <c r="EA165" s="140">
        <f>+DZ165+DZ168+DZ169</f>
        <v>22.411250000000003</v>
      </c>
    </row>
    <row r="166" spans="3:131" hidden="1" x14ac:dyDescent="0.2">
      <c r="C166" s="14" t="s">
        <v>387</v>
      </c>
      <c r="DW166" s="14" t="s">
        <v>459</v>
      </c>
      <c r="DY166" s="17">
        <v>41456.5</v>
      </c>
      <c r="DZ166" s="141">
        <f t="shared" si="2344"/>
        <v>41.456499999999998</v>
      </c>
    </row>
    <row r="167" spans="3:131" hidden="1" x14ac:dyDescent="0.2">
      <c r="C167" s="14" t="s">
        <v>387</v>
      </c>
      <c r="DW167" s="14" t="s">
        <v>514</v>
      </c>
      <c r="DY167" s="17">
        <v>11534.5</v>
      </c>
      <c r="DZ167" s="141">
        <f t="shared" si="2344"/>
        <v>11.5345</v>
      </c>
    </row>
    <row r="168" spans="3:131" hidden="1" x14ac:dyDescent="0.2">
      <c r="C168" s="14" t="s">
        <v>387</v>
      </c>
      <c r="DW168" s="14" t="s">
        <v>593</v>
      </c>
      <c r="DY168" s="17">
        <v>8289</v>
      </c>
      <c r="DZ168" s="141">
        <f t="shared" si="2344"/>
        <v>8.2889999999999997</v>
      </c>
    </row>
    <row r="169" spans="3:131" hidden="1" x14ac:dyDescent="0.2">
      <c r="C169" s="14" t="s">
        <v>387</v>
      </c>
      <c r="DW169" s="14" t="s">
        <v>593</v>
      </c>
      <c r="DY169" s="17">
        <v>8400</v>
      </c>
      <c r="DZ169" s="141">
        <f t="shared" si="2344"/>
        <v>8.4</v>
      </c>
    </row>
    <row r="170" spans="3:131" hidden="1" x14ac:dyDescent="0.2"/>
    <row r="171" spans="3:131" hidden="1" x14ac:dyDescent="0.2">
      <c r="C171" s="14" t="s">
        <v>49</v>
      </c>
      <c r="DY171" s="17">
        <v>8750</v>
      </c>
      <c r="DZ171" s="142">
        <f>+DY171/1000</f>
        <v>8.75</v>
      </c>
    </row>
    <row r="172" spans="3:131" hidden="1" x14ac:dyDescent="0.2">
      <c r="C172" s="14" t="s">
        <v>527</v>
      </c>
      <c r="DY172" s="17">
        <v>2628.8</v>
      </c>
      <c r="DZ172" s="142">
        <f t="shared" ref="DZ172:DZ179" si="2345">+DY172/1000</f>
        <v>2.6288</v>
      </c>
    </row>
    <row r="173" spans="3:131" hidden="1" x14ac:dyDescent="0.2">
      <c r="C173" s="14" t="s">
        <v>12</v>
      </c>
      <c r="DY173" s="17">
        <v>1500</v>
      </c>
      <c r="DZ173" s="142">
        <f t="shared" si="2345"/>
        <v>1.5</v>
      </c>
    </row>
    <row r="174" spans="3:131" hidden="1" x14ac:dyDescent="0.2">
      <c r="C174" s="14" t="s">
        <v>322</v>
      </c>
      <c r="DY174" s="17">
        <v>5250</v>
      </c>
      <c r="DZ174" s="142">
        <f t="shared" si="2345"/>
        <v>5.25</v>
      </c>
    </row>
    <row r="175" spans="3:131" hidden="1" x14ac:dyDescent="0.2">
      <c r="C175" s="14" t="s">
        <v>322</v>
      </c>
      <c r="DY175" s="17">
        <v>5250</v>
      </c>
      <c r="DZ175" s="142">
        <f t="shared" si="2345"/>
        <v>5.25</v>
      </c>
    </row>
    <row r="176" spans="3:131" hidden="1" x14ac:dyDescent="0.2">
      <c r="C176" s="14" t="s">
        <v>320</v>
      </c>
      <c r="DY176" s="17">
        <v>77014</v>
      </c>
      <c r="DZ176" s="142">
        <f t="shared" si="2345"/>
        <v>77.013999999999996</v>
      </c>
    </row>
    <row r="177" spans="3:131" hidden="1" x14ac:dyDescent="0.2">
      <c r="C177" s="14" t="s">
        <v>320</v>
      </c>
      <c r="DY177" s="17">
        <v>63412</v>
      </c>
      <c r="DZ177" s="142">
        <f t="shared" si="2345"/>
        <v>63.411999999999999</v>
      </c>
    </row>
    <row r="178" spans="3:131" hidden="1" x14ac:dyDescent="0.2">
      <c r="C178" s="14" t="s">
        <v>10</v>
      </c>
      <c r="DY178" s="17">
        <v>4200</v>
      </c>
      <c r="DZ178" s="142">
        <f t="shared" si="2345"/>
        <v>4.2</v>
      </c>
    </row>
    <row r="179" spans="3:131" hidden="1" x14ac:dyDescent="0.2">
      <c r="C179" s="14" t="s">
        <v>329</v>
      </c>
      <c r="DY179" s="17">
        <v>24777.599999999999</v>
      </c>
      <c r="DZ179" s="142">
        <f t="shared" si="2345"/>
        <v>24.7776</v>
      </c>
    </row>
    <row r="180" spans="3:131" hidden="1" x14ac:dyDescent="0.2"/>
    <row r="181" spans="3:131" hidden="1" x14ac:dyDescent="0.2"/>
    <row r="182" spans="3:131" hidden="1" x14ac:dyDescent="0.2">
      <c r="C182" s="14" t="s">
        <v>49</v>
      </c>
      <c r="DX182" s="97" t="s">
        <v>593</v>
      </c>
      <c r="DY182" s="97"/>
      <c r="DZ182" s="95">
        <v>3456.25</v>
      </c>
      <c r="EA182" s="142">
        <f>+DZ182/1000</f>
        <v>3.4562499999999998</v>
      </c>
    </row>
    <row r="183" spans="3:131" hidden="1" x14ac:dyDescent="0.2">
      <c r="C183" s="14" t="s">
        <v>49</v>
      </c>
      <c r="DX183" s="97" t="s">
        <v>667</v>
      </c>
      <c r="DY183" s="97"/>
      <c r="DZ183" s="95">
        <v>8750</v>
      </c>
      <c r="EA183" s="142">
        <f t="shared" ref="EA183:EA202" si="2346">+DZ183/1000</f>
        <v>8.75</v>
      </c>
    </row>
    <row r="184" spans="3:131" hidden="1" x14ac:dyDescent="0.2">
      <c r="C184" s="14" t="s">
        <v>49</v>
      </c>
      <c r="DX184" s="97" t="s">
        <v>739</v>
      </c>
      <c r="DY184" s="97"/>
      <c r="DZ184" s="95">
        <v>8750</v>
      </c>
      <c r="EA184" s="142">
        <f t="shared" si="2346"/>
        <v>8.75</v>
      </c>
    </row>
    <row r="185" spans="3:131" hidden="1" x14ac:dyDescent="0.2">
      <c r="C185" s="14" t="s">
        <v>664</v>
      </c>
      <c r="DX185" s="97" t="s">
        <v>589</v>
      </c>
      <c r="DY185" s="97"/>
      <c r="DZ185" s="95">
        <v>25000</v>
      </c>
      <c r="EA185" s="142">
        <f t="shared" si="2346"/>
        <v>25</v>
      </c>
    </row>
    <row r="186" spans="3:131" hidden="1" x14ac:dyDescent="0.2">
      <c r="C186" s="14" t="s">
        <v>664</v>
      </c>
      <c r="DX186" s="97" t="s">
        <v>740</v>
      </c>
      <c r="DY186" s="97"/>
      <c r="DZ186" s="95">
        <v>20000</v>
      </c>
      <c r="EA186" s="142">
        <f t="shared" si="2346"/>
        <v>20</v>
      </c>
    </row>
    <row r="187" spans="3:131" hidden="1" x14ac:dyDescent="0.2">
      <c r="C187" s="14" t="s">
        <v>527</v>
      </c>
      <c r="DX187" s="97" t="s">
        <v>593</v>
      </c>
      <c r="DY187" s="97"/>
      <c r="DZ187" s="95">
        <v>17046.8</v>
      </c>
      <c r="EA187" s="142">
        <f t="shared" si="2346"/>
        <v>17.046799999999998</v>
      </c>
    </row>
    <row r="188" spans="3:131" hidden="1" x14ac:dyDescent="0.2">
      <c r="C188" s="14" t="s">
        <v>527</v>
      </c>
      <c r="DX188" s="97" t="s">
        <v>741</v>
      </c>
      <c r="DY188" s="97"/>
      <c r="DZ188" s="95">
        <v>16716.8</v>
      </c>
      <c r="EA188" s="142">
        <f t="shared" si="2346"/>
        <v>16.716799999999999</v>
      </c>
    </row>
    <row r="189" spans="3:131" hidden="1" x14ac:dyDescent="0.2">
      <c r="C189" s="14" t="s">
        <v>521</v>
      </c>
      <c r="DX189" s="97" t="s">
        <v>593</v>
      </c>
      <c r="DY189" s="97"/>
      <c r="DZ189" s="95">
        <v>27472.5</v>
      </c>
      <c r="EA189" s="142">
        <f t="shared" si="2346"/>
        <v>27.4725</v>
      </c>
    </row>
    <row r="190" spans="3:131" hidden="1" x14ac:dyDescent="0.2">
      <c r="C190" s="14" t="s">
        <v>521</v>
      </c>
      <c r="DX190" s="97" t="s">
        <v>741</v>
      </c>
      <c r="DY190" s="97"/>
      <c r="DZ190" s="95">
        <v>2855</v>
      </c>
      <c r="EA190" s="142">
        <f t="shared" si="2346"/>
        <v>2.855</v>
      </c>
    </row>
    <row r="191" spans="3:131" hidden="1" x14ac:dyDescent="0.2">
      <c r="C191" s="14" t="s">
        <v>737</v>
      </c>
      <c r="DX191" s="97" t="s">
        <v>739</v>
      </c>
      <c r="DY191" s="97"/>
      <c r="DZ191" s="95">
        <v>34500</v>
      </c>
      <c r="EA191" s="142">
        <f t="shared" si="2346"/>
        <v>34.5</v>
      </c>
    </row>
    <row r="192" spans="3:131" hidden="1" x14ac:dyDescent="0.2">
      <c r="C192" s="14" t="s">
        <v>738</v>
      </c>
      <c r="DX192" s="97" t="s">
        <v>739</v>
      </c>
      <c r="DY192" s="97"/>
      <c r="DZ192" s="95">
        <v>10000</v>
      </c>
      <c r="EA192" s="142">
        <f t="shared" si="2346"/>
        <v>10</v>
      </c>
    </row>
    <row r="193" spans="3:132" hidden="1" x14ac:dyDescent="0.2">
      <c r="C193" s="14" t="s">
        <v>12</v>
      </c>
      <c r="DX193" s="97" t="s">
        <v>739</v>
      </c>
      <c r="DY193" s="97"/>
      <c r="DZ193" s="95">
        <v>1500</v>
      </c>
      <c r="EA193" s="142">
        <f t="shared" si="2346"/>
        <v>1.5</v>
      </c>
    </row>
    <row r="194" spans="3:132" hidden="1" x14ac:dyDescent="0.2">
      <c r="C194" s="14" t="s">
        <v>320</v>
      </c>
      <c r="DX194" s="97" t="s">
        <v>741</v>
      </c>
      <c r="DY194" s="97"/>
      <c r="DZ194" s="95">
        <v>68320</v>
      </c>
      <c r="EA194" s="142">
        <f t="shared" si="2346"/>
        <v>68.319999999999993</v>
      </c>
    </row>
    <row r="195" spans="3:132" hidden="1" x14ac:dyDescent="0.2">
      <c r="C195" s="14" t="s">
        <v>69</v>
      </c>
      <c r="DX195" s="97" t="s">
        <v>739</v>
      </c>
      <c r="DY195" s="97"/>
      <c r="DZ195" s="95">
        <v>14500</v>
      </c>
      <c r="EA195" s="142">
        <f t="shared" si="2346"/>
        <v>14.5</v>
      </c>
    </row>
    <row r="196" spans="3:132" hidden="1" x14ac:dyDescent="0.2">
      <c r="C196" s="14" t="s">
        <v>10</v>
      </c>
      <c r="DX196" s="97" t="s">
        <v>739</v>
      </c>
      <c r="DY196" s="97"/>
      <c r="DZ196" s="95">
        <v>4200</v>
      </c>
      <c r="EA196" s="142">
        <f t="shared" si="2346"/>
        <v>4.2</v>
      </c>
    </row>
    <row r="197" spans="3:132" hidden="1" x14ac:dyDescent="0.2">
      <c r="C197" s="14" t="s">
        <v>329</v>
      </c>
      <c r="DX197" s="97" t="s">
        <v>739</v>
      </c>
      <c r="DY197" s="97"/>
      <c r="DZ197" s="95">
        <v>24777.599999999999</v>
      </c>
      <c r="EA197" s="142">
        <f t="shared" si="2346"/>
        <v>24.7776</v>
      </c>
    </row>
    <row r="198" spans="3:132" hidden="1" x14ac:dyDescent="0.2">
      <c r="C198" s="14" t="s">
        <v>387</v>
      </c>
      <c r="DX198" s="97" t="s">
        <v>406</v>
      </c>
      <c r="DY198" s="97"/>
      <c r="DZ198" s="95">
        <v>5722.25</v>
      </c>
      <c r="EA198" s="142">
        <f t="shared" si="2346"/>
        <v>5.7222499999999998</v>
      </c>
    </row>
    <row r="199" spans="3:132" hidden="1" x14ac:dyDescent="0.2">
      <c r="C199" s="14" t="s">
        <v>387</v>
      </c>
      <c r="DX199" s="97" t="s">
        <v>459</v>
      </c>
      <c r="DY199" s="97"/>
      <c r="DZ199" s="95">
        <v>41456.5</v>
      </c>
      <c r="EA199" s="142">
        <f t="shared" si="2346"/>
        <v>41.456499999999998</v>
      </c>
    </row>
    <row r="200" spans="3:132" hidden="1" x14ac:dyDescent="0.2">
      <c r="C200" s="14" t="s">
        <v>387</v>
      </c>
      <c r="DX200" s="97" t="s">
        <v>514</v>
      </c>
      <c r="DY200" s="97"/>
      <c r="DZ200" s="95">
        <v>11534.5</v>
      </c>
      <c r="EA200" s="142">
        <f t="shared" si="2346"/>
        <v>11.5345</v>
      </c>
    </row>
    <row r="201" spans="3:132" hidden="1" x14ac:dyDescent="0.2">
      <c r="C201" s="14" t="s">
        <v>387</v>
      </c>
      <c r="DX201" s="97" t="s">
        <v>593</v>
      </c>
      <c r="DY201" s="97"/>
      <c r="DZ201" s="95">
        <v>8289</v>
      </c>
      <c r="EA201" s="142">
        <f t="shared" si="2346"/>
        <v>8.2889999999999997</v>
      </c>
    </row>
    <row r="202" spans="3:132" hidden="1" x14ac:dyDescent="0.2">
      <c r="C202" s="14" t="s">
        <v>387</v>
      </c>
      <c r="DX202" s="97" t="s">
        <v>593</v>
      </c>
      <c r="DY202" s="97"/>
      <c r="DZ202" s="95">
        <v>8400</v>
      </c>
      <c r="EA202" s="142">
        <f t="shared" si="2346"/>
        <v>8.4</v>
      </c>
      <c r="EB202" s="143"/>
    </row>
    <row r="203" spans="3:132" hidden="1" x14ac:dyDescent="0.2"/>
    <row r="204" spans="3:132" hidden="1" x14ac:dyDescent="0.2"/>
    <row r="207" spans="3:132" x14ac:dyDescent="0.2">
      <c r="C207" s="14" t="s">
        <v>838</v>
      </c>
      <c r="DZ207" s="17">
        <v>9987</v>
      </c>
      <c r="EA207" s="95">
        <f t="shared" ref="EA207:EA216" si="2347">+DZ207/1000</f>
        <v>9.9870000000000001</v>
      </c>
    </row>
    <row r="208" spans="3:132" x14ac:dyDescent="0.2">
      <c r="C208" s="14" t="s">
        <v>49</v>
      </c>
      <c r="DZ208" s="17">
        <v>3456.25</v>
      </c>
      <c r="EA208" s="95">
        <f t="shared" si="2347"/>
        <v>3.4562499999999998</v>
      </c>
    </row>
    <row r="209" spans="3:133" x14ac:dyDescent="0.2">
      <c r="C209" s="14" t="s">
        <v>49</v>
      </c>
      <c r="DZ209" s="17">
        <v>8750</v>
      </c>
      <c r="EA209" s="95">
        <f t="shared" si="2347"/>
        <v>8.75</v>
      </c>
    </row>
    <row r="210" spans="3:133" x14ac:dyDescent="0.2">
      <c r="C210" s="14" t="s">
        <v>527</v>
      </c>
      <c r="DZ210" s="17">
        <v>17046.8</v>
      </c>
      <c r="EA210" s="95">
        <f t="shared" si="2347"/>
        <v>17.046799999999998</v>
      </c>
    </row>
    <row r="211" spans="3:133" x14ac:dyDescent="0.2">
      <c r="C211" s="14" t="s">
        <v>521</v>
      </c>
      <c r="DZ211" s="17">
        <v>2855</v>
      </c>
      <c r="EA211" s="95">
        <f t="shared" si="2347"/>
        <v>2.855</v>
      </c>
      <c r="EB211" s="17"/>
    </row>
    <row r="212" spans="3:133" x14ac:dyDescent="0.2">
      <c r="C212" s="14" t="s">
        <v>521</v>
      </c>
      <c r="DZ212" s="17">
        <v>27472.5</v>
      </c>
      <c r="EA212" s="95">
        <f t="shared" si="2347"/>
        <v>27.4725</v>
      </c>
    </row>
    <row r="213" spans="3:133" x14ac:dyDescent="0.2">
      <c r="C213" s="14" t="s">
        <v>12</v>
      </c>
      <c r="DZ213" s="17">
        <v>1500</v>
      </c>
      <c r="EA213" s="95">
        <f t="shared" si="2347"/>
        <v>1.5</v>
      </c>
    </row>
    <row r="214" spans="3:133" x14ac:dyDescent="0.2">
      <c r="C214" s="14" t="s">
        <v>484</v>
      </c>
      <c r="DZ214" s="17">
        <v>14500</v>
      </c>
      <c r="EA214" s="95">
        <f t="shared" si="2347"/>
        <v>14.5</v>
      </c>
    </row>
    <row r="215" spans="3:133" x14ac:dyDescent="0.2">
      <c r="C215" s="14" t="s">
        <v>329</v>
      </c>
      <c r="DZ215" s="17">
        <v>24777.599999999999</v>
      </c>
      <c r="EA215" s="95">
        <f t="shared" si="2347"/>
        <v>24.7776</v>
      </c>
    </row>
    <row r="216" spans="3:133" x14ac:dyDescent="0.2">
      <c r="C216" s="14" t="s">
        <v>387</v>
      </c>
      <c r="DZ216" s="17">
        <v>5722.25</v>
      </c>
      <c r="EA216" s="95">
        <f t="shared" si="2347"/>
        <v>5.7222499999999998</v>
      </c>
      <c r="EB216" s="17">
        <f>SUM(EA207:EA216)</f>
        <v>116.06739999999999</v>
      </c>
      <c r="EC216" s="17">
        <f>SUM(EA6:EA18,EA22:EA35,EA39:EA43,EA47:EA63,EA67:EA75,EA79:EA88)</f>
        <v>116.06739999999999</v>
      </c>
    </row>
  </sheetData>
  <sortState xmlns:xlrd2="http://schemas.microsoft.com/office/spreadsheetml/2017/richdata2" ref="C207:EA216">
    <sortCondition ref="C207:C216"/>
  </sortState>
  <mergeCells count="1">
    <mergeCell ref="E2:G2"/>
  </mergeCells>
  <phoneticPr fontId="15" type="noConversion"/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B88C-EEF6-4382-A202-6712D3FD25F4}">
  <dimension ref="A1:AV339"/>
  <sheetViews>
    <sheetView workbookViewId="0">
      <pane xSplit="2" ySplit="3" topLeftCell="C160" activePane="bottomRight" state="frozen"/>
      <selection pane="topRight" activeCell="B1" sqref="B1"/>
      <selection pane="bottomLeft" activeCell="A3" sqref="A3"/>
      <selection pane="bottomRight" activeCell="F172" sqref="F172"/>
    </sheetView>
  </sheetViews>
  <sheetFormatPr baseColWidth="10" defaultColWidth="9.1640625" defaultRowHeight="14" x14ac:dyDescent="0.2"/>
  <cols>
    <col min="1" max="1" width="2.6640625" style="26" customWidth="1"/>
    <col min="2" max="2" width="30.6640625" style="26" customWidth="1"/>
    <col min="3" max="14" width="9.6640625" style="26" customWidth="1"/>
    <col min="15" max="15" width="2.6640625" style="26" customWidth="1"/>
    <col min="16" max="27" width="9.6640625" style="26" customWidth="1"/>
    <col min="28" max="28" width="2.6640625" style="26" customWidth="1"/>
    <col min="29" max="32" width="10.6640625" style="26" customWidth="1"/>
    <col min="33" max="33" width="2.6640625" style="26" customWidth="1"/>
    <col min="34" max="37" width="10.6640625" style="26" customWidth="1"/>
    <col min="38" max="38" width="2.6640625" style="26" customWidth="1"/>
    <col min="39" max="40" width="10.6640625" style="26" customWidth="1"/>
    <col min="41" max="41" width="2.6640625" style="26" customWidth="1"/>
    <col min="42" max="43" width="6.6640625" style="26" customWidth="1"/>
    <col min="44" max="16384" width="9.1640625" style="26"/>
  </cols>
  <sheetData>
    <row r="1" spans="1:46" ht="16" x14ac:dyDescent="0.2">
      <c r="A1" s="15" t="s">
        <v>116</v>
      </c>
    </row>
    <row r="2" spans="1:46" x14ac:dyDescent="0.2">
      <c r="R2" s="160">
        <v>0.03</v>
      </c>
    </row>
    <row r="3" spans="1:46" x14ac:dyDescent="0.2">
      <c r="B3" s="28"/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O3" s="9"/>
      <c r="P3" s="9">
        <f>EDATE(N3,1)</f>
        <v>46023</v>
      </c>
      <c r="Q3" s="9">
        <f>EDATE(P3,1)</f>
        <v>46054</v>
      </c>
      <c r="R3" s="9">
        <f t="shared" ref="R3:AA3" si="1">EDATE(Q3,1)</f>
        <v>46082</v>
      </c>
      <c r="S3" s="9">
        <f t="shared" si="1"/>
        <v>46113</v>
      </c>
      <c r="T3" s="9">
        <f t="shared" si="1"/>
        <v>46143</v>
      </c>
      <c r="U3" s="9">
        <f t="shared" si="1"/>
        <v>46174</v>
      </c>
      <c r="V3" s="9">
        <f t="shared" si="1"/>
        <v>46204</v>
      </c>
      <c r="W3" s="9">
        <f t="shared" si="1"/>
        <v>46235</v>
      </c>
      <c r="X3" s="9">
        <f t="shared" si="1"/>
        <v>46266</v>
      </c>
      <c r="Y3" s="9">
        <f t="shared" si="1"/>
        <v>46296</v>
      </c>
      <c r="Z3" s="9">
        <f t="shared" si="1"/>
        <v>46327</v>
      </c>
      <c r="AA3" s="9">
        <f t="shared" si="1"/>
        <v>46357</v>
      </c>
      <c r="AB3" s="10"/>
      <c r="AC3" s="10" t="s">
        <v>1200</v>
      </c>
      <c r="AD3" s="10" t="s">
        <v>1201</v>
      </c>
      <c r="AE3" s="10" t="s">
        <v>1202</v>
      </c>
      <c r="AF3" s="10" t="s">
        <v>1203</v>
      </c>
      <c r="AG3" s="10"/>
      <c r="AH3" s="10" t="s">
        <v>1204</v>
      </c>
      <c r="AI3" s="10" t="s">
        <v>1205</v>
      </c>
      <c r="AJ3" s="10" t="s">
        <v>1206</v>
      </c>
      <c r="AK3" s="10" t="s">
        <v>1207</v>
      </c>
      <c r="AL3" s="10"/>
      <c r="AM3" s="11">
        <v>2025</v>
      </c>
      <c r="AN3" s="11">
        <v>2026</v>
      </c>
      <c r="AO3" s="1"/>
      <c r="AP3" s="3" t="s">
        <v>13</v>
      </c>
      <c r="AQ3" s="3" t="s">
        <v>13</v>
      </c>
      <c r="AS3" s="3"/>
    </row>
    <row r="4" spans="1:46" x14ac:dyDescent="0.2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8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1"/>
      <c r="AO4" s="1"/>
      <c r="AP4" s="3"/>
      <c r="AQ4" s="3"/>
      <c r="AS4" s="3"/>
    </row>
    <row r="5" spans="1:46" x14ac:dyDescent="0.2">
      <c r="B5" s="176" t="s">
        <v>119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8"/>
      <c r="AO5" s="1"/>
      <c r="AP5" s="3"/>
      <c r="AQ5" s="3"/>
      <c r="AS5" s="3"/>
    </row>
    <row r="6" spans="1:46" x14ac:dyDescent="0.2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8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1"/>
      <c r="AO6" s="1"/>
      <c r="AP6" s="3"/>
      <c r="AQ6" s="3"/>
      <c r="AS6" s="3"/>
    </row>
    <row r="7" spans="1:46" x14ac:dyDescent="0.2">
      <c r="B7" s="30" t="s">
        <v>117</v>
      </c>
      <c r="C7" s="99">
        <v>9545.14</v>
      </c>
      <c r="D7" s="99">
        <v>9545.76</v>
      </c>
      <c r="E7" s="99">
        <v>4772.8799999999992</v>
      </c>
      <c r="F7" s="99">
        <v>0</v>
      </c>
      <c r="G7" s="99">
        <v>0</v>
      </c>
      <c r="H7" s="99">
        <v>0</v>
      </c>
      <c r="I7" s="99">
        <v>0</v>
      </c>
      <c r="J7" s="99">
        <v>0</v>
      </c>
      <c r="K7" s="99">
        <v>0</v>
      </c>
      <c r="L7" s="99">
        <v>0</v>
      </c>
      <c r="M7" s="99">
        <v>0</v>
      </c>
      <c r="N7" s="13">
        <v>0</v>
      </c>
      <c r="O7" s="9"/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8"/>
      <c r="AC7" s="4">
        <f>SUM(C7:E7)</f>
        <v>23863.78</v>
      </c>
      <c r="AD7" s="4">
        <f>SUM(F7:H7)</f>
        <v>0</v>
      </c>
      <c r="AE7" s="4">
        <f>SUM(I7:K7)</f>
        <v>0</v>
      </c>
      <c r="AF7" s="4">
        <f>SUM(L7:N7)</f>
        <v>0</v>
      </c>
      <c r="AG7" s="4"/>
      <c r="AH7" s="4">
        <f>SUM(P7:R7)</f>
        <v>0</v>
      </c>
      <c r="AI7" s="4">
        <f>SUM(S7:U7)</f>
        <v>0</v>
      </c>
      <c r="AJ7" s="4">
        <f>SUM(V7:X7)</f>
        <v>0</v>
      </c>
      <c r="AK7" s="4">
        <f>SUM(Y7:AA7)</f>
        <v>0</v>
      </c>
      <c r="AL7" s="4"/>
      <c r="AM7" s="4">
        <f>SUM(C7:N7)</f>
        <v>23863.78</v>
      </c>
      <c r="AN7" s="4">
        <f>SUM(P7:AA7)</f>
        <v>0</v>
      </c>
      <c r="AO7" s="1"/>
      <c r="AP7" s="25">
        <f>ROUND(SUM(AC7:AF7)-AM7,2)</f>
        <v>0</v>
      </c>
      <c r="AQ7" s="25">
        <f>ROUND(SUM(AH7:AK7)-AN7,2)</f>
        <v>0</v>
      </c>
      <c r="AS7" s="3">
        <v>0</v>
      </c>
      <c r="AT7" s="27">
        <f>+AD7-AS7</f>
        <v>0</v>
      </c>
    </row>
    <row r="8" spans="1:46" x14ac:dyDescent="0.2">
      <c r="B8" s="30" t="s">
        <v>25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13">
        <v>0</v>
      </c>
      <c r="O8" s="9"/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8"/>
      <c r="AC8" s="4">
        <f>SUM(C8:E8)</f>
        <v>0</v>
      </c>
      <c r="AD8" s="4">
        <f>SUM(F8:H8)</f>
        <v>0</v>
      </c>
      <c r="AE8" s="4">
        <f>SUM(I8:K8)</f>
        <v>0</v>
      </c>
      <c r="AF8" s="4">
        <f>SUM(L8:N8)</f>
        <v>0</v>
      </c>
      <c r="AG8" s="4"/>
      <c r="AH8" s="4">
        <f t="shared" ref="AH8:AH9" si="2">SUM(P8:R8)</f>
        <v>0</v>
      </c>
      <c r="AI8" s="4">
        <f t="shared" ref="AI8:AI9" si="3">SUM(S8:U8)</f>
        <v>0</v>
      </c>
      <c r="AJ8" s="4">
        <f t="shared" ref="AJ8:AJ9" si="4">SUM(V8:X8)</f>
        <v>0</v>
      </c>
      <c r="AK8" s="4">
        <f t="shared" ref="AK8:AK9" si="5">SUM(Y8:AA8)</f>
        <v>0</v>
      </c>
      <c r="AL8" s="4"/>
      <c r="AM8" s="4">
        <f>SUM(C8:N8)</f>
        <v>0</v>
      </c>
      <c r="AN8" s="4">
        <f>SUM(P8:AA8)</f>
        <v>0</v>
      </c>
      <c r="AO8" s="1"/>
      <c r="AP8" s="25">
        <f>ROUND(SUM(AC8:AF8)-AM8,2)</f>
        <v>0</v>
      </c>
      <c r="AQ8" s="25">
        <f t="shared" ref="AQ8:AQ10" si="6">ROUND(SUM(AH8:AK8)-AN8,2)</f>
        <v>0</v>
      </c>
      <c r="AS8" s="3">
        <v>0</v>
      </c>
      <c r="AT8" s="27">
        <f t="shared" ref="AT8:AT10" si="7">+AD8-AS8</f>
        <v>0</v>
      </c>
    </row>
    <row r="9" spans="1:46" x14ac:dyDescent="0.2">
      <c r="B9" s="30" t="s">
        <v>118</v>
      </c>
      <c r="C9" s="99">
        <v>4495.74</v>
      </c>
      <c r="D9" s="99">
        <v>4325.62</v>
      </c>
      <c r="E9" s="99">
        <v>2162.8100000000004</v>
      </c>
      <c r="F9" s="99">
        <v>0</v>
      </c>
      <c r="G9" s="99">
        <v>0</v>
      </c>
      <c r="H9" s="99">
        <v>0</v>
      </c>
      <c r="I9" s="99">
        <v>0</v>
      </c>
      <c r="J9" s="99">
        <v>0</v>
      </c>
      <c r="K9" s="99">
        <v>0</v>
      </c>
      <c r="L9" s="99">
        <v>0</v>
      </c>
      <c r="M9" s="99">
        <v>0</v>
      </c>
      <c r="N9" s="13">
        <v>0</v>
      </c>
      <c r="O9" s="9"/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8"/>
      <c r="AC9" s="4">
        <f>SUM(C9:E9)</f>
        <v>10984.170000000002</v>
      </c>
      <c r="AD9" s="4">
        <f>SUM(F9:H9)</f>
        <v>0</v>
      </c>
      <c r="AE9" s="4">
        <f>SUM(I9:K9)</f>
        <v>0</v>
      </c>
      <c r="AF9" s="4">
        <f>SUM(L9:N9)</f>
        <v>0</v>
      </c>
      <c r="AG9" s="4"/>
      <c r="AH9" s="4">
        <f t="shared" si="2"/>
        <v>0</v>
      </c>
      <c r="AI9" s="4">
        <f t="shared" si="3"/>
        <v>0</v>
      </c>
      <c r="AJ9" s="4">
        <f t="shared" si="4"/>
        <v>0</v>
      </c>
      <c r="AK9" s="4">
        <f t="shared" si="5"/>
        <v>0</v>
      </c>
      <c r="AL9" s="4"/>
      <c r="AM9" s="4">
        <f>SUM(C9:N9)</f>
        <v>10984.170000000002</v>
      </c>
      <c r="AN9" s="4">
        <f>SUM(P9:AA9)</f>
        <v>0</v>
      </c>
      <c r="AO9" s="1"/>
      <c r="AP9" s="25">
        <f>ROUND(SUM(AC9:AF9)-AM9,2)</f>
        <v>0</v>
      </c>
      <c r="AQ9" s="25">
        <f t="shared" si="6"/>
        <v>0</v>
      </c>
      <c r="AS9" s="3">
        <v>0</v>
      </c>
      <c r="AT9" s="27">
        <f t="shared" si="7"/>
        <v>0</v>
      </c>
    </row>
    <row r="10" spans="1:46" x14ac:dyDescent="0.2">
      <c r="B10" s="28" t="s">
        <v>81</v>
      </c>
      <c r="C10" s="29">
        <f>SUM(C7:C9)</f>
        <v>14040.88</v>
      </c>
      <c r="D10" s="29">
        <f t="shared" ref="D10:N10" si="8">SUM(D7:D9)</f>
        <v>13871.380000000001</v>
      </c>
      <c r="E10" s="29">
        <f t="shared" si="8"/>
        <v>6935.69</v>
      </c>
      <c r="F10" s="29">
        <f t="shared" si="8"/>
        <v>0</v>
      </c>
      <c r="G10" s="29">
        <f t="shared" si="8"/>
        <v>0</v>
      </c>
      <c r="H10" s="29">
        <f t="shared" si="8"/>
        <v>0</v>
      </c>
      <c r="I10" s="29">
        <f t="shared" si="8"/>
        <v>0</v>
      </c>
      <c r="J10" s="29">
        <f t="shared" si="8"/>
        <v>0</v>
      </c>
      <c r="K10" s="29">
        <f t="shared" si="8"/>
        <v>0</v>
      </c>
      <c r="L10" s="29">
        <f t="shared" si="8"/>
        <v>0</v>
      </c>
      <c r="M10" s="29">
        <f t="shared" si="8"/>
        <v>0</v>
      </c>
      <c r="N10" s="29">
        <f t="shared" si="8"/>
        <v>0</v>
      </c>
      <c r="O10" s="9"/>
      <c r="P10" s="29">
        <f t="shared" ref="P10:AA10" si="9">SUM(P7:P9)</f>
        <v>0</v>
      </c>
      <c r="Q10" s="29">
        <f t="shared" si="9"/>
        <v>0</v>
      </c>
      <c r="R10" s="29">
        <f t="shared" si="9"/>
        <v>0</v>
      </c>
      <c r="S10" s="29">
        <f t="shared" si="9"/>
        <v>0</v>
      </c>
      <c r="T10" s="29">
        <f t="shared" si="9"/>
        <v>0</v>
      </c>
      <c r="U10" s="29">
        <f t="shared" si="9"/>
        <v>0</v>
      </c>
      <c r="V10" s="29">
        <f t="shared" si="9"/>
        <v>0</v>
      </c>
      <c r="W10" s="29">
        <f t="shared" si="9"/>
        <v>0</v>
      </c>
      <c r="X10" s="29">
        <f t="shared" si="9"/>
        <v>0</v>
      </c>
      <c r="Y10" s="29">
        <f t="shared" si="9"/>
        <v>0</v>
      </c>
      <c r="Z10" s="29">
        <f t="shared" si="9"/>
        <v>0</v>
      </c>
      <c r="AA10" s="29">
        <f t="shared" si="9"/>
        <v>0</v>
      </c>
      <c r="AB10" s="8"/>
      <c r="AC10" s="29">
        <f t="shared" ref="AC10" si="10">SUM(AC7:AC9)</f>
        <v>34847.949999999997</v>
      </c>
      <c r="AD10" s="29">
        <f t="shared" ref="AD10" si="11">SUM(AD7:AD9)</f>
        <v>0</v>
      </c>
      <c r="AE10" s="29">
        <f t="shared" ref="AE10" si="12">SUM(AE7:AE9)</f>
        <v>0</v>
      </c>
      <c r="AF10" s="29">
        <f t="shared" ref="AF10" si="13">SUM(AF7:AF9)</f>
        <v>0</v>
      </c>
      <c r="AG10" s="12"/>
      <c r="AH10" s="29">
        <f t="shared" ref="AH10:AK10" si="14">SUM(AH7:AH9)</f>
        <v>0</v>
      </c>
      <c r="AI10" s="29">
        <f t="shared" si="14"/>
        <v>0</v>
      </c>
      <c r="AJ10" s="29">
        <f t="shared" si="14"/>
        <v>0</v>
      </c>
      <c r="AK10" s="29">
        <f t="shared" si="14"/>
        <v>0</v>
      </c>
      <c r="AL10" s="12"/>
      <c r="AM10" s="29">
        <f>SUM(AM7:AM9)</f>
        <v>34847.949999999997</v>
      </c>
      <c r="AN10" s="29">
        <f>SUM(AN7:AN9)</f>
        <v>0</v>
      </c>
      <c r="AO10" s="1"/>
      <c r="AP10" s="25">
        <f>ROUND(SUM(AC10:AF10)-AM10,2)</f>
        <v>0</v>
      </c>
      <c r="AQ10" s="25">
        <f t="shared" si="6"/>
        <v>0</v>
      </c>
      <c r="AS10" s="3">
        <v>0</v>
      </c>
      <c r="AT10" s="27">
        <f t="shared" si="7"/>
        <v>0</v>
      </c>
    </row>
    <row r="11" spans="1:46" x14ac:dyDescent="0.2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1"/>
      <c r="S11" s="161"/>
      <c r="T11" s="9"/>
      <c r="U11" s="9"/>
      <c r="V11" s="9"/>
      <c r="W11" s="9"/>
      <c r="X11" s="9"/>
      <c r="Y11" s="9"/>
      <c r="Z11" s="9"/>
      <c r="AA11" s="9"/>
      <c r="AB11" s="8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1"/>
      <c r="AN11" s="11"/>
      <c r="AO11" s="1"/>
      <c r="AP11" s="3"/>
      <c r="AQ11" s="3"/>
      <c r="AS11" s="3"/>
    </row>
    <row r="12" spans="1:46" x14ac:dyDescent="0.2">
      <c r="B12" s="30" t="s">
        <v>117</v>
      </c>
      <c r="C12" s="99">
        <v>5324.6200000000008</v>
      </c>
      <c r="D12" s="99">
        <v>5328.83</v>
      </c>
      <c r="E12" s="99">
        <v>5402.9199999999992</v>
      </c>
      <c r="F12" s="99">
        <v>5525.22</v>
      </c>
      <c r="G12" s="99">
        <v>5525.22</v>
      </c>
      <c r="H12" s="99">
        <v>5525.22</v>
      </c>
      <c r="I12" s="99">
        <v>5525.26</v>
      </c>
      <c r="J12" s="99">
        <v>5525.22</v>
      </c>
      <c r="K12" s="99">
        <v>5525.22</v>
      </c>
      <c r="L12" s="99">
        <v>5525.22</v>
      </c>
      <c r="M12" s="99">
        <v>5525.26</v>
      </c>
      <c r="N12" s="13">
        <v>5600</v>
      </c>
      <c r="O12" s="9"/>
      <c r="P12" s="13">
        <v>5600</v>
      </c>
      <c r="Q12" s="13">
        <v>5600</v>
      </c>
      <c r="R12" s="13">
        <f>+Q12+(Q12*$R$2)</f>
        <v>5768</v>
      </c>
      <c r="S12" s="13">
        <f>+R12</f>
        <v>5768</v>
      </c>
      <c r="T12" s="13">
        <f t="shared" ref="T12:AA12" si="15">+S12</f>
        <v>5768</v>
      </c>
      <c r="U12" s="13">
        <f t="shared" si="15"/>
        <v>5768</v>
      </c>
      <c r="V12" s="13">
        <f t="shared" si="15"/>
        <v>5768</v>
      </c>
      <c r="W12" s="13">
        <f t="shared" si="15"/>
        <v>5768</v>
      </c>
      <c r="X12" s="13">
        <f t="shared" si="15"/>
        <v>5768</v>
      </c>
      <c r="Y12" s="13">
        <f t="shared" si="15"/>
        <v>5768</v>
      </c>
      <c r="Z12" s="13">
        <f t="shared" si="15"/>
        <v>5768</v>
      </c>
      <c r="AA12" s="13">
        <f t="shared" si="15"/>
        <v>5768</v>
      </c>
      <c r="AB12" s="8"/>
      <c r="AC12" s="4">
        <f>SUM(C12:E12)</f>
        <v>16056.369999999999</v>
      </c>
      <c r="AD12" s="4">
        <f>SUM(F12:H12)</f>
        <v>16575.66</v>
      </c>
      <c r="AE12" s="4">
        <f>SUM(I12:K12)</f>
        <v>16575.7</v>
      </c>
      <c r="AF12" s="4">
        <f>SUM(L12:N12)</f>
        <v>16650.48</v>
      </c>
      <c r="AG12" s="4"/>
      <c r="AH12" s="4">
        <f>SUM(P12:R12)</f>
        <v>16968</v>
      </c>
      <c r="AI12" s="4">
        <f>SUM(S12:U12)</f>
        <v>17304</v>
      </c>
      <c r="AJ12" s="4">
        <f>SUM(V12:X12)</f>
        <v>17304</v>
      </c>
      <c r="AK12" s="4">
        <f>SUM(Y12:AA12)</f>
        <v>17304</v>
      </c>
      <c r="AL12" s="4"/>
      <c r="AM12" s="4">
        <f>SUM(C12:N12)</f>
        <v>65858.210000000006</v>
      </c>
      <c r="AN12" s="4">
        <f>SUM(P12:AA12)</f>
        <v>68880</v>
      </c>
      <c r="AO12" s="1"/>
      <c r="AP12" s="25">
        <f>ROUND(SUM(AC12:AF12)-AM12,2)</f>
        <v>0</v>
      </c>
      <c r="AQ12" s="25">
        <f>ROUND(SUM(AH12:AK12)-AN12,2)</f>
        <v>0</v>
      </c>
      <c r="AS12" s="3">
        <v>16110</v>
      </c>
      <c r="AT12" s="27">
        <f t="shared" ref="AT12:AT15" si="16">+AD12-AS12</f>
        <v>465.65999999999985</v>
      </c>
    </row>
    <row r="13" spans="1:46" x14ac:dyDescent="0.2">
      <c r="B13" s="30" t="s">
        <v>25</v>
      </c>
      <c r="C13" s="99">
        <v>0</v>
      </c>
      <c r="D13" s="99">
        <v>4475.96</v>
      </c>
      <c r="E13" s="99">
        <v>0</v>
      </c>
      <c r="F13" s="99">
        <v>0</v>
      </c>
      <c r="G13" s="99">
        <v>0</v>
      </c>
      <c r="H13" s="99">
        <v>0</v>
      </c>
      <c r="I13" s="99">
        <v>0</v>
      </c>
      <c r="J13" s="99">
        <v>0</v>
      </c>
      <c r="K13" s="99">
        <v>0</v>
      </c>
      <c r="L13" s="99">
        <v>0</v>
      </c>
      <c r="M13" s="99">
        <v>0</v>
      </c>
      <c r="N13" s="13">
        <v>0</v>
      </c>
      <c r="O13" s="9"/>
      <c r="P13" s="13">
        <v>0</v>
      </c>
      <c r="Q13" s="13">
        <f>+H308+I308</f>
        <v>8161.8576480000002</v>
      </c>
      <c r="R13" s="13">
        <v>0</v>
      </c>
      <c r="S13" s="13">
        <f>+R13</f>
        <v>0</v>
      </c>
      <c r="T13" s="13">
        <f t="shared" ref="T13:AA13" si="17">+S13</f>
        <v>0</v>
      </c>
      <c r="U13" s="13">
        <f t="shared" si="17"/>
        <v>0</v>
      </c>
      <c r="V13" s="13">
        <f t="shared" si="17"/>
        <v>0</v>
      </c>
      <c r="W13" s="13">
        <f t="shared" si="17"/>
        <v>0</v>
      </c>
      <c r="X13" s="13">
        <f t="shared" si="17"/>
        <v>0</v>
      </c>
      <c r="Y13" s="13">
        <f t="shared" si="17"/>
        <v>0</v>
      </c>
      <c r="Z13" s="13">
        <f t="shared" si="17"/>
        <v>0</v>
      </c>
      <c r="AA13" s="13">
        <f t="shared" si="17"/>
        <v>0</v>
      </c>
      <c r="AB13" s="8"/>
      <c r="AC13" s="4">
        <f>SUM(C13:E13)</f>
        <v>4475.96</v>
      </c>
      <c r="AD13" s="4">
        <f>SUM(F13:H13)</f>
        <v>0</v>
      </c>
      <c r="AE13" s="4">
        <f>SUM(I13:K13)</f>
        <v>0</v>
      </c>
      <c r="AF13" s="4">
        <f>SUM(L13:N13)</f>
        <v>0</v>
      </c>
      <c r="AG13" s="4"/>
      <c r="AH13" s="4">
        <f t="shared" ref="AH13:AH14" si="18">SUM(P13:R13)</f>
        <v>8161.8576480000002</v>
      </c>
      <c r="AI13" s="4">
        <f t="shared" ref="AI13:AI14" si="19">SUM(S13:U13)</f>
        <v>0</v>
      </c>
      <c r="AJ13" s="4">
        <f t="shared" ref="AJ13:AJ14" si="20">SUM(V13:X13)</f>
        <v>0</v>
      </c>
      <c r="AK13" s="4">
        <f t="shared" ref="AK13:AK14" si="21">SUM(Y13:AA13)</f>
        <v>0</v>
      </c>
      <c r="AL13" s="4"/>
      <c r="AM13" s="4">
        <f>SUM(C13:N13)</f>
        <v>4475.96</v>
      </c>
      <c r="AN13" s="4">
        <f>SUM(P13:AA13)</f>
        <v>8161.8576480000002</v>
      </c>
      <c r="AO13" s="1"/>
      <c r="AP13" s="25">
        <f>ROUND(SUM(AC13:AF13)-AM13,2)</f>
        <v>0</v>
      </c>
      <c r="AQ13" s="25">
        <f t="shared" ref="AQ13:AQ15" si="22">ROUND(SUM(AH13:AK13)-AN13,2)</f>
        <v>0</v>
      </c>
      <c r="AS13" s="3">
        <v>0</v>
      </c>
      <c r="AT13" s="27">
        <f t="shared" si="16"/>
        <v>0</v>
      </c>
    </row>
    <row r="14" spans="1:46" x14ac:dyDescent="0.2">
      <c r="B14" s="30" t="s">
        <v>118</v>
      </c>
      <c r="C14" s="99">
        <v>2490.56</v>
      </c>
      <c r="D14" s="99">
        <v>5075.42</v>
      </c>
      <c r="E14" s="99">
        <v>2504.62</v>
      </c>
      <c r="F14" s="99">
        <v>2572.08</v>
      </c>
      <c r="G14" s="99">
        <v>2572.08</v>
      </c>
      <c r="H14" s="99">
        <v>2572.08</v>
      </c>
      <c r="I14" s="99">
        <v>2572.04</v>
      </c>
      <c r="J14" s="99">
        <v>2572.08</v>
      </c>
      <c r="K14" s="99">
        <v>2572.08</v>
      </c>
      <c r="L14" s="99">
        <v>2572.08</v>
      </c>
      <c r="M14" s="99">
        <v>2572.04</v>
      </c>
      <c r="N14" s="13">
        <v>2500</v>
      </c>
      <c r="O14" s="9"/>
      <c r="P14" s="13">
        <v>2500</v>
      </c>
      <c r="Q14" s="13">
        <v>2500</v>
      </c>
      <c r="R14" s="13">
        <f>R12*(Q14/Q12)</f>
        <v>2575</v>
      </c>
      <c r="S14" s="13">
        <f>+R14</f>
        <v>2575</v>
      </c>
      <c r="T14" s="13">
        <f t="shared" ref="T14:AA14" si="23">+S14</f>
        <v>2575</v>
      </c>
      <c r="U14" s="13">
        <f t="shared" si="23"/>
        <v>2575</v>
      </c>
      <c r="V14" s="13">
        <f t="shared" si="23"/>
        <v>2575</v>
      </c>
      <c r="W14" s="13">
        <f t="shared" si="23"/>
        <v>2575</v>
      </c>
      <c r="X14" s="13">
        <f t="shared" si="23"/>
        <v>2575</v>
      </c>
      <c r="Y14" s="13">
        <f t="shared" si="23"/>
        <v>2575</v>
      </c>
      <c r="Z14" s="13">
        <f t="shared" si="23"/>
        <v>2575</v>
      </c>
      <c r="AA14" s="13">
        <f t="shared" si="23"/>
        <v>2575</v>
      </c>
      <c r="AB14" s="8"/>
      <c r="AC14" s="4">
        <f>SUM(C14:E14)</f>
        <v>10070.599999999999</v>
      </c>
      <c r="AD14" s="4">
        <f>SUM(F14:H14)</f>
        <v>7716.24</v>
      </c>
      <c r="AE14" s="4">
        <f>SUM(I14:K14)</f>
        <v>7716.2</v>
      </c>
      <c r="AF14" s="4">
        <f>SUM(L14:N14)</f>
        <v>7644.12</v>
      </c>
      <c r="AG14" s="4"/>
      <c r="AH14" s="4">
        <f t="shared" si="18"/>
        <v>7575</v>
      </c>
      <c r="AI14" s="4">
        <f t="shared" si="19"/>
        <v>7725</v>
      </c>
      <c r="AJ14" s="4">
        <f t="shared" si="20"/>
        <v>7725</v>
      </c>
      <c r="AK14" s="4">
        <f t="shared" si="21"/>
        <v>7725</v>
      </c>
      <c r="AL14" s="4"/>
      <c r="AM14" s="4">
        <f>SUM(C14:N14)</f>
        <v>33147.160000000003</v>
      </c>
      <c r="AN14" s="4">
        <f>SUM(P14:AA14)</f>
        <v>30750</v>
      </c>
      <c r="AO14" s="1"/>
      <c r="AP14" s="25">
        <f>ROUND(SUM(AC14:AF14)-AM14,2)</f>
        <v>0</v>
      </c>
      <c r="AQ14" s="25">
        <f t="shared" si="22"/>
        <v>0</v>
      </c>
      <c r="AS14" s="3">
        <v>7200</v>
      </c>
      <c r="AT14" s="27">
        <f t="shared" si="16"/>
        <v>516.23999999999978</v>
      </c>
    </row>
    <row r="15" spans="1:46" x14ac:dyDescent="0.2">
      <c r="B15" s="28" t="s">
        <v>80</v>
      </c>
      <c r="C15" s="29">
        <f>SUM(C12:C14)</f>
        <v>7815.18</v>
      </c>
      <c r="D15" s="29">
        <f t="shared" ref="D15" si="24">SUM(D12:D14)</f>
        <v>14880.210000000001</v>
      </c>
      <c r="E15" s="29">
        <f t="shared" ref="E15" si="25">SUM(E12:E14)</f>
        <v>7907.5399999999991</v>
      </c>
      <c r="F15" s="29">
        <f t="shared" ref="F15" si="26">SUM(F12:F14)</f>
        <v>8097.3</v>
      </c>
      <c r="G15" s="29">
        <f t="shared" ref="G15" si="27">SUM(G12:G14)</f>
        <v>8097.3</v>
      </c>
      <c r="H15" s="29">
        <f t="shared" ref="H15" si="28">SUM(H12:H14)</f>
        <v>8097.3</v>
      </c>
      <c r="I15" s="29">
        <f t="shared" ref="I15" si="29">SUM(I12:I14)</f>
        <v>8097.3</v>
      </c>
      <c r="J15" s="29">
        <f t="shared" ref="J15" si="30">SUM(J12:J14)</f>
        <v>8097.3</v>
      </c>
      <c r="K15" s="29">
        <f t="shared" ref="K15" si="31">SUM(K12:K14)</f>
        <v>8097.3</v>
      </c>
      <c r="L15" s="29">
        <f t="shared" ref="L15" si="32">SUM(L12:L14)</f>
        <v>8097.3</v>
      </c>
      <c r="M15" s="29">
        <f t="shared" ref="M15" si="33">SUM(M12:M14)</f>
        <v>8097.3</v>
      </c>
      <c r="N15" s="29">
        <f t="shared" ref="N15:AA15" si="34">SUM(N12:N14)</f>
        <v>8100</v>
      </c>
      <c r="O15" s="9"/>
      <c r="P15" s="29">
        <f t="shared" si="34"/>
        <v>8100</v>
      </c>
      <c r="Q15" s="29">
        <f t="shared" si="34"/>
        <v>16261.857648000001</v>
      </c>
      <c r="R15" s="29">
        <f t="shared" si="34"/>
        <v>8343</v>
      </c>
      <c r="S15" s="29">
        <f t="shared" si="34"/>
        <v>8343</v>
      </c>
      <c r="T15" s="29">
        <f t="shared" si="34"/>
        <v>8343</v>
      </c>
      <c r="U15" s="29">
        <f t="shared" si="34"/>
        <v>8343</v>
      </c>
      <c r="V15" s="29">
        <f t="shared" si="34"/>
        <v>8343</v>
      </c>
      <c r="W15" s="29">
        <f t="shared" si="34"/>
        <v>8343</v>
      </c>
      <c r="X15" s="29">
        <f t="shared" si="34"/>
        <v>8343</v>
      </c>
      <c r="Y15" s="29">
        <f t="shared" si="34"/>
        <v>8343</v>
      </c>
      <c r="Z15" s="29">
        <f t="shared" si="34"/>
        <v>8343</v>
      </c>
      <c r="AA15" s="29">
        <f t="shared" si="34"/>
        <v>8343</v>
      </c>
      <c r="AB15" s="8"/>
      <c r="AC15" s="29">
        <f t="shared" ref="AC15" si="35">SUM(AC12:AC14)</f>
        <v>30602.929999999997</v>
      </c>
      <c r="AD15" s="29">
        <f t="shared" ref="AD15" si="36">SUM(AD12:AD14)</f>
        <v>24291.9</v>
      </c>
      <c r="AE15" s="29">
        <f t="shared" ref="AE15" si="37">SUM(AE12:AE14)</f>
        <v>24291.9</v>
      </c>
      <c r="AF15" s="29">
        <f t="shared" ref="AF15" si="38">SUM(AF12:AF14)</f>
        <v>24294.6</v>
      </c>
      <c r="AG15" s="12"/>
      <c r="AH15" s="29">
        <f t="shared" ref="AH15:AK15" si="39">SUM(AH12:AH14)</f>
        <v>32704.857648000001</v>
      </c>
      <c r="AI15" s="29">
        <f t="shared" si="39"/>
        <v>25029</v>
      </c>
      <c r="AJ15" s="29">
        <f t="shared" si="39"/>
        <v>25029</v>
      </c>
      <c r="AK15" s="29">
        <f t="shared" si="39"/>
        <v>25029</v>
      </c>
      <c r="AL15" s="12"/>
      <c r="AM15" s="29">
        <f>SUM(AM12:AM14)</f>
        <v>103481.33000000002</v>
      </c>
      <c r="AN15" s="29">
        <f>SUM(AN12:AN14)</f>
        <v>107791.857648</v>
      </c>
      <c r="AO15" s="1"/>
      <c r="AP15" s="25">
        <f>ROUND(SUM(AC15:AF15)-AM15,2)</f>
        <v>0</v>
      </c>
      <c r="AQ15" s="25">
        <f t="shared" si="22"/>
        <v>0</v>
      </c>
      <c r="AS15" s="3">
        <v>23310</v>
      </c>
      <c r="AT15" s="27">
        <f t="shared" si="16"/>
        <v>981.90000000000146</v>
      </c>
    </row>
    <row r="16" spans="1:46" x14ac:dyDescent="0.2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8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1"/>
      <c r="AN16" s="11"/>
      <c r="AO16" s="1"/>
      <c r="AP16" s="3"/>
      <c r="AQ16" s="3"/>
      <c r="AS16" s="3"/>
    </row>
    <row r="17" spans="2:46" x14ac:dyDescent="0.2">
      <c r="B17" s="30" t="s">
        <v>117</v>
      </c>
      <c r="C17" s="99">
        <v>7764.26</v>
      </c>
      <c r="D17" s="99">
        <v>8061.05</v>
      </c>
      <c r="E17" s="99">
        <v>7836.5399999999991</v>
      </c>
      <c r="F17" s="99">
        <v>7908.1600000000017</v>
      </c>
      <c r="G17" s="99">
        <v>7908.1600000000017</v>
      </c>
      <c r="H17" s="99">
        <v>7908.1600000000017</v>
      </c>
      <c r="I17" s="99">
        <v>7910.04</v>
      </c>
      <c r="J17" s="99">
        <v>7911.9200000000019</v>
      </c>
      <c r="K17" s="99">
        <v>7911.880000000001</v>
      </c>
      <c r="L17" s="99">
        <v>7911.9200000000019</v>
      </c>
      <c r="M17" s="99">
        <v>7839.760000000002</v>
      </c>
      <c r="N17" s="13">
        <v>7900</v>
      </c>
      <c r="O17" s="9"/>
      <c r="P17" s="13">
        <v>7900</v>
      </c>
      <c r="Q17" s="13">
        <v>7900</v>
      </c>
      <c r="R17" s="13">
        <f>+Q17+(Q17*$R$2)</f>
        <v>8137</v>
      </c>
      <c r="S17" s="13">
        <f>+R17</f>
        <v>8137</v>
      </c>
      <c r="T17" s="13">
        <f t="shared" ref="T17:AA17" si="40">+S17</f>
        <v>8137</v>
      </c>
      <c r="U17" s="13">
        <f t="shared" si="40"/>
        <v>8137</v>
      </c>
      <c r="V17" s="13">
        <f t="shared" si="40"/>
        <v>8137</v>
      </c>
      <c r="W17" s="13">
        <f t="shared" si="40"/>
        <v>8137</v>
      </c>
      <c r="X17" s="13">
        <f t="shared" si="40"/>
        <v>8137</v>
      </c>
      <c r="Y17" s="13">
        <f t="shared" si="40"/>
        <v>8137</v>
      </c>
      <c r="Z17" s="13">
        <f t="shared" si="40"/>
        <v>8137</v>
      </c>
      <c r="AA17" s="13">
        <f t="shared" si="40"/>
        <v>8137</v>
      </c>
      <c r="AB17" s="8"/>
      <c r="AC17" s="4">
        <f>SUM(C17:E17)</f>
        <v>23661.85</v>
      </c>
      <c r="AD17" s="4">
        <f>SUM(F17:H17)</f>
        <v>23724.480000000003</v>
      </c>
      <c r="AE17" s="4">
        <f>SUM(I17:K17)</f>
        <v>23733.840000000004</v>
      </c>
      <c r="AF17" s="4">
        <f>SUM(L17:N17)</f>
        <v>23651.680000000004</v>
      </c>
      <c r="AG17" s="4"/>
      <c r="AH17" s="4">
        <f>SUM(P17:R17)</f>
        <v>23937</v>
      </c>
      <c r="AI17" s="4">
        <f>SUM(S17:U17)</f>
        <v>24411</v>
      </c>
      <c r="AJ17" s="4">
        <f>SUM(V17:X17)</f>
        <v>24411</v>
      </c>
      <c r="AK17" s="4">
        <f>SUM(Y17:AA17)</f>
        <v>24411</v>
      </c>
      <c r="AL17" s="4"/>
      <c r="AM17" s="4">
        <f>SUM(C17:N17)</f>
        <v>94771.85</v>
      </c>
      <c r="AN17" s="4">
        <f>SUM(P17:AA17)</f>
        <v>97170</v>
      </c>
      <c r="AO17" s="1"/>
      <c r="AP17" s="25">
        <f>ROUND(SUM(AC17:AF17)-AM17,2)</f>
        <v>0</v>
      </c>
      <c r="AQ17" s="25">
        <f>ROUND(SUM(AH17:AK17)-AN17,2)</f>
        <v>0</v>
      </c>
      <c r="AS17" s="3">
        <v>23250</v>
      </c>
      <c r="AT17" s="27">
        <f t="shared" ref="AT17:AT20" si="41">+AD17-AS17</f>
        <v>474.4800000000032</v>
      </c>
    </row>
    <row r="18" spans="2:46" x14ac:dyDescent="0.2">
      <c r="B18" s="30" t="s">
        <v>25</v>
      </c>
      <c r="C18" s="99">
        <v>0</v>
      </c>
      <c r="D18" s="99">
        <v>4353.0600000000004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13">
        <v>0</v>
      </c>
      <c r="O18" s="9"/>
      <c r="P18" s="13">
        <v>0</v>
      </c>
      <c r="Q18" s="13">
        <f>+H309+I309</f>
        <v>12108.052152</v>
      </c>
      <c r="R18" s="13">
        <v>0</v>
      </c>
      <c r="S18" s="13">
        <f>+R18</f>
        <v>0</v>
      </c>
      <c r="T18" s="13">
        <f t="shared" ref="T18:AA18" si="42">+S18</f>
        <v>0</v>
      </c>
      <c r="U18" s="13">
        <f t="shared" si="42"/>
        <v>0</v>
      </c>
      <c r="V18" s="13">
        <f t="shared" si="42"/>
        <v>0</v>
      </c>
      <c r="W18" s="13">
        <f t="shared" si="42"/>
        <v>0</v>
      </c>
      <c r="X18" s="13">
        <f t="shared" si="42"/>
        <v>0</v>
      </c>
      <c r="Y18" s="13">
        <f t="shared" si="42"/>
        <v>0</v>
      </c>
      <c r="Z18" s="13">
        <f t="shared" si="42"/>
        <v>0</v>
      </c>
      <c r="AA18" s="13">
        <f t="shared" si="42"/>
        <v>0</v>
      </c>
      <c r="AB18" s="8"/>
      <c r="AC18" s="4">
        <f>SUM(C18:E18)</f>
        <v>4353.0600000000004</v>
      </c>
      <c r="AD18" s="4">
        <f>SUM(F18:H18)</f>
        <v>0</v>
      </c>
      <c r="AE18" s="4">
        <f>SUM(I18:K18)</f>
        <v>0</v>
      </c>
      <c r="AF18" s="4">
        <f>SUM(L18:N18)</f>
        <v>0</v>
      </c>
      <c r="AG18" s="4"/>
      <c r="AH18" s="4">
        <f t="shared" ref="AH18:AH19" si="43">SUM(P18:R18)</f>
        <v>12108.052152</v>
      </c>
      <c r="AI18" s="4">
        <f t="shared" ref="AI18:AI19" si="44">SUM(S18:U18)</f>
        <v>0</v>
      </c>
      <c r="AJ18" s="4">
        <f t="shared" ref="AJ18:AJ19" si="45">SUM(V18:X18)</f>
        <v>0</v>
      </c>
      <c r="AK18" s="4">
        <f t="shared" ref="AK18:AK19" si="46">SUM(Y18:AA18)</f>
        <v>0</v>
      </c>
      <c r="AL18" s="4"/>
      <c r="AM18" s="4">
        <f>SUM(C18:N18)</f>
        <v>4353.0600000000004</v>
      </c>
      <c r="AN18" s="4">
        <f>SUM(P18:AA18)</f>
        <v>12108.052152</v>
      </c>
      <c r="AO18" s="1"/>
      <c r="AP18" s="25">
        <f>ROUND(SUM(AC18:AF18)-AM18,2)</f>
        <v>0</v>
      </c>
      <c r="AQ18" s="25">
        <f t="shared" ref="AQ18:AQ20" si="47">ROUND(SUM(AH18:AK18)-AN18,2)</f>
        <v>0</v>
      </c>
      <c r="AS18" s="3">
        <v>0</v>
      </c>
      <c r="AT18" s="27">
        <f t="shared" si="41"/>
        <v>0</v>
      </c>
    </row>
    <row r="19" spans="2:46" x14ac:dyDescent="0.2">
      <c r="B19" s="30" t="s">
        <v>118</v>
      </c>
      <c r="C19" s="99">
        <v>5235.16</v>
      </c>
      <c r="D19" s="99">
        <v>8022.36</v>
      </c>
      <c r="E19" s="99">
        <v>5123.7800000000007</v>
      </c>
      <c r="F19" s="99">
        <v>5182.5599999999995</v>
      </c>
      <c r="G19" s="99">
        <v>5182.5599999999995</v>
      </c>
      <c r="H19" s="99">
        <v>5182.5599999999995</v>
      </c>
      <c r="I19" s="99">
        <v>5180.68</v>
      </c>
      <c r="J19" s="99">
        <v>5178.7999999999993</v>
      </c>
      <c r="K19" s="99">
        <v>5178.84</v>
      </c>
      <c r="L19" s="99">
        <v>5178.7999999999993</v>
      </c>
      <c r="M19" s="99">
        <v>5178.7999999999993</v>
      </c>
      <c r="N19" s="13">
        <v>5200</v>
      </c>
      <c r="O19" s="9"/>
      <c r="P19" s="13">
        <v>5200</v>
      </c>
      <c r="Q19" s="13">
        <v>5200</v>
      </c>
      <c r="R19" s="13">
        <f>R17*(Q19/Q17)</f>
        <v>5356</v>
      </c>
      <c r="S19" s="13">
        <f>+R19</f>
        <v>5356</v>
      </c>
      <c r="T19" s="13">
        <f t="shared" ref="T19:AA19" si="48">+S19</f>
        <v>5356</v>
      </c>
      <c r="U19" s="13">
        <f t="shared" si="48"/>
        <v>5356</v>
      </c>
      <c r="V19" s="13">
        <f t="shared" si="48"/>
        <v>5356</v>
      </c>
      <c r="W19" s="13">
        <f t="shared" si="48"/>
        <v>5356</v>
      </c>
      <c r="X19" s="13">
        <f t="shared" si="48"/>
        <v>5356</v>
      </c>
      <c r="Y19" s="13">
        <f t="shared" si="48"/>
        <v>5356</v>
      </c>
      <c r="Z19" s="13">
        <f t="shared" si="48"/>
        <v>5356</v>
      </c>
      <c r="AA19" s="13">
        <f t="shared" si="48"/>
        <v>5356</v>
      </c>
      <c r="AB19" s="8"/>
      <c r="AC19" s="4">
        <f>SUM(C19:E19)</f>
        <v>18381.300000000003</v>
      </c>
      <c r="AD19" s="4">
        <f>SUM(F19:H19)</f>
        <v>15547.679999999998</v>
      </c>
      <c r="AE19" s="4">
        <f>SUM(I19:K19)</f>
        <v>15538.32</v>
      </c>
      <c r="AF19" s="4">
        <f>SUM(L19:N19)</f>
        <v>15557.599999999999</v>
      </c>
      <c r="AG19" s="4"/>
      <c r="AH19" s="4">
        <f t="shared" si="43"/>
        <v>15756</v>
      </c>
      <c r="AI19" s="4">
        <f t="shared" si="44"/>
        <v>16068</v>
      </c>
      <c r="AJ19" s="4">
        <f t="shared" si="45"/>
        <v>16068</v>
      </c>
      <c r="AK19" s="4">
        <f t="shared" si="46"/>
        <v>16068</v>
      </c>
      <c r="AL19" s="4"/>
      <c r="AM19" s="4">
        <f>SUM(C19:N19)</f>
        <v>65024.899999999994</v>
      </c>
      <c r="AN19" s="4">
        <f>SUM(P19:AA19)</f>
        <v>63960</v>
      </c>
      <c r="AO19" s="1"/>
      <c r="AP19" s="25">
        <f>ROUND(SUM(AC19:AF19)-AM19,2)</f>
        <v>0</v>
      </c>
      <c r="AQ19" s="25">
        <f t="shared" si="47"/>
        <v>0</v>
      </c>
      <c r="AS19" s="3">
        <v>15600</v>
      </c>
      <c r="AT19" s="27">
        <f t="shared" si="41"/>
        <v>-52.320000000001528</v>
      </c>
    </row>
    <row r="20" spans="2:46" x14ac:dyDescent="0.2">
      <c r="B20" s="28" t="s">
        <v>79</v>
      </c>
      <c r="C20" s="29">
        <f>SUM(C17:C19)</f>
        <v>12999.42</v>
      </c>
      <c r="D20" s="29">
        <f t="shared" ref="D20" si="49">SUM(D17:D19)</f>
        <v>20436.47</v>
      </c>
      <c r="E20" s="29">
        <f t="shared" ref="E20" si="50">SUM(E17:E19)</f>
        <v>12960.32</v>
      </c>
      <c r="F20" s="29">
        <f t="shared" ref="F20" si="51">SUM(F17:F19)</f>
        <v>13090.720000000001</v>
      </c>
      <c r="G20" s="29">
        <f t="shared" ref="G20" si="52">SUM(G17:G19)</f>
        <v>13090.720000000001</v>
      </c>
      <c r="H20" s="29">
        <f t="shared" ref="H20" si="53">SUM(H17:H19)</f>
        <v>13090.720000000001</v>
      </c>
      <c r="I20" s="29">
        <f t="shared" ref="I20" si="54">SUM(I17:I19)</f>
        <v>13090.720000000001</v>
      </c>
      <c r="J20" s="29">
        <f t="shared" ref="J20" si="55">SUM(J17:J19)</f>
        <v>13090.720000000001</v>
      </c>
      <c r="K20" s="29">
        <f t="shared" ref="K20" si="56">SUM(K17:K19)</f>
        <v>13090.720000000001</v>
      </c>
      <c r="L20" s="29">
        <f t="shared" ref="L20" si="57">SUM(L17:L19)</f>
        <v>13090.720000000001</v>
      </c>
      <c r="M20" s="29">
        <f t="shared" ref="M20" si="58">SUM(M17:M19)</f>
        <v>13018.560000000001</v>
      </c>
      <c r="N20" s="29">
        <f t="shared" ref="N20:AA20" si="59">SUM(N17:N19)</f>
        <v>13100</v>
      </c>
      <c r="O20" s="9"/>
      <c r="P20" s="29">
        <f t="shared" si="59"/>
        <v>13100</v>
      </c>
      <c r="Q20" s="29">
        <f t="shared" si="59"/>
        <v>25208.052152</v>
      </c>
      <c r="R20" s="29">
        <f t="shared" si="59"/>
        <v>13493</v>
      </c>
      <c r="S20" s="29">
        <f t="shared" si="59"/>
        <v>13493</v>
      </c>
      <c r="T20" s="29">
        <f t="shared" si="59"/>
        <v>13493</v>
      </c>
      <c r="U20" s="29">
        <f t="shared" si="59"/>
        <v>13493</v>
      </c>
      <c r="V20" s="29">
        <f t="shared" si="59"/>
        <v>13493</v>
      </c>
      <c r="W20" s="29">
        <f t="shared" si="59"/>
        <v>13493</v>
      </c>
      <c r="X20" s="29">
        <f t="shared" si="59"/>
        <v>13493</v>
      </c>
      <c r="Y20" s="29">
        <f t="shared" si="59"/>
        <v>13493</v>
      </c>
      <c r="Z20" s="29">
        <f t="shared" si="59"/>
        <v>13493</v>
      </c>
      <c r="AA20" s="29">
        <f t="shared" si="59"/>
        <v>13493</v>
      </c>
      <c r="AB20" s="8"/>
      <c r="AC20" s="29">
        <f t="shared" ref="AC20" si="60">SUM(AC17:AC19)</f>
        <v>46396.210000000006</v>
      </c>
      <c r="AD20" s="29">
        <f t="shared" ref="AD20" si="61">SUM(AD17:AD19)</f>
        <v>39272.160000000003</v>
      </c>
      <c r="AE20" s="29">
        <f t="shared" ref="AE20" si="62">SUM(AE17:AE19)</f>
        <v>39272.160000000003</v>
      </c>
      <c r="AF20" s="29">
        <f t="shared" ref="AF20" si="63">SUM(AF17:AF19)</f>
        <v>39209.279999999999</v>
      </c>
      <c r="AG20" s="12"/>
      <c r="AH20" s="29">
        <f t="shared" ref="AH20:AK20" si="64">SUM(AH17:AH19)</f>
        <v>51801.052152000004</v>
      </c>
      <c r="AI20" s="29">
        <f t="shared" si="64"/>
        <v>40479</v>
      </c>
      <c r="AJ20" s="29">
        <f t="shared" si="64"/>
        <v>40479</v>
      </c>
      <c r="AK20" s="29">
        <f t="shared" si="64"/>
        <v>40479</v>
      </c>
      <c r="AL20" s="12"/>
      <c r="AM20" s="29">
        <f>SUM(AM17:AM19)</f>
        <v>164149.81</v>
      </c>
      <c r="AN20" s="29">
        <f>SUM(AN17:AN19)</f>
        <v>173238.05215200002</v>
      </c>
      <c r="AO20" s="1"/>
      <c r="AP20" s="25">
        <f>ROUND(SUM(AC20:AF20)-AM20,2)</f>
        <v>0</v>
      </c>
      <c r="AQ20" s="25">
        <f t="shared" si="47"/>
        <v>0</v>
      </c>
      <c r="AS20" s="3">
        <v>38850</v>
      </c>
      <c r="AT20" s="27">
        <f t="shared" si="41"/>
        <v>422.16000000000349</v>
      </c>
    </row>
    <row r="21" spans="2:46" x14ac:dyDescent="0.2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8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1"/>
      <c r="AN21" s="11"/>
      <c r="AO21" s="1"/>
      <c r="AP21" s="3"/>
      <c r="AQ21" s="3"/>
      <c r="AS21" s="3"/>
    </row>
    <row r="22" spans="2:46" x14ac:dyDescent="0.2">
      <c r="B22" s="30" t="s">
        <v>117</v>
      </c>
      <c r="C22" s="99">
        <v>10571.28</v>
      </c>
      <c r="D22" s="99">
        <v>10085.92</v>
      </c>
      <c r="E22" s="99">
        <v>9002.32</v>
      </c>
      <c r="F22" s="99">
        <v>9002.32</v>
      </c>
      <c r="G22" s="99">
        <v>9002.32</v>
      </c>
      <c r="H22" s="99">
        <v>9002.32</v>
      </c>
      <c r="I22" s="99">
        <v>9002.32</v>
      </c>
      <c r="J22" s="99">
        <v>9002.32</v>
      </c>
      <c r="K22" s="99">
        <v>9002.32</v>
      </c>
      <c r="L22" s="99">
        <v>9268.7000000000007</v>
      </c>
      <c r="M22" s="99">
        <v>10157.42</v>
      </c>
      <c r="N22" s="13">
        <v>9000</v>
      </c>
      <c r="O22" s="9"/>
      <c r="P22" s="13">
        <v>9000</v>
      </c>
      <c r="Q22" s="13">
        <v>9000</v>
      </c>
      <c r="R22" s="13">
        <f>+Q22+(Q22*$R$2)</f>
        <v>9270</v>
      </c>
      <c r="S22" s="13">
        <f>+R22</f>
        <v>9270</v>
      </c>
      <c r="T22" s="13">
        <f t="shared" ref="T22:AA22" si="65">+S22</f>
        <v>9270</v>
      </c>
      <c r="U22" s="13">
        <f t="shared" si="65"/>
        <v>9270</v>
      </c>
      <c r="V22" s="13">
        <f t="shared" si="65"/>
        <v>9270</v>
      </c>
      <c r="W22" s="13">
        <f t="shared" si="65"/>
        <v>9270</v>
      </c>
      <c r="X22" s="13">
        <f t="shared" si="65"/>
        <v>9270</v>
      </c>
      <c r="Y22" s="13">
        <f t="shared" si="65"/>
        <v>9270</v>
      </c>
      <c r="Z22" s="13">
        <f t="shared" si="65"/>
        <v>9270</v>
      </c>
      <c r="AA22" s="13">
        <f t="shared" si="65"/>
        <v>9270</v>
      </c>
      <c r="AB22" s="8"/>
      <c r="AC22" s="4">
        <f>SUM(C22:E22)</f>
        <v>29659.52</v>
      </c>
      <c r="AD22" s="4">
        <f>SUM(F22:H22)</f>
        <v>27006.959999999999</v>
      </c>
      <c r="AE22" s="4">
        <f>SUM(I22:K22)</f>
        <v>27006.959999999999</v>
      </c>
      <c r="AF22" s="4">
        <f>SUM(L22:N22)</f>
        <v>28426.120000000003</v>
      </c>
      <c r="AG22" s="4"/>
      <c r="AH22" s="4">
        <f>SUM(P22:R22)</f>
        <v>27270</v>
      </c>
      <c r="AI22" s="4">
        <f>SUM(S22:U22)</f>
        <v>27810</v>
      </c>
      <c r="AJ22" s="4">
        <f>SUM(V22:X22)</f>
        <v>27810</v>
      </c>
      <c r="AK22" s="4">
        <f>SUM(Y22:AA22)</f>
        <v>27810</v>
      </c>
      <c r="AL22" s="4"/>
      <c r="AM22" s="4">
        <f>SUM(C22:N22)</f>
        <v>112099.56</v>
      </c>
      <c r="AN22" s="4">
        <f>SUM(P22:AA22)</f>
        <v>110700</v>
      </c>
      <c r="AO22" s="1"/>
      <c r="AP22" s="25">
        <f>ROUND(SUM(AC22:AF22)-AM22,2)</f>
        <v>0</v>
      </c>
      <c r="AQ22" s="25">
        <f>ROUND(SUM(AH22:AK22)-AN22,2)</f>
        <v>0</v>
      </c>
      <c r="AS22" s="3">
        <v>31800</v>
      </c>
      <c r="AT22" s="27">
        <f t="shared" ref="AT22:AT25" si="66">+AD22-AS22</f>
        <v>-4793.0400000000009</v>
      </c>
    </row>
    <row r="23" spans="2:46" x14ac:dyDescent="0.2">
      <c r="B23" s="30" t="s">
        <v>25</v>
      </c>
      <c r="C23" s="99">
        <v>0</v>
      </c>
      <c r="D23" s="99">
        <v>8169.6</v>
      </c>
      <c r="E23" s="99">
        <v>0</v>
      </c>
      <c r="F23" s="99">
        <v>0</v>
      </c>
      <c r="G23" s="99">
        <v>0</v>
      </c>
      <c r="H23" s="99">
        <v>0</v>
      </c>
      <c r="I23" s="99">
        <v>0</v>
      </c>
      <c r="J23" s="99">
        <v>0</v>
      </c>
      <c r="K23" s="99">
        <v>0</v>
      </c>
      <c r="L23" s="99">
        <v>0</v>
      </c>
      <c r="M23" s="99">
        <v>0</v>
      </c>
      <c r="N23" s="13">
        <v>0</v>
      </c>
      <c r="O23" s="9"/>
      <c r="P23" s="13">
        <v>0</v>
      </c>
      <c r="Q23" s="13">
        <f>+H310+I310</f>
        <v>22680</v>
      </c>
      <c r="R23" s="13">
        <v>0</v>
      </c>
      <c r="S23" s="13">
        <f>+R23</f>
        <v>0</v>
      </c>
      <c r="T23" s="13">
        <f t="shared" ref="T23:AA23" si="67">+S23</f>
        <v>0</v>
      </c>
      <c r="U23" s="13">
        <f t="shared" si="67"/>
        <v>0</v>
      </c>
      <c r="V23" s="13">
        <f t="shared" si="67"/>
        <v>0</v>
      </c>
      <c r="W23" s="13">
        <f t="shared" si="67"/>
        <v>0</v>
      </c>
      <c r="X23" s="13">
        <f t="shared" si="67"/>
        <v>0</v>
      </c>
      <c r="Y23" s="13">
        <f t="shared" si="67"/>
        <v>0</v>
      </c>
      <c r="Z23" s="13">
        <f t="shared" si="67"/>
        <v>0</v>
      </c>
      <c r="AA23" s="13">
        <f t="shared" si="67"/>
        <v>0</v>
      </c>
      <c r="AB23" s="8"/>
      <c r="AC23" s="4">
        <f>SUM(C23:E23)</f>
        <v>8169.6</v>
      </c>
      <c r="AD23" s="4">
        <f>SUM(F23:H23)</f>
        <v>0</v>
      </c>
      <c r="AE23" s="4">
        <f>SUM(I23:K23)</f>
        <v>0</v>
      </c>
      <c r="AF23" s="4">
        <f>SUM(L23:N23)</f>
        <v>0</v>
      </c>
      <c r="AG23" s="4"/>
      <c r="AH23" s="4">
        <f t="shared" ref="AH23:AH24" si="68">SUM(P23:R23)</f>
        <v>22680</v>
      </c>
      <c r="AI23" s="4">
        <f t="shared" ref="AI23:AI24" si="69">SUM(S23:U23)</f>
        <v>0</v>
      </c>
      <c r="AJ23" s="4">
        <f t="shared" ref="AJ23:AJ24" si="70">SUM(V23:X23)</f>
        <v>0</v>
      </c>
      <c r="AK23" s="4">
        <f t="shared" ref="AK23:AK24" si="71">SUM(Y23:AA23)</f>
        <v>0</v>
      </c>
      <c r="AL23" s="4"/>
      <c r="AM23" s="4">
        <f>SUM(C23:N23)</f>
        <v>8169.6</v>
      </c>
      <c r="AN23" s="4">
        <f>SUM(P23:AA23)</f>
        <v>22680</v>
      </c>
      <c r="AO23" s="1"/>
      <c r="AP23" s="25">
        <f>ROUND(SUM(AC23:AF23)-AM23,2)</f>
        <v>0</v>
      </c>
      <c r="AQ23" s="25">
        <f t="shared" ref="AQ23:AQ25" si="72">ROUND(SUM(AH23:AK23)-AN23,2)</f>
        <v>0</v>
      </c>
      <c r="AS23" s="3">
        <v>0</v>
      </c>
      <c r="AT23" s="27">
        <f t="shared" si="66"/>
        <v>0</v>
      </c>
    </row>
    <row r="24" spans="2:46" x14ac:dyDescent="0.2">
      <c r="B24" s="30" t="s">
        <v>118</v>
      </c>
      <c r="C24" s="99">
        <v>6236.34</v>
      </c>
      <c r="D24" s="99">
        <v>11745.26</v>
      </c>
      <c r="E24" s="99">
        <v>6289.02</v>
      </c>
      <c r="F24" s="99">
        <v>6289.02</v>
      </c>
      <c r="G24" s="99">
        <v>6289.02</v>
      </c>
      <c r="H24" s="99">
        <v>6289.02</v>
      </c>
      <c r="I24" s="99">
        <v>6289.02</v>
      </c>
      <c r="J24" s="99">
        <v>6289.02</v>
      </c>
      <c r="K24" s="99">
        <v>6289.02</v>
      </c>
      <c r="L24" s="99">
        <v>5756.26</v>
      </c>
      <c r="M24" s="99">
        <v>4074.8999999999996</v>
      </c>
      <c r="N24" s="13">
        <v>6200</v>
      </c>
      <c r="O24" s="9"/>
      <c r="P24" s="13">
        <v>6200</v>
      </c>
      <c r="Q24" s="13">
        <v>6200</v>
      </c>
      <c r="R24" s="13">
        <f>R22*(Q24/Q22)</f>
        <v>6386</v>
      </c>
      <c r="S24" s="13">
        <f>+R24</f>
        <v>6386</v>
      </c>
      <c r="T24" s="13">
        <f t="shared" ref="T24:AA24" si="73">+S24</f>
        <v>6386</v>
      </c>
      <c r="U24" s="13">
        <f t="shared" si="73"/>
        <v>6386</v>
      </c>
      <c r="V24" s="13">
        <f t="shared" si="73"/>
        <v>6386</v>
      </c>
      <c r="W24" s="13">
        <f t="shared" si="73"/>
        <v>6386</v>
      </c>
      <c r="X24" s="13">
        <f t="shared" si="73"/>
        <v>6386</v>
      </c>
      <c r="Y24" s="13">
        <f t="shared" si="73"/>
        <v>6386</v>
      </c>
      <c r="Z24" s="13">
        <f t="shared" si="73"/>
        <v>6386</v>
      </c>
      <c r="AA24" s="13">
        <f t="shared" si="73"/>
        <v>6386</v>
      </c>
      <c r="AB24" s="8"/>
      <c r="AC24" s="4">
        <f>SUM(C24:E24)</f>
        <v>24270.62</v>
      </c>
      <c r="AD24" s="4">
        <f>SUM(F24:H24)</f>
        <v>18867.060000000001</v>
      </c>
      <c r="AE24" s="4">
        <f>SUM(I24:K24)</f>
        <v>18867.060000000001</v>
      </c>
      <c r="AF24" s="4">
        <f>SUM(L24:N24)</f>
        <v>16031.16</v>
      </c>
      <c r="AG24" s="4"/>
      <c r="AH24" s="4">
        <f t="shared" si="68"/>
        <v>18786</v>
      </c>
      <c r="AI24" s="4">
        <f t="shared" si="69"/>
        <v>19158</v>
      </c>
      <c r="AJ24" s="4">
        <f t="shared" si="70"/>
        <v>19158</v>
      </c>
      <c r="AK24" s="4">
        <f t="shared" si="71"/>
        <v>19158</v>
      </c>
      <c r="AL24" s="4"/>
      <c r="AM24" s="4">
        <f>SUM(C24:N24)</f>
        <v>78035.900000000009</v>
      </c>
      <c r="AN24" s="4">
        <f>SUM(P24:AA24)</f>
        <v>76260</v>
      </c>
      <c r="AO24" s="1"/>
      <c r="AP24" s="25">
        <f>ROUND(SUM(AC24:AF24)-AM24,2)</f>
        <v>0</v>
      </c>
      <c r="AQ24" s="25">
        <f t="shared" si="72"/>
        <v>0</v>
      </c>
      <c r="AS24" s="3">
        <v>18600</v>
      </c>
      <c r="AT24" s="27">
        <f t="shared" si="66"/>
        <v>267.06000000000131</v>
      </c>
    </row>
    <row r="25" spans="2:46" x14ac:dyDescent="0.2">
      <c r="B25" s="28" t="s">
        <v>78</v>
      </c>
      <c r="C25" s="29">
        <f>SUM(C22:C24)</f>
        <v>16807.620000000003</v>
      </c>
      <c r="D25" s="29">
        <f t="shared" ref="D25" si="74">SUM(D22:D24)</f>
        <v>30000.78</v>
      </c>
      <c r="E25" s="29">
        <f t="shared" ref="E25" si="75">SUM(E22:E24)</f>
        <v>15291.34</v>
      </c>
      <c r="F25" s="29">
        <f t="shared" ref="F25" si="76">SUM(F22:F24)</f>
        <v>15291.34</v>
      </c>
      <c r="G25" s="29">
        <f t="shared" ref="G25" si="77">SUM(G22:G24)</f>
        <v>15291.34</v>
      </c>
      <c r="H25" s="29">
        <f t="shared" ref="H25" si="78">SUM(H22:H24)</f>
        <v>15291.34</v>
      </c>
      <c r="I25" s="29">
        <f t="shared" ref="I25" si="79">SUM(I22:I24)</f>
        <v>15291.34</v>
      </c>
      <c r="J25" s="29">
        <f t="shared" ref="J25" si="80">SUM(J22:J24)</f>
        <v>15291.34</v>
      </c>
      <c r="K25" s="29">
        <f t="shared" ref="K25" si="81">SUM(K22:K24)</f>
        <v>15291.34</v>
      </c>
      <c r="L25" s="29">
        <f t="shared" ref="L25" si="82">SUM(L22:L24)</f>
        <v>15024.960000000001</v>
      </c>
      <c r="M25" s="29">
        <f t="shared" ref="M25" si="83">SUM(M22:M24)</f>
        <v>14232.32</v>
      </c>
      <c r="N25" s="29">
        <f t="shared" ref="N25:AA25" si="84">SUM(N22:N24)</f>
        <v>15200</v>
      </c>
      <c r="O25" s="9"/>
      <c r="P25" s="29">
        <f t="shared" si="84"/>
        <v>15200</v>
      </c>
      <c r="Q25" s="29">
        <f t="shared" si="84"/>
        <v>37880</v>
      </c>
      <c r="R25" s="29">
        <f t="shared" si="84"/>
        <v>15656</v>
      </c>
      <c r="S25" s="29">
        <f t="shared" si="84"/>
        <v>15656</v>
      </c>
      <c r="T25" s="29">
        <f t="shared" si="84"/>
        <v>15656</v>
      </c>
      <c r="U25" s="29">
        <f t="shared" si="84"/>
        <v>15656</v>
      </c>
      <c r="V25" s="29">
        <f t="shared" si="84"/>
        <v>15656</v>
      </c>
      <c r="W25" s="29">
        <f t="shared" si="84"/>
        <v>15656</v>
      </c>
      <c r="X25" s="29">
        <f t="shared" si="84"/>
        <v>15656</v>
      </c>
      <c r="Y25" s="29">
        <f t="shared" si="84"/>
        <v>15656</v>
      </c>
      <c r="Z25" s="29">
        <f t="shared" si="84"/>
        <v>15656</v>
      </c>
      <c r="AA25" s="29">
        <f t="shared" si="84"/>
        <v>15656</v>
      </c>
      <c r="AB25" s="8"/>
      <c r="AC25" s="29">
        <f t="shared" ref="AC25" si="85">SUM(AC22:AC24)</f>
        <v>62099.740000000005</v>
      </c>
      <c r="AD25" s="29">
        <f t="shared" ref="AD25" si="86">SUM(AD22:AD24)</f>
        <v>45874.020000000004</v>
      </c>
      <c r="AE25" s="29">
        <f t="shared" ref="AE25" si="87">SUM(AE22:AE24)</f>
        <v>45874.020000000004</v>
      </c>
      <c r="AF25" s="29">
        <f t="shared" ref="AF25" si="88">SUM(AF22:AF24)</f>
        <v>44457.279999999999</v>
      </c>
      <c r="AG25" s="12"/>
      <c r="AH25" s="29">
        <f t="shared" ref="AH25:AK25" si="89">SUM(AH22:AH24)</f>
        <v>68736</v>
      </c>
      <c r="AI25" s="29">
        <f t="shared" si="89"/>
        <v>46968</v>
      </c>
      <c r="AJ25" s="29">
        <f t="shared" si="89"/>
        <v>46968</v>
      </c>
      <c r="AK25" s="29">
        <f t="shared" si="89"/>
        <v>46968</v>
      </c>
      <c r="AL25" s="12"/>
      <c r="AM25" s="29">
        <f>SUM(AM22:AM24)</f>
        <v>198305.06</v>
      </c>
      <c r="AN25" s="29">
        <f>SUM(AN22:AN24)</f>
        <v>209640</v>
      </c>
      <c r="AO25" s="1"/>
      <c r="AP25" s="25">
        <f>ROUND(SUM(AC25:AF25)-AM25,2)</f>
        <v>0</v>
      </c>
      <c r="AQ25" s="25">
        <f t="shared" si="72"/>
        <v>0</v>
      </c>
      <c r="AS25" s="3">
        <v>50400</v>
      </c>
      <c r="AT25" s="27">
        <f t="shared" si="66"/>
        <v>-4525.9799999999959</v>
      </c>
    </row>
    <row r="26" spans="2:46" x14ac:dyDescent="0.2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8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1"/>
      <c r="AN26" s="11"/>
      <c r="AO26" s="1"/>
      <c r="AP26" s="3"/>
      <c r="AQ26" s="3"/>
      <c r="AS26" s="3"/>
    </row>
    <row r="27" spans="2:46" x14ac:dyDescent="0.2">
      <c r="B27" s="30" t="s">
        <v>117</v>
      </c>
      <c r="C27" s="99">
        <v>8505.07</v>
      </c>
      <c r="D27" s="99">
        <v>8555.48</v>
      </c>
      <c r="E27" s="99">
        <v>8707.869999999999</v>
      </c>
      <c r="F27" s="99">
        <v>8915.7999999999993</v>
      </c>
      <c r="G27" s="99">
        <v>8915.7999999999993</v>
      </c>
      <c r="H27" s="99">
        <v>8915.7999999999993</v>
      </c>
      <c r="I27" s="99">
        <v>8915.7999999999993</v>
      </c>
      <c r="J27" s="99">
        <v>8915.7999999999993</v>
      </c>
      <c r="K27" s="99">
        <v>8915.7999999999993</v>
      </c>
      <c r="L27" s="99">
        <v>8915.7999999999993</v>
      </c>
      <c r="M27" s="99">
        <v>8907.5</v>
      </c>
      <c r="N27" s="13">
        <v>9000</v>
      </c>
      <c r="O27" s="9"/>
      <c r="P27" s="13">
        <v>9000</v>
      </c>
      <c r="Q27" s="13">
        <v>9000</v>
      </c>
      <c r="R27" s="13">
        <f>+Q27+(Q27*$R$2)</f>
        <v>9270</v>
      </c>
      <c r="S27" s="13">
        <f>+R27</f>
        <v>9270</v>
      </c>
      <c r="T27" s="13">
        <f t="shared" ref="T27:AA27" si="90">+S27</f>
        <v>9270</v>
      </c>
      <c r="U27" s="13">
        <f t="shared" si="90"/>
        <v>9270</v>
      </c>
      <c r="V27" s="13">
        <f t="shared" si="90"/>
        <v>9270</v>
      </c>
      <c r="W27" s="13">
        <f t="shared" si="90"/>
        <v>9270</v>
      </c>
      <c r="X27" s="13">
        <f t="shared" si="90"/>
        <v>9270</v>
      </c>
      <c r="Y27" s="13">
        <f t="shared" si="90"/>
        <v>9270</v>
      </c>
      <c r="Z27" s="13">
        <f t="shared" si="90"/>
        <v>9270</v>
      </c>
      <c r="AA27" s="13">
        <f t="shared" si="90"/>
        <v>9270</v>
      </c>
      <c r="AB27" s="8"/>
      <c r="AC27" s="4">
        <f>SUM(C27:E27)</f>
        <v>25768.42</v>
      </c>
      <c r="AD27" s="4">
        <f>SUM(F27:H27)</f>
        <v>26747.399999999998</v>
      </c>
      <c r="AE27" s="4">
        <f>SUM(I27:K27)</f>
        <v>26747.399999999998</v>
      </c>
      <c r="AF27" s="4">
        <f>SUM(L27:N27)</f>
        <v>26823.3</v>
      </c>
      <c r="AG27" s="4"/>
      <c r="AH27" s="4">
        <f>SUM(P27:R27)</f>
        <v>27270</v>
      </c>
      <c r="AI27" s="4">
        <f>SUM(S27:U27)</f>
        <v>27810</v>
      </c>
      <c r="AJ27" s="4">
        <f>SUM(V27:X27)</f>
        <v>27810</v>
      </c>
      <c r="AK27" s="4">
        <f>SUM(Y27:AA27)</f>
        <v>27810</v>
      </c>
      <c r="AL27" s="4"/>
      <c r="AM27" s="4">
        <f>SUM(C27:N27)</f>
        <v>106086.52000000002</v>
      </c>
      <c r="AN27" s="4">
        <f>SUM(P27:AA27)</f>
        <v>110700</v>
      </c>
      <c r="AO27" s="1"/>
      <c r="AP27" s="25">
        <f>ROUND(SUM(AC27:AF27)-AM27,2)</f>
        <v>0</v>
      </c>
      <c r="AQ27" s="25">
        <f>ROUND(SUM(AH27:AK27)-AN27,2)</f>
        <v>0</v>
      </c>
      <c r="AS27" s="3">
        <v>25500</v>
      </c>
      <c r="AT27" s="27">
        <f t="shared" ref="AT27:AT30" si="91">+AD27-AS27</f>
        <v>1247.3999999999978</v>
      </c>
    </row>
    <row r="28" spans="2:46" x14ac:dyDescent="0.2">
      <c r="B28" s="30" t="s">
        <v>25</v>
      </c>
      <c r="C28" s="99">
        <v>0</v>
      </c>
      <c r="D28" s="99">
        <v>10266.57</v>
      </c>
      <c r="E28" s="99">
        <v>0</v>
      </c>
      <c r="F28" s="99">
        <v>0</v>
      </c>
      <c r="G28" s="99">
        <v>0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99">
        <v>0</v>
      </c>
      <c r="N28" s="13">
        <v>0</v>
      </c>
      <c r="O28" s="9"/>
      <c r="P28" s="13">
        <v>0</v>
      </c>
      <c r="Q28" s="13">
        <f>+H311+I311</f>
        <v>13494.593952000001</v>
      </c>
      <c r="R28" s="13">
        <v>0</v>
      </c>
      <c r="S28" s="13">
        <f>+R28</f>
        <v>0</v>
      </c>
      <c r="T28" s="13">
        <f t="shared" ref="T28:AA28" si="92">+S28</f>
        <v>0</v>
      </c>
      <c r="U28" s="13">
        <f t="shared" si="92"/>
        <v>0</v>
      </c>
      <c r="V28" s="13">
        <f t="shared" si="92"/>
        <v>0</v>
      </c>
      <c r="W28" s="13">
        <f t="shared" si="92"/>
        <v>0</v>
      </c>
      <c r="X28" s="13">
        <f t="shared" si="92"/>
        <v>0</v>
      </c>
      <c r="Y28" s="13">
        <f t="shared" si="92"/>
        <v>0</v>
      </c>
      <c r="Z28" s="13">
        <f t="shared" si="92"/>
        <v>0</v>
      </c>
      <c r="AA28" s="13">
        <f t="shared" si="92"/>
        <v>0</v>
      </c>
      <c r="AB28" s="8"/>
      <c r="AC28" s="4">
        <f>SUM(C28:E28)</f>
        <v>10266.57</v>
      </c>
      <c r="AD28" s="4">
        <f>SUM(F28:H28)</f>
        <v>0</v>
      </c>
      <c r="AE28" s="4">
        <f>SUM(I28:K28)</f>
        <v>0</v>
      </c>
      <c r="AF28" s="4">
        <f>SUM(L28:N28)</f>
        <v>0</v>
      </c>
      <c r="AG28" s="4"/>
      <c r="AH28" s="4">
        <f t="shared" ref="AH28:AH29" si="93">SUM(P28:R28)</f>
        <v>13494.593952000001</v>
      </c>
      <c r="AI28" s="4">
        <f t="shared" ref="AI28:AI29" si="94">SUM(S28:U28)</f>
        <v>0</v>
      </c>
      <c r="AJ28" s="4">
        <f t="shared" ref="AJ28:AJ29" si="95">SUM(V28:X28)</f>
        <v>0</v>
      </c>
      <c r="AK28" s="4">
        <f t="shared" ref="AK28:AK29" si="96">SUM(Y28:AA28)</f>
        <v>0</v>
      </c>
      <c r="AL28" s="4"/>
      <c r="AM28" s="4">
        <f>SUM(C28:N28)</f>
        <v>10266.57</v>
      </c>
      <c r="AN28" s="4">
        <f>SUM(P28:AA28)</f>
        <v>13494.593952000001</v>
      </c>
      <c r="AO28" s="1"/>
      <c r="AP28" s="25">
        <f>ROUND(SUM(AC28:AF28)-AM28,2)</f>
        <v>0</v>
      </c>
      <c r="AQ28" s="25">
        <f t="shared" ref="AQ28:AQ30" si="97">ROUND(SUM(AH28:AK28)-AN28,2)</f>
        <v>0</v>
      </c>
      <c r="AS28" s="3">
        <v>0</v>
      </c>
      <c r="AT28" s="27">
        <f t="shared" si="91"/>
        <v>0</v>
      </c>
    </row>
    <row r="29" spans="2:46" x14ac:dyDescent="0.2">
      <c r="B29" s="30" t="s">
        <v>118</v>
      </c>
      <c r="C29" s="99">
        <v>4954.8500000000004</v>
      </c>
      <c r="D29" s="99">
        <v>12616.26</v>
      </c>
      <c r="E29" s="99">
        <v>4772.5600000000004</v>
      </c>
      <c r="F29" s="99">
        <v>4924.6399999999994</v>
      </c>
      <c r="G29" s="99">
        <v>4924.6400000000003</v>
      </c>
      <c r="H29" s="99">
        <v>4924.6400000000003</v>
      </c>
      <c r="I29" s="99">
        <v>4924.6400000000003</v>
      </c>
      <c r="J29" s="99">
        <v>4924.6400000000003</v>
      </c>
      <c r="K29" s="99">
        <v>4924.6400000000003</v>
      </c>
      <c r="L29" s="99">
        <v>4924.6400000000003</v>
      </c>
      <c r="M29" s="99">
        <v>4919.96</v>
      </c>
      <c r="N29" s="13">
        <v>4900</v>
      </c>
      <c r="O29" s="9"/>
      <c r="P29" s="13">
        <v>4900</v>
      </c>
      <c r="Q29" s="13">
        <v>4900</v>
      </c>
      <c r="R29" s="13">
        <f>R27*(Q29/Q27)</f>
        <v>5047</v>
      </c>
      <c r="S29" s="13">
        <f>+R29</f>
        <v>5047</v>
      </c>
      <c r="T29" s="13">
        <f t="shared" ref="T29:AA29" si="98">+S29</f>
        <v>5047</v>
      </c>
      <c r="U29" s="13">
        <f t="shared" si="98"/>
        <v>5047</v>
      </c>
      <c r="V29" s="13">
        <f t="shared" si="98"/>
        <v>5047</v>
      </c>
      <c r="W29" s="13">
        <f t="shared" si="98"/>
        <v>5047</v>
      </c>
      <c r="X29" s="13">
        <f t="shared" si="98"/>
        <v>5047</v>
      </c>
      <c r="Y29" s="13">
        <f t="shared" si="98"/>
        <v>5047</v>
      </c>
      <c r="Z29" s="13">
        <f t="shared" si="98"/>
        <v>5047</v>
      </c>
      <c r="AA29" s="13">
        <f t="shared" si="98"/>
        <v>5047</v>
      </c>
      <c r="AB29" s="8"/>
      <c r="AC29" s="4">
        <f>SUM(C29:E29)</f>
        <v>22343.670000000002</v>
      </c>
      <c r="AD29" s="4">
        <f>SUM(F29:H29)</f>
        <v>14773.919999999998</v>
      </c>
      <c r="AE29" s="4">
        <f>SUM(I29:K29)</f>
        <v>14773.920000000002</v>
      </c>
      <c r="AF29" s="4">
        <f>SUM(L29:N29)</f>
        <v>14744.6</v>
      </c>
      <c r="AG29" s="4"/>
      <c r="AH29" s="4">
        <f t="shared" si="93"/>
        <v>14847</v>
      </c>
      <c r="AI29" s="4">
        <f t="shared" si="94"/>
        <v>15141</v>
      </c>
      <c r="AJ29" s="4">
        <f t="shared" si="95"/>
        <v>15141</v>
      </c>
      <c r="AK29" s="4">
        <f t="shared" si="96"/>
        <v>15141</v>
      </c>
      <c r="AL29" s="4"/>
      <c r="AM29" s="4">
        <f>SUM(C29:N29)</f>
        <v>66636.11</v>
      </c>
      <c r="AN29" s="4">
        <f>SUM(P29:AA29)</f>
        <v>60270</v>
      </c>
      <c r="AO29" s="1"/>
      <c r="AP29" s="25">
        <f>ROUND(SUM(AC29:AF29)-AM29,2)</f>
        <v>0</v>
      </c>
      <c r="AQ29" s="25">
        <f t="shared" si="97"/>
        <v>0</v>
      </c>
      <c r="AS29" s="3">
        <v>14700</v>
      </c>
      <c r="AT29" s="27">
        <f t="shared" si="91"/>
        <v>73.919999999998254</v>
      </c>
    </row>
    <row r="30" spans="2:46" x14ac:dyDescent="0.2">
      <c r="B30" s="28" t="s">
        <v>77</v>
      </c>
      <c r="C30" s="29">
        <f>SUM(C27:C29)</f>
        <v>13459.92</v>
      </c>
      <c r="D30" s="29">
        <f t="shared" ref="D30" si="99">SUM(D27:D29)</f>
        <v>31438.309999999998</v>
      </c>
      <c r="E30" s="29">
        <f t="shared" ref="E30" si="100">SUM(E27:E29)</f>
        <v>13480.43</v>
      </c>
      <c r="F30" s="29">
        <f t="shared" ref="F30" si="101">SUM(F27:F29)</f>
        <v>13840.439999999999</v>
      </c>
      <c r="G30" s="29">
        <f t="shared" ref="G30" si="102">SUM(G27:G29)</f>
        <v>13840.439999999999</v>
      </c>
      <c r="H30" s="29">
        <f t="shared" ref="H30" si="103">SUM(H27:H29)</f>
        <v>13840.439999999999</v>
      </c>
      <c r="I30" s="29">
        <f t="shared" ref="I30" si="104">SUM(I27:I29)</f>
        <v>13840.439999999999</v>
      </c>
      <c r="J30" s="29">
        <f t="shared" ref="J30" si="105">SUM(J27:J29)</f>
        <v>13840.439999999999</v>
      </c>
      <c r="K30" s="29">
        <f t="shared" ref="K30" si="106">SUM(K27:K29)</f>
        <v>13840.439999999999</v>
      </c>
      <c r="L30" s="29">
        <f t="shared" ref="L30" si="107">SUM(L27:L29)</f>
        <v>13840.439999999999</v>
      </c>
      <c r="M30" s="29">
        <f t="shared" ref="M30" si="108">SUM(M27:M29)</f>
        <v>13827.46</v>
      </c>
      <c r="N30" s="29">
        <f t="shared" ref="N30:AA30" si="109">SUM(N27:N29)</f>
        <v>13900</v>
      </c>
      <c r="O30" s="9"/>
      <c r="P30" s="29">
        <f t="shared" si="109"/>
        <v>13900</v>
      </c>
      <c r="Q30" s="29">
        <f t="shared" si="109"/>
        <v>27394.593952000003</v>
      </c>
      <c r="R30" s="29">
        <f t="shared" si="109"/>
        <v>14317</v>
      </c>
      <c r="S30" s="29">
        <f t="shared" si="109"/>
        <v>14317</v>
      </c>
      <c r="T30" s="29">
        <f t="shared" si="109"/>
        <v>14317</v>
      </c>
      <c r="U30" s="29">
        <f t="shared" si="109"/>
        <v>14317</v>
      </c>
      <c r="V30" s="29">
        <f t="shared" si="109"/>
        <v>14317</v>
      </c>
      <c r="W30" s="29">
        <f t="shared" si="109"/>
        <v>14317</v>
      </c>
      <c r="X30" s="29">
        <f t="shared" si="109"/>
        <v>14317</v>
      </c>
      <c r="Y30" s="29">
        <f t="shared" si="109"/>
        <v>14317</v>
      </c>
      <c r="Z30" s="29">
        <f t="shared" si="109"/>
        <v>14317</v>
      </c>
      <c r="AA30" s="29">
        <f t="shared" si="109"/>
        <v>14317</v>
      </c>
      <c r="AB30" s="8"/>
      <c r="AC30" s="29">
        <f t="shared" ref="AC30" si="110">SUM(AC27:AC29)</f>
        <v>58378.66</v>
      </c>
      <c r="AD30" s="29">
        <f t="shared" ref="AD30" si="111">SUM(AD27:AD29)</f>
        <v>41521.319999999992</v>
      </c>
      <c r="AE30" s="29">
        <f t="shared" ref="AE30" si="112">SUM(AE27:AE29)</f>
        <v>41521.32</v>
      </c>
      <c r="AF30" s="29">
        <f t="shared" ref="AF30" si="113">SUM(AF27:AF29)</f>
        <v>41567.9</v>
      </c>
      <c r="AG30" s="12"/>
      <c r="AH30" s="29">
        <f t="shared" ref="AH30:AK30" si="114">SUM(AH27:AH29)</f>
        <v>55611.593952000003</v>
      </c>
      <c r="AI30" s="29">
        <f t="shared" si="114"/>
        <v>42951</v>
      </c>
      <c r="AJ30" s="29">
        <f t="shared" si="114"/>
        <v>42951</v>
      </c>
      <c r="AK30" s="29">
        <f t="shared" si="114"/>
        <v>42951</v>
      </c>
      <c r="AL30" s="12"/>
      <c r="AM30" s="29">
        <f>SUM(AM27:AM29)</f>
        <v>182989.2</v>
      </c>
      <c r="AN30" s="29">
        <f>SUM(AN27:AN29)</f>
        <v>184464.593952</v>
      </c>
      <c r="AO30" s="1"/>
      <c r="AP30" s="25">
        <f>ROUND(SUM(AC30:AF30)-AM30,2)</f>
        <v>0</v>
      </c>
      <c r="AQ30" s="25">
        <f t="shared" si="97"/>
        <v>0</v>
      </c>
      <c r="AS30" s="3">
        <v>40200</v>
      </c>
      <c r="AT30" s="27">
        <f t="shared" si="91"/>
        <v>1321.3199999999924</v>
      </c>
    </row>
    <row r="31" spans="2:46" x14ac:dyDescent="0.2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8"/>
      <c r="AC31" s="29"/>
      <c r="AD31" s="29"/>
      <c r="AE31" s="29"/>
      <c r="AF31" s="29"/>
      <c r="AG31" s="12"/>
      <c r="AH31" s="12"/>
      <c r="AI31" s="12"/>
      <c r="AJ31" s="12"/>
      <c r="AK31" s="12"/>
      <c r="AL31" s="12"/>
      <c r="AM31" s="29"/>
      <c r="AN31" s="29"/>
      <c r="AO31" s="1"/>
      <c r="AP31" s="25"/>
      <c r="AQ31" s="25"/>
      <c r="AS31" s="3"/>
    </row>
    <row r="32" spans="2:46" x14ac:dyDescent="0.2">
      <c r="B32" s="30" t="s">
        <v>117</v>
      </c>
      <c r="C32" s="99">
        <v>12718.669999999998</v>
      </c>
      <c r="D32" s="99">
        <v>12720.24</v>
      </c>
      <c r="E32" s="99">
        <v>11168.39</v>
      </c>
      <c r="F32" s="99">
        <v>13867.51</v>
      </c>
      <c r="G32" s="99">
        <v>13930.42</v>
      </c>
      <c r="H32" s="99">
        <v>13930.42</v>
      </c>
      <c r="I32" s="99">
        <v>13930.46</v>
      </c>
      <c r="J32" s="99">
        <v>14755.8</v>
      </c>
      <c r="K32" s="99">
        <v>15101.11</v>
      </c>
      <c r="L32" s="99">
        <v>15005.82</v>
      </c>
      <c r="M32" s="99">
        <v>14954.939999999999</v>
      </c>
      <c r="N32" s="13">
        <v>14700</v>
      </c>
      <c r="O32" s="9"/>
      <c r="P32" s="13">
        <v>14700</v>
      </c>
      <c r="Q32" s="13">
        <v>14700</v>
      </c>
      <c r="R32" s="13">
        <f>+Q32+(Q32*$R$2)</f>
        <v>15141</v>
      </c>
      <c r="S32" s="13">
        <f>+R32</f>
        <v>15141</v>
      </c>
      <c r="T32" s="13">
        <f t="shared" ref="T32:AA32" si="115">+S32</f>
        <v>15141</v>
      </c>
      <c r="U32" s="13">
        <f t="shared" si="115"/>
        <v>15141</v>
      </c>
      <c r="V32" s="13">
        <f t="shared" si="115"/>
        <v>15141</v>
      </c>
      <c r="W32" s="13">
        <f t="shared" si="115"/>
        <v>15141</v>
      </c>
      <c r="X32" s="13">
        <f t="shared" si="115"/>
        <v>15141</v>
      </c>
      <c r="Y32" s="13">
        <f t="shared" si="115"/>
        <v>15141</v>
      </c>
      <c r="Z32" s="13">
        <f t="shared" si="115"/>
        <v>15141</v>
      </c>
      <c r="AA32" s="13">
        <f t="shared" si="115"/>
        <v>15141</v>
      </c>
      <c r="AB32" s="8"/>
      <c r="AC32" s="4">
        <f>SUM(C32:E32)</f>
        <v>36607.299999999996</v>
      </c>
      <c r="AD32" s="4">
        <f>SUM(F32:H32)</f>
        <v>41728.35</v>
      </c>
      <c r="AE32" s="4">
        <f>SUM(I32:K32)</f>
        <v>43787.369999999995</v>
      </c>
      <c r="AF32" s="4">
        <f>SUM(L32:N32)</f>
        <v>44660.759999999995</v>
      </c>
      <c r="AG32" s="4"/>
      <c r="AH32" s="4">
        <f>SUM(P32:R32)</f>
        <v>44541</v>
      </c>
      <c r="AI32" s="4">
        <f>SUM(S32:U32)</f>
        <v>45423</v>
      </c>
      <c r="AJ32" s="4">
        <f>SUM(V32:X32)</f>
        <v>45423</v>
      </c>
      <c r="AK32" s="4">
        <f>SUM(Y32:AA32)</f>
        <v>45423</v>
      </c>
      <c r="AL32" s="4"/>
      <c r="AM32" s="4">
        <f>SUM(C32:N32)</f>
        <v>166783.78</v>
      </c>
      <c r="AN32" s="4">
        <f>SUM(P32:AA32)</f>
        <v>180810</v>
      </c>
      <c r="AO32" s="1"/>
      <c r="AP32" s="25">
        <f>ROUND(SUM(AC32:AF32)-AM32,2)</f>
        <v>0</v>
      </c>
      <c r="AQ32" s="25">
        <f>ROUND(SUM(AH32:AK32)-AN32,2)</f>
        <v>0</v>
      </c>
      <c r="AS32" s="3">
        <v>38400</v>
      </c>
      <c r="AT32" s="27">
        <f t="shared" ref="AT32:AT50" si="116">+AD32-AS32</f>
        <v>3328.3499999999985</v>
      </c>
    </row>
    <row r="33" spans="2:46" x14ac:dyDescent="0.2">
      <c r="B33" s="30" t="s">
        <v>25</v>
      </c>
      <c r="C33" s="99">
        <v>0</v>
      </c>
      <c r="D33" s="99">
        <v>18126.650000000001</v>
      </c>
      <c r="E33" s="99">
        <v>0</v>
      </c>
      <c r="F33" s="99">
        <v>0</v>
      </c>
      <c r="G33" s="99">
        <v>0</v>
      </c>
      <c r="H33" s="99">
        <v>0</v>
      </c>
      <c r="I33" s="99">
        <v>0</v>
      </c>
      <c r="J33" s="99">
        <v>0</v>
      </c>
      <c r="K33" s="99">
        <v>0</v>
      </c>
      <c r="L33" s="99">
        <v>0</v>
      </c>
      <c r="M33" s="99">
        <v>0</v>
      </c>
      <c r="N33" s="13">
        <v>0</v>
      </c>
      <c r="O33" s="9"/>
      <c r="P33" s="13">
        <v>0</v>
      </c>
      <c r="Q33" s="13">
        <f>+H312+I312</f>
        <v>49612.515120000004</v>
      </c>
      <c r="R33" s="13">
        <v>0</v>
      </c>
      <c r="S33" s="13">
        <f>+R33</f>
        <v>0</v>
      </c>
      <c r="T33" s="13">
        <f t="shared" ref="T33:AA33" si="117">+S33</f>
        <v>0</v>
      </c>
      <c r="U33" s="13">
        <f t="shared" si="117"/>
        <v>0</v>
      </c>
      <c r="V33" s="13">
        <f t="shared" si="117"/>
        <v>0</v>
      </c>
      <c r="W33" s="13">
        <f t="shared" si="117"/>
        <v>0</v>
      </c>
      <c r="X33" s="13">
        <f t="shared" si="117"/>
        <v>0</v>
      </c>
      <c r="Y33" s="13">
        <f t="shared" si="117"/>
        <v>0</v>
      </c>
      <c r="Z33" s="13">
        <f t="shared" si="117"/>
        <v>0</v>
      </c>
      <c r="AA33" s="13">
        <f t="shared" si="117"/>
        <v>0</v>
      </c>
      <c r="AB33" s="8"/>
      <c r="AC33" s="4">
        <f>SUM(C33:E33)</f>
        <v>18126.650000000001</v>
      </c>
      <c r="AD33" s="4">
        <f>SUM(F33:H33)</f>
        <v>0</v>
      </c>
      <c r="AE33" s="4">
        <f>SUM(I33:K33)</f>
        <v>0</v>
      </c>
      <c r="AF33" s="4">
        <f>SUM(L33:N33)</f>
        <v>0</v>
      </c>
      <c r="AG33" s="4"/>
      <c r="AH33" s="4">
        <f t="shared" ref="AH33:AH34" si="118">SUM(P33:R33)</f>
        <v>49612.515120000004</v>
      </c>
      <c r="AI33" s="4">
        <f t="shared" ref="AI33:AI34" si="119">SUM(S33:U33)</f>
        <v>0</v>
      </c>
      <c r="AJ33" s="4">
        <f t="shared" ref="AJ33:AJ34" si="120">SUM(V33:X33)</f>
        <v>0</v>
      </c>
      <c r="AK33" s="4">
        <f t="shared" ref="AK33:AK34" si="121">SUM(Y33:AA33)</f>
        <v>0</v>
      </c>
      <c r="AL33" s="4"/>
      <c r="AM33" s="4">
        <f>SUM(C33:N33)</f>
        <v>18126.650000000001</v>
      </c>
      <c r="AN33" s="4">
        <f>SUM(P33:AA33)</f>
        <v>49612.515120000004</v>
      </c>
      <c r="AO33" s="1"/>
      <c r="AP33" s="25">
        <f>ROUND(SUM(AC33:AF33)-AM33,2)</f>
        <v>0</v>
      </c>
      <c r="AQ33" s="25">
        <f t="shared" ref="AQ33:AQ35" si="122">ROUND(SUM(AH33:AK33)-AN33,2)</f>
        <v>0</v>
      </c>
      <c r="AS33" s="3">
        <v>0</v>
      </c>
      <c r="AT33" s="27">
        <f t="shared" si="116"/>
        <v>0</v>
      </c>
    </row>
    <row r="34" spans="2:46" x14ac:dyDescent="0.2">
      <c r="B34" s="30" t="s">
        <v>118</v>
      </c>
      <c r="C34" s="99">
        <v>6566.77</v>
      </c>
      <c r="D34" s="99">
        <v>20345.990000000002</v>
      </c>
      <c r="E34" s="99">
        <v>6249.08</v>
      </c>
      <c r="F34" s="99">
        <v>6662.7500000000009</v>
      </c>
      <c r="G34" s="99">
        <v>6599.84</v>
      </c>
      <c r="H34" s="99">
        <v>6599.85</v>
      </c>
      <c r="I34" s="99">
        <v>6599.82</v>
      </c>
      <c r="J34" s="99">
        <v>4949.0800000000008</v>
      </c>
      <c r="K34" s="99">
        <v>4171.13</v>
      </c>
      <c r="L34" s="99">
        <v>4266.42</v>
      </c>
      <c r="M34" s="99">
        <v>4266.3999999999996</v>
      </c>
      <c r="N34" s="13">
        <v>5000</v>
      </c>
      <c r="O34" s="9"/>
      <c r="P34" s="13">
        <v>5000</v>
      </c>
      <c r="Q34" s="13">
        <v>5000</v>
      </c>
      <c r="R34" s="13">
        <f>R32*(Q34/Q32)</f>
        <v>5150</v>
      </c>
      <c r="S34" s="13">
        <f>+R34</f>
        <v>5150</v>
      </c>
      <c r="T34" s="13">
        <f t="shared" ref="T34:AA34" si="123">+S34</f>
        <v>5150</v>
      </c>
      <c r="U34" s="13">
        <f t="shared" si="123"/>
        <v>5150</v>
      </c>
      <c r="V34" s="13">
        <f t="shared" si="123"/>
        <v>5150</v>
      </c>
      <c r="W34" s="13">
        <f t="shared" si="123"/>
        <v>5150</v>
      </c>
      <c r="X34" s="13">
        <f t="shared" si="123"/>
        <v>5150</v>
      </c>
      <c r="Y34" s="13">
        <f t="shared" si="123"/>
        <v>5150</v>
      </c>
      <c r="Z34" s="13">
        <f t="shared" si="123"/>
        <v>5150</v>
      </c>
      <c r="AA34" s="13">
        <f t="shared" si="123"/>
        <v>5150</v>
      </c>
      <c r="AB34" s="8"/>
      <c r="AC34" s="4">
        <f>SUM(C34:E34)</f>
        <v>33161.840000000004</v>
      </c>
      <c r="AD34" s="4">
        <f>SUM(F34:H34)</f>
        <v>19862.440000000002</v>
      </c>
      <c r="AE34" s="4">
        <f>SUM(I34:K34)</f>
        <v>15720.030000000002</v>
      </c>
      <c r="AF34" s="4">
        <f>SUM(L34:N34)</f>
        <v>13532.82</v>
      </c>
      <c r="AG34" s="4"/>
      <c r="AH34" s="4">
        <f t="shared" si="118"/>
        <v>15150</v>
      </c>
      <c r="AI34" s="4">
        <f t="shared" si="119"/>
        <v>15450</v>
      </c>
      <c r="AJ34" s="4">
        <f t="shared" si="120"/>
        <v>15450</v>
      </c>
      <c r="AK34" s="4">
        <f t="shared" si="121"/>
        <v>15450</v>
      </c>
      <c r="AL34" s="4"/>
      <c r="AM34" s="4">
        <f>SUM(C34:N34)</f>
        <v>82277.13</v>
      </c>
      <c r="AN34" s="4">
        <f>SUM(P34:AA34)</f>
        <v>61500</v>
      </c>
      <c r="AO34" s="1"/>
      <c r="AP34" s="25">
        <f>ROUND(SUM(AC34:AF34)-AM34,2)</f>
        <v>0</v>
      </c>
      <c r="AQ34" s="25">
        <f t="shared" si="122"/>
        <v>0</v>
      </c>
      <c r="AS34" s="3">
        <v>19800</v>
      </c>
      <c r="AT34" s="27">
        <f t="shared" si="116"/>
        <v>62.440000000002328</v>
      </c>
    </row>
    <row r="35" spans="2:46" x14ac:dyDescent="0.2">
      <c r="B35" s="28" t="s">
        <v>76</v>
      </c>
      <c r="C35" s="29">
        <f>SUM(C32:C34)</f>
        <v>19285.439999999999</v>
      </c>
      <c r="D35" s="29">
        <f t="shared" ref="D35" si="124">SUM(D32:D34)</f>
        <v>51192.880000000005</v>
      </c>
      <c r="E35" s="29">
        <f t="shared" ref="E35" si="125">SUM(E32:E34)</f>
        <v>17417.47</v>
      </c>
      <c r="F35" s="29">
        <f t="shared" ref="F35" si="126">SUM(F32:F34)</f>
        <v>20530.260000000002</v>
      </c>
      <c r="G35" s="29">
        <f t="shared" ref="G35" si="127">SUM(G32:G34)</f>
        <v>20530.260000000002</v>
      </c>
      <c r="H35" s="29">
        <f t="shared" ref="H35" si="128">SUM(H32:H34)</f>
        <v>20530.27</v>
      </c>
      <c r="I35" s="29">
        <f t="shared" ref="I35" si="129">SUM(I32:I34)</f>
        <v>20530.28</v>
      </c>
      <c r="J35" s="29">
        <f t="shared" ref="J35" si="130">SUM(J32:J34)</f>
        <v>19704.88</v>
      </c>
      <c r="K35" s="29">
        <f t="shared" ref="K35" si="131">SUM(K32:K34)</f>
        <v>19272.240000000002</v>
      </c>
      <c r="L35" s="29">
        <f t="shared" ref="L35" si="132">SUM(L32:L34)</f>
        <v>19272.239999999998</v>
      </c>
      <c r="M35" s="29">
        <f t="shared" ref="M35" si="133">SUM(M32:M34)</f>
        <v>19221.339999999997</v>
      </c>
      <c r="N35" s="29">
        <f t="shared" ref="N35:AA35" si="134">SUM(N32:N34)</f>
        <v>19700</v>
      </c>
      <c r="O35" s="9"/>
      <c r="P35" s="29">
        <f t="shared" si="134"/>
        <v>19700</v>
      </c>
      <c r="Q35" s="29">
        <f t="shared" si="134"/>
        <v>69312.515119999996</v>
      </c>
      <c r="R35" s="29">
        <f t="shared" si="134"/>
        <v>20291</v>
      </c>
      <c r="S35" s="29">
        <f t="shared" si="134"/>
        <v>20291</v>
      </c>
      <c r="T35" s="29">
        <f t="shared" si="134"/>
        <v>20291</v>
      </c>
      <c r="U35" s="29">
        <f t="shared" si="134"/>
        <v>20291</v>
      </c>
      <c r="V35" s="29">
        <f t="shared" si="134"/>
        <v>20291</v>
      </c>
      <c r="W35" s="29">
        <f t="shared" si="134"/>
        <v>20291</v>
      </c>
      <c r="X35" s="29">
        <f t="shared" si="134"/>
        <v>20291</v>
      </c>
      <c r="Y35" s="29">
        <f t="shared" si="134"/>
        <v>20291</v>
      </c>
      <c r="Z35" s="29">
        <f t="shared" si="134"/>
        <v>20291</v>
      </c>
      <c r="AA35" s="29">
        <f t="shared" si="134"/>
        <v>20291</v>
      </c>
      <c r="AB35" s="8"/>
      <c r="AC35" s="29">
        <f t="shared" ref="AC35" si="135">SUM(AC32:AC34)</f>
        <v>87895.790000000008</v>
      </c>
      <c r="AD35" s="29">
        <f t="shared" ref="AD35" si="136">SUM(AD32:AD34)</f>
        <v>61590.79</v>
      </c>
      <c r="AE35" s="29">
        <f t="shared" ref="AE35" si="137">SUM(AE32:AE34)</f>
        <v>59507.399999999994</v>
      </c>
      <c r="AF35" s="29">
        <f t="shared" ref="AF35" si="138">SUM(AF32:AF34)</f>
        <v>58193.579999999994</v>
      </c>
      <c r="AG35" s="12"/>
      <c r="AH35" s="29">
        <f t="shared" ref="AH35:AK35" si="139">SUM(AH32:AH34)</f>
        <v>109303.51512</v>
      </c>
      <c r="AI35" s="29">
        <f t="shared" si="139"/>
        <v>60873</v>
      </c>
      <c r="AJ35" s="29">
        <f t="shared" si="139"/>
        <v>60873</v>
      </c>
      <c r="AK35" s="29">
        <f t="shared" si="139"/>
        <v>60873</v>
      </c>
      <c r="AL35" s="12"/>
      <c r="AM35" s="29">
        <f>SUM(AM32:AM34)</f>
        <v>267187.56</v>
      </c>
      <c r="AN35" s="29">
        <f>SUM(AN32:AN34)</f>
        <v>291922.51512</v>
      </c>
      <c r="AO35" s="1"/>
      <c r="AP35" s="25">
        <f>ROUND(SUM(AC35:AF35)-AM35,2)</f>
        <v>0</v>
      </c>
      <c r="AQ35" s="25">
        <f t="shared" si="122"/>
        <v>0</v>
      </c>
      <c r="AS35" s="3">
        <v>58200</v>
      </c>
      <c r="AT35" s="27">
        <f t="shared" si="116"/>
        <v>3390.7900000000009</v>
      </c>
    </row>
    <row r="36" spans="2:46" x14ac:dyDescent="0.2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8"/>
      <c r="AC36" s="29"/>
      <c r="AD36" s="29"/>
      <c r="AE36" s="29"/>
      <c r="AF36" s="29"/>
      <c r="AG36" s="12"/>
      <c r="AH36" s="12"/>
      <c r="AI36" s="12"/>
      <c r="AJ36" s="12"/>
      <c r="AK36" s="12"/>
      <c r="AL36" s="12"/>
      <c r="AM36" s="29"/>
      <c r="AN36" s="29"/>
      <c r="AO36" s="1"/>
      <c r="AP36" s="25"/>
      <c r="AQ36" s="25"/>
      <c r="AS36" s="3"/>
    </row>
    <row r="37" spans="2:46" x14ac:dyDescent="0.2">
      <c r="B37" s="30" t="s">
        <v>117</v>
      </c>
      <c r="C37" s="99">
        <v>9192.36</v>
      </c>
      <c r="D37" s="99">
        <v>10005.35</v>
      </c>
      <c r="E37" s="99">
        <v>4886.58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13">
        <v>0</v>
      </c>
      <c r="O37" s="9"/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8"/>
      <c r="AC37" s="4">
        <f>SUM(C37:E37)</f>
        <v>24084.29</v>
      </c>
      <c r="AD37" s="4">
        <f>SUM(F37:H37)</f>
        <v>0</v>
      </c>
      <c r="AE37" s="4">
        <f>SUM(I37:K37)</f>
        <v>0</v>
      </c>
      <c r="AF37" s="4">
        <f>SUM(L37:N37)</f>
        <v>0</v>
      </c>
      <c r="AG37" s="4"/>
      <c r="AH37" s="4">
        <f>SUM(P37:R37)</f>
        <v>0</v>
      </c>
      <c r="AI37" s="4">
        <f>SUM(S37:U37)</f>
        <v>0</v>
      </c>
      <c r="AJ37" s="4">
        <f>SUM(V37:X37)</f>
        <v>0</v>
      </c>
      <c r="AK37" s="4">
        <f>SUM(Y37:AA37)</f>
        <v>0</v>
      </c>
      <c r="AL37" s="4"/>
      <c r="AM37" s="4">
        <f>SUM(C37:N37)</f>
        <v>24084.29</v>
      </c>
      <c r="AN37" s="4">
        <f>SUM(P37:AA37)</f>
        <v>0</v>
      </c>
      <c r="AO37" s="1"/>
      <c r="AP37" s="25">
        <f>ROUND(SUM(AC37:AF37)-AM37,2)</f>
        <v>0</v>
      </c>
      <c r="AQ37" s="25">
        <f>ROUND(SUM(AH37:AK37)-AN37,2)</f>
        <v>0</v>
      </c>
      <c r="AS37" s="3">
        <v>0</v>
      </c>
      <c r="AT37" s="27">
        <f t="shared" si="116"/>
        <v>0</v>
      </c>
    </row>
    <row r="38" spans="2:46" x14ac:dyDescent="0.2">
      <c r="B38" s="30" t="s">
        <v>25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13">
        <v>0</v>
      </c>
      <c r="O38" s="9"/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8"/>
      <c r="AC38" s="4">
        <f>SUM(C38:E38)</f>
        <v>0</v>
      </c>
      <c r="AD38" s="4">
        <f>SUM(F38:H38)</f>
        <v>0</v>
      </c>
      <c r="AE38" s="4">
        <f>SUM(I38:K38)</f>
        <v>0</v>
      </c>
      <c r="AF38" s="4">
        <f>SUM(L38:N38)</f>
        <v>0</v>
      </c>
      <c r="AG38" s="4"/>
      <c r="AH38" s="4">
        <f t="shared" ref="AH38:AH39" si="140">SUM(P38:R38)</f>
        <v>0</v>
      </c>
      <c r="AI38" s="4">
        <f t="shared" ref="AI38:AI39" si="141">SUM(S38:U38)</f>
        <v>0</v>
      </c>
      <c r="AJ38" s="4">
        <f t="shared" ref="AJ38:AJ39" si="142">SUM(V38:X38)</f>
        <v>0</v>
      </c>
      <c r="AK38" s="4">
        <f t="shared" ref="AK38:AK39" si="143">SUM(Y38:AA38)</f>
        <v>0</v>
      </c>
      <c r="AL38" s="4"/>
      <c r="AM38" s="4">
        <f>SUM(C38:N38)</f>
        <v>0</v>
      </c>
      <c r="AN38" s="4">
        <f>SUM(P38:AA38)</f>
        <v>0</v>
      </c>
      <c r="AO38" s="1"/>
      <c r="AP38" s="25">
        <f>ROUND(SUM(AC38:AF38)-AM38,2)</f>
        <v>0</v>
      </c>
      <c r="AQ38" s="25">
        <f t="shared" ref="AQ38:AQ40" si="144">ROUND(SUM(AH38:AK38)-AN38,2)</f>
        <v>0</v>
      </c>
      <c r="AS38" s="3">
        <v>0</v>
      </c>
      <c r="AT38" s="27">
        <f t="shared" si="116"/>
        <v>0</v>
      </c>
    </row>
    <row r="39" spans="2:46" x14ac:dyDescent="0.2">
      <c r="B39" s="30" t="s">
        <v>118</v>
      </c>
      <c r="C39" s="99">
        <v>3720</v>
      </c>
      <c r="D39" s="99">
        <v>3746.43</v>
      </c>
      <c r="E39" s="99">
        <v>1841.5500000000002</v>
      </c>
      <c r="F39" s="99">
        <v>0</v>
      </c>
      <c r="G39" s="99">
        <v>0</v>
      </c>
      <c r="H39" s="99">
        <v>0</v>
      </c>
      <c r="I39" s="99">
        <v>0</v>
      </c>
      <c r="J39" s="99">
        <v>0</v>
      </c>
      <c r="K39" s="99">
        <v>0</v>
      </c>
      <c r="L39" s="99">
        <v>0</v>
      </c>
      <c r="M39" s="99">
        <v>0</v>
      </c>
      <c r="N39" s="13">
        <v>0</v>
      </c>
      <c r="O39" s="9"/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8"/>
      <c r="AC39" s="4">
        <f>SUM(C39:E39)</f>
        <v>9307.98</v>
      </c>
      <c r="AD39" s="4">
        <f>SUM(F39:H39)</f>
        <v>0</v>
      </c>
      <c r="AE39" s="4">
        <f>SUM(I39:K39)</f>
        <v>0</v>
      </c>
      <c r="AF39" s="4">
        <f>SUM(L39:N39)</f>
        <v>0</v>
      </c>
      <c r="AG39" s="4"/>
      <c r="AH39" s="4">
        <f t="shared" si="140"/>
        <v>0</v>
      </c>
      <c r="AI39" s="4">
        <f t="shared" si="141"/>
        <v>0</v>
      </c>
      <c r="AJ39" s="4">
        <f t="shared" si="142"/>
        <v>0</v>
      </c>
      <c r="AK39" s="4">
        <f t="shared" si="143"/>
        <v>0</v>
      </c>
      <c r="AL39" s="4"/>
      <c r="AM39" s="4">
        <f>SUM(C39:N39)</f>
        <v>9307.98</v>
      </c>
      <c r="AN39" s="4">
        <f>SUM(P39:AA39)</f>
        <v>0</v>
      </c>
      <c r="AO39" s="1"/>
      <c r="AP39" s="25">
        <f>ROUND(SUM(AC39:AF39)-AM39,2)</f>
        <v>0</v>
      </c>
      <c r="AQ39" s="25">
        <f t="shared" si="144"/>
        <v>0</v>
      </c>
      <c r="AS39" s="3">
        <v>0</v>
      </c>
      <c r="AT39" s="27">
        <f t="shared" si="116"/>
        <v>0</v>
      </c>
    </row>
    <row r="40" spans="2:46" x14ac:dyDescent="0.2">
      <c r="B40" s="28" t="s">
        <v>120</v>
      </c>
      <c r="C40" s="29">
        <f>SUM(C37:C39)</f>
        <v>12912.36</v>
      </c>
      <c r="D40" s="29">
        <f t="shared" ref="D40" si="145">SUM(D37:D39)</f>
        <v>13751.78</v>
      </c>
      <c r="E40" s="29">
        <f t="shared" ref="E40" si="146">SUM(E37:E39)</f>
        <v>6728.13</v>
      </c>
      <c r="F40" s="29">
        <f t="shared" ref="F40" si="147">SUM(F37:F39)</f>
        <v>0</v>
      </c>
      <c r="G40" s="29">
        <f t="shared" ref="G40" si="148">SUM(G37:G39)</f>
        <v>0</v>
      </c>
      <c r="H40" s="29">
        <f t="shared" ref="H40" si="149">SUM(H37:H39)</f>
        <v>0</v>
      </c>
      <c r="I40" s="29">
        <f t="shared" ref="I40" si="150">SUM(I37:I39)</f>
        <v>0</v>
      </c>
      <c r="J40" s="29">
        <f t="shared" ref="J40" si="151">SUM(J37:J39)</f>
        <v>0</v>
      </c>
      <c r="K40" s="29">
        <f t="shared" ref="K40" si="152">SUM(K37:K39)</f>
        <v>0</v>
      </c>
      <c r="L40" s="29">
        <f t="shared" ref="L40" si="153">SUM(L37:L39)</f>
        <v>0</v>
      </c>
      <c r="M40" s="29">
        <f t="shared" ref="M40" si="154">SUM(M37:M39)</f>
        <v>0</v>
      </c>
      <c r="N40" s="29">
        <f t="shared" ref="N40:AA40" si="155">SUM(N37:N39)</f>
        <v>0</v>
      </c>
      <c r="O40" s="9"/>
      <c r="P40" s="29">
        <f t="shared" si="155"/>
        <v>0</v>
      </c>
      <c r="Q40" s="29">
        <f t="shared" si="155"/>
        <v>0</v>
      </c>
      <c r="R40" s="29">
        <f t="shared" si="155"/>
        <v>0</v>
      </c>
      <c r="S40" s="29">
        <f t="shared" si="155"/>
        <v>0</v>
      </c>
      <c r="T40" s="29">
        <f t="shared" si="155"/>
        <v>0</v>
      </c>
      <c r="U40" s="29">
        <f t="shared" si="155"/>
        <v>0</v>
      </c>
      <c r="V40" s="29">
        <f t="shared" si="155"/>
        <v>0</v>
      </c>
      <c r="W40" s="29">
        <f t="shared" si="155"/>
        <v>0</v>
      </c>
      <c r="X40" s="29">
        <f t="shared" si="155"/>
        <v>0</v>
      </c>
      <c r="Y40" s="29">
        <f t="shared" si="155"/>
        <v>0</v>
      </c>
      <c r="Z40" s="29">
        <f t="shared" si="155"/>
        <v>0</v>
      </c>
      <c r="AA40" s="29">
        <f t="shared" si="155"/>
        <v>0</v>
      </c>
      <c r="AB40" s="8"/>
      <c r="AC40" s="29">
        <f t="shared" ref="AC40" si="156">SUM(AC37:AC39)</f>
        <v>33392.270000000004</v>
      </c>
      <c r="AD40" s="29">
        <f t="shared" ref="AD40" si="157">SUM(AD37:AD39)</f>
        <v>0</v>
      </c>
      <c r="AE40" s="29">
        <f t="shared" ref="AE40" si="158">SUM(AE37:AE39)</f>
        <v>0</v>
      </c>
      <c r="AF40" s="29">
        <f t="shared" ref="AF40" si="159">SUM(AF37:AF39)</f>
        <v>0</v>
      </c>
      <c r="AG40" s="12"/>
      <c r="AH40" s="29">
        <f t="shared" ref="AH40:AK40" si="160">SUM(AH37:AH39)</f>
        <v>0</v>
      </c>
      <c r="AI40" s="29">
        <f t="shared" si="160"/>
        <v>0</v>
      </c>
      <c r="AJ40" s="29">
        <f t="shared" si="160"/>
        <v>0</v>
      </c>
      <c r="AK40" s="29">
        <f t="shared" si="160"/>
        <v>0</v>
      </c>
      <c r="AL40" s="12"/>
      <c r="AM40" s="29">
        <f>SUM(AM37:AM39)</f>
        <v>33392.270000000004</v>
      </c>
      <c r="AN40" s="29">
        <f>SUM(AN37:AN39)</f>
        <v>0</v>
      </c>
      <c r="AO40" s="1"/>
      <c r="AP40" s="25">
        <f>ROUND(SUM(AC40:AF40)-AM40,2)</f>
        <v>0</v>
      </c>
      <c r="AQ40" s="25">
        <f t="shared" si="144"/>
        <v>0</v>
      </c>
      <c r="AS40" s="3">
        <v>0</v>
      </c>
      <c r="AT40" s="27">
        <f t="shared" si="116"/>
        <v>0</v>
      </c>
    </row>
    <row r="41" spans="2:46" x14ac:dyDescent="0.2"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8"/>
      <c r="AC41" s="29"/>
      <c r="AD41" s="29"/>
      <c r="AE41" s="29"/>
      <c r="AF41" s="29"/>
      <c r="AG41" s="12"/>
      <c r="AH41" s="12"/>
      <c r="AI41" s="12"/>
      <c r="AJ41" s="12"/>
      <c r="AK41" s="12"/>
      <c r="AL41" s="12"/>
      <c r="AM41" s="29"/>
      <c r="AN41" s="29"/>
      <c r="AO41" s="1"/>
      <c r="AP41" s="25"/>
      <c r="AQ41" s="25"/>
      <c r="AS41" s="3"/>
    </row>
    <row r="42" spans="2:46" x14ac:dyDescent="0.2">
      <c r="B42" s="30" t="s">
        <v>117</v>
      </c>
      <c r="C42" s="99">
        <v>10225.799999999999</v>
      </c>
      <c r="D42" s="99">
        <v>9924.68</v>
      </c>
      <c r="E42" s="99">
        <v>10394.98</v>
      </c>
      <c r="F42" s="99">
        <v>10493.32</v>
      </c>
      <c r="G42" s="99">
        <v>10493.32</v>
      </c>
      <c r="H42" s="99">
        <v>10493.32</v>
      </c>
      <c r="I42" s="99">
        <v>10493.32</v>
      </c>
      <c r="J42" s="99">
        <v>10493.32</v>
      </c>
      <c r="K42" s="99">
        <v>10785.02</v>
      </c>
      <c r="L42" s="99">
        <v>11641.48</v>
      </c>
      <c r="M42" s="99">
        <v>11507</v>
      </c>
      <c r="N42" s="13">
        <v>10500</v>
      </c>
      <c r="O42" s="9"/>
      <c r="P42" s="13">
        <v>10500</v>
      </c>
      <c r="Q42" s="13">
        <v>10500</v>
      </c>
      <c r="R42" s="13">
        <f>+Q42+(Q42*$R$2)</f>
        <v>10815</v>
      </c>
      <c r="S42" s="13">
        <f>+R42</f>
        <v>10815</v>
      </c>
      <c r="T42" s="13">
        <f t="shared" ref="T42:AA42" si="161">+S42</f>
        <v>10815</v>
      </c>
      <c r="U42" s="13">
        <f t="shared" si="161"/>
        <v>10815</v>
      </c>
      <c r="V42" s="13">
        <f t="shared" si="161"/>
        <v>10815</v>
      </c>
      <c r="W42" s="13">
        <f t="shared" si="161"/>
        <v>10815</v>
      </c>
      <c r="X42" s="13">
        <f t="shared" si="161"/>
        <v>10815</v>
      </c>
      <c r="Y42" s="13">
        <f t="shared" si="161"/>
        <v>10815</v>
      </c>
      <c r="Z42" s="13">
        <f t="shared" si="161"/>
        <v>10815</v>
      </c>
      <c r="AA42" s="13">
        <f t="shared" si="161"/>
        <v>10815</v>
      </c>
      <c r="AB42" s="8"/>
      <c r="AC42" s="4">
        <f>SUM(C42:E42)</f>
        <v>30545.46</v>
      </c>
      <c r="AD42" s="4">
        <f>SUM(F42:H42)</f>
        <v>31479.96</v>
      </c>
      <c r="AE42" s="4">
        <f>SUM(I42:K42)</f>
        <v>31771.66</v>
      </c>
      <c r="AF42" s="4">
        <f>SUM(L42:N42)</f>
        <v>33648.479999999996</v>
      </c>
      <c r="AG42" s="4"/>
      <c r="AH42" s="4">
        <f>SUM(P42:R42)</f>
        <v>31815</v>
      </c>
      <c r="AI42" s="4">
        <f>SUM(S42:U42)</f>
        <v>32445</v>
      </c>
      <c r="AJ42" s="4">
        <f>SUM(V42:X42)</f>
        <v>32445</v>
      </c>
      <c r="AK42" s="4">
        <f>SUM(Y42:AA42)</f>
        <v>32445</v>
      </c>
      <c r="AL42" s="4"/>
      <c r="AM42" s="4">
        <f>SUM(C42:N42)</f>
        <v>127445.56</v>
      </c>
      <c r="AN42" s="4">
        <f>SUM(P42:AA42)</f>
        <v>129150</v>
      </c>
      <c r="AO42" s="1"/>
      <c r="AP42" s="25">
        <f>ROUND(SUM(AC42:AF42)-AM42,2)</f>
        <v>0</v>
      </c>
      <c r="AQ42" s="25">
        <f>ROUND(SUM(AH42:AK42)-AN42,2)</f>
        <v>0</v>
      </c>
      <c r="AS42" s="3">
        <v>33900</v>
      </c>
      <c r="AT42" s="27">
        <f t="shared" si="116"/>
        <v>-2420.0400000000009</v>
      </c>
    </row>
    <row r="43" spans="2:46" x14ac:dyDescent="0.2">
      <c r="B43" s="30" t="s">
        <v>25</v>
      </c>
      <c r="C43" s="99">
        <v>0</v>
      </c>
      <c r="D43" s="99">
        <v>16376.31</v>
      </c>
      <c r="E43" s="99">
        <v>0</v>
      </c>
      <c r="F43" s="99">
        <v>0</v>
      </c>
      <c r="G43" s="99">
        <v>0</v>
      </c>
      <c r="H43" s="99">
        <v>0</v>
      </c>
      <c r="I43" s="99">
        <v>0</v>
      </c>
      <c r="J43" s="99">
        <v>0</v>
      </c>
      <c r="K43" s="99">
        <v>0</v>
      </c>
      <c r="L43" s="99">
        <v>0</v>
      </c>
      <c r="M43" s="99">
        <v>0</v>
      </c>
      <c r="N43" s="13">
        <v>0</v>
      </c>
      <c r="O43" s="9"/>
      <c r="P43" s="13">
        <v>0</v>
      </c>
      <c r="Q43" s="13">
        <f>+H313+I313</f>
        <v>38556.03024</v>
      </c>
      <c r="R43" s="13">
        <v>0</v>
      </c>
      <c r="S43" s="13">
        <f>+R43</f>
        <v>0</v>
      </c>
      <c r="T43" s="13">
        <f t="shared" ref="T43:AA43" si="162">+S43</f>
        <v>0</v>
      </c>
      <c r="U43" s="13">
        <f t="shared" si="162"/>
        <v>0</v>
      </c>
      <c r="V43" s="13">
        <f t="shared" si="162"/>
        <v>0</v>
      </c>
      <c r="W43" s="13">
        <f t="shared" si="162"/>
        <v>0</v>
      </c>
      <c r="X43" s="13">
        <f t="shared" si="162"/>
        <v>0</v>
      </c>
      <c r="Y43" s="13">
        <f t="shared" si="162"/>
        <v>0</v>
      </c>
      <c r="Z43" s="13">
        <f t="shared" si="162"/>
        <v>0</v>
      </c>
      <c r="AA43" s="13">
        <f t="shared" si="162"/>
        <v>0</v>
      </c>
      <c r="AB43" s="8"/>
      <c r="AC43" s="4">
        <f>SUM(C43:E43)</f>
        <v>16376.31</v>
      </c>
      <c r="AD43" s="4">
        <f>SUM(F43:H43)</f>
        <v>0</v>
      </c>
      <c r="AE43" s="4">
        <f>SUM(I43:K43)</f>
        <v>0</v>
      </c>
      <c r="AF43" s="4">
        <f>SUM(L43:N43)</f>
        <v>0</v>
      </c>
      <c r="AG43" s="4"/>
      <c r="AH43" s="4">
        <f t="shared" ref="AH43:AH44" si="163">SUM(P43:R43)</f>
        <v>38556.03024</v>
      </c>
      <c r="AI43" s="4">
        <f t="shared" ref="AI43:AI44" si="164">SUM(S43:U43)</f>
        <v>0</v>
      </c>
      <c r="AJ43" s="4">
        <f t="shared" ref="AJ43:AJ44" si="165">SUM(V43:X43)</f>
        <v>0</v>
      </c>
      <c r="AK43" s="4">
        <f t="shared" ref="AK43:AK44" si="166">SUM(Y43:AA43)</f>
        <v>0</v>
      </c>
      <c r="AL43" s="4"/>
      <c r="AM43" s="4">
        <f>SUM(C43:N43)</f>
        <v>16376.31</v>
      </c>
      <c r="AN43" s="4">
        <f>SUM(P43:AA43)</f>
        <v>38556.03024</v>
      </c>
      <c r="AO43" s="1"/>
      <c r="AP43" s="25">
        <f>ROUND(SUM(AC43:AF43)-AM43,2)</f>
        <v>0</v>
      </c>
      <c r="AQ43" s="25">
        <f t="shared" ref="AQ43:AQ45" si="167">ROUND(SUM(AH43:AK43)-AN43,2)</f>
        <v>0</v>
      </c>
      <c r="AS43" s="3">
        <v>0</v>
      </c>
      <c r="AT43" s="27">
        <f t="shared" si="116"/>
        <v>0</v>
      </c>
    </row>
    <row r="44" spans="2:46" x14ac:dyDescent="0.2">
      <c r="B44" s="30" t="s">
        <v>118</v>
      </c>
      <c r="C44" s="99">
        <v>7381.38</v>
      </c>
      <c r="D44" s="99">
        <v>21252.73</v>
      </c>
      <c r="E44" s="99">
        <v>6697.9600000000009</v>
      </c>
      <c r="F44" s="99">
        <v>6769.06</v>
      </c>
      <c r="G44" s="99">
        <v>6769.06</v>
      </c>
      <c r="H44" s="99">
        <v>6769.06</v>
      </c>
      <c r="I44" s="99">
        <v>6769.06</v>
      </c>
      <c r="J44" s="99">
        <v>6769.06</v>
      </c>
      <c r="K44" s="99">
        <v>6265.5599999999995</v>
      </c>
      <c r="L44" s="99">
        <v>4567.9399999999996</v>
      </c>
      <c r="M44" s="99">
        <v>4689.28</v>
      </c>
      <c r="N44" s="13">
        <v>6760</v>
      </c>
      <c r="O44" s="9"/>
      <c r="P44" s="13">
        <v>6760</v>
      </c>
      <c r="Q44" s="13">
        <v>6760</v>
      </c>
      <c r="R44" s="13">
        <f>R42*(Q44/Q42)</f>
        <v>6962.8</v>
      </c>
      <c r="S44" s="13">
        <f>+R44</f>
        <v>6962.8</v>
      </c>
      <c r="T44" s="13">
        <f t="shared" ref="T44:AA44" si="168">+S44</f>
        <v>6962.8</v>
      </c>
      <c r="U44" s="13">
        <f t="shared" si="168"/>
        <v>6962.8</v>
      </c>
      <c r="V44" s="13">
        <f t="shared" si="168"/>
        <v>6962.8</v>
      </c>
      <c r="W44" s="13">
        <f t="shared" si="168"/>
        <v>6962.8</v>
      </c>
      <c r="X44" s="13">
        <f t="shared" si="168"/>
        <v>6962.8</v>
      </c>
      <c r="Y44" s="13">
        <f t="shared" si="168"/>
        <v>6962.8</v>
      </c>
      <c r="Z44" s="13">
        <f t="shared" si="168"/>
        <v>6962.8</v>
      </c>
      <c r="AA44" s="13">
        <f t="shared" si="168"/>
        <v>6962.8</v>
      </c>
      <c r="AB44" s="8"/>
      <c r="AC44" s="4">
        <f>SUM(C44:E44)</f>
        <v>35332.07</v>
      </c>
      <c r="AD44" s="4">
        <f>SUM(F44:H44)</f>
        <v>20307.18</v>
      </c>
      <c r="AE44" s="4">
        <f>SUM(I44:K44)</f>
        <v>19803.68</v>
      </c>
      <c r="AF44" s="4">
        <f>SUM(L44:N44)</f>
        <v>16017.22</v>
      </c>
      <c r="AG44" s="4"/>
      <c r="AH44" s="4">
        <f t="shared" si="163"/>
        <v>20482.8</v>
      </c>
      <c r="AI44" s="4">
        <f t="shared" si="164"/>
        <v>20888.400000000001</v>
      </c>
      <c r="AJ44" s="4">
        <f t="shared" si="165"/>
        <v>20888.400000000001</v>
      </c>
      <c r="AK44" s="4">
        <f t="shared" si="166"/>
        <v>20888.400000000001</v>
      </c>
      <c r="AL44" s="4"/>
      <c r="AM44" s="4">
        <f>SUM(C44:N44)</f>
        <v>91460.15</v>
      </c>
      <c r="AN44" s="4">
        <f>SUM(P44:AA44)</f>
        <v>83148.000000000015</v>
      </c>
      <c r="AO44" s="1"/>
      <c r="AP44" s="25">
        <f>ROUND(SUM(AC44:AF44)-AM44,2)</f>
        <v>0</v>
      </c>
      <c r="AQ44" s="25">
        <f t="shared" si="167"/>
        <v>0</v>
      </c>
      <c r="AS44" s="3">
        <v>19500</v>
      </c>
      <c r="AT44" s="27">
        <f t="shared" si="116"/>
        <v>807.18000000000029</v>
      </c>
    </row>
    <row r="45" spans="2:46" x14ac:dyDescent="0.2">
      <c r="B45" s="28" t="s">
        <v>75</v>
      </c>
      <c r="C45" s="29">
        <f>SUM(C42:C44)</f>
        <v>17607.18</v>
      </c>
      <c r="D45" s="29">
        <f t="shared" ref="D45" si="169">SUM(D42:D44)</f>
        <v>47553.72</v>
      </c>
      <c r="E45" s="29">
        <f t="shared" ref="E45" si="170">SUM(E42:E44)</f>
        <v>17092.940000000002</v>
      </c>
      <c r="F45" s="29">
        <f t="shared" ref="F45" si="171">SUM(F42:F44)</f>
        <v>17262.38</v>
      </c>
      <c r="G45" s="29">
        <f t="shared" ref="G45" si="172">SUM(G42:G44)</f>
        <v>17262.38</v>
      </c>
      <c r="H45" s="29">
        <f t="shared" ref="H45" si="173">SUM(H42:H44)</f>
        <v>17262.38</v>
      </c>
      <c r="I45" s="29">
        <f t="shared" ref="I45" si="174">SUM(I42:I44)</f>
        <v>17262.38</v>
      </c>
      <c r="J45" s="29">
        <f t="shared" ref="J45" si="175">SUM(J42:J44)</f>
        <v>17262.38</v>
      </c>
      <c r="K45" s="29">
        <f t="shared" ref="K45" si="176">SUM(K42:K44)</f>
        <v>17050.580000000002</v>
      </c>
      <c r="L45" s="29">
        <f t="shared" ref="L45" si="177">SUM(L42:L44)</f>
        <v>16209.419999999998</v>
      </c>
      <c r="M45" s="29">
        <f t="shared" ref="M45" si="178">SUM(M42:M44)</f>
        <v>16196.279999999999</v>
      </c>
      <c r="N45" s="29">
        <f t="shared" ref="N45:AA45" si="179">SUM(N42:N44)</f>
        <v>17260</v>
      </c>
      <c r="O45" s="9"/>
      <c r="P45" s="29">
        <f t="shared" si="179"/>
        <v>17260</v>
      </c>
      <c r="Q45" s="29">
        <f t="shared" si="179"/>
        <v>55816.03024</v>
      </c>
      <c r="R45" s="29">
        <f t="shared" si="179"/>
        <v>17777.8</v>
      </c>
      <c r="S45" s="29">
        <f t="shared" si="179"/>
        <v>17777.8</v>
      </c>
      <c r="T45" s="29">
        <f t="shared" si="179"/>
        <v>17777.8</v>
      </c>
      <c r="U45" s="29">
        <f t="shared" si="179"/>
        <v>17777.8</v>
      </c>
      <c r="V45" s="29">
        <f t="shared" si="179"/>
        <v>17777.8</v>
      </c>
      <c r="W45" s="29">
        <f t="shared" si="179"/>
        <v>17777.8</v>
      </c>
      <c r="X45" s="29">
        <f t="shared" si="179"/>
        <v>17777.8</v>
      </c>
      <c r="Y45" s="29">
        <f t="shared" si="179"/>
        <v>17777.8</v>
      </c>
      <c r="Z45" s="29">
        <f t="shared" si="179"/>
        <v>17777.8</v>
      </c>
      <c r="AA45" s="29">
        <f t="shared" si="179"/>
        <v>17777.8</v>
      </c>
      <c r="AB45" s="8"/>
      <c r="AC45" s="29">
        <f t="shared" ref="AC45" si="180">SUM(AC42:AC44)</f>
        <v>82253.84</v>
      </c>
      <c r="AD45" s="29">
        <f t="shared" ref="AD45" si="181">SUM(AD42:AD44)</f>
        <v>51787.14</v>
      </c>
      <c r="AE45" s="29">
        <f t="shared" ref="AE45" si="182">SUM(AE42:AE44)</f>
        <v>51575.34</v>
      </c>
      <c r="AF45" s="29">
        <f t="shared" ref="AF45" si="183">SUM(AF42:AF44)</f>
        <v>49665.7</v>
      </c>
      <c r="AG45" s="12"/>
      <c r="AH45" s="29">
        <f t="shared" ref="AH45:AK45" si="184">SUM(AH42:AH44)</f>
        <v>90853.830239999996</v>
      </c>
      <c r="AI45" s="29">
        <f t="shared" si="184"/>
        <v>53333.4</v>
      </c>
      <c r="AJ45" s="29">
        <f t="shared" si="184"/>
        <v>53333.4</v>
      </c>
      <c r="AK45" s="29">
        <f t="shared" si="184"/>
        <v>53333.4</v>
      </c>
      <c r="AL45" s="12"/>
      <c r="AM45" s="29">
        <f>SUM(AM42:AM44)</f>
        <v>235282.02</v>
      </c>
      <c r="AN45" s="29">
        <f>SUM(AN42:AN44)</f>
        <v>250854.03023999999</v>
      </c>
      <c r="AO45" s="1"/>
      <c r="AP45" s="25">
        <f>ROUND(SUM(AC45:AF45)-AM45,2)</f>
        <v>0</v>
      </c>
      <c r="AQ45" s="25">
        <f t="shared" si="167"/>
        <v>0</v>
      </c>
      <c r="AS45" s="3">
        <v>53400</v>
      </c>
      <c r="AT45" s="27">
        <f t="shared" si="116"/>
        <v>-1612.8600000000006</v>
      </c>
    </row>
    <row r="46" spans="2:46" x14ac:dyDescent="0.2"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8"/>
      <c r="AC46" s="29"/>
      <c r="AD46" s="29"/>
      <c r="AE46" s="29"/>
      <c r="AF46" s="29"/>
      <c r="AG46" s="12"/>
      <c r="AH46" s="12"/>
      <c r="AI46" s="12"/>
      <c r="AJ46" s="12"/>
      <c r="AK46" s="12"/>
      <c r="AL46" s="12"/>
      <c r="AM46" s="29"/>
      <c r="AN46" s="29"/>
      <c r="AO46" s="1"/>
      <c r="AP46" s="25"/>
      <c r="AQ46" s="25"/>
      <c r="AS46" s="3"/>
    </row>
    <row r="47" spans="2:46" x14ac:dyDescent="0.2">
      <c r="B47" s="30" t="s">
        <v>117</v>
      </c>
      <c r="C47" s="99">
        <v>9302.52</v>
      </c>
      <c r="D47" s="99">
        <v>9358.77</v>
      </c>
      <c r="E47" s="99">
        <v>9302.52</v>
      </c>
      <c r="F47" s="99">
        <v>9302.52</v>
      </c>
      <c r="G47" s="99">
        <v>9302.6000000000022</v>
      </c>
      <c r="H47" s="99">
        <v>9302.52</v>
      </c>
      <c r="I47" s="99">
        <v>8571.6</v>
      </c>
      <c r="J47" s="99">
        <v>8571.6000000000022</v>
      </c>
      <c r="K47" s="99">
        <v>8571.6400000000031</v>
      </c>
      <c r="L47" s="99">
        <v>8571.6400000000031</v>
      </c>
      <c r="M47" s="99">
        <v>9577.16</v>
      </c>
      <c r="N47" s="13">
        <v>8600</v>
      </c>
      <c r="O47" s="9"/>
      <c r="P47" s="13">
        <v>8600</v>
      </c>
      <c r="Q47" s="13">
        <v>8600</v>
      </c>
      <c r="R47" s="13">
        <f>+Q47+(Q47*$R$2)</f>
        <v>8858</v>
      </c>
      <c r="S47" s="13">
        <f>+R47</f>
        <v>8858</v>
      </c>
      <c r="T47" s="13">
        <f t="shared" ref="T47:AA47" si="185">+S47</f>
        <v>8858</v>
      </c>
      <c r="U47" s="13">
        <f t="shared" si="185"/>
        <v>8858</v>
      </c>
      <c r="V47" s="13">
        <f t="shared" si="185"/>
        <v>8858</v>
      </c>
      <c r="W47" s="13">
        <f t="shared" si="185"/>
        <v>8858</v>
      </c>
      <c r="X47" s="13">
        <f t="shared" si="185"/>
        <v>8858</v>
      </c>
      <c r="Y47" s="13">
        <f t="shared" si="185"/>
        <v>8858</v>
      </c>
      <c r="Z47" s="13">
        <f t="shared" si="185"/>
        <v>8858</v>
      </c>
      <c r="AA47" s="13">
        <f t="shared" si="185"/>
        <v>8858</v>
      </c>
      <c r="AB47" s="8"/>
      <c r="AC47" s="4">
        <f>SUM(C47:E47)</f>
        <v>27963.81</v>
      </c>
      <c r="AD47" s="4">
        <f>SUM(F47:H47)</f>
        <v>27907.640000000003</v>
      </c>
      <c r="AE47" s="4">
        <f>SUM(I47:K47)</f>
        <v>25714.840000000007</v>
      </c>
      <c r="AF47" s="4">
        <f>SUM(L47:N47)</f>
        <v>26748.800000000003</v>
      </c>
      <c r="AG47" s="4"/>
      <c r="AH47" s="4">
        <f>SUM(P47:R47)</f>
        <v>26058</v>
      </c>
      <c r="AI47" s="4">
        <f>SUM(S47:U47)</f>
        <v>26574</v>
      </c>
      <c r="AJ47" s="4">
        <f>SUM(V47:X47)</f>
        <v>26574</v>
      </c>
      <c r="AK47" s="4">
        <f>SUM(Y47:AA47)</f>
        <v>26574</v>
      </c>
      <c r="AL47" s="4"/>
      <c r="AM47" s="4">
        <f>SUM(C47:N47)</f>
        <v>108335.09000000001</v>
      </c>
      <c r="AN47" s="4">
        <f>SUM(P47:AA47)</f>
        <v>105780</v>
      </c>
      <c r="AO47" s="1"/>
      <c r="AP47" s="25">
        <f>ROUND(SUM(AC47:AF47)-AM47,2)</f>
        <v>0</v>
      </c>
      <c r="AQ47" s="25">
        <f>ROUND(SUM(AH47:AK47)-AN47,2)</f>
        <v>0</v>
      </c>
      <c r="AS47" s="3">
        <v>27900</v>
      </c>
      <c r="AT47" s="27">
        <f t="shared" si="116"/>
        <v>7.6400000000030559</v>
      </c>
    </row>
    <row r="48" spans="2:46" x14ac:dyDescent="0.2">
      <c r="B48" s="30" t="s">
        <v>25</v>
      </c>
      <c r="C48" s="99">
        <v>0</v>
      </c>
      <c r="D48" s="99">
        <v>5896.02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13">
        <v>0</v>
      </c>
      <c r="O48" s="9"/>
      <c r="P48" s="13">
        <v>0</v>
      </c>
      <c r="Q48" s="13">
        <f>+H314+I314</f>
        <v>30240</v>
      </c>
      <c r="R48" s="13">
        <v>0</v>
      </c>
      <c r="S48" s="13">
        <f>+R48</f>
        <v>0</v>
      </c>
      <c r="T48" s="13">
        <f t="shared" ref="T48:AA48" si="186">+S48</f>
        <v>0</v>
      </c>
      <c r="U48" s="13">
        <f t="shared" si="186"/>
        <v>0</v>
      </c>
      <c r="V48" s="13">
        <f t="shared" si="186"/>
        <v>0</v>
      </c>
      <c r="W48" s="13">
        <f t="shared" si="186"/>
        <v>0</v>
      </c>
      <c r="X48" s="13">
        <f t="shared" si="186"/>
        <v>0</v>
      </c>
      <c r="Y48" s="13">
        <f t="shared" si="186"/>
        <v>0</v>
      </c>
      <c r="Z48" s="13">
        <f t="shared" si="186"/>
        <v>0</v>
      </c>
      <c r="AA48" s="13">
        <f t="shared" si="186"/>
        <v>0</v>
      </c>
      <c r="AB48" s="8"/>
      <c r="AC48" s="4">
        <f>SUM(C48:E48)</f>
        <v>5896.02</v>
      </c>
      <c r="AD48" s="4">
        <f>SUM(F48:H48)</f>
        <v>0</v>
      </c>
      <c r="AE48" s="4">
        <f>SUM(I48:K48)</f>
        <v>0</v>
      </c>
      <c r="AF48" s="4">
        <f>SUM(L48:N48)</f>
        <v>0</v>
      </c>
      <c r="AG48" s="4"/>
      <c r="AH48" s="4">
        <f t="shared" ref="AH48:AH49" si="187">SUM(P48:R48)</f>
        <v>30240</v>
      </c>
      <c r="AI48" s="4">
        <f t="shared" ref="AI48:AI49" si="188">SUM(S48:U48)</f>
        <v>0</v>
      </c>
      <c r="AJ48" s="4">
        <f t="shared" ref="AJ48:AJ49" si="189">SUM(V48:X48)</f>
        <v>0</v>
      </c>
      <c r="AK48" s="4">
        <f t="shared" ref="AK48:AK49" si="190">SUM(Y48:AA48)</f>
        <v>0</v>
      </c>
      <c r="AL48" s="4"/>
      <c r="AM48" s="4">
        <f>SUM(C48:N48)</f>
        <v>5896.02</v>
      </c>
      <c r="AN48" s="4">
        <f>SUM(P48:AA48)</f>
        <v>30240</v>
      </c>
      <c r="AO48" s="1"/>
      <c r="AP48" s="25">
        <f>ROUND(SUM(AC48:AF48)-AM48,2)</f>
        <v>0</v>
      </c>
      <c r="AQ48" s="25">
        <f t="shared" ref="AQ48:AQ50" si="191">ROUND(SUM(AH48:AK48)-AN48,2)</f>
        <v>0</v>
      </c>
      <c r="AS48" s="3">
        <v>0</v>
      </c>
      <c r="AT48" s="27">
        <f t="shared" si="116"/>
        <v>0</v>
      </c>
    </row>
    <row r="49" spans="2:46" x14ac:dyDescent="0.2">
      <c r="B49" s="30" t="s">
        <v>118</v>
      </c>
      <c r="C49" s="99">
        <v>7963.14</v>
      </c>
      <c r="D49" s="99">
        <v>12838.12</v>
      </c>
      <c r="E49" s="99">
        <v>7487.1399999999985</v>
      </c>
      <c r="F49" s="99">
        <v>7487.1399999999994</v>
      </c>
      <c r="G49" s="99">
        <v>7487.0599999999986</v>
      </c>
      <c r="H49" s="99">
        <v>7487.1399999999985</v>
      </c>
      <c r="I49" s="99">
        <v>7177.6</v>
      </c>
      <c r="J49" s="99">
        <v>7177.5999999999985</v>
      </c>
      <c r="K49" s="99">
        <v>7177.5599999999986</v>
      </c>
      <c r="L49" s="99">
        <v>7177.5599999999986</v>
      </c>
      <c r="M49" s="99">
        <v>5145.0200000000004</v>
      </c>
      <c r="N49" s="13">
        <v>7200</v>
      </c>
      <c r="O49" s="9"/>
      <c r="P49" s="13">
        <v>7200</v>
      </c>
      <c r="Q49" s="13">
        <v>7200</v>
      </c>
      <c r="R49" s="13">
        <f>R47*(Q49/Q47)</f>
        <v>7416</v>
      </c>
      <c r="S49" s="13">
        <f>+R49</f>
        <v>7416</v>
      </c>
      <c r="T49" s="13">
        <f t="shared" ref="T49:AA49" si="192">+S49</f>
        <v>7416</v>
      </c>
      <c r="U49" s="13">
        <f t="shared" si="192"/>
        <v>7416</v>
      </c>
      <c r="V49" s="13">
        <f t="shared" si="192"/>
        <v>7416</v>
      </c>
      <c r="W49" s="13">
        <f t="shared" si="192"/>
        <v>7416</v>
      </c>
      <c r="X49" s="13">
        <f t="shared" si="192"/>
        <v>7416</v>
      </c>
      <c r="Y49" s="13">
        <f t="shared" si="192"/>
        <v>7416</v>
      </c>
      <c r="Z49" s="13">
        <f t="shared" si="192"/>
        <v>7416</v>
      </c>
      <c r="AA49" s="13">
        <f t="shared" si="192"/>
        <v>7416</v>
      </c>
      <c r="AB49" s="8"/>
      <c r="AC49" s="4">
        <f>SUM(C49:E49)</f>
        <v>28288.400000000001</v>
      </c>
      <c r="AD49" s="4">
        <f>SUM(F49:H49)</f>
        <v>22461.339999999997</v>
      </c>
      <c r="AE49" s="4">
        <f>SUM(I49:K49)</f>
        <v>21532.76</v>
      </c>
      <c r="AF49" s="4">
        <f>SUM(L49:N49)</f>
        <v>19522.579999999998</v>
      </c>
      <c r="AG49" s="4"/>
      <c r="AH49" s="4">
        <f t="shared" si="187"/>
        <v>21816</v>
      </c>
      <c r="AI49" s="4">
        <f t="shared" si="188"/>
        <v>22248</v>
      </c>
      <c r="AJ49" s="4">
        <f t="shared" si="189"/>
        <v>22248</v>
      </c>
      <c r="AK49" s="4">
        <f t="shared" si="190"/>
        <v>22248</v>
      </c>
      <c r="AL49" s="4"/>
      <c r="AM49" s="4">
        <f>SUM(C49:N49)</f>
        <v>91805.08</v>
      </c>
      <c r="AN49" s="4">
        <f>SUM(P49:AA49)</f>
        <v>88560</v>
      </c>
      <c r="AO49" s="1"/>
      <c r="AP49" s="25">
        <f>ROUND(SUM(AC49:AF49)-AM49,2)</f>
        <v>0</v>
      </c>
      <c r="AQ49" s="25">
        <f t="shared" si="191"/>
        <v>0</v>
      </c>
      <c r="AS49" s="3">
        <v>22500</v>
      </c>
      <c r="AT49" s="27">
        <f t="shared" si="116"/>
        <v>-38.660000000003492</v>
      </c>
    </row>
    <row r="50" spans="2:46" x14ac:dyDescent="0.2">
      <c r="B50" s="28" t="s">
        <v>108</v>
      </c>
      <c r="C50" s="29">
        <f>SUM(C47:C49)</f>
        <v>17265.66</v>
      </c>
      <c r="D50" s="29">
        <f t="shared" ref="D50" si="193">SUM(D47:D49)</f>
        <v>28092.910000000003</v>
      </c>
      <c r="E50" s="29">
        <f t="shared" ref="E50" si="194">SUM(E47:E49)</f>
        <v>16789.66</v>
      </c>
      <c r="F50" s="29">
        <f t="shared" ref="F50" si="195">SUM(F47:F49)</f>
        <v>16789.66</v>
      </c>
      <c r="G50" s="29">
        <f t="shared" ref="G50" si="196">SUM(G47:G49)</f>
        <v>16789.66</v>
      </c>
      <c r="H50" s="29">
        <f t="shared" ref="H50" si="197">SUM(H47:H49)</f>
        <v>16789.66</v>
      </c>
      <c r="I50" s="29">
        <f t="shared" ref="I50" si="198">SUM(I47:I49)</f>
        <v>15749.2</v>
      </c>
      <c r="J50" s="29">
        <f t="shared" ref="J50" si="199">SUM(J47:J49)</f>
        <v>15749.2</v>
      </c>
      <c r="K50" s="29">
        <f t="shared" ref="K50" si="200">SUM(K47:K49)</f>
        <v>15749.2</v>
      </c>
      <c r="L50" s="29">
        <f t="shared" ref="L50" si="201">SUM(L47:L49)</f>
        <v>15749.2</v>
      </c>
      <c r="M50" s="29">
        <f t="shared" ref="M50" si="202">SUM(M47:M49)</f>
        <v>14722.18</v>
      </c>
      <c r="N50" s="29">
        <f t="shared" ref="N50:AA50" si="203">SUM(N47:N49)</f>
        <v>15800</v>
      </c>
      <c r="O50" s="9"/>
      <c r="P50" s="29">
        <f t="shared" si="203"/>
        <v>15800</v>
      </c>
      <c r="Q50" s="29">
        <f t="shared" si="203"/>
        <v>46040</v>
      </c>
      <c r="R50" s="29">
        <f t="shared" si="203"/>
        <v>16274</v>
      </c>
      <c r="S50" s="29">
        <f t="shared" si="203"/>
        <v>16274</v>
      </c>
      <c r="T50" s="29">
        <f t="shared" si="203"/>
        <v>16274</v>
      </c>
      <c r="U50" s="29">
        <f t="shared" si="203"/>
        <v>16274</v>
      </c>
      <c r="V50" s="29">
        <f t="shared" si="203"/>
        <v>16274</v>
      </c>
      <c r="W50" s="29">
        <f t="shared" si="203"/>
        <v>16274</v>
      </c>
      <c r="X50" s="29">
        <f t="shared" si="203"/>
        <v>16274</v>
      </c>
      <c r="Y50" s="29">
        <f t="shared" si="203"/>
        <v>16274</v>
      </c>
      <c r="Z50" s="29">
        <f t="shared" si="203"/>
        <v>16274</v>
      </c>
      <c r="AA50" s="29">
        <f t="shared" si="203"/>
        <v>16274</v>
      </c>
      <c r="AB50" s="8"/>
      <c r="AC50" s="29">
        <f t="shared" ref="AC50" si="204">SUM(AC47:AC49)</f>
        <v>62148.23</v>
      </c>
      <c r="AD50" s="29">
        <f t="shared" ref="AD50" si="205">SUM(AD47:AD49)</f>
        <v>50368.979999999996</v>
      </c>
      <c r="AE50" s="29">
        <f t="shared" ref="AE50" si="206">SUM(AE47:AE49)</f>
        <v>47247.600000000006</v>
      </c>
      <c r="AF50" s="29">
        <f t="shared" ref="AF50" si="207">SUM(AF47:AF49)</f>
        <v>46271.380000000005</v>
      </c>
      <c r="AG50" s="12"/>
      <c r="AH50" s="29">
        <f t="shared" ref="AH50:AK50" si="208">SUM(AH47:AH49)</f>
        <v>78114</v>
      </c>
      <c r="AI50" s="29">
        <f t="shared" si="208"/>
        <v>48822</v>
      </c>
      <c r="AJ50" s="29">
        <f t="shared" si="208"/>
        <v>48822</v>
      </c>
      <c r="AK50" s="29">
        <f t="shared" si="208"/>
        <v>48822</v>
      </c>
      <c r="AL50" s="12"/>
      <c r="AM50" s="29">
        <f>SUM(AM47:AM49)</f>
        <v>206036.19</v>
      </c>
      <c r="AN50" s="29">
        <f>SUM(AN47:AN49)</f>
        <v>224580</v>
      </c>
      <c r="AO50" s="1"/>
      <c r="AP50" s="25">
        <f>ROUND(SUM(AC50:AF50)-AM50,2)</f>
        <v>0</v>
      </c>
      <c r="AQ50" s="25">
        <f t="shared" si="191"/>
        <v>0</v>
      </c>
      <c r="AS50" s="3">
        <v>50400</v>
      </c>
      <c r="AT50" s="27">
        <f t="shared" si="116"/>
        <v>-31.020000000004075</v>
      </c>
    </row>
    <row r="51" spans="2:46" x14ac:dyDescent="0.2"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8"/>
      <c r="AC51" s="29"/>
      <c r="AD51" s="29"/>
      <c r="AE51" s="29"/>
      <c r="AF51" s="29"/>
      <c r="AG51" s="12"/>
      <c r="AH51" s="12"/>
      <c r="AI51" s="12"/>
      <c r="AJ51" s="12"/>
      <c r="AK51" s="12"/>
      <c r="AL51" s="12"/>
      <c r="AM51" s="29"/>
      <c r="AN51" s="29"/>
      <c r="AO51" s="1"/>
      <c r="AP51" s="25"/>
      <c r="AQ51" s="25"/>
      <c r="AS51" s="3"/>
    </row>
    <row r="52" spans="2:46" x14ac:dyDescent="0.2">
      <c r="B52" s="30" t="s">
        <v>117</v>
      </c>
      <c r="C52" s="99">
        <v>0</v>
      </c>
      <c r="D52" s="99">
        <f>+C52</f>
        <v>0</v>
      </c>
      <c r="E52" s="99">
        <f t="shared" ref="E52" si="209">+D52</f>
        <v>0</v>
      </c>
      <c r="F52" s="99">
        <v>0</v>
      </c>
      <c r="G52" s="99">
        <v>0</v>
      </c>
      <c r="H52" s="99">
        <v>0</v>
      </c>
      <c r="I52" s="99">
        <v>0</v>
      </c>
      <c r="J52" s="99">
        <v>0</v>
      </c>
      <c r="K52" s="99">
        <v>0</v>
      </c>
      <c r="L52" s="99">
        <v>0</v>
      </c>
      <c r="M52" s="99">
        <v>0</v>
      </c>
      <c r="N52" s="13">
        <v>0</v>
      </c>
      <c r="O52" s="9"/>
      <c r="P52" s="13">
        <v>0</v>
      </c>
      <c r="Q52" s="13">
        <v>0</v>
      </c>
      <c r="R52" s="13">
        <f>+Q52+(Q52*$R$2)</f>
        <v>0</v>
      </c>
      <c r="S52" s="13">
        <f>+R52</f>
        <v>0</v>
      </c>
      <c r="T52" s="13">
        <f t="shared" ref="T52:AA52" si="210">+S52</f>
        <v>0</v>
      </c>
      <c r="U52" s="13">
        <f t="shared" si="210"/>
        <v>0</v>
      </c>
      <c r="V52" s="13">
        <f t="shared" si="210"/>
        <v>0</v>
      </c>
      <c r="W52" s="13">
        <f t="shared" si="210"/>
        <v>0</v>
      </c>
      <c r="X52" s="13">
        <f t="shared" si="210"/>
        <v>0</v>
      </c>
      <c r="Y52" s="13">
        <f t="shared" si="210"/>
        <v>0</v>
      </c>
      <c r="Z52" s="13">
        <f t="shared" si="210"/>
        <v>0</v>
      </c>
      <c r="AA52" s="13">
        <f t="shared" si="210"/>
        <v>0</v>
      </c>
      <c r="AB52" s="8"/>
      <c r="AC52" s="4">
        <f>SUM(C52:E52)</f>
        <v>0</v>
      </c>
      <c r="AD52" s="4">
        <f>SUM(F52:H52)</f>
        <v>0</v>
      </c>
      <c r="AE52" s="4">
        <f>SUM(I52:K52)</f>
        <v>0</v>
      </c>
      <c r="AF52" s="4">
        <f>SUM(L52:N52)</f>
        <v>0</v>
      </c>
      <c r="AG52" s="4"/>
      <c r="AH52" s="4">
        <f>SUM(P52:R52)</f>
        <v>0</v>
      </c>
      <c r="AI52" s="4">
        <f>SUM(S52:U52)</f>
        <v>0</v>
      </c>
      <c r="AJ52" s="4">
        <f>SUM(V52:X52)</f>
        <v>0</v>
      </c>
      <c r="AK52" s="4">
        <f>SUM(Y52:AA52)</f>
        <v>0</v>
      </c>
      <c r="AL52" s="4"/>
      <c r="AM52" s="4">
        <f>SUM(C52:N52)</f>
        <v>0</v>
      </c>
      <c r="AN52" s="4">
        <f>SUM(P52:AA52)</f>
        <v>0</v>
      </c>
      <c r="AO52" s="1"/>
      <c r="AP52" s="25">
        <f>ROUND(SUM(AC52:AF52)-AM52,2)</f>
        <v>0</v>
      </c>
      <c r="AQ52" s="25">
        <f>ROUND(SUM(AH52:AK52)-AN52,2)</f>
        <v>0</v>
      </c>
      <c r="AS52" s="4">
        <v>0</v>
      </c>
      <c r="AT52" s="144">
        <v>45877</v>
      </c>
    </row>
    <row r="53" spans="2:46" x14ac:dyDescent="0.2">
      <c r="B53" s="30" t="s">
        <v>25</v>
      </c>
      <c r="C53" s="99">
        <v>0</v>
      </c>
      <c r="D53" s="99">
        <v>0</v>
      </c>
      <c r="E53" s="99">
        <v>0</v>
      </c>
      <c r="F53" s="99">
        <v>0</v>
      </c>
      <c r="G53" s="99">
        <v>0</v>
      </c>
      <c r="H53" s="99">
        <v>0</v>
      </c>
      <c r="I53" s="99">
        <v>0</v>
      </c>
      <c r="J53" s="99">
        <v>0</v>
      </c>
      <c r="K53" s="99">
        <v>0</v>
      </c>
      <c r="L53" s="99">
        <v>0</v>
      </c>
      <c r="M53" s="99">
        <v>0</v>
      </c>
      <c r="N53" s="13">
        <v>0</v>
      </c>
      <c r="O53" s="9"/>
      <c r="P53" s="13">
        <v>0</v>
      </c>
      <c r="Q53" s="13">
        <v>0</v>
      </c>
      <c r="R53" s="13">
        <v>0</v>
      </c>
      <c r="S53" s="13">
        <f>+R53</f>
        <v>0</v>
      </c>
      <c r="T53" s="13">
        <f t="shared" ref="T53:AA53" si="211">+S53</f>
        <v>0</v>
      </c>
      <c r="U53" s="13">
        <f t="shared" si="211"/>
        <v>0</v>
      </c>
      <c r="V53" s="13">
        <f t="shared" si="211"/>
        <v>0</v>
      </c>
      <c r="W53" s="13">
        <f t="shared" si="211"/>
        <v>0</v>
      </c>
      <c r="X53" s="13">
        <f t="shared" si="211"/>
        <v>0</v>
      </c>
      <c r="Y53" s="13">
        <f t="shared" si="211"/>
        <v>0</v>
      </c>
      <c r="Z53" s="13">
        <f t="shared" si="211"/>
        <v>0</v>
      </c>
      <c r="AA53" s="13">
        <f t="shared" si="211"/>
        <v>0</v>
      </c>
      <c r="AB53" s="8"/>
      <c r="AC53" s="4">
        <f>SUM(C53:E53)</f>
        <v>0</v>
      </c>
      <c r="AD53" s="4">
        <f>SUM(F53:H53)</f>
        <v>0</v>
      </c>
      <c r="AE53" s="4">
        <f>SUM(I53:K53)</f>
        <v>0</v>
      </c>
      <c r="AF53" s="4">
        <f>SUM(L53:N53)</f>
        <v>0</v>
      </c>
      <c r="AG53" s="4"/>
      <c r="AH53" s="4">
        <f t="shared" ref="AH53:AH54" si="212">SUM(P53:R53)</f>
        <v>0</v>
      </c>
      <c r="AI53" s="4">
        <f t="shared" ref="AI53:AI54" si="213">SUM(S53:U53)</f>
        <v>0</v>
      </c>
      <c r="AJ53" s="4">
        <f t="shared" ref="AJ53:AJ54" si="214">SUM(V53:X53)</f>
        <v>0</v>
      </c>
      <c r="AK53" s="4">
        <f t="shared" ref="AK53:AK54" si="215">SUM(Y53:AA53)</f>
        <v>0</v>
      </c>
      <c r="AL53" s="4"/>
      <c r="AM53" s="4">
        <f>SUM(C53:N53)</f>
        <v>0</v>
      </c>
      <c r="AN53" s="4">
        <f>SUM(P53:AA53)</f>
        <v>0</v>
      </c>
      <c r="AO53" s="1"/>
      <c r="AP53" s="25">
        <f>ROUND(SUM(AC53:AF53)-AM53,2)</f>
        <v>0</v>
      </c>
      <c r="AQ53" s="25">
        <f t="shared" ref="AQ53:AQ55" si="216">ROUND(SUM(AH53:AK53)-AN53,2)</f>
        <v>0</v>
      </c>
      <c r="AS53" s="4">
        <v>0</v>
      </c>
    </row>
    <row r="54" spans="2:46" x14ac:dyDescent="0.2">
      <c r="B54" s="30" t="s">
        <v>118</v>
      </c>
      <c r="C54" s="99">
        <v>0</v>
      </c>
      <c r="D54" s="99">
        <v>0</v>
      </c>
      <c r="E54" s="99">
        <v>0</v>
      </c>
      <c r="F54" s="99">
        <v>0</v>
      </c>
      <c r="G54" s="99">
        <v>0</v>
      </c>
      <c r="H54" s="99">
        <v>0</v>
      </c>
      <c r="I54" s="99">
        <v>0</v>
      </c>
      <c r="J54" s="99">
        <v>0</v>
      </c>
      <c r="K54" s="99">
        <v>0</v>
      </c>
      <c r="L54" s="99">
        <v>0</v>
      </c>
      <c r="M54" s="99">
        <v>0</v>
      </c>
      <c r="N54" s="13">
        <v>0</v>
      </c>
      <c r="O54" s="9"/>
      <c r="P54" s="13">
        <v>0</v>
      </c>
      <c r="Q54" s="13">
        <v>0</v>
      </c>
      <c r="R54" s="13">
        <f>IFERROR(R52*(Q54/Q52),0)</f>
        <v>0</v>
      </c>
      <c r="S54" s="13">
        <f>+R54</f>
        <v>0</v>
      </c>
      <c r="T54" s="13">
        <f t="shared" ref="T54:AA54" si="217">+S54</f>
        <v>0</v>
      </c>
      <c r="U54" s="13">
        <f t="shared" si="217"/>
        <v>0</v>
      </c>
      <c r="V54" s="13">
        <f t="shared" si="217"/>
        <v>0</v>
      </c>
      <c r="W54" s="13">
        <f t="shared" si="217"/>
        <v>0</v>
      </c>
      <c r="X54" s="13">
        <f t="shared" si="217"/>
        <v>0</v>
      </c>
      <c r="Y54" s="13">
        <f t="shared" si="217"/>
        <v>0</v>
      </c>
      <c r="Z54" s="13">
        <f t="shared" si="217"/>
        <v>0</v>
      </c>
      <c r="AA54" s="13">
        <f t="shared" si="217"/>
        <v>0</v>
      </c>
      <c r="AB54" s="8"/>
      <c r="AC54" s="4">
        <f>SUM(C54:E54)</f>
        <v>0</v>
      </c>
      <c r="AD54" s="4">
        <f>SUM(F54:H54)</f>
        <v>0</v>
      </c>
      <c r="AE54" s="4">
        <f>SUM(I54:K54)</f>
        <v>0</v>
      </c>
      <c r="AF54" s="4">
        <f>SUM(L54:N54)</f>
        <v>0</v>
      </c>
      <c r="AG54" s="4"/>
      <c r="AH54" s="4">
        <f t="shared" si="212"/>
        <v>0</v>
      </c>
      <c r="AI54" s="4">
        <f t="shared" si="213"/>
        <v>0</v>
      </c>
      <c r="AJ54" s="4">
        <f t="shared" si="214"/>
        <v>0</v>
      </c>
      <c r="AK54" s="4">
        <f t="shared" si="215"/>
        <v>0</v>
      </c>
      <c r="AL54" s="4"/>
      <c r="AM54" s="4">
        <f>SUM(C54:N54)</f>
        <v>0</v>
      </c>
      <c r="AN54" s="4">
        <f>SUM(P54:AA54)</f>
        <v>0</v>
      </c>
      <c r="AO54" s="1"/>
      <c r="AP54" s="25">
        <f>ROUND(SUM(AC54:AF54)-AM54,2)</f>
        <v>0</v>
      </c>
      <c r="AQ54" s="25">
        <f t="shared" si="216"/>
        <v>0</v>
      </c>
      <c r="AS54" s="27">
        <v>0</v>
      </c>
    </row>
    <row r="55" spans="2:46" x14ac:dyDescent="0.2">
      <c r="B55" s="28" t="s">
        <v>122</v>
      </c>
      <c r="C55" s="29">
        <f>SUM(C52:C54)</f>
        <v>0</v>
      </c>
      <c r="D55" s="29">
        <f t="shared" ref="D55:N55" si="218">SUM(D52:D54)</f>
        <v>0</v>
      </c>
      <c r="E55" s="29">
        <f t="shared" si="218"/>
        <v>0</v>
      </c>
      <c r="F55" s="29">
        <f t="shared" si="218"/>
        <v>0</v>
      </c>
      <c r="G55" s="29">
        <f t="shared" si="218"/>
        <v>0</v>
      </c>
      <c r="H55" s="29">
        <f t="shared" si="218"/>
        <v>0</v>
      </c>
      <c r="I55" s="29">
        <f t="shared" si="218"/>
        <v>0</v>
      </c>
      <c r="J55" s="29">
        <f t="shared" si="218"/>
        <v>0</v>
      </c>
      <c r="K55" s="29">
        <f t="shared" si="218"/>
        <v>0</v>
      </c>
      <c r="L55" s="29">
        <f t="shared" si="218"/>
        <v>0</v>
      </c>
      <c r="M55" s="29">
        <f t="shared" si="218"/>
        <v>0</v>
      </c>
      <c r="N55" s="29">
        <f t="shared" si="218"/>
        <v>0</v>
      </c>
      <c r="O55" s="9"/>
      <c r="P55" s="29">
        <f t="shared" ref="P55:AA55" si="219">SUM(P52:P54)</f>
        <v>0</v>
      </c>
      <c r="Q55" s="29">
        <f t="shared" si="219"/>
        <v>0</v>
      </c>
      <c r="R55" s="29">
        <f t="shared" si="219"/>
        <v>0</v>
      </c>
      <c r="S55" s="29">
        <f t="shared" si="219"/>
        <v>0</v>
      </c>
      <c r="T55" s="29">
        <f t="shared" si="219"/>
        <v>0</v>
      </c>
      <c r="U55" s="29">
        <f t="shared" si="219"/>
        <v>0</v>
      </c>
      <c r="V55" s="29">
        <f t="shared" si="219"/>
        <v>0</v>
      </c>
      <c r="W55" s="29">
        <f t="shared" si="219"/>
        <v>0</v>
      </c>
      <c r="X55" s="29">
        <f t="shared" si="219"/>
        <v>0</v>
      </c>
      <c r="Y55" s="29">
        <f t="shared" si="219"/>
        <v>0</v>
      </c>
      <c r="Z55" s="29">
        <f t="shared" si="219"/>
        <v>0</v>
      </c>
      <c r="AA55" s="29">
        <f t="shared" si="219"/>
        <v>0</v>
      </c>
      <c r="AB55" s="8"/>
      <c r="AC55" s="29">
        <f t="shared" ref="AC55" si="220">SUM(AC52:AC54)</f>
        <v>0</v>
      </c>
      <c r="AD55" s="29">
        <f t="shared" ref="AD55" si="221">SUM(AD52:AD54)</f>
        <v>0</v>
      </c>
      <c r="AE55" s="29">
        <f t="shared" ref="AE55" si="222">SUM(AE52:AE54)</f>
        <v>0</v>
      </c>
      <c r="AF55" s="29">
        <f t="shared" ref="AF55" si="223">SUM(AF52:AF54)</f>
        <v>0</v>
      </c>
      <c r="AG55" s="12"/>
      <c r="AH55" s="29">
        <f t="shared" ref="AH55:AK55" si="224">SUM(AH52:AH54)</f>
        <v>0</v>
      </c>
      <c r="AI55" s="29">
        <f t="shared" si="224"/>
        <v>0</v>
      </c>
      <c r="AJ55" s="29">
        <f t="shared" si="224"/>
        <v>0</v>
      </c>
      <c r="AK55" s="29">
        <f t="shared" si="224"/>
        <v>0</v>
      </c>
      <c r="AL55" s="12"/>
      <c r="AM55" s="29">
        <f>SUM(AM52:AM54)</f>
        <v>0</v>
      </c>
      <c r="AN55" s="29">
        <f>SUM(AN52:AN54)</f>
        <v>0</v>
      </c>
      <c r="AO55" s="1"/>
      <c r="AP55" s="25">
        <f>ROUND(SUM(AC55:AF55)-AM55,2)</f>
        <v>0</v>
      </c>
      <c r="AQ55" s="25">
        <f t="shared" si="216"/>
        <v>0</v>
      </c>
      <c r="AS55" s="27">
        <v>0</v>
      </c>
    </row>
    <row r="56" spans="2:46" x14ac:dyDescent="0.2"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8"/>
      <c r="AC56" s="29"/>
      <c r="AD56" s="29"/>
      <c r="AE56" s="29"/>
      <c r="AF56" s="29"/>
      <c r="AG56" s="12"/>
      <c r="AH56" s="12"/>
      <c r="AI56" s="12"/>
      <c r="AJ56" s="12"/>
      <c r="AK56" s="12"/>
      <c r="AL56" s="12"/>
      <c r="AM56" s="29"/>
      <c r="AN56" s="29"/>
      <c r="AO56" s="1"/>
      <c r="AP56" s="25"/>
      <c r="AQ56" s="25"/>
      <c r="AS56" s="3"/>
    </row>
    <row r="57" spans="2:46" x14ac:dyDescent="0.2">
      <c r="B57" s="30" t="s">
        <v>117</v>
      </c>
      <c r="C57" s="99">
        <v>0</v>
      </c>
      <c r="D57" s="99">
        <f>+C57</f>
        <v>0</v>
      </c>
      <c r="E57" s="99">
        <f t="shared" ref="E57" si="225">+D57</f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13">
        <v>0</v>
      </c>
      <c r="O57" s="9"/>
      <c r="P57" s="13">
        <v>0</v>
      </c>
      <c r="Q57" s="13">
        <v>0</v>
      </c>
      <c r="R57" s="13">
        <f>+Q57+(Q57*$R$2)</f>
        <v>0</v>
      </c>
      <c r="S57" s="13">
        <f>+R57</f>
        <v>0</v>
      </c>
      <c r="T57" s="13">
        <f t="shared" ref="T57:AA57" si="226">+S57</f>
        <v>0</v>
      </c>
      <c r="U57" s="13">
        <f t="shared" si="226"/>
        <v>0</v>
      </c>
      <c r="V57" s="13">
        <f t="shared" si="226"/>
        <v>0</v>
      </c>
      <c r="W57" s="13">
        <f t="shared" si="226"/>
        <v>0</v>
      </c>
      <c r="X57" s="13">
        <f t="shared" si="226"/>
        <v>0</v>
      </c>
      <c r="Y57" s="13">
        <f t="shared" si="226"/>
        <v>0</v>
      </c>
      <c r="Z57" s="13">
        <f t="shared" si="226"/>
        <v>0</v>
      </c>
      <c r="AA57" s="13">
        <f t="shared" si="226"/>
        <v>0</v>
      </c>
      <c r="AB57" s="8"/>
      <c r="AC57" s="4">
        <f>SUM(C57:E57)</f>
        <v>0</v>
      </c>
      <c r="AD57" s="4">
        <f>SUM(F57:H57)</f>
        <v>0</v>
      </c>
      <c r="AE57" s="4">
        <f>SUM(I57:K57)</f>
        <v>0</v>
      </c>
      <c r="AF57" s="4">
        <f>SUM(L57:N57)</f>
        <v>0</v>
      </c>
      <c r="AG57" s="4"/>
      <c r="AH57" s="4">
        <f>SUM(P57:R57)</f>
        <v>0</v>
      </c>
      <c r="AI57" s="4">
        <f>SUM(S57:U57)</f>
        <v>0</v>
      </c>
      <c r="AJ57" s="4">
        <f>SUM(V57:X57)</f>
        <v>0</v>
      </c>
      <c r="AK57" s="4">
        <f>SUM(Y57:AA57)</f>
        <v>0</v>
      </c>
      <c r="AL57" s="4"/>
      <c r="AM57" s="4">
        <f>SUM(C57:N57)</f>
        <v>0</v>
      </c>
      <c r="AN57" s="4">
        <f>SUM(P57:AA57)</f>
        <v>0</v>
      </c>
      <c r="AO57" s="1"/>
      <c r="AP57" s="25">
        <f>ROUND(SUM(AC57:AF57)-AM57,2)</f>
        <v>0</v>
      </c>
      <c r="AQ57" s="25">
        <f>ROUND(SUM(AH57:AK57)-AN57,2)</f>
        <v>0</v>
      </c>
      <c r="AS57" s="3">
        <v>0</v>
      </c>
    </row>
    <row r="58" spans="2:46" x14ac:dyDescent="0.2">
      <c r="B58" s="30" t="s">
        <v>25</v>
      </c>
      <c r="C58" s="99">
        <v>0</v>
      </c>
      <c r="D58" s="99">
        <v>0</v>
      </c>
      <c r="E58" s="99">
        <v>0</v>
      </c>
      <c r="F58" s="99">
        <v>0</v>
      </c>
      <c r="G58" s="99">
        <v>0</v>
      </c>
      <c r="H58" s="99">
        <v>0</v>
      </c>
      <c r="I58" s="99">
        <v>0</v>
      </c>
      <c r="J58" s="99">
        <v>0</v>
      </c>
      <c r="K58" s="99">
        <v>0</v>
      </c>
      <c r="L58" s="99">
        <v>0</v>
      </c>
      <c r="M58" s="99">
        <v>0</v>
      </c>
      <c r="N58" s="13">
        <v>0</v>
      </c>
      <c r="O58" s="9"/>
      <c r="P58" s="13">
        <v>0</v>
      </c>
      <c r="Q58" s="13">
        <v>0</v>
      </c>
      <c r="R58" s="13">
        <v>0</v>
      </c>
      <c r="S58" s="13">
        <f>+R58</f>
        <v>0</v>
      </c>
      <c r="T58" s="13">
        <f t="shared" ref="T58:AA58" si="227">+S58</f>
        <v>0</v>
      </c>
      <c r="U58" s="13">
        <f t="shared" si="227"/>
        <v>0</v>
      </c>
      <c r="V58" s="13">
        <f t="shared" si="227"/>
        <v>0</v>
      </c>
      <c r="W58" s="13">
        <f t="shared" si="227"/>
        <v>0</v>
      </c>
      <c r="X58" s="13">
        <f t="shared" si="227"/>
        <v>0</v>
      </c>
      <c r="Y58" s="13">
        <f t="shared" si="227"/>
        <v>0</v>
      </c>
      <c r="Z58" s="13">
        <f t="shared" si="227"/>
        <v>0</v>
      </c>
      <c r="AA58" s="13">
        <f t="shared" si="227"/>
        <v>0</v>
      </c>
      <c r="AB58" s="8"/>
      <c r="AC58" s="4">
        <f>SUM(C58:E58)</f>
        <v>0</v>
      </c>
      <c r="AD58" s="4">
        <f>SUM(F58:H58)</f>
        <v>0</v>
      </c>
      <c r="AE58" s="4">
        <f>SUM(I58:K58)</f>
        <v>0</v>
      </c>
      <c r="AF58" s="4">
        <f>SUM(L58:N58)</f>
        <v>0</v>
      </c>
      <c r="AG58" s="4"/>
      <c r="AH58" s="4">
        <f t="shared" ref="AH58:AH59" si="228">SUM(P58:R58)</f>
        <v>0</v>
      </c>
      <c r="AI58" s="4">
        <f t="shared" ref="AI58:AI59" si="229">SUM(S58:U58)</f>
        <v>0</v>
      </c>
      <c r="AJ58" s="4">
        <f t="shared" ref="AJ58:AJ59" si="230">SUM(V58:X58)</f>
        <v>0</v>
      </c>
      <c r="AK58" s="4">
        <f t="shared" ref="AK58:AK59" si="231">SUM(Y58:AA58)</f>
        <v>0</v>
      </c>
      <c r="AL58" s="4"/>
      <c r="AM58" s="4">
        <f>SUM(C58:N58)</f>
        <v>0</v>
      </c>
      <c r="AN58" s="4">
        <f>SUM(P58:AA58)</f>
        <v>0</v>
      </c>
      <c r="AO58" s="1"/>
      <c r="AP58" s="25">
        <f>ROUND(SUM(AC58:AF58)-AM58,2)</f>
        <v>0</v>
      </c>
      <c r="AQ58" s="25">
        <f>ROUND(SUM(AD58:AG58)-AN58,2)</f>
        <v>0</v>
      </c>
      <c r="AS58" s="3">
        <v>0</v>
      </c>
    </row>
    <row r="59" spans="2:46" x14ac:dyDescent="0.2">
      <c r="B59" s="30" t="s">
        <v>118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13">
        <v>0</v>
      </c>
      <c r="O59" s="9"/>
      <c r="P59" s="13">
        <v>0</v>
      </c>
      <c r="Q59" s="13">
        <v>0</v>
      </c>
      <c r="R59" s="13">
        <f>IFERROR(R57*(Q59/Q57),0)</f>
        <v>0</v>
      </c>
      <c r="S59" s="13">
        <f>+R59</f>
        <v>0</v>
      </c>
      <c r="T59" s="13">
        <f t="shared" ref="T59:AA59" si="232">+S59</f>
        <v>0</v>
      </c>
      <c r="U59" s="13">
        <f t="shared" si="232"/>
        <v>0</v>
      </c>
      <c r="V59" s="13">
        <f t="shared" si="232"/>
        <v>0</v>
      </c>
      <c r="W59" s="13">
        <f t="shared" si="232"/>
        <v>0</v>
      </c>
      <c r="X59" s="13">
        <f t="shared" si="232"/>
        <v>0</v>
      </c>
      <c r="Y59" s="13">
        <f t="shared" si="232"/>
        <v>0</v>
      </c>
      <c r="Z59" s="13">
        <f t="shared" si="232"/>
        <v>0</v>
      </c>
      <c r="AA59" s="13">
        <f t="shared" si="232"/>
        <v>0</v>
      </c>
      <c r="AB59" s="8"/>
      <c r="AC59" s="4">
        <f>SUM(C59:E59)</f>
        <v>0</v>
      </c>
      <c r="AD59" s="4">
        <f>SUM(F59:H59)</f>
        <v>0</v>
      </c>
      <c r="AE59" s="4">
        <f>SUM(I59:K59)</f>
        <v>0</v>
      </c>
      <c r="AF59" s="4">
        <f>SUM(L59:N59)</f>
        <v>0</v>
      </c>
      <c r="AG59" s="4"/>
      <c r="AH59" s="4">
        <f t="shared" si="228"/>
        <v>0</v>
      </c>
      <c r="AI59" s="4">
        <f t="shared" si="229"/>
        <v>0</v>
      </c>
      <c r="AJ59" s="4">
        <f t="shared" si="230"/>
        <v>0</v>
      </c>
      <c r="AK59" s="4">
        <f t="shared" si="231"/>
        <v>0</v>
      </c>
      <c r="AL59" s="4"/>
      <c r="AM59" s="4">
        <f>SUM(C59:N59)</f>
        <v>0</v>
      </c>
      <c r="AN59" s="4">
        <f>SUM(P59:AA59)</f>
        <v>0</v>
      </c>
      <c r="AO59" s="1"/>
      <c r="AP59" s="25">
        <f>ROUND(SUM(AC59:AF59)-AM59,2)</f>
        <v>0</v>
      </c>
      <c r="AQ59" s="25">
        <f>ROUND(SUM(AD59:AG59)-AN59,2)</f>
        <v>0</v>
      </c>
      <c r="AS59" s="3">
        <v>0</v>
      </c>
    </row>
    <row r="60" spans="2:46" x14ac:dyDescent="0.2">
      <c r="B60" s="28" t="s">
        <v>122</v>
      </c>
      <c r="C60" s="29">
        <f>SUM(C57:C59)</f>
        <v>0</v>
      </c>
      <c r="D60" s="29">
        <f t="shared" ref="D60" si="233">SUM(D57:D59)</f>
        <v>0</v>
      </c>
      <c r="E60" s="29">
        <f t="shared" ref="E60" si="234">SUM(E57:E59)</f>
        <v>0</v>
      </c>
      <c r="F60" s="29">
        <f t="shared" ref="F60" si="235">SUM(F57:F59)</f>
        <v>0</v>
      </c>
      <c r="G60" s="29">
        <f t="shared" ref="G60" si="236">SUM(G57:G59)</f>
        <v>0</v>
      </c>
      <c r="H60" s="29">
        <f t="shared" ref="H60" si="237">SUM(H57:H59)</f>
        <v>0</v>
      </c>
      <c r="I60" s="29">
        <f t="shared" ref="I60" si="238">SUM(I57:I59)</f>
        <v>0</v>
      </c>
      <c r="J60" s="29">
        <f t="shared" ref="J60" si="239">SUM(J57:J59)</f>
        <v>0</v>
      </c>
      <c r="K60" s="29">
        <f t="shared" ref="K60" si="240">SUM(K57:K59)</f>
        <v>0</v>
      </c>
      <c r="L60" s="29">
        <f t="shared" ref="L60" si="241">SUM(L57:L59)</f>
        <v>0</v>
      </c>
      <c r="M60" s="29">
        <f t="shared" ref="M60" si="242">SUM(M57:M59)</f>
        <v>0</v>
      </c>
      <c r="N60" s="29">
        <f t="shared" ref="N60:AA60" si="243">SUM(N57:N59)</f>
        <v>0</v>
      </c>
      <c r="O60" s="9"/>
      <c r="P60" s="29">
        <f t="shared" si="243"/>
        <v>0</v>
      </c>
      <c r="Q60" s="29">
        <f t="shared" si="243"/>
        <v>0</v>
      </c>
      <c r="R60" s="29">
        <f t="shared" si="243"/>
        <v>0</v>
      </c>
      <c r="S60" s="29">
        <f t="shared" si="243"/>
        <v>0</v>
      </c>
      <c r="T60" s="29">
        <f t="shared" si="243"/>
        <v>0</v>
      </c>
      <c r="U60" s="29">
        <f t="shared" si="243"/>
        <v>0</v>
      </c>
      <c r="V60" s="29">
        <f t="shared" si="243"/>
        <v>0</v>
      </c>
      <c r="W60" s="29">
        <f t="shared" si="243"/>
        <v>0</v>
      </c>
      <c r="X60" s="29">
        <f t="shared" si="243"/>
        <v>0</v>
      </c>
      <c r="Y60" s="29">
        <f t="shared" si="243"/>
        <v>0</v>
      </c>
      <c r="Z60" s="29">
        <f t="shared" si="243"/>
        <v>0</v>
      </c>
      <c r="AA60" s="29">
        <f t="shared" si="243"/>
        <v>0</v>
      </c>
      <c r="AB60" s="8"/>
      <c r="AC60" s="29">
        <f t="shared" ref="AC60" si="244">SUM(AC57:AC59)</f>
        <v>0</v>
      </c>
      <c r="AD60" s="29">
        <f t="shared" ref="AD60" si="245">SUM(AD57:AD59)</f>
        <v>0</v>
      </c>
      <c r="AE60" s="29">
        <f t="shared" ref="AE60" si="246">SUM(AE57:AE59)</f>
        <v>0</v>
      </c>
      <c r="AF60" s="29">
        <f t="shared" ref="AF60" si="247">SUM(AF57:AF59)</f>
        <v>0</v>
      </c>
      <c r="AG60" s="12"/>
      <c r="AH60" s="29">
        <f t="shared" ref="AH60:AK60" si="248">SUM(AH57:AH59)</f>
        <v>0</v>
      </c>
      <c r="AI60" s="29">
        <f t="shared" si="248"/>
        <v>0</v>
      </c>
      <c r="AJ60" s="29">
        <f t="shared" si="248"/>
        <v>0</v>
      </c>
      <c r="AK60" s="29">
        <f t="shared" si="248"/>
        <v>0</v>
      </c>
      <c r="AL60" s="12"/>
      <c r="AM60" s="29">
        <f>SUM(AM57:AM59)</f>
        <v>0</v>
      </c>
      <c r="AN60" s="29">
        <f>SUM(AN57:AN59)</f>
        <v>0</v>
      </c>
      <c r="AO60" s="1"/>
      <c r="AP60" s="25">
        <f>ROUND(SUM(AC60:AF60)-AM60,2)</f>
        <v>0</v>
      </c>
      <c r="AQ60" s="25">
        <f>ROUND(SUM(AD60:AG60)-AN60,2)</f>
        <v>0</v>
      </c>
      <c r="AS60" s="3">
        <v>0</v>
      </c>
    </row>
    <row r="61" spans="2:46" x14ac:dyDescent="0.2"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8"/>
      <c r="AC61" s="29"/>
      <c r="AD61" s="29"/>
      <c r="AE61" s="29"/>
      <c r="AF61" s="29"/>
      <c r="AG61" s="12"/>
      <c r="AH61" s="12"/>
      <c r="AI61" s="12"/>
      <c r="AJ61" s="12"/>
      <c r="AK61" s="12"/>
      <c r="AL61" s="12"/>
      <c r="AM61" s="29"/>
      <c r="AN61" s="29"/>
      <c r="AO61" s="1"/>
      <c r="AP61" s="25"/>
      <c r="AQ61" s="25"/>
      <c r="AS61" s="3"/>
    </row>
    <row r="62" spans="2:46" x14ac:dyDescent="0.2">
      <c r="B62" s="30" t="s">
        <v>117</v>
      </c>
      <c r="C62" s="99">
        <v>0</v>
      </c>
      <c r="D62" s="99">
        <f>+C62</f>
        <v>0</v>
      </c>
      <c r="E62" s="99">
        <f t="shared" ref="E62" si="249">+D62</f>
        <v>0</v>
      </c>
      <c r="F62" s="99">
        <v>0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13">
        <v>0</v>
      </c>
      <c r="O62" s="9"/>
      <c r="P62" s="13">
        <v>0</v>
      </c>
      <c r="Q62" s="13">
        <v>0</v>
      </c>
      <c r="R62" s="13">
        <f>+Q62+(Q62*$R$2)</f>
        <v>0</v>
      </c>
      <c r="S62" s="13">
        <f>+R62</f>
        <v>0</v>
      </c>
      <c r="T62" s="13">
        <f t="shared" ref="T62:AA62" si="250">+S62</f>
        <v>0</v>
      </c>
      <c r="U62" s="13">
        <f t="shared" si="250"/>
        <v>0</v>
      </c>
      <c r="V62" s="13">
        <f t="shared" si="250"/>
        <v>0</v>
      </c>
      <c r="W62" s="13">
        <f t="shared" si="250"/>
        <v>0</v>
      </c>
      <c r="X62" s="13">
        <f t="shared" si="250"/>
        <v>0</v>
      </c>
      <c r="Y62" s="13">
        <f t="shared" si="250"/>
        <v>0</v>
      </c>
      <c r="Z62" s="13">
        <f t="shared" si="250"/>
        <v>0</v>
      </c>
      <c r="AA62" s="13">
        <f t="shared" si="250"/>
        <v>0</v>
      </c>
      <c r="AB62" s="8"/>
      <c r="AC62" s="4">
        <f>SUM(C62:E62)</f>
        <v>0</v>
      </c>
      <c r="AD62" s="4">
        <f>SUM(F62:H62)</f>
        <v>0</v>
      </c>
      <c r="AE62" s="4">
        <f>SUM(I62:K62)</f>
        <v>0</v>
      </c>
      <c r="AF62" s="4">
        <f>SUM(L62:N62)</f>
        <v>0</v>
      </c>
      <c r="AG62" s="4"/>
      <c r="AH62" s="4">
        <f>SUM(P62:R62)</f>
        <v>0</v>
      </c>
      <c r="AI62" s="4">
        <f>SUM(S62:U62)</f>
        <v>0</v>
      </c>
      <c r="AJ62" s="4">
        <f>SUM(V62:X62)</f>
        <v>0</v>
      </c>
      <c r="AK62" s="4">
        <f>SUM(Y62:AA62)</f>
        <v>0</v>
      </c>
      <c r="AL62" s="4"/>
      <c r="AM62" s="4">
        <f>SUM(C62:N62)</f>
        <v>0</v>
      </c>
      <c r="AN62" s="4">
        <f>SUM(P62:AA62)</f>
        <v>0</v>
      </c>
      <c r="AO62" s="1"/>
      <c r="AP62" s="25">
        <f>ROUND(SUM(AC62:AF62)-AM62,2)</f>
        <v>0</v>
      </c>
      <c r="AQ62" s="25">
        <f>ROUND(SUM(AH62:AK62)-AN62,2)</f>
        <v>0</v>
      </c>
      <c r="AS62" s="3">
        <v>0</v>
      </c>
    </row>
    <row r="63" spans="2:46" x14ac:dyDescent="0.2">
      <c r="B63" s="30" t="s">
        <v>25</v>
      </c>
      <c r="C63" s="99">
        <v>0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13">
        <v>0</v>
      </c>
      <c r="O63" s="9"/>
      <c r="P63" s="13">
        <v>0</v>
      </c>
      <c r="Q63" s="13">
        <v>0</v>
      </c>
      <c r="R63" s="13">
        <v>0</v>
      </c>
      <c r="S63" s="13">
        <f>+R63</f>
        <v>0</v>
      </c>
      <c r="T63" s="13">
        <f t="shared" ref="T63:AA63" si="251">+S63</f>
        <v>0</v>
      </c>
      <c r="U63" s="13">
        <f t="shared" si="251"/>
        <v>0</v>
      </c>
      <c r="V63" s="13">
        <f t="shared" si="251"/>
        <v>0</v>
      </c>
      <c r="W63" s="13">
        <f t="shared" si="251"/>
        <v>0</v>
      </c>
      <c r="X63" s="13">
        <f t="shared" si="251"/>
        <v>0</v>
      </c>
      <c r="Y63" s="13">
        <f t="shared" si="251"/>
        <v>0</v>
      </c>
      <c r="Z63" s="13">
        <f t="shared" si="251"/>
        <v>0</v>
      </c>
      <c r="AA63" s="13">
        <f t="shared" si="251"/>
        <v>0</v>
      </c>
      <c r="AB63" s="8"/>
      <c r="AC63" s="4">
        <f>SUM(C63:E63)</f>
        <v>0</v>
      </c>
      <c r="AD63" s="4">
        <f>SUM(F63:H63)</f>
        <v>0</v>
      </c>
      <c r="AE63" s="4">
        <f>SUM(I63:K63)</f>
        <v>0</v>
      </c>
      <c r="AF63" s="4">
        <f>SUM(L63:N63)</f>
        <v>0</v>
      </c>
      <c r="AG63" s="4"/>
      <c r="AH63" s="4">
        <f t="shared" ref="AH63:AH64" si="252">SUM(P63:R63)</f>
        <v>0</v>
      </c>
      <c r="AI63" s="4">
        <f t="shared" ref="AI63:AI64" si="253">SUM(S63:U63)</f>
        <v>0</v>
      </c>
      <c r="AJ63" s="4">
        <f t="shared" ref="AJ63:AJ64" si="254">SUM(V63:X63)</f>
        <v>0</v>
      </c>
      <c r="AK63" s="4">
        <f t="shared" ref="AK63:AK64" si="255">SUM(Y63:AA63)</f>
        <v>0</v>
      </c>
      <c r="AL63" s="4"/>
      <c r="AM63" s="4">
        <f>SUM(C63:N63)</f>
        <v>0</v>
      </c>
      <c r="AN63" s="4">
        <f>SUM(P63:AA63)</f>
        <v>0</v>
      </c>
      <c r="AO63" s="1"/>
      <c r="AP63" s="25">
        <f>ROUND(SUM(AC63:AF63)-AM63,2)</f>
        <v>0</v>
      </c>
      <c r="AQ63" s="25">
        <f>ROUND(SUM(AD63:AG63)-AN63,2)</f>
        <v>0</v>
      </c>
      <c r="AS63" s="3">
        <v>0</v>
      </c>
    </row>
    <row r="64" spans="2:46" x14ac:dyDescent="0.2">
      <c r="B64" s="30" t="s">
        <v>118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13">
        <v>0</v>
      </c>
      <c r="O64" s="9"/>
      <c r="P64" s="13">
        <v>0</v>
      </c>
      <c r="Q64" s="13">
        <v>0</v>
      </c>
      <c r="R64" s="13">
        <f>IFERROR(R62*(Q64/Q62),0)</f>
        <v>0</v>
      </c>
      <c r="S64" s="13">
        <f>+R64</f>
        <v>0</v>
      </c>
      <c r="T64" s="13">
        <f t="shared" ref="T64:AA64" si="256">+S64</f>
        <v>0</v>
      </c>
      <c r="U64" s="13">
        <f t="shared" si="256"/>
        <v>0</v>
      </c>
      <c r="V64" s="13">
        <f t="shared" si="256"/>
        <v>0</v>
      </c>
      <c r="W64" s="13">
        <f t="shared" si="256"/>
        <v>0</v>
      </c>
      <c r="X64" s="13">
        <f t="shared" si="256"/>
        <v>0</v>
      </c>
      <c r="Y64" s="13">
        <f t="shared" si="256"/>
        <v>0</v>
      </c>
      <c r="Z64" s="13">
        <f t="shared" si="256"/>
        <v>0</v>
      </c>
      <c r="AA64" s="13">
        <f t="shared" si="256"/>
        <v>0</v>
      </c>
      <c r="AB64" s="8"/>
      <c r="AC64" s="4">
        <f>SUM(C64:E64)</f>
        <v>0</v>
      </c>
      <c r="AD64" s="4">
        <f>SUM(F64:H64)</f>
        <v>0</v>
      </c>
      <c r="AE64" s="4">
        <f>SUM(I64:K64)</f>
        <v>0</v>
      </c>
      <c r="AF64" s="4">
        <f>SUM(L64:N64)</f>
        <v>0</v>
      </c>
      <c r="AG64" s="4"/>
      <c r="AH64" s="4">
        <f t="shared" si="252"/>
        <v>0</v>
      </c>
      <c r="AI64" s="4">
        <f t="shared" si="253"/>
        <v>0</v>
      </c>
      <c r="AJ64" s="4">
        <f t="shared" si="254"/>
        <v>0</v>
      </c>
      <c r="AK64" s="4">
        <f t="shared" si="255"/>
        <v>0</v>
      </c>
      <c r="AL64" s="4"/>
      <c r="AM64" s="4">
        <f>SUM(C64:N64)</f>
        <v>0</v>
      </c>
      <c r="AN64" s="4">
        <f>SUM(P64:AA64)</f>
        <v>0</v>
      </c>
      <c r="AO64" s="1"/>
      <c r="AP64" s="25">
        <f>ROUND(SUM(AC64:AF64)-AM64,2)</f>
        <v>0</v>
      </c>
      <c r="AQ64" s="25">
        <f>ROUND(SUM(AD64:AG64)-AN64,2)</f>
        <v>0</v>
      </c>
      <c r="AS64" s="3">
        <v>0</v>
      </c>
    </row>
    <row r="65" spans="2:46" x14ac:dyDescent="0.2">
      <c r="B65" s="28" t="s">
        <v>122</v>
      </c>
      <c r="C65" s="29">
        <f>SUM(C62:C64)</f>
        <v>0</v>
      </c>
      <c r="D65" s="29">
        <f t="shared" ref="D65" si="257">SUM(D62:D64)</f>
        <v>0</v>
      </c>
      <c r="E65" s="29">
        <f t="shared" ref="E65" si="258">SUM(E62:E64)</f>
        <v>0</v>
      </c>
      <c r="F65" s="29">
        <f t="shared" ref="F65" si="259">SUM(F62:F64)</f>
        <v>0</v>
      </c>
      <c r="G65" s="29">
        <f t="shared" ref="G65" si="260">SUM(G62:G64)</f>
        <v>0</v>
      </c>
      <c r="H65" s="29">
        <f t="shared" ref="H65" si="261">SUM(H62:H64)</f>
        <v>0</v>
      </c>
      <c r="I65" s="29">
        <f t="shared" ref="I65" si="262">SUM(I62:I64)</f>
        <v>0</v>
      </c>
      <c r="J65" s="29">
        <f t="shared" ref="J65" si="263">SUM(J62:J64)</f>
        <v>0</v>
      </c>
      <c r="K65" s="29">
        <f t="shared" ref="K65" si="264">SUM(K62:K64)</f>
        <v>0</v>
      </c>
      <c r="L65" s="29">
        <f t="shared" ref="L65" si="265">SUM(L62:L64)</f>
        <v>0</v>
      </c>
      <c r="M65" s="29">
        <f t="shared" ref="M65" si="266">SUM(M62:M64)</f>
        <v>0</v>
      </c>
      <c r="N65" s="29">
        <f t="shared" ref="N65:AA65" si="267">SUM(N62:N64)</f>
        <v>0</v>
      </c>
      <c r="O65" s="9"/>
      <c r="P65" s="29">
        <f t="shared" si="267"/>
        <v>0</v>
      </c>
      <c r="Q65" s="29">
        <f t="shared" si="267"/>
        <v>0</v>
      </c>
      <c r="R65" s="29">
        <f t="shared" si="267"/>
        <v>0</v>
      </c>
      <c r="S65" s="29">
        <f t="shared" si="267"/>
        <v>0</v>
      </c>
      <c r="T65" s="29">
        <f t="shared" si="267"/>
        <v>0</v>
      </c>
      <c r="U65" s="29">
        <f t="shared" si="267"/>
        <v>0</v>
      </c>
      <c r="V65" s="29">
        <f t="shared" si="267"/>
        <v>0</v>
      </c>
      <c r="W65" s="29">
        <f t="shared" si="267"/>
        <v>0</v>
      </c>
      <c r="X65" s="29">
        <f t="shared" si="267"/>
        <v>0</v>
      </c>
      <c r="Y65" s="29">
        <f t="shared" si="267"/>
        <v>0</v>
      </c>
      <c r="Z65" s="29">
        <f t="shared" si="267"/>
        <v>0</v>
      </c>
      <c r="AA65" s="29">
        <f t="shared" si="267"/>
        <v>0</v>
      </c>
      <c r="AB65" s="8"/>
      <c r="AC65" s="29">
        <f t="shared" ref="AC65" si="268">SUM(AC62:AC64)</f>
        <v>0</v>
      </c>
      <c r="AD65" s="29">
        <f t="shared" ref="AD65" si="269">SUM(AD62:AD64)</f>
        <v>0</v>
      </c>
      <c r="AE65" s="29">
        <f t="shared" ref="AE65" si="270">SUM(AE62:AE64)</f>
        <v>0</v>
      </c>
      <c r="AF65" s="29">
        <f t="shared" ref="AF65" si="271">SUM(AF62:AF64)</f>
        <v>0</v>
      </c>
      <c r="AG65" s="12"/>
      <c r="AH65" s="29">
        <f t="shared" ref="AH65:AK65" si="272">SUM(AH62:AH64)</f>
        <v>0</v>
      </c>
      <c r="AI65" s="29">
        <f t="shared" si="272"/>
        <v>0</v>
      </c>
      <c r="AJ65" s="29">
        <f t="shared" si="272"/>
        <v>0</v>
      </c>
      <c r="AK65" s="29">
        <f t="shared" si="272"/>
        <v>0</v>
      </c>
      <c r="AL65" s="12"/>
      <c r="AM65" s="29">
        <f>SUM(AM62:AM64)</f>
        <v>0</v>
      </c>
      <c r="AN65" s="29">
        <f>SUM(AN62:AN64)</f>
        <v>0</v>
      </c>
      <c r="AO65" s="1"/>
      <c r="AP65" s="25">
        <f>ROUND(SUM(AC65:AF65)-AM65,2)</f>
        <v>0</v>
      </c>
      <c r="AQ65" s="25">
        <f>ROUND(SUM(AD65:AG65)-AN65,2)</f>
        <v>0</v>
      </c>
      <c r="AS65" s="3">
        <v>0</v>
      </c>
    </row>
    <row r="66" spans="2:46" x14ac:dyDescent="0.2">
      <c r="B66" s="28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8"/>
      <c r="AC66" s="29"/>
      <c r="AD66" s="29"/>
      <c r="AE66" s="29"/>
      <c r="AF66" s="29"/>
      <c r="AG66" s="12"/>
      <c r="AH66" s="12"/>
      <c r="AI66" s="12"/>
      <c r="AJ66" s="12"/>
      <c r="AK66" s="12"/>
      <c r="AL66" s="12"/>
      <c r="AM66" s="29"/>
      <c r="AN66" s="29"/>
      <c r="AO66" s="1"/>
      <c r="AP66" s="25"/>
      <c r="AQ66" s="25"/>
      <c r="AS66" s="3"/>
    </row>
    <row r="67" spans="2:46" x14ac:dyDescent="0.2">
      <c r="B67" s="30" t="s">
        <v>117</v>
      </c>
      <c r="C67" s="99">
        <v>0</v>
      </c>
      <c r="D67" s="99">
        <f>+C67</f>
        <v>0</v>
      </c>
      <c r="E67" s="99">
        <f t="shared" ref="E67" si="273">+D67</f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13">
        <v>0</v>
      </c>
      <c r="O67" s="9"/>
      <c r="P67" s="13">
        <v>0</v>
      </c>
      <c r="Q67" s="13">
        <v>0</v>
      </c>
      <c r="R67" s="13">
        <f>+Q67+(Q67*$R$2)</f>
        <v>0</v>
      </c>
      <c r="S67" s="13">
        <f>+R67</f>
        <v>0</v>
      </c>
      <c r="T67" s="13">
        <f t="shared" ref="T67:AA67" si="274">+S67</f>
        <v>0</v>
      </c>
      <c r="U67" s="13">
        <f t="shared" si="274"/>
        <v>0</v>
      </c>
      <c r="V67" s="13">
        <f t="shared" si="274"/>
        <v>0</v>
      </c>
      <c r="W67" s="13">
        <f t="shared" si="274"/>
        <v>0</v>
      </c>
      <c r="X67" s="13">
        <f t="shared" si="274"/>
        <v>0</v>
      </c>
      <c r="Y67" s="13">
        <f t="shared" si="274"/>
        <v>0</v>
      </c>
      <c r="Z67" s="13">
        <f t="shared" si="274"/>
        <v>0</v>
      </c>
      <c r="AA67" s="13">
        <f t="shared" si="274"/>
        <v>0</v>
      </c>
      <c r="AB67" s="8"/>
      <c r="AC67" s="4">
        <f>SUM(C67:E67)</f>
        <v>0</v>
      </c>
      <c r="AD67" s="4">
        <f>SUM(F67:H67)</f>
        <v>0</v>
      </c>
      <c r="AE67" s="4">
        <f>SUM(I67:K67)</f>
        <v>0</v>
      </c>
      <c r="AF67" s="4">
        <f>SUM(L67:N67)</f>
        <v>0</v>
      </c>
      <c r="AG67" s="4"/>
      <c r="AH67" s="4">
        <f>SUM(P67:R67)</f>
        <v>0</v>
      </c>
      <c r="AI67" s="4">
        <f>SUM(S67:U67)</f>
        <v>0</v>
      </c>
      <c r="AJ67" s="4">
        <f>SUM(V67:X67)</f>
        <v>0</v>
      </c>
      <c r="AK67" s="4">
        <f>SUM(Y67:AA67)</f>
        <v>0</v>
      </c>
      <c r="AL67" s="4"/>
      <c r="AM67" s="4">
        <f>SUM(C67:N67)</f>
        <v>0</v>
      </c>
      <c r="AN67" s="4">
        <f>SUM(P67:AA67)</f>
        <v>0</v>
      </c>
      <c r="AO67" s="1"/>
      <c r="AP67" s="25">
        <f>ROUND(SUM(AC67:AF67)-AM67,2)</f>
        <v>0</v>
      </c>
      <c r="AQ67" s="25">
        <f>ROUND(SUM(AH67:AK67)-AN67,2)</f>
        <v>0</v>
      </c>
      <c r="AS67" s="3">
        <v>0</v>
      </c>
    </row>
    <row r="68" spans="2:46" x14ac:dyDescent="0.2">
      <c r="B68" s="30" t="s">
        <v>25</v>
      </c>
      <c r="C68" s="99">
        <v>0</v>
      </c>
      <c r="D68" s="99">
        <v>0</v>
      </c>
      <c r="E68" s="99">
        <v>0</v>
      </c>
      <c r="F68" s="99">
        <v>0</v>
      </c>
      <c r="G68" s="99">
        <v>0</v>
      </c>
      <c r="H68" s="99">
        <v>0</v>
      </c>
      <c r="I68" s="99">
        <v>0</v>
      </c>
      <c r="J68" s="99">
        <v>0</v>
      </c>
      <c r="K68" s="99">
        <v>0</v>
      </c>
      <c r="L68" s="99">
        <v>0</v>
      </c>
      <c r="M68" s="99">
        <v>0</v>
      </c>
      <c r="N68" s="13">
        <v>0</v>
      </c>
      <c r="O68" s="9"/>
      <c r="P68" s="13">
        <v>0</v>
      </c>
      <c r="Q68" s="13">
        <v>0</v>
      </c>
      <c r="R68" s="13">
        <v>0</v>
      </c>
      <c r="S68" s="13">
        <f>+R68</f>
        <v>0</v>
      </c>
      <c r="T68" s="13">
        <f t="shared" ref="T68:AA68" si="275">+S68</f>
        <v>0</v>
      </c>
      <c r="U68" s="13">
        <f t="shared" si="275"/>
        <v>0</v>
      </c>
      <c r="V68" s="13">
        <f t="shared" si="275"/>
        <v>0</v>
      </c>
      <c r="W68" s="13">
        <f t="shared" si="275"/>
        <v>0</v>
      </c>
      <c r="X68" s="13">
        <f t="shared" si="275"/>
        <v>0</v>
      </c>
      <c r="Y68" s="13">
        <f t="shared" si="275"/>
        <v>0</v>
      </c>
      <c r="Z68" s="13">
        <f t="shared" si="275"/>
        <v>0</v>
      </c>
      <c r="AA68" s="13">
        <f t="shared" si="275"/>
        <v>0</v>
      </c>
      <c r="AB68" s="8"/>
      <c r="AC68" s="4">
        <f>SUM(C68:E68)</f>
        <v>0</v>
      </c>
      <c r="AD68" s="4">
        <f>SUM(F68:H68)</f>
        <v>0</v>
      </c>
      <c r="AE68" s="4">
        <f>SUM(I68:K68)</f>
        <v>0</v>
      </c>
      <c r="AF68" s="4">
        <f>SUM(L68:N68)</f>
        <v>0</v>
      </c>
      <c r="AG68" s="4"/>
      <c r="AH68" s="4">
        <f t="shared" ref="AH68:AH69" si="276">SUM(P68:R68)</f>
        <v>0</v>
      </c>
      <c r="AI68" s="4">
        <f t="shared" ref="AI68:AI69" si="277">SUM(S68:U68)</f>
        <v>0</v>
      </c>
      <c r="AJ68" s="4">
        <f t="shared" ref="AJ68:AJ69" si="278">SUM(V68:X68)</f>
        <v>0</v>
      </c>
      <c r="AK68" s="4">
        <f t="shared" ref="AK68:AK69" si="279">SUM(Y68:AA68)</f>
        <v>0</v>
      </c>
      <c r="AL68" s="4"/>
      <c r="AM68" s="4">
        <f>SUM(C68:N68)</f>
        <v>0</v>
      </c>
      <c r="AN68" s="4">
        <f>SUM(P68:AA68)</f>
        <v>0</v>
      </c>
      <c r="AO68" s="1"/>
      <c r="AP68" s="25">
        <f>ROUND(SUM(AC68:AF68)-AM68,2)</f>
        <v>0</v>
      </c>
      <c r="AQ68" s="25">
        <f>ROUND(SUM(AD68:AG68)-AN68,2)</f>
        <v>0</v>
      </c>
      <c r="AS68" s="3">
        <v>0</v>
      </c>
    </row>
    <row r="69" spans="2:46" x14ac:dyDescent="0.2">
      <c r="B69" s="30" t="s">
        <v>118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13">
        <v>0</v>
      </c>
      <c r="O69" s="9"/>
      <c r="P69" s="13">
        <v>0</v>
      </c>
      <c r="Q69" s="13">
        <v>0</v>
      </c>
      <c r="R69" s="13">
        <f>IFERROR(R67*(Q69/Q67),0)</f>
        <v>0</v>
      </c>
      <c r="S69" s="13">
        <f>+R69</f>
        <v>0</v>
      </c>
      <c r="T69" s="13">
        <f t="shared" ref="T69:AA69" si="280">+S69</f>
        <v>0</v>
      </c>
      <c r="U69" s="13">
        <f t="shared" si="280"/>
        <v>0</v>
      </c>
      <c r="V69" s="13">
        <f t="shared" si="280"/>
        <v>0</v>
      </c>
      <c r="W69" s="13">
        <f t="shared" si="280"/>
        <v>0</v>
      </c>
      <c r="X69" s="13">
        <f t="shared" si="280"/>
        <v>0</v>
      </c>
      <c r="Y69" s="13">
        <f t="shared" si="280"/>
        <v>0</v>
      </c>
      <c r="Z69" s="13">
        <f t="shared" si="280"/>
        <v>0</v>
      </c>
      <c r="AA69" s="13">
        <f t="shared" si="280"/>
        <v>0</v>
      </c>
      <c r="AB69" s="8"/>
      <c r="AC69" s="4">
        <f>SUM(C69:E69)</f>
        <v>0</v>
      </c>
      <c r="AD69" s="4">
        <f>SUM(F69:H69)</f>
        <v>0</v>
      </c>
      <c r="AE69" s="4">
        <f>SUM(I69:K69)</f>
        <v>0</v>
      </c>
      <c r="AF69" s="4">
        <f>SUM(L69:N69)</f>
        <v>0</v>
      </c>
      <c r="AG69" s="4"/>
      <c r="AH69" s="4">
        <f t="shared" si="276"/>
        <v>0</v>
      </c>
      <c r="AI69" s="4">
        <f t="shared" si="277"/>
        <v>0</v>
      </c>
      <c r="AJ69" s="4">
        <f t="shared" si="278"/>
        <v>0</v>
      </c>
      <c r="AK69" s="4">
        <f t="shared" si="279"/>
        <v>0</v>
      </c>
      <c r="AL69" s="4"/>
      <c r="AM69" s="4">
        <f>SUM(C69:N69)</f>
        <v>0</v>
      </c>
      <c r="AN69" s="4">
        <f>SUM(P69:AA69)</f>
        <v>0</v>
      </c>
      <c r="AO69" s="1"/>
      <c r="AP69" s="25">
        <f>ROUND(SUM(AC69:AF69)-AM69,2)</f>
        <v>0</v>
      </c>
      <c r="AQ69" s="25">
        <f>ROUND(SUM(AD69:AG69)-AN69,2)</f>
        <v>0</v>
      </c>
      <c r="AS69" s="3">
        <v>0</v>
      </c>
    </row>
    <row r="70" spans="2:46" x14ac:dyDescent="0.2">
      <c r="B70" s="28" t="s">
        <v>122</v>
      </c>
      <c r="C70" s="29">
        <f>SUM(C67:C69)</f>
        <v>0</v>
      </c>
      <c r="D70" s="29">
        <f t="shared" ref="D70" si="281">SUM(D67:D69)</f>
        <v>0</v>
      </c>
      <c r="E70" s="29">
        <f t="shared" ref="E70" si="282">SUM(E67:E69)</f>
        <v>0</v>
      </c>
      <c r="F70" s="29">
        <f t="shared" ref="F70" si="283">SUM(F67:F69)</f>
        <v>0</v>
      </c>
      <c r="G70" s="29">
        <f t="shared" ref="G70" si="284">SUM(G67:G69)</f>
        <v>0</v>
      </c>
      <c r="H70" s="29">
        <f t="shared" ref="H70" si="285">SUM(H67:H69)</f>
        <v>0</v>
      </c>
      <c r="I70" s="29">
        <f t="shared" ref="I70" si="286">SUM(I67:I69)</f>
        <v>0</v>
      </c>
      <c r="J70" s="29">
        <f t="shared" ref="J70" si="287">SUM(J67:J69)</f>
        <v>0</v>
      </c>
      <c r="K70" s="29">
        <f t="shared" ref="K70" si="288">SUM(K67:K69)</f>
        <v>0</v>
      </c>
      <c r="L70" s="29">
        <f t="shared" ref="L70" si="289">SUM(L67:L69)</f>
        <v>0</v>
      </c>
      <c r="M70" s="29">
        <f t="shared" ref="M70" si="290">SUM(M67:M69)</f>
        <v>0</v>
      </c>
      <c r="N70" s="29">
        <f t="shared" ref="N70:AA70" si="291">SUM(N67:N69)</f>
        <v>0</v>
      </c>
      <c r="O70" s="9"/>
      <c r="P70" s="29">
        <f t="shared" si="291"/>
        <v>0</v>
      </c>
      <c r="Q70" s="29">
        <f t="shared" si="291"/>
        <v>0</v>
      </c>
      <c r="R70" s="29">
        <f t="shared" si="291"/>
        <v>0</v>
      </c>
      <c r="S70" s="29">
        <f t="shared" si="291"/>
        <v>0</v>
      </c>
      <c r="T70" s="29">
        <f t="shared" si="291"/>
        <v>0</v>
      </c>
      <c r="U70" s="29">
        <f t="shared" si="291"/>
        <v>0</v>
      </c>
      <c r="V70" s="29">
        <f t="shared" si="291"/>
        <v>0</v>
      </c>
      <c r="W70" s="29">
        <f t="shared" si="291"/>
        <v>0</v>
      </c>
      <c r="X70" s="29">
        <f t="shared" si="291"/>
        <v>0</v>
      </c>
      <c r="Y70" s="29">
        <f t="shared" si="291"/>
        <v>0</v>
      </c>
      <c r="Z70" s="29">
        <f t="shared" si="291"/>
        <v>0</v>
      </c>
      <c r="AA70" s="29">
        <f t="shared" si="291"/>
        <v>0</v>
      </c>
      <c r="AB70" s="8"/>
      <c r="AC70" s="29">
        <f t="shared" ref="AC70" si="292">SUM(AC67:AC69)</f>
        <v>0</v>
      </c>
      <c r="AD70" s="29">
        <f t="shared" ref="AD70" si="293">SUM(AD67:AD69)</f>
        <v>0</v>
      </c>
      <c r="AE70" s="29">
        <f t="shared" ref="AE70" si="294">SUM(AE67:AE69)</f>
        <v>0</v>
      </c>
      <c r="AF70" s="29">
        <f t="shared" ref="AF70" si="295">SUM(AF67:AF69)</f>
        <v>0</v>
      </c>
      <c r="AG70" s="12"/>
      <c r="AH70" s="29">
        <f t="shared" ref="AH70:AK70" si="296">SUM(AH67:AH69)</f>
        <v>0</v>
      </c>
      <c r="AI70" s="29">
        <f t="shared" si="296"/>
        <v>0</v>
      </c>
      <c r="AJ70" s="29">
        <f t="shared" si="296"/>
        <v>0</v>
      </c>
      <c r="AK70" s="29">
        <f t="shared" si="296"/>
        <v>0</v>
      </c>
      <c r="AL70" s="12"/>
      <c r="AM70" s="29">
        <f>SUM(AM67:AM69)</f>
        <v>0</v>
      </c>
      <c r="AN70" s="29">
        <f>SUM(AN67:AN69)</f>
        <v>0</v>
      </c>
      <c r="AO70" s="1"/>
      <c r="AP70" s="25">
        <f>ROUND(SUM(AC70:AF70)-AM70,2)</f>
        <v>0</v>
      </c>
      <c r="AQ70" s="25">
        <f>ROUND(SUM(AD70:AG70)-AN70,2)</f>
        <v>0</v>
      </c>
      <c r="AS70" s="3">
        <v>0</v>
      </c>
    </row>
    <row r="71" spans="2:46" x14ac:dyDescent="0.2">
      <c r="B71" s="28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8"/>
      <c r="AC71" s="29"/>
      <c r="AD71" s="29"/>
      <c r="AE71" s="29"/>
      <c r="AF71" s="29"/>
      <c r="AG71" s="12"/>
      <c r="AH71" s="12"/>
      <c r="AI71" s="12"/>
      <c r="AJ71" s="12"/>
      <c r="AK71" s="12"/>
      <c r="AL71" s="12"/>
      <c r="AM71" s="29"/>
      <c r="AN71" s="29"/>
      <c r="AO71" s="1"/>
      <c r="AP71" s="25"/>
      <c r="AQ71" s="25"/>
      <c r="AS71" s="3"/>
    </row>
    <row r="72" spans="2:46" x14ac:dyDescent="0.2">
      <c r="B72" s="30" t="s">
        <v>117</v>
      </c>
      <c r="C72" s="99">
        <v>0</v>
      </c>
      <c r="D72" s="99">
        <f>+C72</f>
        <v>0</v>
      </c>
      <c r="E72" s="99">
        <f t="shared" ref="E72" si="297">+D72</f>
        <v>0</v>
      </c>
      <c r="F72" s="99">
        <v>0</v>
      </c>
      <c r="G72" s="99">
        <v>0</v>
      </c>
      <c r="H72" s="99">
        <v>0</v>
      </c>
      <c r="I72" s="99">
        <v>0</v>
      </c>
      <c r="J72" s="99">
        <v>0</v>
      </c>
      <c r="K72" s="99">
        <v>0</v>
      </c>
      <c r="L72" s="99">
        <v>0</v>
      </c>
      <c r="M72" s="99">
        <v>0</v>
      </c>
      <c r="N72" s="13">
        <v>0</v>
      </c>
      <c r="O72" s="9"/>
      <c r="P72" s="13">
        <v>0</v>
      </c>
      <c r="Q72" s="13">
        <v>0</v>
      </c>
      <c r="R72" s="13">
        <f>+Q72+(Q72*$R$2)</f>
        <v>0</v>
      </c>
      <c r="S72" s="13">
        <f>+R72</f>
        <v>0</v>
      </c>
      <c r="T72" s="13">
        <f t="shared" ref="T72:AA72" si="298">+S72</f>
        <v>0</v>
      </c>
      <c r="U72" s="13">
        <f t="shared" si="298"/>
        <v>0</v>
      </c>
      <c r="V72" s="13">
        <f t="shared" si="298"/>
        <v>0</v>
      </c>
      <c r="W72" s="13">
        <f t="shared" si="298"/>
        <v>0</v>
      </c>
      <c r="X72" s="13">
        <f t="shared" si="298"/>
        <v>0</v>
      </c>
      <c r="Y72" s="13">
        <f t="shared" si="298"/>
        <v>0</v>
      </c>
      <c r="Z72" s="13">
        <f t="shared" si="298"/>
        <v>0</v>
      </c>
      <c r="AA72" s="13">
        <f t="shared" si="298"/>
        <v>0</v>
      </c>
      <c r="AB72" s="8"/>
      <c r="AC72" s="4">
        <f>SUM(C72:E72)</f>
        <v>0</v>
      </c>
      <c r="AD72" s="4">
        <f>SUM(F72:H72)</f>
        <v>0</v>
      </c>
      <c r="AE72" s="4">
        <f>SUM(I72:K72)</f>
        <v>0</v>
      </c>
      <c r="AF72" s="4">
        <f>SUM(L72:N72)</f>
        <v>0</v>
      </c>
      <c r="AG72" s="4"/>
      <c r="AH72" s="4">
        <f>SUM(P72:R72)</f>
        <v>0</v>
      </c>
      <c r="AI72" s="4">
        <f>SUM(S72:U72)</f>
        <v>0</v>
      </c>
      <c r="AJ72" s="4">
        <f>SUM(V72:X72)</f>
        <v>0</v>
      </c>
      <c r="AK72" s="4">
        <f>SUM(Y72:AA72)</f>
        <v>0</v>
      </c>
      <c r="AL72" s="4"/>
      <c r="AM72" s="4">
        <f>SUM(C72:N72)</f>
        <v>0</v>
      </c>
      <c r="AN72" s="4">
        <f>SUM(P72:AA72)</f>
        <v>0</v>
      </c>
      <c r="AO72" s="1"/>
      <c r="AP72" s="25">
        <f>ROUND(SUM(AC72:AF72)-AM72,2)</f>
        <v>0</v>
      </c>
      <c r="AQ72" s="25">
        <f>ROUND(SUM(AH72:AK72)-AN72,2)</f>
        <v>0</v>
      </c>
      <c r="AS72" s="3">
        <v>0</v>
      </c>
    </row>
    <row r="73" spans="2:46" x14ac:dyDescent="0.2">
      <c r="B73" s="30" t="s">
        <v>25</v>
      </c>
      <c r="C73" s="99">
        <v>0</v>
      </c>
      <c r="D73" s="99">
        <v>0</v>
      </c>
      <c r="E73" s="99">
        <v>0</v>
      </c>
      <c r="F73" s="99">
        <v>0</v>
      </c>
      <c r="G73" s="99">
        <v>0</v>
      </c>
      <c r="H73" s="99">
        <v>0</v>
      </c>
      <c r="I73" s="99">
        <v>0</v>
      </c>
      <c r="J73" s="99">
        <v>0</v>
      </c>
      <c r="K73" s="99">
        <v>0</v>
      </c>
      <c r="L73" s="99">
        <v>0</v>
      </c>
      <c r="M73" s="99">
        <v>0</v>
      </c>
      <c r="N73" s="13">
        <v>0</v>
      </c>
      <c r="O73" s="9"/>
      <c r="P73" s="13">
        <v>0</v>
      </c>
      <c r="Q73" s="13">
        <v>0</v>
      </c>
      <c r="R73" s="13">
        <v>0</v>
      </c>
      <c r="S73" s="13">
        <f>+R73</f>
        <v>0</v>
      </c>
      <c r="T73" s="13">
        <f t="shared" ref="T73:AA73" si="299">+S73</f>
        <v>0</v>
      </c>
      <c r="U73" s="13">
        <f t="shared" si="299"/>
        <v>0</v>
      </c>
      <c r="V73" s="13">
        <f t="shared" si="299"/>
        <v>0</v>
      </c>
      <c r="W73" s="13">
        <f t="shared" si="299"/>
        <v>0</v>
      </c>
      <c r="X73" s="13">
        <f t="shared" si="299"/>
        <v>0</v>
      </c>
      <c r="Y73" s="13">
        <f t="shared" si="299"/>
        <v>0</v>
      </c>
      <c r="Z73" s="13">
        <f t="shared" si="299"/>
        <v>0</v>
      </c>
      <c r="AA73" s="13">
        <f t="shared" si="299"/>
        <v>0</v>
      </c>
      <c r="AB73" s="8"/>
      <c r="AC73" s="4">
        <f>SUM(C73:E73)</f>
        <v>0</v>
      </c>
      <c r="AD73" s="4">
        <f>SUM(F73:H73)</f>
        <v>0</v>
      </c>
      <c r="AE73" s="4">
        <f>SUM(I73:K73)</f>
        <v>0</v>
      </c>
      <c r="AF73" s="4">
        <f>SUM(L73:N73)</f>
        <v>0</v>
      </c>
      <c r="AG73" s="4"/>
      <c r="AH73" s="4">
        <f t="shared" ref="AH73:AH74" si="300">SUM(P73:R73)</f>
        <v>0</v>
      </c>
      <c r="AI73" s="4">
        <f t="shared" ref="AI73:AI74" si="301">SUM(S73:U73)</f>
        <v>0</v>
      </c>
      <c r="AJ73" s="4">
        <f t="shared" ref="AJ73:AJ74" si="302">SUM(V73:X73)</f>
        <v>0</v>
      </c>
      <c r="AK73" s="4">
        <f t="shared" ref="AK73:AK74" si="303">SUM(Y73:AA73)</f>
        <v>0</v>
      </c>
      <c r="AL73" s="4"/>
      <c r="AM73" s="4">
        <f>SUM(C73:N73)</f>
        <v>0</v>
      </c>
      <c r="AN73" s="4">
        <f>SUM(P73:AA73)</f>
        <v>0</v>
      </c>
      <c r="AO73" s="1"/>
      <c r="AP73" s="25">
        <f>ROUND(SUM(AC73:AF73)-AM73,2)</f>
        <v>0</v>
      </c>
      <c r="AQ73" s="25">
        <f>ROUND(SUM(AD73:AG73)-AN73,2)</f>
        <v>0</v>
      </c>
      <c r="AS73" s="3">
        <v>0</v>
      </c>
    </row>
    <row r="74" spans="2:46" x14ac:dyDescent="0.2">
      <c r="B74" s="30" t="s">
        <v>118</v>
      </c>
      <c r="C74" s="99">
        <v>0</v>
      </c>
      <c r="D74" s="99">
        <v>0</v>
      </c>
      <c r="E74" s="99">
        <v>0</v>
      </c>
      <c r="F74" s="99">
        <v>0</v>
      </c>
      <c r="G74" s="99">
        <v>0</v>
      </c>
      <c r="H74" s="99">
        <v>0</v>
      </c>
      <c r="I74" s="99">
        <v>0</v>
      </c>
      <c r="J74" s="99">
        <v>0</v>
      </c>
      <c r="K74" s="99">
        <v>0</v>
      </c>
      <c r="L74" s="99">
        <v>0</v>
      </c>
      <c r="M74" s="99">
        <v>0</v>
      </c>
      <c r="N74" s="13">
        <v>0</v>
      </c>
      <c r="O74" s="9"/>
      <c r="P74" s="13">
        <v>0</v>
      </c>
      <c r="Q74" s="13">
        <v>0</v>
      </c>
      <c r="R74" s="13">
        <f>IFERROR(R72*(Q74/Q72),0)</f>
        <v>0</v>
      </c>
      <c r="S74" s="13">
        <f>+R74</f>
        <v>0</v>
      </c>
      <c r="T74" s="13">
        <f t="shared" ref="T74:AA74" si="304">+S74</f>
        <v>0</v>
      </c>
      <c r="U74" s="13">
        <f t="shared" si="304"/>
        <v>0</v>
      </c>
      <c r="V74" s="13">
        <f t="shared" si="304"/>
        <v>0</v>
      </c>
      <c r="W74" s="13">
        <f t="shared" si="304"/>
        <v>0</v>
      </c>
      <c r="X74" s="13">
        <f t="shared" si="304"/>
        <v>0</v>
      </c>
      <c r="Y74" s="13">
        <f t="shared" si="304"/>
        <v>0</v>
      </c>
      <c r="Z74" s="13">
        <f t="shared" si="304"/>
        <v>0</v>
      </c>
      <c r="AA74" s="13">
        <f t="shared" si="304"/>
        <v>0</v>
      </c>
      <c r="AB74" s="8"/>
      <c r="AC74" s="4">
        <f>SUM(C74:E74)</f>
        <v>0</v>
      </c>
      <c r="AD74" s="4">
        <f>SUM(F74:H74)</f>
        <v>0</v>
      </c>
      <c r="AE74" s="4">
        <f>SUM(I74:K74)</f>
        <v>0</v>
      </c>
      <c r="AF74" s="4">
        <f>SUM(L74:N74)</f>
        <v>0</v>
      </c>
      <c r="AG74" s="4"/>
      <c r="AH74" s="4">
        <f t="shared" si="300"/>
        <v>0</v>
      </c>
      <c r="AI74" s="4">
        <f t="shared" si="301"/>
        <v>0</v>
      </c>
      <c r="AJ74" s="4">
        <f t="shared" si="302"/>
        <v>0</v>
      </c>
      <c r="AK74" s="4">
        <f t="shared" si="303"/>
        <v>0</v>
      </c>
      <c r="AL74" s="4"/>
      <c r="AM74" s="4">
        <f>SUM(C74:N74)</f>
        <v>0</v>
      </c>
      <c r="AN74" s="4">
        <f>SUM(P74:AA74)</f>
        <v>0</v>
      </c>
      <c r="AO74" s="1"/>
      <c r="AP74" s="25">
        <f>ROUND(SUM(AC74:AF74)-AM74,2)</f>
        <v>0</v>
      </c>
      <c r="AQ74" s="25">
        <f>ROUND(SUM(AD74:AG74)-AN74,2)</f>
        <v>0</v>
      </c>
      <c r="AS74" s="3">
        <v>0</v>
      </c>
    </row>
    <row r="75" spans="2:46" x14ac:dyDescent="0.2">
      <c r="B75" s="28" t="s">
        <v>122</v>
      </c>
      <c r="C75" s="29">
        <f>SUM(C72:C74)</f>
        <v>0</v>
      </c>
      <c r="D75" s="29">
        <f t="shared" ref="D75" si="305">SUM(D72:D74)</f>
        <v>0</v>
      </c>
      <c r="E75" s="29">
        <f t="shared" ref="E75" si="306">SUM(E72:E74)</f>
        <v>0</v>
      </c>
      <c r="F75" s="29">
        <f t="shared" ref="F75" si="307">SUM(F72:F74)</f>
        <v>0</v>
      </c>
      <c r="G75" s="29">
        <f t="shared" ref="G75" si="308">SUM(G72:G74)</f>
        <v>0</v>
      </c>
      <c r="H75" s="29">
        <f t="shared" ref="H75" si="309">SUM(H72:H74)</f>
        <v>0</v>
      </c>
      <c r="I75" s="29">
        <f t="shared" ref="I75" si="310">SUM(I72:I74)</f>
        <v>0</v>
      </c>
      <c r="J75" s="29">
        <f t="shared" ref="J75" si="311">SUM(J72:J74)</f>
        <v>0</v>
      </c>
      <c r="K75" s="29">
        <f t="shared" ref="K75" si="312">SUM(K72:K74)</f>
        <v>0</v>
      </c>
      <c r="L75" s="29">
        <f t="shared" ref="L75" si="313">SUM(L72:L74)</f>
        <v>0</v>
      </c>
      <c r="M75" s="29">
        <f t="shared" ref="M75" si="314">SUM(M72:M74)</f>
        <v>0</v>
      </c>
      <c r="N75" s="29">
        <f t="shared" ref="N75:AA75" si="315">SUM(N72:N74)</f>
        <v>0</v>
      </c>
      <c r="O75" s="9"/>
      <c r="P75" s="29">
        <f t="shared" si="315"/>
        <v>0</v>
      </c>
      <c r="Q75" s="29">
        <f t="shared" si="315"/>
        <v>0</v>
      </c>
      <c r="R75" s="29">
        <f t="shared" si="315"/>
        <v>0</v>
      </c>
      <c r="S75" s="29">
        <f t="shared" si="315"/>
        <v>0</v>
      </c>
      <c r="T75" s="29">
        <f t="shared" si="315"/>
        <v>0</v>
      </c>
      <c r="U75" s="29">
        <f t="shared" si="315"/>
        <v>0</v>
      </c>
      <c r="V75" s="29">
        <f t="shared" si="315"/>
        <v>0</v>
      </c>
      <c r="W75" s="29">
        <f t="shared" si="315"/>
        <v>0</v>
      </c>
      <c r="X75" s="29">
        <f t="shared" si="315"/>
        <v>0</v>
      </c>
      <c r="Y75" s="29">
        <f t="shared" si="315"/>
        <v>0</v>
      </c>
      <c r="Z75" s="29">
        <f t="shared" si="315"/>
        <v>0</v>
      </c>
      <c r="AA75" s="29">
        <f t="shared" si="315"/>
        <v>0</v>
      </c>
      <c r="AB75" s="8"/>
      <c r="AC75" s="29">
        <f t="shared" ref="AC75" si="316">SUM(AC72:AC74)</f>
        <v>0</v>
      </c>
      <c r="AD75" s="29">
        <f t="shared" ref="AD75" si="317">SUM(AD72:AD74)</f>
        <v>0</v>
      </c>
      <c r="AE75" s="29">
        <f t="shared" ref="AE75" si="318">SUM(AE72:AE74)</f>
        <v>0</v>
      </c>
      <c r="AF75" s="29">
        <f t="shared" ref="AF75" si="319">SUM(AF72:AF74)</f>
        <v>0</v>
      </c>
      <c r="AG75" s="12"/>
      <c r="AH75" s="29">
        <f t="shared" ref="AH75:AK75" si="320">SUM(AH72:AH74)</f>
        <v>0</v>
      </c>
      <c r="AI75" s="29">
        <f t="shared" si="320"/>
        <v>0</v>
      </c>
      <c r="AJ75" s="29">
        <f t="shared" si="320"/>
        <v>0</v>
      </c>
      <c r="AK75" s="29">
        <f t="shared" si="320"/>
        <v>0</v>
      </c>
      <c r="AL75" s="12"/>
      <c r="AM75" s="29">
        <f>SUM(AM72:AM74)</f>
        <v>0</v>
      </c>
      <c r="AN75" s="29">
        <f>SUM(AN72:AN74)</f>
        <v>0</v>
      </c>
      <c r="AO75" s="1"/>
      <c r="AP75" s="25">
        <f>ROUND(SUM(AC75:AF75)-AM75,2)</f>
        <v>0</v>
      </c>
      <c r="AQ75" s="25">
        <f>ROUND(SUM(AD75:AG75)-AN75,2)</f>
        <v>0</v>
      </c>
      <c r="AS75" s="3">
        <v>0</v>
      </c>
    </row>
    <row r="76" spans="2:46" x14ac:dyDescent="0.2">
      <c r="B76" s="28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8"/>
      <c r="AC76" s="29"/>
      <c r="AD76" s="29"/>
      <c r="AE76" s="29"/>
      <c r="AF76" s="29"/>
      <c r="AG76" s="12"/>
      <c r="AH76" s="12"/>
      <c r="AI76" s="12"/>
      <c r="AJ76" s="12"/>
      <c r="AK76" s="12"/>
      <c r="AL76" s="12"/>
      <c r="AM76" s="29"/>
      <c r="AN76" s="29"/>
      <c r="AO76" s="1"/>
      <c r="AP76" s="25"/>
      <c r="AQ76" s="25"/>
      <c r="AS76" s="3"/>
    </row>
    <row r="77" spans="2:46" x14ac:dyDescent="0.2">
      <c r="B77" s="30" t="s">
        <v>117</v>
      </c>
      <c r="C77" s="4">
        <f>+C7+C12+C17+C22+C27+C32+C37+C42+C47+C52+C57+C62+C67+C72</f>
        <v>83149.72</v>
      </c>
      <c r="D77" s="4">
        <f t="shared" ref="D77:N77" si="321">+D7+D12+D17+D22+D27+D32+D37+D42+D47+D52+D57+D62+D67+D72</f>
        <v>83586.080000000002</v>
      </c>
      <c r="E77" s="4">
        <f>+E7+E12+E17+E22+E27+E32+E37+E42+E47+E52+E57+E62+E67+E72</f>
        <v>71475</v>
      </c>
      <c r="F77" s="4">
        <f t="shared" si="321"/>
        <v>65014.850000000006</v>
      </c>
      <c r="G77" s="4">
        <f t="shared" si="321"/>
        <v>65077.84</v>
      </c>
      <c r="H77" s="4">
        <f t="shared" si="321"/>
        <v>65077.759999999995</v>
      </c>
      <c r="I77" s="4">
        <f t="shared" si="321"/>
        <v>64348.799999999996</v>
      </c>
      <c r="J77" s="4">
        <f t="shared" si="321"/>
        <v>65175.979999999996</v>
      </c>
      <c r="K77" s="4">
        <f t="shared" si="321"/>
        <v>65812.990000000005</v>
      </c>
      <c r="L77" s="4">
        <f t="shared" si="321"/>
        <v>66840.58</v>
      </c>
      <c r="M77" s="4">
        <f t="shared" si="321"/>
        <v>68469.040000000008</v>
      </c>
      <c r="N77" s="4">
        <f t="shared" si="321"/>
        <v>65300</v>
      </c>
      <c r="O77" s="9"/>
      <c r="P77" s="4">
        <f t="shared" ref="P77:Z77" si="322">+P7+P12+P17+P22+P27+P32+P37+P42+P47+P52+P57+P62+P67+P72</f>
        <v>65300</v>
      </c>
      <c r="Q77" s="4">
        <f t="shared" si="322"/>
        <v>65300</v>
      </c>
      <c r="R77" s="4">
        <f t="shared" si="322"/>
        <v>67259</v>
      </c>
      <c r="S77" s="4">
        <f t="shared" si="322"/>
        <v>67259</v>
      </c>
      <c r="T77" s="4">
        <f t="shared" si="322"/>
        <v>67259</v>
      </c>
      <c r="U77" s="4">
        <f t="shared" si="322"/>
        <v>67259</v>
      </c>
      <c r="V77" s="4">
        <f t="shared" si="322"/>
        <v>67259</v>
      </c>
      <c r="W77" s="4">
        <f t="shared" si="322"/>
        <v>67259</v>
      </c>
      <c r="X77" s="4">
        <f t="shared" si="322"/>
        <v>67259</v>
      </c>
      <c r="Y77" s="4">
        <f t="shared" si="322"/>
        <v>67259</v>
      </c>
      <c r="Z77" s="4">
        <f t="shared" si="322"/>
        <v>67259</v>
      </c>
      <c r="AA77" s="4">
        <f>+AA7+AA12+AA17+AA22+AA27+AA32+AA37+AA42+AA47+AA52+AA57+AA62+AA67+AA72</f>
        <v>67259</v>
      </c>
      <c r="AB77" s="8"/>
      <c r="AC77" s="4">
        <f>+AC7+AC12+AC17+AC22+AC27+AC32+AC37+AC42+AC47+AC52+AC57+AC62+AC67+AC72</f>
        <v>238210.8</v>
      </c>
      <c r="AD77" s="4">
        <f>+AD7+AD12+AD17+AD22+AD27+AD32+AD37+AD42+AD47+AD52+AD57+AD62+AD67+AD72</f>
        <v>195170.45</v>
      </c>
      <c r="AE77" s="4">
        <f>+AE7+AE12+AE17+AE22+AE27+AE32+AE37+AE42+AE47+AE52+AE57+AE62+AE67+AE72</f>
        <v>195337.77</v>
      </c>
      <c r="AF77" s="4">
        <f>+AF7+AF12+AF17+AF22+AF27+AF32+AF37+AF42+AF47+AF52+AF57+AF62+AF67+AF72</f>
        <v>200609.62</v>
      </c>
      <c r="AG77" s="4"/>
      <c r="AH77" s="4">
        <f>+AH7+AH12+AH17+AH22+AH27+AH32+AH37+AH42+AH47+AH52+AH57+AH62+AH67+AH72</f>
        <v>197859</v>
      </c>
      <c r="AI77" s="4">
        <f>+AI7+AI12+AI17+AI22+AI27+AI32+AI37+AI42+AI47+AI52+AI57+AI62+AI67+AI72</f>
        <v>201777</v>
      </c>
      <c r="AJ77" s="4">
        <f>+AJ7+AJ12+AJ17+AJ22+AJ27+AJ32+AJ37+AJ42+AJ47+AJ52+AJ57+AJ62+AJ67+AJ72</f>
        <v>201777</v>
      </c>
      <c r="AK77" s="4">
        <f>+AK7+AK12+AK17+AK22+AK27+AK32+AK37+AK42+AK47+AK52+AK57+AK62+AK67+AK72</f>
        <v>201777</v>
      </c>
      <c r="AL77" s="4"/>
      <c r="AM77" s="4">
        <f>+AM7+AM12+AM17+AM22+AM27+AM32+AM37+AM42+AM47+AM52+AM57+AM62+AM67+AM72</f>
        <v>829328.64</v>
      </c>
      <c r="AN77" s="4">
        <f>+AN7+AN12+AN17+AN22+AN27+AN32+AN37+AN42+AN47+AN52+AN57+AN62+AN67+AN72</f>
        <v>803190</v>
      </c>
      <c r="AO77" s="1"/>
      <c r="AP77" s="25">
        <f>ROUND(SUM(AC77:AF77)-AM77,2)</f>
        <v>0</v>
      </c>
      <c r="AQ77" s="25">
        <f>ROUND(SUM(AH77:AK77)-AN77,2)</f>
        <v>0</v>
      </c>
      <c r="AS77" s="3">
        <v>196860</v>
      </c>
      <c r="AT77" s="27">
        <f t="shared" ref="AT77:AT80" si="323">+AD77-AS77</f>
        <v>-1689.5499999999884</v>
      </c>
    </row>
    <row r="78" spans="2:46" x14ac:dyDescent="0.2">
      <c r="B78" s="30" t="s">
        <v>25</v>
      </c>
      <c r="C78" s="4">
        <f t="shared" ref="C78:N78" si="324">+C8+C13+C18+C23+C28+C33+C38+C43+C48+C53+C58+C63+C68+C73</f>
        <v>0</v>
      </c>
      <c r="D78" s="4">
        <f t="shared" si="324"/>
        <v>67664.17</v>
      </c>
      <c r="E78" s="4">
        <f>+E8+E13+E18+E23+E28+E33+E38+E43+E48+E53+E58+E63+E68+E73</f>
        <v>0</v>
      </c>
      <c r="F78" s="4">
        <f t="shared" si="324"/>
        <v>0</v>
      </c>
      <c r="G78" s="4">
        <f t="shared" si="324"/>
        <v>0</v>
      </c>
      <c r="H78" s="4">
        <f t="shared" si="324"/>
        <v>0</v>
      </c>
      <c r="I78" s="4">
        <f t="shared" si="324"/>
        <v>0</v>
      </c>
      <c r="J78" s="4">
        <f t="shared" si="324"/>
        <v>0</v>
      </c>
      <c r="K78" s="4">
        <f t="shared" si="324"/>
        <v>0</v>
      </c>
      <c r="L78" s="4">
        <f t="shared" si="324"/>
        <v>0</v>
      </c>
      <c r="M78" s="4">
        <f t="shared" si="324"/>
        <v>0</v>
      </c>
      <c r="N78" s="4">
        <f t="shared" si="324"/>
        <v>0</v>
      </c>
      <c r="O78" s="9"/>
      <c r="P78" s="4">
        <f t="shared" ref="P78:AA78" si="325">+P8+P13+P18+P23+P28+P33+P38+P43+P48+P53+P58+P63+P68+P73</f>
        <v>0</v>
      </c>
      <c r="Q78" s="4">
        <f t="shared" si="325"/>
        <v>174853.04911200001</v>
      </c>
      <c r="R78" s="4">
        <f t="shared" si="325"/>
        <v>0</v>
      </c>
      <c r="S78" s="4">
        <f t="shared" si="325"/>
        <v>0</v>
      </c>
      <c r="T78" s="4">
        <f t="shared" si="325"/>
        <v>0</v>
      </c>
      <c r="U78" s="4">
        <f t="shared" si="325"/>
        <v>0</v>
      </c>
      <c r="V78" s="4">
        <f t="shared" si="325"/>
        <v>0</v>
      </c>
      <c r="W78" s="4">
        <f t="shared" si="325"/>
        <v>0</v>
      </c>
      <c r="X78" s="4">
        <f t="shared" si="325"/>
        <v>0</v>
      </c>
      <c r="Y78" s="4">
        <f t="shared" si="325"/>
        <v>0</v>
      </c>
      <c r="Z78" s="4">
        <f t="shared" si="325"/>
        <v>0</v>
      </c>
      <c r="AA78" s="4">
        <f t="shared" si="325"/>
        <v>0</v>
      </c>
      <c r="AB78" s="8"/>
      <c r="AC78" s="4">
        <f t="shared" ref="AC78:AF78" si="326">+AC8+AC13+AC18+AC23+AC28+AC33+AC38+AC43+AC48+AC53+AC58+AC63+AC68+AC73</f>
        <v>67664.17</v>
      </c>
      <c r="AD78" s="4">
        <f t="shared" si="326"/>
        <v>0</v>
      </c>
      <c r="AE78" s="4">
        <f t="shared" si="326"/>
        <v>0</v>
      </c>
      <c r="AF78" s="4">
        <f t="shared" si="326"/>
        <v>0</v>
      </c>
      <c r="AG78" s="4"/>
      <c r="AH78" s="4">
        <f t="shared" ref="AH78:AK78" si="327">+AH8+AH13+AH18+AH23+AH28+AH33+AH38+AH43+AH48+AH53+AH58+AH63+AH68+AH73</f>
        <v>174853.04911200001</v>
      </c>
      <c r="AI78" s="4">
        <f t="shared" si="327"/>
        <v>0</v>
      </c>
      <c r="AJ78" s="4">
        <f t="shared" si="327"/>
        <v>0</v>
      </c>
      <c r="AK78" s="4">
        <f t="shared" si="327"/>
        <v>0</v>
      </c>
      <c r="AL78" s="4"/>
      <c r="AM78" s="4">
        <f t="shared" ref="AM78:AN78" si="328">+AM8+AM13+AM18+AM23+AM28+AM33+AM38+AM43+AM48+AM53+AM58+AM63+AM68+AM73</f>
        <v>67664.17</v>
      </c>
      <c r="AN78" s="4">
        <f t="shared" si="328"/>
        <v>174853.04911200001</v>
      </c>
      <c r="AO78" s="1"/>
      <c r="AP78" s="25">
        <f>ROUND(SUM(AC78:AF78)-AM78,2)</f>
        <v>0</v>
      </c>
      <c r="AQ78" s="25">
        <f t="shared" ref="AQ78:AQ79" si="329">ROUND(SUM(AH78:AK78)-AN78,2)</f>
        <v>0</v>
      </c>
      <c r="AS78" s="3">
        <v>0</v>
      </c>
      <c r="AT78" s="27">
        <f t="shared" si="323"/>
        <v>0</v>
      </c>
    </row>
    <row r="79" spans="2:46" x14ac:dyDescent="0.2">
      <c r="B79" s="30" t="s">
        <v>118</v>
      </c>
      <c r="C79" s="4">
        <f t="shared" ref="C79:N79" si="330">+C9+C14+C19+C24+C29+C34+C39+C44+C49+C54+C59+C64+C69+C74</f>
        <v>49043.939999999995</v>
      </c>
      <c r="D79" s="4">
        <f t="shared" si="330"/>
        <v>99968.189999999988</v>
      </c>
      <c r="E79" s="4">
        <f>+E9+E14+E19+E24+E29+E34+E39+E44+E49+E54+E59+E64+E69+E74</f>
        <v>43128.520000000004</v>
      </c>
      <c r="F79" s="4">
        <f t="shared" si="330"/>
        <v>39887.25</v>
      </c>
      <c r="G79" s="4">
        <f t="shared" si="330"/>
        <v>39824.26</v>
      </c>
      <c r="H79" s="4">
        <f t="shared" si="330"/>
        <v>39824.35</v>
      </c>
      <c r="I79" s="4">
        <f t="shared" si="330"/>
        <v>39512.86</v>
      </c>
      <c r="J79" s="4">
        <f t="shared" si="330"/>
        <v>37860.28</v>
      </c>
      <c r="K79" s="4">
        <f t="shared" si="330"/>
        <v>36578.83</v>
      </c>
      <c r="L79" s="4">
        <f t="shared" si="330"/>
        <v>34443.699999999997</v>
      </c>
      <c r="M79" s="4">
        <f t="shared" si="330"/>
        <v>30846.399999999998</v>
      </c>
      <c r="N79" s="4">
        <f t="shared" si="330"/>
        <v>37760</v>
      </c>
      <c r="O79" s="9"/>
      <c r="P79" s="4">
        <f t="shared" ref="P79:AA79" si="331">+P9+P14+P19+P24+P29+P34+P39+P44+P49+P54+P59+P64+P69+P74</f>
        <v>37760</v>
      </c>
      <c r="Q79" s="4">
        <f t="shared" si="331"/>
        <v>37760</v>
      </c>
      <c r="R79" s="4">
        <f t="shared" si="331"/>
        <v>38892.800000000003</v>
      </c>
      <c r="S79" s="4">
        <f t="shared" si="331"/>
        <v>38892.800000000003</v>
      </c>
      <c r="T79" s="4">
        <f t="shared" si="331"/>
        <v>38892.800000000003</v>
      </c>
      <c r="U79" s="4">
        <f t="shared" si="331"/>
        <v>38892.800000000003</v>
      </c>
      <c r="V79" s="4">
        <f t="shared" si="331"/>
        <v>38892.800000000003</v>
      </c>
      <c r="W79" s="4">
        <f t="shared" si="331"/>
        <v>38892.800000000003</v>
      </c>
      <c r="X79" s="4">
        <f t="shared" si="331"/>
        <v>38892.800000000003</v>
      </c>
      <c r="Y79" s="4">
        <f t="shared" si="331"/>
        <v>38892.800000000003</v>
      </c>
      <c r="Z79" s="4">
        <f t="shared" si="331"/>
        <v>38892.800000000003</v>
      </c>
      <c r="AA79" s="4">
        <f t="shared" si="331"/>
        <v>38892.800000000003</v>
      </c>
      <c r="AB79" s="8"/>
      <c r="AC79" s="4">
        <f t="shared" ref="AC79:AF79" si="332">+AC9+AC14+AC19+AC24+AC29+AC34+AC39+AC44+AC49+AC54+AC59+AC64+AC69+AC74</f>
        <v>192140.65</v>
      </c>
      <c r="AD79" s="4">
        <f t="shared" si="332"/>
        <v>119535.85999999999</v>
      </c>
      <c r="AE79" s="4">
        <f t="shared" si="332"/>
        <v>113951.96999999999</v>
      </c>
      <c r="AF79" s="4">
        <f t="shared" si="332"/>
        <v>103050.09999999999</v>
      </c>
      <c r="AG79" s="4"/>
      <c r="AH79" s="4">
        <f t="shared" ref="AH79:AK79" si="333">+AH9+AH14+AH19+AH24+AH29+AH34+AH39+AH44+AH49+AH54+AH59+AH64+AH69+AH74</f>
        <v>114412.8</v>
      </c>
      <c r="AI79" s="4">
        <f t="shared" si="333"/>
        <v>116678.39999999999</v>
      </c>
      <c r="AJ79" s="4">
        <f t="shared" si="333"/>
        <v>116678.39999999999</v>
      </c>
      <c r="AK79" s="4">
        <f t="shared" si="333"/>
        <v>116678.39999999999</v>
      </c>
      <c r="AL79" s="4"/>
      <c r="AM79" s="4">
        <f t="shared" ref="AM79:AN79" si="334">+AM9+AM14+AM19+AM24+AM29+AM34+AM39+AM44+AM49+AM54+AM59+AM64+AM69+AM74</f>
        <v>528678.57999999996</v>
      </c>
      <c r="AN79" s="4">
        <f t="shared" si="334"/>
        <v>464448</v>
      </c>
      <c r="AO79" s="1"/>
      <c r="AP79" s="25">
        <f>ROUND(SUM(AC79:AF79)-AM79,2)</f>
        <v>0</v>
      </c>
      <c r="AQ79" s="25">
        <f t="shared" si="329"/>
        <v>0</v>
      </c>
      <c r="AS79" s="3">
        <v>117900</v>
      </c>
      <c r="AT79" s="27">
        <f t="shared" si="323"/>
        <v>1635.859999999986</v>
      </c>
    </row>
    <row r="80" spans="2:46" x14ac:dyDescent="0.2">
      <c r="B80" s="28" t="s">
        <v>121</v>
      </c>
      <c r="C80" s="32">
        <f>+C10+C15+C20+C25+C30+C35+C40+C45+C50+C55+C60+C65+C70+C75</f>
        <v>132193.66</v>
      </c>
      <c r="D80" s="32">
        <f t="shared" ref="D80:N80" si="335">+D10+D15+D20+D25+D30+D35+D40+D45+D50+D55+D60+D65+D70+D75</f>
        <v>251218.44</v>
      </c>
      <c r="E80" s="32">
        <f t="shared" si="335"/>
        <v>114603.52000000002</v>
      </c>
      <c r="F80" s="32">
        <f t="shared" si="335"/>
        <v>104902.1</v>
      </c>
      <c r="G80" s="32">
        <f t="shared" si="335"/>
        <v>104902.1</v>
      </c>
      <c r="H80" s="32">
        <f t="shared" si="335"/>
        <v>104902.11000000002</v>
      </c>
      <c r="I80" s="32">
        <f t="shared" si="335"/>
        <v>103861.66</v>
      </c>
      <c r="J80" s="32">
        <f t="shared" si="335"/>
        <v>103036.26000000001</v>
      </c>
      <c r="K80" s="32">
        <f t="shared" si="335"/>
        <v>102391.82</v>
      </c>
      <c r="L80" s="32">
        <f t="shared" si="335"/>
        <v>101284.28</v>
      </c>
      <c r="M80" s="32">
        <f t="shared" si="335"/>
        <v>99315.44</v>
      </c>
      <c r="N80" s="32">
        <f t="shared" si="335"/>
        <v>103060</v>
      </c>
      <c r="O80" s="9"/>
      <c r="P80" s="32">
        <f t="shared" ref="P80:AA80" si="336">+P10+P15+P20+P25+P30+P35+P40+P45+P50+P55+P60+P65+P70+P75</f>
        <v>103060</v>
      </c>
      <c r="Q80" s="32">
        <f t="shared" si="336"/>
        <v>277913.04911199998</v>
      </c>
      <c r="R80" s="32">
        <f t="shared" si="336"/>
        <v>106151.8</v>
      </c>
      <c r="S80" s="32">
        <f t="shared" si="336"/>
        <v>106151.8</v>
      </c>
      <c r="T80" s="32">
        <f t="shared" si="336"/>
        <v>106151.8</v>
      </c>
      <c r="U80" s="32">
        <f t="shared" si="336"/>
        <v>106151.8</v>
      </c>
      <c r="V80" s="32">
        <f t="shared" si="336"/>
        <v>106151.8</v>
      </c>
      <c r="W80" s="32">
        <f t="shared" si="336"/>
        <v>106151.8</v>
      </c>
      <c r="X80" s="32">
        <f t="shared" si="336"/>
        <v>106151.8</v>
      </c>
      <c r="Y80" s="32">
        <f t="shared" si="336"/>
        <v>106151.8</v>
      </c>
      <c r="Z80" s="32">
        <f t="shared" si="336"/>
        <v>106151.8</v>
      </c>
      <c r="AA80" s="32">
        <f t="shared" si="336"/>
        <v>106151.8</v>
      </c>
      <c r="AB80" s="33"/>
      <c r="AC80" s="32">
        <f t="shared" ref="AC80:AF80" si="337">+AC10+AC15+AC20+AC25+AC30+AC35+AC40+AC45+AC50+AC55+AC60+AC65+AC70+AC75</f>
        <v>498015.62</v>
      </c>
      <c r="AD80" s="32">
        <f t="shared" si="337"/>
        <v>314706.31</v>
      </c>
      <c r="AE80" s="32">
        <f t="shared" si="337"/>
        <v>309289.74</v>
      </c>
      <c r="AF80" s="32">
        <f t="shared" si="337"/>
        <v>303659.71999999997</v>
      </c>
      <c r="AG80" s="33"/>
      <c r="AH80" s="32">
        <f t="shared" ref="AH80:AK80" si="338">+AH10+AH15+AH20+AH25+AH30+AH35+AH40+AH45+AH50+AH55+AH60+AH65+AH70+AH75</f>
        <v>487124.84911200003</v>
      </c>
      <c r="AI80" s="32">
        <f t="shared" si="338"/>
        <v>318455.40000000002</v>
      </c>
      <c r="AJ80" s="32">
        <f t="shared" si="338"/>
        <v>318455.40000000002</v>
      </c>
      <c r="AK80" s="32">
        <f t="shared" si="338"/>
        <v>318455.40000000002</v>
      </c>
      <c r="AL80" s="33"/>
      <c r="AM80" s="32">
        <f t="shared" ref="AM80:AN80" si="339">+AM10+AM15+AM20+AM25+AM30+AM35+AM40+AM45+AM50+AM55+AM60+AM65+AM70+AM75</f>
        <v>1425671.3900000001</v>
      </c>
      <c r="AN80" s="32">
        <f t="shared" si="339"/>
        <v>1442491.049112</v>
      </c>
      <c r="AP80" s="25">
        <f>ROUND(SUM(AC80:AF80)-AM80,2)</f>
        <v>0</v>
      </c>
      <c r="AQ80" s="25">
        <f>ROUND(SUM(AH80:AK80)-AN80,2)</f>
        <v>0</v>
      </c>
      <c r="AS80" s="3">
        <v>314760</v>
      </c>
      <c r="AT80" s="27">
        <f t="shared" si="323"/>
        <v>-53.690000000002328</v>
      </c>
    </row>
    <row r="81" spans="2:45" x14ac:dyDescent="0.2">
      <c r="B81" s="28"/>
      <c r="C81" s="41" t="str">
        <f t="shared" ref="C81:D81" si="340">IF(ROUND(C80-SUM(C77:C79),2)=0,"ok","check")</f>
        <v>ok</v>
      </c>
      <c r="D81" s="41" t="str">
        <f t="shared" si="340"/>
        <v>ok</v>
      </c>
      <c r="E81" s="41" t="str">
        <f>IF(ROUND(E80-SUM(E77:E79),2)=0,"ok","check")</f>
        <v>ok</v>
      </c>
      <c r="F81" s="41" t="str">
        <f t="shared" ref="F81:N81" si="341">IF(ROUND(F80-SUM(F77:F79),2)=0,"ok","check")</f>
        <v>ok</v>
      </c>
      <c r="G81" s="41" t="str">
        <f t="shared" si="341"/>
        <v>ok</v>
      </c>
      <c r="H81" s="41" t="str">
        <f t="shared" si="341"/>
        <v>ok</v>
      </c>
      <c r="I81" s="41" t="str">
        <f t="shared" si="341"/>
        <v>ok</v>
      </c>
      <c r="J81" s="41" t="str">
        <f t="shared" si="341"/>
        <v>ok</v>
      </c>
      <c r="K81" s="41" t="str">
        <f t="shared" si="341"/>
        <v>ok</v>
      </c>
      <c r="L81" s="41" t="str">
        <f t="shared" si="341"/>
        <v>ok</v>
      </c>
      <c r="M81" s="41" t="str">
        <f t="shared" si="341"/>
        <v>ok</v>
      </c>
      <c r="N81" s="41" t="str">
        <f t="shared" si="341"/>
        <v>ok</v>
      </c>
      <c r="O81" s="9"/>
      <c r="P81" s="41" t="str">
        <f t="shared" ref="P81:AA81" si="342">IF(ROUND(P80-SUM(P77:P79),2)=0,"ok","check")</f>
        <v>ok</v>
      </c>
      <c r="Q81" s="41" t="str">
        <f t="shared" si="342"/>
        <v>ok</v>
      </c>
      <c r="R81" s="41" t="str">
        <f t="shared" si="342"/>
        <v>ok</v>
      </c>
      <c r="S81" s="41" t="str">
        <f t="shared" si="342"/>
        <v>ok</v>
      </c>
      <c r="T81" s="41" t="str">
        <f t="shared" si="342"/>
        <v>ok</v>
      </c>
      <c r="U81" s="41" t="str">
        <f t="shared" si="342"/>
        <v>ok</v>
      </c>
      <c r="V81" s="41" t="str">
        <f t="shared" si="342"/>
        <v>ok</v>
      </c>
      <c r="W81" s="41" t="str">
        <f t="shared" si="342"/>
        <v>ok</v>
      </c>
      <c r="X81" s="41" t="str">
        <f t="shared" si="342"/>
        <v>ok</v>
      </c>
      <c r="Y81" s="41" t="str">
        <f t="shared" si="342"/>
        <v>ok</v>
      </c>
      <c r="Z81" s="41" t="str">
        <f t="shared" si="342"/>
        <v>ok</v>
      </c>
      <c r="AA81" s="41" t="str">
        <f t="shared" si="342"/>
        <v>ok</v>
      </c>
      <c r="AB81" s="8"/>
      <c r="AC81" s="29"/>
      <c r="AD81" s="29"/>
      <c r="AE81" s="29"/>
      <c r="AF81" s="29"/>
      <c r="AG81" s="12"/>
      <c r="AH81" s="12"/>
      <c r="AI81" s="12"/>
      <c r="AJ81" s="12"/>
      <c r="AK81" s="12"/>
      <c r="AL81" s="12"/>
      <c r="AM81" s="12"/>
      <c r="AN81" s="29"/>
      <c r="AO81" s="1"/>
      <c r="AP81" s="25"/>
      <c r="AQ81" s="25"/>
      <c r="AS81" s="3"/>
    </row>
    <row r="82" spans="2:45" x14ac:dyDescent="0.2">
      <c r="B82" s="28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8"/>
      <c r="AC82" s="29"/>
      <c r="AD82" s="29"/>
      <c r="AE82" s="29"/>
      <c r="AF82" s="29"/>
      <c r="AG82" s="12"/>
      <c r="AH82" s="12"/>
      <c r="AI82" s="12"/>
      <c r="AJ82" s="12"/>
      <c r="AK82" s="12"/>
      <c r="AL82" s="12"/>
      <c r="AM82" s="12"/>
      <c r="AN82" s="29"/>
      <c r="AO82" s="1"/>
      <c r="AP82" s="25"/>
      <c r="AQ82" s="25"/>
      <c r="AS82" s="3"/>
    </row>
    <row r="83" spans="2:45" x14ac:dyDescent="0.2">
      <c r="B83" s="176" t="s">
        <v>123</v>
      </c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  <c r="AM83" s="177"/>
      <c r="AN83" s="178"/>
      <c r="AO83" s="1"/>
      <c r="AP83" s="25"/>
      <c r="AQ83" s="25"/>
      <c r="AS83" s="3"/>
    </row>
    <row r="84" spans="2:45" x14ac:dyDescent="0.2">
      <c r="B84" s="28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8"/>
      <c r="AC84" s="29"/>
      <c r="AD84" s="29"/>
      <c r="AE84" s="29"/>
      <c r="AF84" s="29"/>
      <c r="AG84" s="12"/>
      <c r="AH84" s="12"/>
      <c r="AI84" s="12"/>
      <c r="AJ84" s="12"/>
      <c r="AK84" s="12"/>
      <c r="AL84" s="12"/>
      <c r="AM84" s="12"/>
      <c r="AN84" s="29"/>
      <c r="AO84" s="1"/>
      <c r="AP84" s="25"/>
      <c r="AQ84" s="25"/>
      <c r="AS84" s="3"/>
    </row>
    <row r="85" spans="2:45" x14ac:dyDescent="0.2">
      <c r="B85" s="30" t="s">
        <v>117</v>
      </c>
      <c r="C85" s="99">
        <v>4073.52</v>
      </c>
      <c r="D85" s="99">
        <v>4072.4</v>
      </c>
      <c r="E85" s="99">
        <v>4073.52</v>
      </c>
      <c r="F85" s="99">
        <v>4073.52</v>
      </c>
      <c r="G85" s="99">
        <v>4073.52</v>
      </c>
      <c r="H85" s="99">
        <v>4073.52</v>
      </c>
      <c r="I85" s="99">
        <v>4073.52</v>
      </c>
      <c r="J85" s="99">
        <v>4073.52</v>
      </c>
      <c r="K85" s="99">
        <v>4073.52</v>
      </c>
      <c r="L85" s="99">
        <v>4073.52</v>
      </c>
      <c r="M85" s="99">
        <v>4073.52</v>
      </c>
      <c r="N85" s="13">
        <v>4100</v>
      </c>
      <c r="O85" s="29"/>
      <c r="P85" s="13">
        <v>4100</v>
      </c>
      <c r="Q85" s="13">
        <v>4100</v>
      </c>
      <c r="R85" s="13">
        <f>+Q85+(Q85*$R$2)</f>
        <v>4223</v>
      </c>
      <c r="S85" s="13">
        <f>+R85</f>
        <v>4223</v>
      </c>
      <c r="T85" s="13">
        <f t="shared" ref="T85:AA85" si="343">+S85</f>
        <v>4223</v>
      </c>
      <c r="U85" s="13">
        <f t="shared" si="343"/>
        <v>4223</v>
      </c>
      <c r="V85" s="13">
        <f t="shared" si="343"/>
        <v>4223</v>
      </c>
      <c r="W85" s="13">
        <f t="shared" si="343"/>
        <v>4223</v>
      </c>
      <c r="X85" s="13">
        <f t="shared" si="343"/>
        <v>4223</v>
      </c>
      <c r="Y85" s="13">
        <f t="shared" si="343"/>
        <v>4223</v>
      </c>
      <c r="Z85" s="13">
        <f t="shared" si="343"/>
        <v>4223</v>
      </c>
      <c r="AA85" s="13">
        <f t="shared" si="343"/>
        <v>4223</v>
      </c>
      <c r="AB85" s="8"/>
      <c r="AC85" s="4">
        <f>SUM(C85:E85)</f>
        <v>12219.44</v>
      </c>
      <c r="AD85" s="4">
        <f>SUM(F85:H85)</f>
        <v>12220.56</v>
      </c>
      <c r="AE85" s="4">
        <f>SUM(I85:K85)</f>
        <v>12220.56</v>
      </c>
      <c r="AF85" s="4">
        <f>SUM(L85:N85)</f>
        <v>12247.04</v>
      </c>
      <c r="AG85" s="4"/>
      <c r="AH85" s="4">
        <f>SUM(P85:R85)</f>
        <v>12423</v>
      </c>
      <c r="AI85" s="4">
        <f>SUM(S85:U85)</f>
        <v>12669</v>
      </c>
      <c r="AJ85" s="4">
        <f>SUM(V85:X85)</f>
        <v>12669</v>
      </c>
      <c r="AK85" s="4">
        <f>SUM(Y85:AA85)</f>
        <v>12669</v>
      </c>
      <c r="AL85" s="4"/>
      <c r="AM85" s="4">
        <f>SUM(C85:N85)</f>
        <v>48907.599999999991</v>
      </c>
      <c r="AN85" s="4">
        <f>SUM(P85:AA85)</f>
        <v>50430</v>
      </c>
      <c r="AO85" s="1"/>
      <c r="AP85" s="25">
        <f>ROUND(SUM(AC85:AF85)-AM85,2)</f>
        <v>0</v>
      </c>
      <c r="AQ85" s="25">
        <f>ROUND(SUM(AH85:AK85)-AN85,2)</f>
        <v>0</v>
      </c>
      <c r="AS85" s="3"/>
    </row>
    <row r="86" spans="2:45" x14ac:dyDescent="0.2">
      <c r="B86" s="30" t="s">
        <v>25</v>
      </c>
      <c r="C86" s="99">
        <v>0</v>
      </c>
      <c r="D86" s="99">
        <v>2076.92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13">
        <v>0</v>
      </c>
      <c r="O86" s="29"/>
      <c r="P86" s="13">
        <v>0</v>
      </c>
      <c r="Q86" s="13">
        <f>+H318+I318</f>
        <v>4717.4399999999996</v>
      </c>
      <c r="R86" s="13">
        <v>0</v>
      </c>
      <c r="S86" s="13">
        <f>+R86</f>
        <v>0</v>
      </c>
      <c r="T86" s="13">
        <f t="shared" ref="T86:AA86" si="344">+S86</f>
        <v>0</v>
      </c>
      <c r="U86" s="13">
        <f t="shared" si="344"/>
        <v>0</v>
      </c>
      <c r="V86" s="13">
        <f t="shared" si="344"/>
        <v>0</v>
      </c>
      <c r="W86" s="13">
        <f t="shared" si="344"/>
        <v>0</v>
      </c>
      <c r="X86" s="13">
        <f t="shared" si="344"/>
        <v>0</v>
      </c>
      <c r="Y86" s="13">
        <f t="shared" si="344"/>
        <v>0</v>
      </c>
      <c r="Z86" s="13">
        <f t="shared" si="344"/>
        <v>0</v>
      </c>
      <c r="AA86" s="13">
        <f t="shared" si="344"/>
        <v>0</v>
      </c>
      <c r="AB86" s="8"/>
      <c r="AC86" s="4">
        <f>SUM(C86:E86)</f>
        <v>2076.92</v>
      </c>
      <c r="AD86" s="4">
        <f>SUM(F86:H86)</f>
        <v>0</v>
      </c>
      <c r="AE86" s="4">
        <f>SUM(I86:K86)</f>
        <v>0</v>
      </c>
      <c r="AF86" s="4">
        <f>SUM(L86:N86)</f>
        <v>0</v>
      </c>
      <c r="AG86" s="4"/>
      <c r="AH86" s="4">
        <f t="shared" ref="AH86:AH87" si="345">SUM(P86:R86)</f>
        <v>4717.4399999999996</v>
      </c>
      <c r="AI86" s="4">
        <f t="shared" ref="AI86:AI87" si="346">SUM(S86:U86)</f>
        <v>0</v>
      </c>
      <c r="AJ86" s="4">
        <f t="shared" ref="AJ86:AJ87" si="347">SUM(V86:X86)</f>
        <v>0</v>
      </c>
      <c r="AK86" s="4">
        <f t="shared" ref="AK86:AK87" si="348">SUM(Y86:AA86)</f>
        <v>0</v>
      </c>
      <c r="AL86" s="4"/>
      <c r="AM86" s="4">
        <f t="shared" ref="AM86:AM87" si="349">SUM(C86:N86)</f>
        <v>2076.92</v>
      </c>
      <c r="AN86" s="4">
        <f t="shared" ref="AN86:AN87" si="350">SUM(P86:AA86)</f>
        <v>4717.4399999999996</v>
      </c>
      <c r="AO86" s="1"/>
      <c r="AP86" s="25">
        <f t="shared" ref="AP86:AP87" si="351">ROUND(SUM(AC86:AF86)-AM86,2)</f>
        <v>0</v>
      </c>
      <c r="AQ86" s="25">
        <f t="shared" ref="AQ86:AQ87" si="352">ROUND(SUM(AH86:AK86)-AN86,2)</f>
        <v>0</v>
      </c>
      <c r="AS86" s="3"/>
    </row>
    <row r="87" spans="2:45" x14ac:dyDescent="0.2">
      <c r="B87" s="30" t="s">
        <v>118</v>
      </c>
      <c r="C87" s="99">
        <v>1248.67</v>
      </c>
      <c r="D87" s="99">
        <v>1844.81</v>
      </c>
      <c r="E87" s="99">
        <v>1212.24</v>
      </c>
      <c r="F87" s="99">
        <v>1212.24</v>
      </c>
      <c r="G87" s="99">
        <v>1212.26</v>
      </c>
      <c r="H87" s="99">
        <v>1212.26</v>
      </c>
      <c r="I87" s="99">
        <v>1212.27</v>
      </c>
      <c r="J87" s="99">
        <v>1212.27</v>
      </c>
      <c r="K87" s="99">
        <v>1212.27</v>
      </c>
      <c r="L87" s="99">
        <v>1212.26</v>
      </c>
      <c r="M87" s="99">
        <v>1212.28</v>
      </c>
      <c r="N87" s="13">
        <v>1250</v>
      </c>
      <c r="O87" s="29"/>
      <c r="P87" s="13">
        <v>1250</v>
      </c>
      <c r="Q87" s="13">
        <v>1250</v>
      </c>
      <c r="R87" s="13">
        <f>IFERROR(R85*(Q87/Q85),0)</f>
        <v>1287.5</v>
      </c>
      <c r="S87" s="13">
        <f>+R87</f>
        <v>1287.5</v>
      </c>
      <c r="T87" s="13">
        <f t="shared" ref="T87:AA87" si="353">+S87</f>
        <v>1287.5</v>
      </c>
      <c r="U87" s="13">
        <f t="shared" si="353"/>
        <v>1287.5</v>
      </c>
      <c r="V87" s="13">
        <f t="shared" si="353"/>
        <v>1287.5</v>
      </c>
      <c r="W87" s="13">
        <f t="shared" si="353"/>
        <v>1287.5</v>
      </c>
      <c r="X87" s="13">
        <f t="shared" si="353"/>
        <v>1287.5</v>
      </c>
      <c r="Y87" s="13">
        <f t="shared" si="353"/>
        <v>1287.5</v>
      </c>
      <c r="Z87" s="13">
        <f t="shared" si="353"/>
        <v>1287.5</v>
      </c>
      <c r="AA87" s="13">
        <f t="shared" si="353"/>
        <v>1287.5</v>
      </c>
      <c r="AB87" s="8"/>
      <c r="AC87" s="4">
        <f>SUM(C87:E87)</f>
        <v>4305.72</v>
      </c>
      <c r="AD87" s="4">
        <f>SUM(F87:H87)</f>
        <v>3636.76</v>
      </c>
      <c r="AE87" s="4">
        <f>SUM(I87:K87)</f>
        <v>3636.81</v>
      </c>
      <c r="AF87" s="4">
        <f>SUM(L87:N87)</f>
        <v>3674.54</v>
      </c>
      <c r="AG87" s="4"/>
      <c r="AH87" s="4">
        <f t="shared" si="345"/>
        <v>3787.5</v>
      </c>
      <c r="AI87" s="4">
        <f t="shared" si="346"/>
        <v>3862.5</v>
      </c>
      <c r="AJ87" s="4">
        <f t="shared" si="347"/>
        <v>3862.5</v>
      </c>
      <c r="AK87" s="4">
        <f t="shared" si="348"/>
        <v>3862.5</v>
      </c>
      <c r="AL87" s="4"/>
      <c r="AM87" s="4">
        <f t="shared" si="349"/>
        <v>15253.830000000002</v>
      </c>
      <c r="AN87" s="4">
        <f t="shared" si="350"/>
        <v>15375</v>
      </c>
      <c r="AO87" s="1"/>
      <c r="AP87" s="25">
        <f t="shared" si="351"/>
        <v>0</v>
      </c>
      <c r="AQ87" s="25">
        <f t="shared" si="352"/>
        <v>0</v>
      </c>
      <c r="AS87" s="3"/>
    </row>
    <row r="88" spans="2:45" x14ac:dyDescent="0.2">
      <c r="B88" s="28" t="s">
        <v>74</v>
      </c>
      <c r="C88" s="29">
        <f>SUM(C85:C87)</f>
        <v>5322.1900000000005</v>
      </c>
      <c r="D88" s="29">
        <f t="shared" ref="D88" si="354">SUM(D85:D87)</f>
        <v>7994.1299999999992</v>
      </c>
      <c r="E88" s="29">
        <f t="shared" ref="E88" si="355">SUM(E85:E87)</f>
        <v>5285.76</v>
      </c>
      <c r="F88" s="29">
        <f t="shared" ref="F88" si="356">SUM(F85:F87)</f>
        <v>5285.76</v>
      </c>
      <c r="G88" s="29">
        <f t="shared" ref="G88" si="357">SUM(G85:G87)</f>
        <v>5285.78</v>
      </c>
      <c r="H88" s="29">
        <f t="shared" ref="H88" si="358">SUM(H85:H87)</f>
        <v>5285.78</v>
      </c>
      <c r="I88" s="29">
        <f t="shared" ref="I88" si="359">SUM(I85:I87)</f>
        <v>5285.79</v>
      </c>
      <c r="J88" s="29">
        <f t="shared" ref="J88" si="360">SUM(J85:J87)</f>
        <v>5285.79</v>
      </c>
      <c r="K88" s="29">
        <f t="shared" ref="K88" si="361">SUM(K85:K87)</f>
        <v>5285.79</v>
      </c>
      <c r="L88" s="29">
        <f t="shared" ref="L88" si="362">SUM(L85:L87)</f>
        <v>5285.78</v>
      </c>
      <c r="M88" s="29">
        <f t="shared" ref="M88" si="363">SUM(M85:M87)</f>
        <v>5285.8</v>
      </c>
      <c r="N88" s="29">
        <f t="shared" ref="N88:AA88" si="364">SUM(N85:N87)</f>
        <v>5350</v>
      </c>
      <c r="O88" s="29"/>
      <c r="P88" s="29">
        <f t="shared" si="364"/>
        <v>5350</v>
      </c>
      <c r="Q88" s="29">
        <f t="shared" si="364"/>
        <v>10067.439999999999</v>
      </c>
      <c r="R88" s="29">
        <f t="shared" si="364"/>
        <v>5510.5</v>
      </c>
      <c r="S88" s="29">
        <f t="shared" si="364"/>
        <v>5510.5</v>
      </c>
      <c r="T88" s="29">
        <f t="shared" si="364"/>
        <v>5510.5</v>
      </c>
      <c r="U88" s="29">
        <f t="shared" si="364"/>
        <v>5510.5</v>
      </c>
      <c r="V88" s="29">
        <f t="shared" si="364"/>
        <v>5510.5</v>
      </c>
      <c r="W88" s="29">
        <f t="shared" si="364"/>
        <v>5510.5</v>
      </c>
      <c r="X88" s="29">
        <f t="shared" si="364"/>
        <v>5510.5</v>
      </c>
      <c r="Y88" s="29">
        <f t="shared" si="364"/>
        <v>5510.5</v>
      </c>
      <c r="Z88" s="29">
        <f t="shared" si="364"/>
        <v>5510.5</v>
      </c>
      <c r="AA88" s="29">
        <f t="shared" si="364"/>
        <v>5510.5</v>
      </c>
      <c r="AB88" s="8"/>
      <c r="AC88" s="29">
        <f t="shared" ref="AC88" si="365">SUM(AC85:AC87)</f>
        <v>18602.080000000002</v>
      </c>
      <c r="AD88" s="29">
        <f t="shared" ref="AD88" si="366">SUM(AD85:AD87)</f>
        <v>15857.32</v>
      </c>
      <c r="AE88" s="29">
        <f t="shared" ref="AE88" si="367">SUM(AE85:AE87)</f>
        <v>15857.369999999999</v>
      </c>
      <c r="AF88" s="29">
        <f>SUM(AF85:AF87)</f>
        <v>15921.580000000002</v>
      </c>
      <c r="AG88" s="12"/>
      <c r="AH88" s="29">
        <f>SUM(AH85:AH87)</f>
        <v>20927.939999999999</v>
      </c>
      <c r="AI88" s="29">
        <f t="shared" ref="AI88:AK88" si="368">SUM(AI85:AI87)</f>
        <v>16531.5</v>
      </c>
      <c r="AJ88" s="29">
        <f t="shared" si="368"/>
        <v>16531.5</v>
      </c>
      <c r="AK88" s="29">
        <f t="shared" si="368"/>
        <v>16531.5</v>
      </c>
      <c r="AL88" s="12"/>
      <c r="AM88" s="29">
        <f>SUM(AM85:AM87)</f>
        <v>66238.349999999991</v>
      </c>
      <c r="AN88" s="29">
        <f>SUM(AN85:AN87)</f>
        <v>70522.44</v>
      </c>
      <c r="AO88" s="1"/>
      <c r="AP88" s="25">
        <f>ROUND(SUM(AC88:AF88)-AM88,2)</f>
        <v>0</v>
      </c>
      <c r="AQ88" s="25">
        <f>ROUND(SUM(AH88:AK88)-AN88,2)</f>
        <v>0</v>
      </c>
      <c r="AS88" s="3"/>
    </row>
    <row r="89" spans="2:45" x14ac:dyDescent="0.2">
      <c r="B89" s="28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8"/>
      <c r="AC89" s="29"/>
      <c r="AD89" s="29"/>
      <c r="AE89" s="29"/>
      <c r="AF89" s="29"/>
      <c r="AG89" s="12"/>
      <c r="AH89" s="12"/>
      <c r="AI89" s="12"/>
      <c r="AJ89" s="12"/>
      <c r="AK89" s="12"/>
      <c r="AL89" s="12"/>
      <c r="AM89" s="12"/>
      <c r="AN89" s="29"/>
      <c r="AO89" s="1"/>
      <c r="AP89" s="25"/>
      <c r="AQ89" s="25"/>
      <c r="AS89" s="3"/>
    </row>
    <row r="90" spans="2:45" x14ac:dyDescent="0.2">
      <c r="B90" s="30" t="s">
        <v>117</v>
      </c>
      <c r="C90" s="99">
        <v>8969.58</v>
      </c>
      <c r="D90" s="99">
        <v>5916.34</v>
      </c>
      <c r="E90" s="99">
        <v>5950.7000000000007</v>
      </c>
      <c r="F90" s="99">
        <v>5950.7000000000007</v>
      </c>
      <c r="G90" s="99">
        <v>5950.7000000000007</v>
      </c>
      <c r="H90" s="99">
        <v>5950.74</v>
      </c>
      <c r="I90" s="99">
        <v>5950.7</v>
      </c>
      <c r="J90" s="99">
        <v>5950.7000000000007</v>
      </c>
      <c r="K90" s="99">
        <v>5950.7000000000007</v>
      </c>
      <c r="L90" s="99">
        <v>5950.7000000000007</v>
      </c>
      <c r="M90" s="99">
        <v>5950.71</v>
      </c>
      <c r="N90" s="13">
        <v>6000</v>
      </c>
      <c r="O90" s="29"/>
      <c r="P90" s="13">
        <v>6000</v>
      </c>
      <c r="Q90" s="13">
        <v>6000</v>
      </c>
      <c r="R90" s="13">
        <f>+Q90+(Q90*$R$2)</f>
        <v>6180</v>
      </c>
      <c r="S90" s="13">
        <f>+R90</f>
        <v>6180</v>
      </c>
      <c r="T90" s="13">
        <f t="shared" ref="T90:AA90" si="369">+S90</f>
        <v>6180</v>
      </c>
      <c r="U90" s="13">
        <f t="shared" si="369"/>
        <v>6180</v>
      </c>
      <c r="V90" s="13">
        <f t="shared" si="369"/>
        <v>6180</v>
      </c>
      <c r="W90" s="13">
        <f t="shared" si="369"/>
        <v>6180</v>
      </c>
      <c r="X90" s="13">
        <f t="shared" si="369"/>
        <v>6180</v>
      </c>
      <c r="Y90" s="13">
        <f t="shared" si="369"/>
        <v>6180</v>
      </c>
      <c r="Z90" s="13">
        <f t="shared" si="369"/>
        <v>6180</v>
      </c>
      <c r="AA90" s="13">
        <f t="shared" si="369"/>
        <v>6180</v>
      </c>
      <c r="AB90" s="8"/>
      <c r="AC90" s="4">
        <f>SUM(C90:E90)</f>
        <v>20836.620000000003</v>
      </c>
      <c r="AD90" s="4">
        <f>SUM(F90:H90)</f>
        <v>17852.14</v>
      </c>
      <c r="AE90" s="4">
        <f>SUM(I90:K90)</f>
        <v>17852.100000000002</v>
      </c>
      <c r="AF90" s="4">
        <f>SUM(L90:N90)</f>
        <v>17901.41</v>
      </c>
      <c r="AG90" s="4"/>
      <c r="AH90" s="4">
        <f>SUM(P90:R90)</f>
        <v>18180</v>
      </c>
      <c r="AI90" s="4">
        <f>SUM(S90:U90)</f>
        <v>18540</v>
      </c>
      <c r="AJ90" s="4">
        <f>SUM(V90:X90)</f>
        <v>18540</v>
      </c>
      <c r="AK90" s="4">
        <f>SUM(Y90:AA90)</f>
        <v>18540</v>
      </c>
      <c r="AL90" s="4"/>
      <c r="AM90" s="4">
        <f>SUM(C90:N90)</f>
        <v>74442.27</v>
      </c>
      <c r="AN90" s="4">
        <f>SUM(P90:AA90)</f>
        <v>73800</v>
      </c>
      <c r="AO90" s="1"/>
      <c r="AP90" s="25">
        <f>ROUND(SUM(AC90:AF90)-AM90,2)</f>
        <v>0</v>
      </c>
      <c r="AQ90" s="25">
        <f>ROUND(SUM(AH90:AK90)-AN90,2)</f>
        <v>0</v>
      </c>
      <c r="AS90" s="3"/>
    </row>
    <row r="91" spans="2:45" x14ac:dyDescent="0.2">
      <c r="B91" s="30" t="s">
        <v>25</v>
      </c>
      <c r="C91" s="99">
        <v>0</v>
      </c>
      <c r="D91" s="99">
        <v>0</v>
      </c>
      <c r="E91" s="99">
        <v>0</v>
      </c>
      <c r="F91" s="99">
        <v>0</v>
      </c>
      <c r="G91" s="99">
        <v>0</v>
      </c>
      <c r="H91" s="99">
        <v>0</v>
      </c>
      <c r="I91" s="99">
        <v>0</v>
      </c>
      <c r="J91" s="99">
        <v>0</v>
      </c>
      <c r="K91" s="99">
        <v>0</v>
      </c>
      <c r="L91" s="99">
        <v>0</v>
      </c>
      <c r="M91" s="99">
        <v>0</v>
      </c>
      <c r="N91" s="13">
        <v>0</v>
      </c>
      <c r="O91" s="29"/>
      <c r="P91" s="13">
        <v>0</v>
      </c>
      <c r="Q91" s="13">
        <f>+H319+I319</f>
        <v>0</v>
      </c>
      <c r="R91" s="13">
        <v>0</v>
      </c>
      <c r="S91" s="13">
        <f>+R91</f>
        <v>0</v>
      </c>
      <c r="T91" s="13">
        <f t="shared" ref="T91:AA91" si="370">+S91</f>
        <v>0</v>
      </c>
      <c r="U91" s="13">
        <f t="shared" si="370"/>
        <v>0</v>
      </c>
      <c r="V91" s="13">
        <f t="shared" si="370"/>
        <v>0</v>
      </c>
      <c r="W91" s="13">
        <f t="shared" si="370"/>
        <v>0</v>
      </c>
      <c r="X91" s="13">
        <f t="shared" si="370"/>
        <v>0</v>
      </c>
      <c r="Y91" s="13">
        <f t="shared" si="370"/>
        <v>0</v>
      </c>
      <c r="Z91" s="13">
        <f t="shared" si="370"/>
        <v>0</v>
      </c>
      <c r="AA91" s="13">
        <f t="shared" si="370"/>
        <v>0</v>
      </c>
      <c r="AB91" s="8"/>
      <c r="AC91" s="4">
        <f>SUM(C91:E91)</f>
        <v>0</v>
      </c>
      <c r="AD91" s="4">
        <f>SUM(F91:H91)</f>
        <v>0</v>
      </c>
      <c r="AE91" s="4">
        <f>SUM(I91:K91)</f>
        <v>0</v>
      </c>
      <c r="AF91" s="4">
        <f>SUM(L91:N91)</f>
        <v>0</v>
      </c>
      <c r="AG91" s="4"/>
      <c r="AH91" s="4">
        <f t="shared" ref="AH91:AH92" si="371">SUM(P91:R91)</f>
        <v>0</v>
      </c>
      <c r="AI91" s="4">
        <f t="shared" ref="AI91:AI92" si="372">SUM(S91:U91)</f>
        <v>0</v>
      </c>
      <c r="AJ91" s="4">
        <f t="shared" ref="AJ91:AJ92" si="373">SUM(V91:X91)</f>
        <v>0</v>
      </c>
      <c r="AK91" s="4">
        <f t="shared" ref="AK91:AK92" si="374">SUM(Y91:AA91)</f>
        <v>0</v>
      </c>
      <c r="AL91" s="4"/>
      <c r="AM91" s="4">
        <f t="shared" ref="AM91:AM92" si="375">SUM(C91:N91)</f>
        <v>0</v>
      </c>
      <c r="AN91" s="4">
        <f t="shared" ref="AN91:AN92" si="376">SUM(P91:AA91)</f>
        <v>0</v>
      </c>
      <c r="AO91" s="1"/>
      <c r="AP91" s="25">
        <f t="shared" ref="AP91:AP92" si="377">ROUND(SUM(AC91:AF91)-AM91,2)</f>
        <v>0</v>
      </c>
      <c r="AQ91" s="25">
        <f t="shared" ref="AQ91:AQ92" si="378">ROUND(SUM(AH91:AK91)-AN91,2)</f>
        <v>0</v>
      </c>
      <c r="AS91" s="3"/>
    </row>
    <row r="92" spans="2:45" x14ac:dyDescent="0.2">
      <c r="B92" s="30" t="s">
        <v>118</v>
      </c>
      <c r="C92" s="99">
        <v>2468.54</v>
      </c>
      <c r="D92" s="99">
        <v>2003.02</v>
      </c>
      <c r="E92" s="99">
        <v>2007.1999999999998</v>
      </c>
      <c r="F92" s="99">
        <v>2007.1999999999998</v>
      </c>
      <c r="G92" s="99">
        <v>2007.1999999999998</v>
      </c>
      <c r="H92" s="99">
        <v>2007.1599999999999</v>
      </c>
      <c r="I92" s="99">
        <v>2007.2</v>
      </c>
      <c r="J92" s="99">
        <v>2007.1999999999998</v>
      </c>
      <c r="K92" s="99">
        <v>2007.1999999999998</v>
      </c>
      <c r="L92" s="99">
        <v>2007.1999999999998</v>
      </c>
      <c r="M92" s="99">
        <v>2007.18</v>
      </c>
      <c r="N92" s="13">
        <v>2000</v>
      </c>
      <c r="O92" s="29"/>
      <c r="P92" s="13">
        <v>2000</v>
      </c>
      <c r="Q92" s="13">
        <v>2000</v>
      </c>
      <c r="R92" s="13">
        <f>IFERROR(R90*(Q92/Q90),0)</f>
        <v>2060</v>
      </c>
      <c r="S92" s="13">
        <f>+R92</f>
        <v>2060</v>
      </c>
      <c r="T92" s="13">
        <f t="shared" ref="T92:AA92" si="379">+S92</f>
        <v>2060</v>
      </c>
      <c r="U92" s="13">
        <f t="shared" si="379"/>
        <v>2060</v>
      </c>
      <c r="V92" s="13">
        <f t="shared" si="379"/>
        <v>2060</v>
      </c>
      <c r="W92" s="13">
        <f t="shared" si="379"/>
        <v>2060</v>
      </c>
      <c r="X92" s="13">
        <f t="shared" si="379"/>
        <v>2060</v>
      </c>
      <c r="Y92" s="13">
        <f t="shared" si="379"/>
        <v>2060</v>
      </c>
      <c r="Z92" s="13">
        <f t="shared" si="379"/>
        <v>2060</v>
      </c>
      <c r="AA92" s="13">
        <f t="shared" si="379"/>
        <v>2060</v>
      </c>
      <c r="AB92" s="8"/>
      <c r="AC92" s="4">
        <f>SUM(C92:E92)</f>
        <v>6478.7599999999993</v>
      </c>
      <c r="AD92" s="4">
        <f>SUM(F92:H92)</f>
        <v>6021.5599999999995</v>
      </c>
      <c r="AE92" s="4">
        <f>SUM(I92:K92)</f>
        <v>6021.5999999999995</v>
      </c>
      <c r="AF92" s="4">
        <f>SUM(L92:N92)</f>
        <v>6014.38</v>
      </c>
      <c r="AG92" s="4"/>
      <c r="AH92" s="4">
        <f t="shared" si="371"/>
        <v>6060</v>
      </c>
      <c r="AI92" s="4">
        <f t="shared" si="372"/>
        <v>6180</v>
      </c>
      <c r="AJ92" s="4">
        <f t="shared" si="373"/>
        <v>6180</v>
      </c>
      <c r="AK92" s="4">
        <f t="shared" si="374"/>
        <v>6180</v>
      </c>
      <c r="AL92" s="4"/>
      <c r="AM92" s="4">
        <f t="shared" si="375"/>
        <v>24536.300000000003</v>
      </c>
      <c r="AN92" s="4">
        <f t="shared" si="376"/>
        <v>24600</v>
      </c>
      <c r="AO92" s="1"/>
      <c r="AP92" s="25">
        <f t="shared" si="377"/>
        <v>0</v>
      </c>
      <c r="AQ92" s="25">
        <f t="shared" si="378"/>
        <v>0</v>
      </c>
      <c r="AS92" s="3"/>
    </row>
    <row r="93" spans="2:45" x14ac:dyDescent="0.2">
      <c r="B93" s="28" t="s">
        <v>73</v>
      </c>
      <c r="C93" s="29">
        <f>SUM(C90:C92)</f>
        <v>11438.119999999999</v>
      </c>
      <c r="D93" s="29">
        <f t="shared" ref="D93:E93" si="380">SUM(D90:D92)</f>
        <v>7919.3600000000006</v>
      </c>
      <c r="E93" s="29">
        <f t="shared" si="380"/>
        <v>7957.9000000000005</v>
      </c>
      <c r="F93" s="29">
        <f>SUM(F90:F92)</f>
        <v>7957.9000000000005</v>
      </c>
      <c r="G93" s="29">
        <f t="shared" ref="G93:N93" si="381">SUM(G90:G92)</f>
        <v>7957.9000000000005</v>
      </c>
      <c r="H93" s="29">
        <f t="shared" si="381"/>
        <v>7957.9</v>
      </c>
      <c r="I93" s="29">
        <f t="shared" si="381"/>
        <v>7957.9</v>
      </c>
      <c r="J93" s="29">
        <f t="shared" si="381"/>
        <v>7957.9000000000005</v>
      </c>
      <c r="K93" s="29">
        <f t="shared" si="381"/>
        <v>7957.9000000000005</v>
      </c>
      <c r="L93" s="29">
        <f t="shared" si="381"/>
        <v>7957.9000000000005</v>
      </c>
      <c r="M93" s="29">
        <f t="shared" si="381"/>
        <v>7957.89</v>
      </c>
      <c r="N93" s="29">
        <f t="shared" si="381"/>
        <v>8000</v>
      </c>
      <c r="O93" s="29"/>
      <c r="P93" s="29">
        <f t="shared" ref="P93:AA93" si="382">SUM(P90:P92)</f>
        <v>8000</v>
      </c>
      <c r="Q93" s="29">
        <f t="shared" si="382"/>
        <v>8000</v>
      </c>
      <c r="R93" s="29">
        <f t="shared" si="382"/>
        <v>8240</v>
      </c>
      <c r="S93" s="29">
        <f t="shared" si="382"/>
        <v>8240</v>
      </c>
      <c r="T93" s="29">
        <f t="shared" si="382"/>
        <v>8240</v>
      </c>
      <c r="U93" s="29">
        <f t="shared" si="382"/>
        <v>8240</v>
      </c>
      <c r="V93" s="29">
        <f t="shared" si="382"/>
        <v>8240</v>
      </c>
      <c r="W93" s="29">
        <f t="shared" si="382"/>
        <v>8240</v>
      </c>
      <c r="X93" s="29">
        <f t="shared" si="382"/>
        <v>8240</v>
      </c>
      <c r="Y93" s="29">
        <f t="shared" si="382"/>
        <v>8240</v>
      </c>
      <c r="Z93" s="29">
        <f t="shared" si="382"/>
        <v>8240</v>
      </c>
      <c r="AA93" s="29">
        <f t="shared" si="382"/>
        <v>8240</v>
      </c>
      <c r="AB93" s="8"/>
      <c r="AC93" s="29">
        <f t="shared" ref="AC93:AF93" si="383">SUM(AC90:AC92)</f>
        <v>27315.38</v>
      </c>
      <c r="AD93" s="29">
        <f t="shared" si="383"/>
        <v>23873.699999999997</v>
      </c>
      <c r="AE93" s="29">
        <f t="shared" si="383"/>
        <v>23873.7</v>
      </c>
      <c r="AF93" s="29">
        <f t="shared" si="383"/>
        <v>23915.79</v>
      </c>
      <c r="AG93" s="12"/>
      <c r="AH93" s="29">
        <f>SUM(AH90:AH92)</f>
        <v>24240</v>
      </c>
      <c r="AI93" s="29">
        <f t="shared" ref="AI93:AK93" si="384">SUM(AI90:AI92)</f>
        <v>24720</v>
      </c>
      <c r="AJ93" s="29">
        <f t="shared" si="384"/>
        <v>24720</v>
      </c>
      <c r="AK93" s="29">
        <f t="shared" si="384"/>
        <v>24720</v>
      </c>
      <c r="AL93" s="12"/>
      <c r="AM93" s="29">
        <f>SUM(AM90:AM92)</f>
        <v>98978.57</v>
      </c>
      <c r="AN93" s="29">
        <f>SUM(AN90:AN92)</f>
        <v>98400</v>
      </c>
      <c r="AO93" s="1"/>
      <c r="AP93" s="25">
        <f>ROUND(SUM(AC93:AF93)-AM93,2)</f>
        <v>0</v>
      </c>
      <c r="AQ93" s="25">
        <f>ROUND(SUM(AH93:AK93)-AN93,2)</f>
        <v>0</v>
      </c>
      <c r="AS93" s="3"/>
    </row>
    <row r="94" spans="2:45" x14ac:dyDescent="0.2">
      <c r="B94" s="28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8"/>
      <c r="AC94" s="29"/>
      <c r="AD94" s="29"/>
      <c r="AE94" s="29"/>
      <c r="AF94" s="29"/>
      <c r="AG94" s="12"/>
      <c r="AH94" s="12"/>
      <c r="AI94" s="12"/>
      <c r="AJ94" s="12"/>
      <c r="AK94" s="12"/>
      <c r="AL94" s="12"/>
      <c r="AM94" s="12"/>
      <c r="AN94" s="29"/>
      <c r="AO94" s="1"/>
      <c r="AP94" s="25"/>
      <c r="AQ94" s="25"/>
      <c r="AS94" s="3"/>
    </row>
    <row r="95" spans="2:45" x14ac:dyDescent="0.2">
      <c r="B95" s="30" t="s">
        <v>117</v>
      </c>
      <c r="C95" s="99">
        <v>10909.44</v>
      </c>
      <c r="D95" s="99">
        <v>9973.2099999999991</v>
      </c>
      <c r="E95" s="99">
        <v>11441.02</v>
      </c>
      <c r="F95" s="99">
        <v>11972.6</v>
      </c>
      <c r="G95" s="99">
        <v>11972.6</v>
      </c>
      <c r="H95" s="99">
        <v>11972.6</v>
      </c>
      <c r="I95" s="99">
        <v>11972.6</v>
      </c>
      <c r="J95" s="99">
        <v>11972.64</v>
      </c>
      <c r="K95" s="99">
        <v>12659.52</v>
      </c>
      <c r="L95" s="99">
        <v>13018.99</v>
      </c>
      <c r="M95" s="99">
        <v>12793.14</v>
      </c>
      <c r="N95" s="13">
        <v>12000</v>
      </c>
      <c r="O95" s="29"/>
      <c r="P95" s="13">
        <v>12000</v>
      </c>
      <c r="Q95" s="13">
        <v>12000</v>
      </c>
      <c r="R95" s="13">
        <f>+Q95+(Q95*$R$2)</f>
        <v>12360</v>
      </c>
      <c r="S95" s="13">
        <f>+R95</f>
        <v>12360</v>
      </c>
      <c r="T95" s="13">
        <f t="shared" ref="T95:AA95" si="385">+S95</f>
        <v>12360</v>
      </c>
      <c r="U95" s="13">
        <f t="shared" si="385"/>
        <v>12360</v>
      </c>
      <c r="V95" s="13">
        <f t="shared" si="385"/>
        <v>12360</v>
      </c>
      <c r="W95" s="13">
        <f t="shared" si="385"/>
        <v>12360</v>
      </c>
      <c r="X95" s="13">
        <f t="shared" si="385"/>
        <v>12360</v>
      </c>
      <c r="Y95" s="13">
        <f t="shared" si="385"/>
        <v>12360</v>
      </c>
      <c r="Z95" s="13">
        <f t="shared" si="385"/>
        <v>12360</v>
      </c>
      <c r="AA95" s="13">
        <f t="shared" si="385"/>
        <v>12360</v>
      </c>
      <c r="AB95" s="8"/>
      <c r="AC95" s="4">
        <f>SUM(C95:E95)</f>
        <v>32323.670000000002</v>
      </c>
      <c r="AD95" s="4">
        <f>SUM(F95:H95)</f>
        <v>35917.800000000003</v>
      </c>
      <c r="AE95" s="4">
        <f>SUM(I95:K95)</f>
        <v>36604.759999999995</v>
      </c>
      <c r="AF95" s="4">
        <f>SUM(L95:N95)</f>
        <v>37812.129999999997</v>
      </c>
      <c r="AG95" s="4"/>
      <c r="AH95" s="4">
        <f>SUM(P95:R95)</f>
        <v>36360</v>
      </c>
      <c r="AI95" s="4">
        <f>SUM(S95:U95)</f>
        <v>37080</v>
      </c>
      <c r="AJ95" s="4">
        <f>SUM(V95:X95)</f>
        <v>37080</v>
      </c>
      <c r="AK95" s="4">
        <f>SUM(Y95:AA95)</f>
        <v>37080</v>
      </c>
      <c r="AL95" s="4"/>
      <c r="AM95" s="4">
        <f>SUM(C95:N95)</f>
        <v>142658.36000000002</v>
      </c>
      <c r="AN95" s="4">
        <f>SUM(P95:AA95)</f>
        <v>147600</v>
      </c>
      <c r="AO95" s="1"/>
      <c r="AP95" s="25">
        <f>ROUND(SUM(AC95:AF95)-AM95,2)</f>
        <v>0</v>
      </c>
      <c r="AQ95" s="25">
        <f>ROUND(SUM(AH95:AK95)-AN95,2)</f>
        <v>0</v>
      </c>
      <c r="AS95" s="3"/>
    </row>
    <row r="96" spans="2:45" x14ac:dyDescent="0.2">
      <c r="B96" s="30" t="s">
        <v>25</v>
      </c>
      <c r="C96" s="99">
        <v>0</v>
      </c>
      <c r="D96" s="99">
        <v>19896.53</v>
      </c>
      <c r="E96" s="99">
        <v>0</v>
      </c>
      <c r="F96" s="99">
        <v>0</v>
      </c>
      <c r="G96" s="99">
        <v>0</v>
      </c>
      <c r="H96" s="99">
        <v>0</v>
      </c>
      <c r="I96" s="99">
        <v>0</v>
      </c>
      <c r="J96" s="99">
        <v>0</v>
      </c>
      <c r="K96" s="99">
        <v>0</v>
      </c>
      <c r="L96" s="99">
        <v>0</v>
      </c>
      <c r="M96" s="99">
        <v>0</v>
      </c>
      <c r="N96" s="13">
        <v>0</v>
      </c>
      <c r="O96" s="29"/>
      <c r="P96" s="13">
        <v>0</v>
      </c>
      <c r="Q96" s="13">
        <f>+H320+I320</f>
        <v>58212.047627999993</v>
      </c>
      <c r="R96" s="13">
        <v>0</v>
      </c>
      <c r="S96" s="13">
        <f>+R96</f>
        <v>0</v>
      </c>
      <c r="T96" s="13">
        <f t="shared" ref="T96:AA96" si="386">+S96</f>
        <v>0</v>
      </c>
      <c r="U96" s="13">
        <f t="shared" si="386"/>
        <v>0</v>
      </c>
      <c r="V96" s="13">
        <f t="shared" si="386"/>
        <v>0</v>
      </c>
      <c r="W96" s="13">
        <f t="shared" si="386"/>
        <v>0</v>
      </c>
      <c r="X96" s="13">
        <f t="shared" si="386"/>
        <v>0</v>
      </c>
      <c r="Y96" s="13">
        <f t="shared" si="386"/>
        <v>0</v>
      </c>
      <c r="Z96" s="13">
        <f t="shared" si="386"/>
        <v>0</v>
      </c>
      <c r="AA96" s="13">
        <f t="shared" si="386"/>
        <v>0</v>
      </c>
      <c r="AB96" s="8"/>
      <c r="AC96" s="4">
        <f>SUM(C96:E96)</f>
        <v>19896.53</v>
      </c>
      <c r="AD96" s="4">
        <f>SUM(F96:H96)</f>
        <v>0</v>
      </c>
      <c r="AE96" s="4">
        <f>SUM(I96:K96)</f>
        <v>0</v>
      </c>
      <c r="AF96" s="4">
        <f>SUM(L96:N96)</f>
        <v>0</v>
      </c>
      <c r="AG96" s="4"/>
      <c r="AH96" s="4">
        <f t="shared" ref="AH96:AH97" si="387">SUM(P96:R96)</f>
        <v>58212.047627999993</v>
      </c>
      <c r="AI96" s="4">
        <f t="shared" ref="AI96:AI97" si="388">SUM(S96:U96)</f>
        <v>0</v>
      </c>
      <c r="AJ96" s="4">
        <f t="shared" ref="AJ96:AJ97" si="389">SUM(V96:X96)</f>
        <v>0</v>
      </c>
      <c r="AK96" s="4">
        <f t="shared" ref="AK96:AK97" si="390">SUM(Y96:AA96)</f>
        <v>0</v>
      </c>
      <c r="AL96" s="4"/>
      <c r="AM96" s="4">
        <f t="shared" ref="AM96:AM97" si="391">SUM(C96:N96)</f>
        <v>19896.53</v>
      </c>
      <c r="AN96" s="4">
        <f t="shared" ref="AN96:AN97" si="392">SUM(P96:AA96)</f>
        <v>58212.047627999993</v>
      </c>
      <c r="AO96" s="1"/>
      <c r="AP96" s="25">
        <f t="shared" ref="AP96:AP97" si="393">ROUND(SUM(AC96:AF96)-AM96,2)</f>
        <v>0</v>
      </c>
      <c r="AQ96" s="25">
        <f t="shared" ref="AQ96:AQ97" si="394">ROUND(SUM(AH96:AK96)-AN96,2)</f>
        <v>0</v>
      </c>
      <c r="AS96" s="3"/>
    </row>
    <row r="97" spans="2:45" x14ac:dyDescent="0.2">
      <c r="B97" s="30" t="s">
        <v>118</v>
      </c>
      <c r="C97" s="99">
        <v>5161.46</v>
      </c>
      <c r="D97" s="99">
        <v>19950.79</v>
      </c>
      <c r="E97" s="99">
        <v>5427.9600000000009</v>
      </c>
      <c r="F97" s="99">
        <v>5743.4599999999991</v>
      </c>
      <c r="G97" s="99">
        <v>5743.4599999999991</v>
      </c>
      <c r="H97" s="99">
        <v>5743.4599999999991</v>
      </c>
      <c r="I97" s="99">
        <v>5743.46</v>
      </c>
      <c r="J97" s="99">
        <v>5743.42</v>
      </c>
      <c r="K97" s="99">
        <v>4369.62</v>
      </c>
      <c r="L97" s="99">
        <v>3607.97</v>
      </c>
      <c r="M97" s="99">
        <v>3681.6400000000003</v>
      </c>
      <c r="N97" s="13">
        <v>5200</v>
      </c>
      <c r="O97" s="29"/>
      <c r="P97" s="13">
        <v>5200</v>
      </c>
      <c r="Q97" s="13">
        <v>5200</v>
      </c>
      <c r="R97" s="13">
        <f>IFERROR(R95*(Q97/Q95),0)</f>
        <v>5356</v>
      </c>
      <c r="S97" s="13">
        <f>+R97</f>
        <v>5356</v>
      </c>
      <c r="T97" s="13">
        <f t="shared" ref="T97:AA97" si="395">+S97</f>
        <v>5356</v>
      </c>
      <c r="U97" s="13">
        <f t="shared" si="395"/>
        <v>5356</v>
      </c>
      <c r="V97" s="13">
        <f t="shared" si="395"/>
        <v>5356</v>
      </c>
      <c r="W97" s="13">
        <f t="shared" si="395"/>
        <v>5356</v>
      </c>
      <c r="X97" s="13">
        <f t="shared" si="395"/>
        <v>5356</v>
      </c>
      <c r="Y97" s="13">
        <f t="shared" si="395"/>
        <v>5356</v>
      </c>
      <c r="Z97" s="13">
        <f t="shared" si="395"/>
        <v>5356</v>
      </c>
      <c r="AA97" s="13">
        <f t="shared" si="395"/>
        <v>5356</v>
      </c>
      <c r="AB97" s="8"/>
      <c r="AC97" s="4">
        <f>SUM(C97:E97)</f>
        <v>30540.21</v>
      </c>
      <c r="AD97" s="4">
        <f>SUM(F97:H97)</f>
        <v>17230.379999999997</v>
      </c>
      <c r="AE97" s="4">
        <f>SUM(I97:K97)</f>
        <v>15856.5</v>
      </c>
      <c r="AF97" s="4">
        <f>SUM(L97:N97)</f>
        <v>12489.61</v>
      </c>
      <c r="AG97" s="4"/>
      <c r="AH97" s="4">
        <f t="shared" si="387"/>
        <v>15756</v>
      </c>
      <c r="AI97" s="4">
        <f t="shared" si="388"/>
        <v>16068</v>
      </c>
      <c r="AJ97" s="4">
        <f t="shared" si="389"/>
        <v>16068</v>
      </c>
      <c r="AK97" s="4">
        <f t="shared" si="390"/>
        <v>16068</v>
      </c>
      <c r="AL97" s="4"/>
      <c r="AM97" s="4">
        <f t="shared" si="391"/>
        <v>76116.7</v>
      </c>
      <c r="AN97" s="4">
        <f t="shared" si="392"/>
        <v>63960</v>
      </c>
      <c r="AO97" s="1"/>
      <c r="AP97" s="25">
        <f t="shared" si="393"/>
        <v>0</v>
      </c>
      <c r="AQ97" s="25">
        <f t="shared" si="394"/>
        <v>0</v>
      </c>
      <c r="AS97" s="3"/>
    </row>
    <row r="98" spans="2:45" x14ac:dyDescent="0.2">
      <c r="B98" s="28" t="s">
        <v>72</v>
      </c>
      <c r="C98" s="29">
        <f>SUM(C95:C97)</f>
        <v>16070.900000000001</v>
      </c>
      <c r="D98" s="29">
        <f t="shared" ref="D98:N98" si="396">SUM(D95:D97)</f>
        <v>49820.53</v>
      </c>
      <c r="E98" s="29">
        <f t="shared" si="396"/>
        <v>16868.980000000003</v>
      </c>
      <c r="F98" s="29">
        <f t="shared" si="396"/>
        <v>17716.059999999998</v>
      </c>
      <c r="G98" s="29">
        <f t="shared" si="396"/>
        <v>17716.059999999998</v>
      </c>
      <c r="H98" s="29">
        <f t="shared" si="396"/>
        <v>17716.059999999998</v>
      </c>
      <c r="I98" s="29">
        <f t="shared" si="396"/>
        <v>17716.060000000001</v>
      </c>
      <c r="J98" s="29">
        <f t="shared" si="396"/>
        <v>17716.059999999998</v>
      </c>
      <c r="K98" s="29">
        <f t="shared" si="396"/>
        <v>17029.14</v>
      </c>
      <c r="L98" s="29">
        <f t="shared" si="396"/>
        <v>16626.96</v>
      </c>
      <c r="M98" s="29">
        <f t="shared" si="396"/>
        <v>16474.78</v>
      </c>
      <c r="N98" s="29">
        <f t="shared" si="396"/>
        <v>17200</v>
      </c>
      <c r="O98" s="29"/>
      <c r="P98" s="29">
        <f t="shared" ref="P98:AA98" si="397">SUM(P95:P97)</f>
        <v>17200</v>
      </c>
      <c r="Q98" s="29">
        <f t="shared" si="397"/>
        <v>75412.047628</v>
      </c>
      <c r="R98" s="29">
        <f t="shared" si="397"/>
        <v>17716</v>
      </c>
      <c r="S98" s="29">
        <f t="shared" si="397"/>
        <v>17716</v>
      </c>
      <c r="T98" s="29">
        <f t="shared" si="397"/>
        <v>17716</v>
      </c>
      <c r="U98" s="29">
        <f t="shared" si="397"/>
        <v>17716</v>
      </c>
      <c r="V98" s="29">
        <f t="shared" si="397"/>
        <v>17716</v>
      </c>
      <c r="W98" s="29">
        <f t="shared" si="397"/>
        <v>17716</v>
      </c>
      <c r="X98" s="29">
        <f t="shared" si="397"/>
        <v>17716</v>
      </c>
      <c r="Y98" s="29">
        <f t="shared" si="397"/>
        <v>17716</v>
      </c>
      <c r="Z98" s="29">
        <f t="shared" si="397"/>
        <v>17716</v>
      </c>
      <c r="AA98" s="29">
        <f t="shared" si="397"/>
        <v>17716</v>
      </c>
      <c r="AB98" s="8"/>
      <c r="AC98" s="29">
        <f t="shared" ref="AC98:AF98" si="398">SUM(AC95:AC97)</f>
        <v>82760.41</v>
      </c>
      <c r="AD98" s="29">
        <f t="shared" si="398"/>
        <v>53148.18</v>
      </c>
      <c r="AE98" s="29">
        <f t="shared" si="398"/>
        <v>52461.259999999995</v>
      </c>
      <c r="AF98" s="29">
        <f t="shared" si="398"/>
        <v>50301.74</v>
      </c>
      <c r="AG98" s="12"/>
      <c r="AH98" s="29">
        <f>SUM(AH95:AH97)</f>
        <v>110328.047628</v>
      </c>
      <c r="AI98" s="29">
        <f t="shared" ref="AI98:AK98" si="399">SUM(AI95:AI97)</f>
        <v>53148</v>
      </c>
      <c r="AJ98" s="29">
        <f t="shared" si="399"/>
        <v>53148</v>
      </c>
      <c r="AK98" s="29">
        <f t="shared" si="399"/>
        <v>53148</v>
      </c>
      <c r="AL98" s="12"/>
      <c r="AM98" s="29">
        <f>SUM(AM95:AM97)</f>
        <v>238671.59000000003</v>
      </c>
      <c r="AN98" s="29">
        <f>SUM(AN95:AN97)</f>
        <v>269772.04762800003</v>
      </c>
      <c r="AO98" s="1"/>
      <c r="AP98" s="25">
        <f>ROUND(SUM(AC98:AF98)-AM98,2)</f>
        <v>0</v>
      </c>
      <c r="AQ98" s="25">
        <f>ROUND(SUM(AH98:AK98)-AN98,2)</f>
        <v>0</v>
      </c>
    </row>
    <row r="99" spans="2:45" x14ac:dyDescent="0.2">
      <c r="O99" s="29"/>
    </row>
    <row r="100" spans="2:45" x14ac:dyDescent="0.2">
      <c r="B100" s="30" t="s">
        <v>117</v>
      </c>
      <c r="C100" s="99">
        <v>0</v>
      </c>
      <c r="D100" s="99">
        <v>0</v>
      </c>
      <c r="E100" s="99">
        <v>0</v>
      </c>
      <c r="F100" s="99">
        <v>0</v>
      </c>
      <c r="G100" s="99">
        <v>0</v>
      </c>
      <c r="H100" s="99">
        <v>0</v>
      </c>
      <c r="I100" s="99">
        <v>0</v>
      </c>
      <c r="J100" s="99">
        <v>0</v>
      </c>
      <c r="K100" s="99">
        <v>0</v>
      </c>
      <c r="L100" s="99">
        <v>0</v>
      </c>
      <c r="M100" s="99">
        <v>0</v>
      </c>
      <c r="N100" s="13">
        <v>0</v>
      </c>
      <c r="O100" s="29"/>
      <c r="P100" s="13">
        <v>0</v>
      </c>
      <c r="Q100" s="13">
        <v>0</v>
      </c>
      <c r="R100" s="13">
        <f>+Q100+(Q100*$R$2)</f>
        <v>0</v>
      </c>
      <c r="S100" s="13">
        <f>+R100</f>
        <v>0</v>
      </c>
      <c r="T100" s="13">
        <f t="shared" ref="T100:AA100" si="400">+S100</f>
        <v>0</v>
      </c>
      <c r="U100" s="13">
        <f t="shared" si="400"/>
        <v>0</v>
      </c>
      <c r="V100" s="13">
        <f t="shared" si="400"/>
        <v>0</v>
      </c>
      <c r="W100" s="13">
        <f t="shared" si="400"/>
        <v>0</v>
      </c>
      <c r="X100" s="13">
        <f t="shared" si="400"/>
        <v>0</v>
      </c>
      <c r="Y100" s="13">
        <f t="shared" si="400"/>
        <v>0</v>
      </c>
      <c r="Z100" s="13">
        <f t="shared" si="400"/>
        <v>0</v>
      </c>
      <c r="AA100" s="13">
        <f t="shared" si="400"/>
        <v>0</v>
      </c>
      <c r="AB100" s="8"/>
      <c r="AC100" s="4">
        <f>SUM(C100:E100)</f>
        <v>0</v>
      </c>
      <c r="AD100" s="4">
        <f>SUM(F100:H100)</f>
        <v>0</v>
      </c>
      <c r="AE100" s="4">
        <f>SUM(I100:K100)</f>
        <v>0</v>
      </c>
      <c r="AF100" s="4">
        <f>SUM(L100:N100)</f>
        <v>0</v>
      </c>
      <c r="AG100" s="4"/>
      <c r="AH100" s="4">
        <f>SUM(P100:R100)</f>
        <v>0</v>
      </c>
      <c r="AI100" s="4">
        <f>SUM(S100:U100)</f>
        <v>0</v>
      </c>
      <c r="AJ100" s="4">
        <f>SUM(V100:X100)</f>
        <v>0</v>
      </c>
      <c r="AK100" s="4">
        <f>SUM(Y100:AA100)</f>
        <v>0</v>
      </c>
      <c r="AL100" s="4"/>
      <c r="AM100" s="4">
        <f>SUM(C100:N100)</f>
        <v>0</v>
      </c>
      <c r="AN100" s="4">
        <f>SUM(P100:AA100)</f>
        <v>0</v>
      </c>
      <c r="AO100" s="1"/>
      <c r="AP100" s="25">
        <f>ROUND(SUM(AC100:AF100)-AM100,2)</f>
        <v>0</v>
      </c>
      <c r="AQ100" s="25">
        <f>ROUND(SUM(AH100:AK100)-AN100,2)</f>
        <v>0</v>
      </c>
    </row>
    <row r="101" spans="2:45" x14ac:dyDescent="0.2">
      <c r="B101" s="30" t="s">
        <v>25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13">
        <v>0</v>
      </c>
      <c r="O101" s="29"/>
      <c r="P101" s="13">
        <v>0</v>
      </c>
      <c r="Q101" s="13">
        <v>0</v>
      </c>
      <c r="R101" s="13">
        <v>0</v>
      </c>
      <c r="S101" s="13">
        <f>+R101</f>
        <v>0</v>
      </c>
      <c r="T101" s="13">
        <f t="shared" ref="T101:AA101" si="401">+S101</f>
        <v>0</v>
      </c>
      <c r="U101" s="13">
        <f t="shared" si="401"/>
        <v>0</v>
      </c>
      <c r="V101" s="13">
        <f t="shared" si="401"/>
        <v>0</v>
      </c>
      <c r="W101" s="13">
        <f t="shared" si="401"/>
        <v>0</v>
      </c>
      <c r="X101" s="13">
        <f t="shared" si="401"/>
        <v>0</v>
      </c>
      <c r="Y101" s="13">
        <f t="shared" si="401"/>
        <v>0</v>
      </c>
      <c r="Z101" s="13">
        <f t="shared" si="401"/>
        <v>0</v>
      </c>
      <c r="AA101" s="13">
        <f t="shared" si="401"/>
        <v>0</v>
      </c>
      <c r="AB101" s="8"/>
      <c r="AC101" s="4">
        <f>SUM(C101:E101)</f>
        <v>0</v>
      </c>
      <c r="AD101" s="4">
        <f>SUM(F101:H101)</f>
        <v>0</v>
      </c>
      <c r="AE101" s="4">
        <f>SUM(I101:K101)</f>
        <v>0</v>
      </c>
      <c r="AF101" s="4">
        <f>SUM(L101:N101)</f>
        <v>0</v>
      </c>
      <c r="AG101" s="4"/>
      <c r="AH101" s="4">
        <f t="shared" ref="AH101:AH102" si="402">SUM(P101:R101)</f>
        <v>0</v>
      </c>
      <c r="AI101" s="4">
        <f t="shared" ref="AI101:AI102" si="403">SUM(S101:U101)</f>
        <v>0</v>
      </c>
      <c r="AJ101" s="4">
        <f t="shared" ref="AJ101:AJ102" si="404">SUM(V101:X101)</f>
        <v>0</v>
      </c>
      <c r="AK101" s="4">
        <f t="shared" ref="AK101:AK102" si="405">SUM(Y101:AA101)</f>
        <v>0</v>
      </c>
      <c r="AL101" s="4"/>
      <c r="AM101" s="4">
        <f t="shared" ref="AM101:AM102" si="406">SUM(C101:N101)</f>
        <v>0</v>
      </c>
      <c r="AN101" s="4">
        <f t="shared" ref="AN101:AN102" si="407">SUM(P101:AA101)</f>
        <v>0</v>
      </c>
      <c r="AO101" s="1"/>
      <c r="AP101" s="25">
        <f t="shared" ref="AP101:AP102" si="408">ROUND(SUM(AC101:AF101)-AM101,2)</f>
        <v>0</v>
      </c>
      <c r="AQ101" s="25">
        <f t="shared" ref="AQ101:AQ102" si="409">ROUND(SUM(AH101:AK101)-AN101,2)</f>
        <v>0</v>
      </c>
    </row>
    <row r="102" spans="2:45" x14ac:dyDescent="0.2">
      <c r="B102" s="30" t="s">
        <v>118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13">
        <v>0</v>
      </c>
      <c r="O102" s="29"/>
      <c r="P102" s="13">
        <v>0</v>
      </c>
      <c r="Q102" s="13">
        <v>0</v>
      </c>
      <c r="R102" s="13">
        <f>IFERROR(R100*(Q102/Q100),0)</f>
        <v>0</v>
      </c>
      <c r="S102" s="13">
        <f>+R102</f>
        <v>0</v>
      </c>
      <c r="T102" s="13">
        <f t="shared" ref="T102:AA102" si="410">+S102</f>
        <v>0</v>
      </c>
      <c r="U102" s="13">
        <f t="shared" si="410"/>
        <v>0</v>
      </c>
      <c r="V102" s="13">
        <f t="shared" si="410"/>
        <v>0</v>
      </c>
      <c r="W102" s="13">
        <f t="shared" si="410"/>
        <v>0</v>
      </c>
      <c r="X102" s="13">
        <f t="shared" si="410"/>
        <v>0</v>
      </c>
      <c r="Y102" s="13">
        <f t="shared" si="410"/>
        <v>0</v>
      </c>
      <c r="Z102" s="13">
        <f t="shared" si="410"/>
        <v>0</v>
      </c>
      <c r="AA102" s="13">
        <f t="shared" si="410"/>
        <v>0</v>
      </c>
      <c r="AB102" s="8"/>
      <c r="AC102" s="4">
        <f>SUM(C102:E102)</f>
        <v>0</v>
      </c>
      <c r="AD102" s="4">
        <f>SUM(F102:H102)</f>
        <v>0</v>
      </c>
      <c r="AE102" s="4">
        <f>SUM(I102:K102)</f>
        <v>0</v>
      </c>
      <c r="AF102" s="4">
        <f>SUM(L102:N102)</f>
        <v>0</v>
      </c>
      <c r="AG102" s="4"/>
      <c r="AH102" s="4">
        <f t="shared" si="402"/>
        <v>0</v>
      </c>
      <c r="AI102" s="4">
        <f t="shared" si="403"/>
        <v>0</v>
      </c>
      <c r="AJ102" s="4">
        <f t="shared" si="404"/>
        <v>0</v>
      </c>
      <c r="AK102" s="4">
        <f t="shared" si="405"/>
        <v>0</v>
      </c>
      <c r="AL102" s="4"/>
      <c r="AM102" s="4">
        <f t="shared" si="406"/>
        <v>0</v>
      </c>
      <c r="AN102" s="4">
        <f t="shared" si="407"/>
        <v>0</v>
      </c>
      <c r="AO102" s="1"/>
      <c r="AP102" s="25">
        <f t="shared" si="408"/>
        <v>0</v>
      </c>
      <c r="AQ102" s="25">
        <f t="shared" si="409"/>
        <v>0</v>
      </c>
    </row>
    <row r="103" spans="2:45" x14ac:dyDescent="0.2">
      <c r="B103" s="28" t="s">
        <v>122</v>
      </c>
      <c r="C103" s="29">
        <f>SUM(C100:C102)</f>
        <v>0</v>
      </c>
      <c r="D103" s="29">
        <f t="shared" ref="D103:N103" si="411">SUM(D100:D102)</f>
        <v>0</v>
      </c>
      <c r="E103" s="29">
        <f t="shared" si="411"/>
        <v>0</v>
      </c>
      <c r="F103" s="29">
        <f t="shared" si="411"/>
        <v>0</v>
      </c>
      <c r="G103" s="29">
        <f t="shared" si="411"/>
        <v>0</v>
      </c>
      <c r="H103" s="29">
        <f t="shared" si="411"/>
        <v>0</v>
      </c>
      <c r="I103" s="29">
        <f t="shared" si="411"/>
        <v>0</v>
      </c>
      <c r="J103" s="29">
        <f t="shared" si="411"/>
        <v>0</v>
      </c>
      <c r="K103" s="29">
        <f t="shared" si="411"/>
        <v>0</v>
      </c>
      <c r="L103" s="29">
        <f t="shared" si="411"/>
        <v>0</v>
      </c>
      <c r="M103" s="29">
        <f t="shared" si="411"/>
        <v>0</v>
      </c>
      <c r="N103" s="29">
        <f t="shared" si="411"/>
        <v>0</v>
      </c>
      <c r="O103" s="29"/>
      <c r="P103" s="29">
        <f t="shared" ref="P103:AA103" si="412">SUM(P100:P102)</f>
        <v>0</v>
      </c>
      <c r="Q103" s="29">
        <f t="shared" si="412"/>
        <v>0</v>
      </c>
      <c r="R103" s="29">
        <f t="shared" si="412"/>
        <v>0</v>
      </c>
      <c r="S103" s="29">
        <f t="shared" si="412"/>
        <v>0</v>
      </c>
      <c r="T103" s="29">
        <f t="shared" si="412"/>
        <v>0</v>
      </c>
      <c r="U103" s="29">
        <f t="shared" si="412"/>
        <v>0</v>
      </c>
      <c r="V103" s="29">
        <f t="shared" si="412"/>
        <v>0</v>
      </c>
      <c r="W103" s="29">
        <f t="shared" si="412"/>
        <v>0</v>
      </c>
      <c r="X103" s="29">
        <f t="shared" si="412"/>
        <v>0</v>
      </c>
      <c r="Y103" s="29">
        <f t="shared" si="412"/>
        <v>0</v>
      </c>
      <c r="Z103" s="29">
        <f t="shared" si="412"/>
        <v>0</v>
      </c>
      <c r="AA103" s="29">
        <f t="shared" si="412"/>
        <v>0</v>
      </c>
      <c r="AB103" s="8"/>
      <c r="AC103" s="29">
        <f t="shared" ref="AC103:AF103" si="413">SUM(AC100:AC102)</f>
        <v>0</v>
      </c>
      <c r="AD103" s="29">
        <f t="shared" si="413"/>
        <v>0</v>
      </c>
      <c r="AE103" s="29">
        <f t="shared" si="413"/>
        <v>0</v>
      </c>
      <c r="AF103" s="29">
        <f t="shared" si="413"/>
        <v>0</v>
      </c>
      <c r="AG103" s="12"/>
      <c r="AH103" s="29">
        <f>SUM(AH100:AH102)</f>
        <v>0</v>
      </c>
      <c r="AI103" s="29">
        <f t="shared" ref="AI103:AK103" si="414">SUM(AI100:AI102)</f>
        <v>0</v>
      </c>
      <c r="AJ103" s="29">
        <f t="shared" si="414"/>
        <v>0</v>
      </c>
      <c r="AK103" s="29">
        <f t="shared" si="414"/>
        <v>0</v>
      </c>
      <c r="AL103" s="12"/>
      <c r="AM103" s="29">
        <f>SUM(AM100:AM102)</f>
        <v>0</v>
      </c>
      <c r="AN103" s="29">
        <f>SUM(AN100:AN102)</f>
        <v>0</v>
      </c>
      <c r="AO103" s="1"/>
      <c r="AP103" s="25">
        <f>ROUND(SUM(AC103:AF103)-AM103,2)</f>
        <v>0</v>
      </c>
      <c r="AQ103" s="25">
        <f>ROUND(SUM(AH103:AK103)-AN103,2)</f>
        <v>0</v>
      </c>
    </row>
    <row r="104" spans="2:45" x14ac:dyDescent="0.2">
      <c r="O104" s="29"/>
    </row>
    <row r="105" spans="2:45" x14ac:dyDescent="0.2">
      <c r="B105" s="30" t="s">
        <v>117</v>
      </c>
      <c r="C105" s="99">
        <v>0</v>
      </c>
      <c r="D105" s="99">
        <v>0</v>
      </c>
      <c r="E105" s="99">
        <v>0</v>
      </c>
      <c r="F105" s="99">
        <v>0</v>
      </c>
      <c r="G105" s="99">
        <v>0</v>
      </c>
      <c r="H105" s="99">
        <v>0</v>
      </c>
      <c r="I105" s="99">
        <v>0</v>
      </c>
      <c r="J105" s="99">
        <v>0</v>
      </c>
      <c r="K105" s="99">
        <v>0</v>
      </c>
      <c r="L105" s="99">
        <v>0</v>
      </c>
      <c r="M105" s="99">
        <v>0</v>
      </c>
      <c r="N105" s="13">
        <v>0</v>
      </c>
      <c r="O105" s="29"/>
      <c r="P105" s="13">
        <v>0</v>
      </c>
      <c r="Q105" s="13">
        <v>0</v>
      </c>
      <c r="R105" s="13">
        <f>+Q105+(Q105*$R$2)</f>
        <v>0</v>
      </c>
      <c r="S105" s="13">
        <f>+R105</f>
        <v>0</v>
      </c>
      <c r="T105" s="13">
        <f t="shared" ref="T105:AA105" si="415">+S105</f>
        <v>0</v>
      </c>
      <c r="U105" s="13">
        <f t="shared" si="415"/>
        <v>0</v>
      </c>
      <c r="V105" s="13">
        <f t="shared" si="415"/>
        <v>0</v>
      </c>
      <c r="W105" s="13">
        <f t="shared" si="415"/>
        <v>0</v>
      </c>
      <c r="X105" s="13">
        <f t="shared" si="415"/>
        <v>0</v>
      </c>
      <c r="Y105" s="13">
        <f t="shared" si="415"/>
        <v>0</v>
      </c>
      <c r="Z105" s="13">
        <f t="shared" si="415"/>
        <v>0</v>
      </c>
      <c r="AA105" s="13">
        <f t="shared" si="415"/>
        <v>0</v>
      </c>
      <c r="AB105" s="8"/>
      <c r="AC105" s="4">
        <f>SUM(C105:E105)</f>
        <v>0</v>
      </c>
      <c r="AD105" s="4">
        <f>SUM(F105:H105)</f>
        <v>0</v>
      </c>
      <c r="AE105" s="4">
        <f>SUM(I105:K105)</f>
        <v>0</v>
      </c>
      <c r="AF105" s="4">
        <f>SUM(L105:N105)</f>
        <v>0</v>
      </c>
      <c r="AG105" s="4"/>
      <c r="AH105" s="4">
        <f>SUM(P105:R105)</f>
        <v>0</v>
      </c>
      <c r="AI105" s="4">
        <f>SUM(S105:U105)</f>
        <v>0</v>
      </c>
      <c r="AJ105" s="4">
        <f>SUM(V105:X105)</f>
        <v>0</v>
      </c>
      <c r="AK105" s="4">
        <f>SUM(Y105:AA105)</f>
        <v>0</v>
      </c>
      <c r="AL105" s="4"/>
      <c r="AM105" s="4">
        <f>SUM(C105:N105)</f>
        <v>0</v>
      </c>
      <c r="AN105" s="4">
        <f>SUM(P105:AA105)</f>
        <v>0</v>
      </c>
      <c r="AO105" s="1"/>
      <c r="AP105" s="25">
        <f>ROUND(SUM(AC105:AF105)-AM105,2)</f>
        <v>0</v>
      </c>
      <c r="AQ105" s="25">
        <f>ROUND(SUM(AH105:AK105)-AN105,2)</f>
        <v>0</v>
      </c>
    </row>
    <row r="106" spans="2:45" x14ac:dyDescent="0.2">
      <c r="B106" s="30" t="s">
        <v>25</v>
      </c>
      <c r="C106" s="99">
        <v>0</v>
      </c>
      <c r="D106" s="99">
        <v>0</v>
      </c>
      <c r="E106" s="99">
        <v>0</v>
      </c>
      <c r="F106" s="99">
        <v>0</v>
      </c>
      <c r="G106" s="99">
        <v>0</v>
      </c>
      <c r="H106" s="99">
        <v>0</v>
      </c>
      <c r="I106" s="99">
        <v>0</v>
      </c>
      <c r="J106" s="99">
        <v>0</v>
      </c>
      <c r="K106" s="99">
        <v>0</v>
      </c>
      <c r="L106" s="99">
        <v>0</v>
      </c>
      <c r="M106" s="99">
        <v>0</v>
      </c>
      <c r="N106" s="13">
        <v>0</v>
      </c>
      <c r="O106" s="29"/>
      <c r="P106" s="13">
        <v>0</v>
      </c>
      <c r="Q106" s="13">
        <v>0</v>
      </c>
      <c r="R106" s="13">
        <v>0</v>
      </c>
      <c r="S106" s="13">
        <f>+R106</f>
        <v>0</v>
      </c>
      <c r="T106" s="13">
        <f t="shared" ref="T106:AA106" si="416">+S106</f>
        <v>0</v>
      </c>
      <c r="U106" s="13">
        <f t="shared" si="416"/>
        <v>0</v>
      </c>
      <c r="V106" s="13">
        <f t="shared" si="416"/>
        <v>0</v>
      </c>
      <c r="W106" s="13">
        <f t="shared" si="416"/>
        <v>0</v>
      </c>
      <c r="X106" s="13">
        <f t="shared" si="416"/>
        <v>0</v>
      </c>
      <c r="Y106" s="13">
        <f t="shared" si="416"/>
        <v>0</v>
      </c>
      <c r="Z106" s="13">
        <f t="shared" si="416"/>
        <v>0</v>
      </c>
      <c r="AA106" s="13">
        <f t="shared" si="416"/>
        <v>0</v>
      </c>
      <c r="AB106" s="8"/>
      <c r="AC106" s="4">
        <f>SUM(C106:E106)</f>
        <v>0</v>
      </c>
      <c r="AD106" s="4">
        <f>SUM(F106:H106)</f>
        <v>0</v>
      </c>
      <c r="AE106" s="4">
        <f>SUM(I106:K106)</f>
        <v>0</v>
      </c>
      <c r="AF106" s="4">
        <f>SUM(L106:N106)</f>
        <v>0</v>
      </c>
      <c r="AG106" s="4"/>
      <c r="AH106" s="4">
        <f t="shared" ref="AH106:AH107" si="417">SUM(P106:R106)</f>
        <v>0</v>
      </c>
      <c r="AI106" s="4">
        <f t="shared" ref="AI106:AI107" si="418">SUM(S106:U106)</f>
        <v>0</v>
      </c>
      <c r="AJ106" s="4">
        <f t="shared" ref="AJ106:AJ107" si="419">SUM(V106:X106)</f>
        <v>0</v>
      </c>
      <c r="AK106" s="4">
        <f t="shared" ref="AK106:AK107" si="420">SUM(Y106:AA106)</f>
        <v>0</v>
      </c>
      <c r="AL106" s="4"/>
      <c r="AM106" s="4">
        <f t="shared" ref="AM106:AM107" si="421">SUM(C106:N106)</f>
        <v>0</v>
      </c>
      <c r="AN106" s="4">
        <f t="shared" ref="AN106:AN107" si="422">SUM(P106:AA106)</f>
        <v>0</v>
      </c>
      <c r="AO106" s="1"/>
      <c r="AP106" s="25">
        <f t="shared" ref="AP106:AP107" si="423">ROUND(SUM(AC106:AF106)-AM106,2)</f>
        <v>0</v>
      </c>
      <c r="AQ106" s="25">
        <f t="shared" ref="AQ106:AQ107" si="424">ROUND(SUM(AH106:AK106)-AN106,2)</f>
        <v>0</v>
      </c>
    </row>
    <row r="107" spans="2:45" x14ac:dyDescent="0.2">
      <c r="B107" s="30" t="s">
        <v>118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13">
        <v>0</v>
      </c>
      <c r="O107" s="29"/>
      <c r="P107" s="13">
        <v>0</v>
      </c>
      <c r="Q107" s="13">
        <v>0</v>
      </c>
      <c r="R107" s="13">
        <f>IFERROR(R105*(Q107/Q105),0)</f>
        <v>0</v>
      </c>
      <c r="S107" s="13">
        <f>+R107</f>
        <v>0</v>
      </c>
      <c r="T107" s="13">
        <f t="shared" ref="T107:AA107" si="425">+S107</f>
        <v>0</v>
      </c>
      <c r="U107" s="13">
        <f t="shared" si="425"/>
        <v>0</v>
      </c>
      <c r="V107" s="13">
        <f t="shared" si="425"/>
        <v>0</v>
      </c>
      <c r="W107" s="13">
        <f t="shared" si="425"/>
        <v>0</v>
      </c>
      <c r="X107" s="13">
        <f t="shared" si="425"/>
        <v>0</v>
      </c>
      <c r="Y107" s="13">
        <f t="shared" si="425"/>
        <v>0</v>
      </c>
      <c r="Z107" s="13">
        <f t="shared" si="425"/>
        <v>0</v>
      </c>
      <c r="AA107" s="13">
        <f t="shared" si="425"/>
        <v>0</v>
      </c>
      <c r="AB107" s="8"/>
      <c r="AC107" s="4">
        <f>SUM(C107:E107)</f>
        <v>0</v>
      </c>
      <c r="AD107" s="4">
        <f>SUM(F107:H107)</f>
        <v>0</v>
      </c>
      <c r="AE107" s="4">
        <f>SUM(I107:K107)</f>
        <v>0</v>
      </c>
      <c r="AF107" s="4">
        <f>SUM(L107:N107)</f>
        <v>0</v>
      </c>
      <c r="AG107" s="4"/>
      <c r="AH107" s="4">
        <f t="shared" si="417"/>
        <v>0</v>
      </c>
      <c r="AI107" s="4">
        <f t="shared" si="418"/>
        <v>0</v>
      </c>
      <c r="AJ107" s="4">
        <f t="shared" si="419"/>
        <v>0</v>
      </c>
      <c r="AK107" s="4">
        <f t="shared" si="420"/>
        <v>0</v>
      </c>
      <c r="AL107" s="4"/>
      <c r="AM107" s="4">
        <f t="shared" si="421"/>
        <v>0</v>
      </c>
      <c r="AN107" s="4">
        <f t="shared" si="422"/>
        <v>0</v>
      </c>
      <c r="AO107" s="1"/>
      <c r="AP107" s="25">
        <f t="shared" si="423"/>
        <v>0</v>
      </c>
      <c r="AQ107" s="25">
        <f t="shared" si="424"/>
        <v>0</v>
      </c>
    </row>
    <row r="108" spans="2:45" x14ac:dyDescent="0.2">
      <c r="B108" s="28" t="s">
        <v>122</v>
      </c>
      <c r="C108" s="29">
        <f>SUM(C105:C107)</f>
        <v>0</v>
      </c>
      <c r="D108" s="29">
        <f t="shared" ref="D108" si="426">SUM(D105:D107)</f>
        <v>0</v>
      </c>
      <c r="E108" s="29">
        <f t="shared" ref="E108" si="427">SUM(E105:E107)</f>
        <v>0</v>
      </c>
      <c r="F108" s="29">
        <f t="shared" ref="F108" si="428">SUM(F105:F107)</f>
        <v>0</v>
      </c>
      <c r="G108" s="29">
        <f t="shared" ref="G108" si="429">SUM(G105:G107)</f>
        <v>0</v>
      </c>
      <c r="H108" s="29">
        <f t="shared" ref="H108" si="430">SUM(H105:H107)</f>
        <v>0</v>
      </c>
      <c r="I108" s="29">
        <f t="shared" ref="I108" si="431">SUM(I105:I107)</f>
        <v>0</v>
      </c>
      <c r="J108" s="29">
        <f t="shared" ref="J108:K108" si="432">SUM(J105:J107)</f>
        <v>0</v>
      </c>
      <c r="K108" s="29">
        <f t="shared" si="432"/>
        <v>0</v>
      </c>
      <c r="L108" s="29">
        <f t="shared" ref="L108" si="433">SUM(L105:L107)</f>
        <v>0</v>
      </c>
      <c r="M108" s="29">
        <f t="shared" ref="M108" si="434">SUM(M105:M107)</f>
        <v>0</v>
      </c>
      <c r="N108" s="29">
        <f t="shared" ref="N108:AA108" si="435">SUM(N105:N107)</f>
        <v>0</v>
      </c>
      <c r="O108" s="29"/>
      <c r="P108" s="29">
        <f t="shared" si="435"/>
        <v>0</v>
      </c>
      <c r="Q108" s="29">
        <f t="shared" si="435"/>
        <v>0</v>
      </c>
      <c r="R108" s="29">
        <f t="shared" si="435"/>
        <v>0</v>
      </c>
      <c r="S108" s="29">
        <f t="shared" si="435"/>
        <v>0</v>
      </c>
      <c r="T108" s="29">
        <f t="shared" si="435"/>
        <v>0</v>
      </c>
      <c r="U108" s="29">
        <f t="shared" si="435"/>
        <v>0</v>
      </c>
      <c r="V108" s="29">
        <f t="shared" si="435"/>
        <v>0</v>
      </c>
      <c r="W108" s="29">
        <f t="shared" si="435"/>
        <v>0</v>
      </c>
      <c r="X108" s="29">
        <f t="shared" si="435"/>
        <v>0</v>
      </c>
      <c r="Y108" s="29">
        <f t="shared" si="435"/>
        <v>0</v>
      </c>
      <c r="Z108" s="29">
        <f t="shared" si="435"/>
        <v>0</v>
      </c>
      <c r="AA108" s="29">
        <f t="shared" si="435"/>
        <v>0</v>
      </c>
      <c r="AB108" s="8"/>
      <c r="AC108" s="29">
        <f t="shared" ref="AC108" si="436">SUM(AC105:AC107)</f>
        <v>0</v>
      </c>
      <c r="AD108" s="29">
        <f t="shared" ref="AD108" si="437">SUM(AD105:AD107)</f>
        <v>0</v>
      </c>
      <c r="AE108" s="29">
        <f t="shared" ref="AE108" si="438">SUM(AE105:AE107)</f>
        <v>0</v>
      </c>
      <c r="AF108" s="29">
        <f t="shared" ref="AF108" si="439">SUM(AF105:AF107)</f>
        <v>0</v>
      </c>
      <c r="AG108" s="12"/>
      <c r="AH108" s="29">
        <f>SUM(AH105:AH107)</f>
        <v>0</v>
      </c>
      <c r="AI108" s="29">
        <f t="shared" ref="AI108:AK108" si="440">SUM(AI105:AI107)</f>
        <v>0</v>
      </c>
      <c r="AJ108" s="29">
        <f t="shared" si="440"/>
        <v>0</v>
      </c>
      <c r="AK108" s="29">
        <f t="shared" si="440"/>
        <v>0</v>
      </c>
      <c r="AL108" s="12"/>
      <c r="AM108" s="29">
        <f>SUM(AM105:AM107)</f>
        <v>0</v>
      </c>
      <c r="AN108" s="29">
        <f>SUM(AN105:AN107)</f>
        <v>0</v>
      </c>
      <c r="AO108" s="1"/>
      <c r="AP108" s="25">
        <f>ROUND(SUM(AC108:AF108)-AM108,2)</f>
        <v>0</v>
      </c>
      <c r="AQ108" s="25">
        <f>ROUND(SUM(AH108:AK108)-AN108,2)</f>
        <v>0</v>
      </c>
    </row>
    <row r="109" spans="2:45" x14ac:dyDescent="0.2">
      <c r="O109" s="29"/>
    </row>
    <row r="110" spans="2:45" x14ac:dyDescent="0.2">
      <c r="B110" s="30" t="s">
        <v>117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13">
        <v>0</v>
      </c>
      <c r="O110" s="29"/>
      <c r="P110" s="13">
        <v>0</v>
      </c>
      <c r="Q110" s="13">
        <v>0</v>
      </c>
      <c r="R110" s="13">
        <f>+Q110+(Q110*$R$2)</f>
        <v>0</v>
      </c>
      <c r="S110" s="13">
        <f>+R110</f>
        <v>0</v>
      </c>
      <c r="T110" s="13">
        <f t="shared" ref="T110:AA110" si="441">+S110</f>
        <v>0</v>
      </c>
      <c r="U110" s="13">
        <f t="shared" si="441"/>
        <v>0</v>
      </c>
      <c r="V110" s="13">
        <f t="shared" si="441"/>
        <v>0</v>
      </c>
      <c r="W110" s="13">
        <f t="shared" si="441"/>
        <v>0</v>
      </c>
      <c r="X110" s="13">
        <f t="shared" si="441"/>
        <v>0</v>
      </c>
      <c r="Y110" s="13">
        <f t="shared" si="441"/>
        <v>0</v>
      </c>
      <c r="Z110" s="13">
        <f t="shared" si="441"/>
        <v>0</v>
      </c>
      <c r="AA110" s="13">
        <f t="shared" si="441"/>
        <v>0</v>
      </c>
      <c r="AB110" s="8"/>
      <c r="AC110" s="4">
        <f>SUM(C110:E110)</f>
        <v>0</v>
      </c>
      <c r="AD110" s="4">
        <f>SUM(F110:H110)</f>
        <v>0</v>
      </c>
      <c r="AE110" s="4">
        <f>SUM(I110:K110)</f>
        <v>0</v>
      </c>
      <c r="AF110" s="4">
        <f>SUM(L110:N110)</f>
        <v>0</v>
      </c>
      <c r="AG110" s="4"/>
      <c r="AH110" s="4">
        <f>SUM(P110:R110)</f>
        <v>0</v>
      </c>
      <c r="AI110" s="4">
        <f>SUM(S110:U110)</f>
        <v>0</v>
      </c>
      <c r="AJ110" s="4">
        <f>SUM(V110:X110)</f>
        <v>0</v>
      </c>
      <c r="AK110" s="4">
        <f>SUM(Y110:AA110)</f>
        <v>0</v>
      </c>
      <c r="AL110" s="4"/>
      <c r="AM110" s="4">
        <f>SUM(C110:N110)</f>
        <v>0</v>
      </c>
      <c r="AN110" s="4">
        <f>SUM(P110:AA110)</f>
        <v>0</v>
      </c>
      <c r="AO110" s="1"/>
      <c r="AP110" s="25">
        <f>ROUND(SUM(AC110:AF110)-AM110,2)</f>
        <v>0</v>
      </c>
      <c r="AQ110" s="25">
        <f>ROUND(SUM(AH110:AK110)-AN110,2)</f>
        <v>0</v>
      </c>
    </row>
    <row r="111" spans="2:45" x14ac:dyDescent="0.2">
      <c r="B111" s="30" t="s">
        <v>25</v>
      </c>
      <c r="C111" s="99">
        <v>0</v>
      </c>
      <c r="D111" s="99">
        <v>0</v>
      </c>
      <c r="E111" s="99">
        <v>0</v>
      </c>
      <c r="F111" s="99">
        <v>0</v>
      </c>
      <c r="G111" s="99">
        <v>0</v>
      </c>
      <c r="H111" s="99">
        <v>0</v>
      </c>
      <c r="I111" s="99">
        <v>0</v>
      </c>
      <c r="J111" s="99">
        <v>0</v>
      </c>
      <c r="K111" s="99">
        <v>0</v>
      </c>
      <c r="L111" s="99">
        <v>0</v>
      </c>
      <c r="M111" s="99">
        <v>0</v>
      </c>
      <c r="N111" s="13">
        <v>0</v>
      </c>
      <c r="O111" s="29"/>
      <c r="P111" s="13">
        <v>0</v>
      </c>
      <c r="Q111" s="13">
        <v>0</v>
      </c>
      <c r="R111" s="13">
        <v>0</v>
      </c>
      <c r="S111" s="13">
        <f>+R111</f>
        <v>0</v>
      </c>
      <c r="T111" s="13">
        <f t="shared" ref="T111:AA111" si="442">+S111</f>
        <v>0</v>
      </c>
      <c r="U111" s="13">
        <f t="shared" si="442"/>
        <v>0</v>
      </c>
      <c r="V111" s="13">
        <f t="shared" si="442"/>
        <v>0</v>
      </c>
      <c r="W111" s="13">
        <f t="shared" si="442"/>
        <v>0</v>
      </c>
      <c r="X111" s="13">
        <f t="shared" si="442"/>
        <v>0</v>
      </c>
      <c r="Y111" s="13">
        <f t="shared" si="442"/>
        <v>0</v>
      </c>
      <c r="Z111" s="13">
        <f t="shared" si="442"/>
        <v>0</v>
      </c>
      <c r="AA111" s="13">
        <f t="shared" si="442"/>
        <v>0</v>
      </c>
      <c r="AB111" s="8"/>
      <c r="AC111" s="4">
        <f>SUM(C111:E111)</f>
        <v>0</v>
      </c>
      <c r="AD111" s="4">
        <f>SUM(F111:H111)</f>
        <v>0</v>
      </c>
      <c r="AE111" s="4">
        <f>SUM(I111:K111)</f>
        <v>0</v>
      </c>
      <c r="AF111" s="4">
        <f>SUM(L111:N111)</f>
        <v>0</v>
      </c>
      <c r="AG111" s="4"/>
      <c r="AH111" s="4">
        <f t="shared" ref="AH111:AH112" si="443">SUM(P111:R111)</f>
        <v>0</v>
      </c>
      <c r="AI111" s="4">
        <f t="shared" ref="AI111:AI112" si="444">SUM(S111:U111)</f>
        <v>0</v>
      </c>
      <c r="AJ111" s="4">
        <f t="shared" ref="AJ111:AJ112" si="445">SUM(V111:X111)</f>
        <v>0</v>
      </c>
      <c r="AK111" s="4">
        <f t="shared" ref="AK111:AK112" si="446">SUM(Y111:AA111)</f>
        <v>0</v>
      </c>
      <c r="AL111" s="4"/>
      <c r="AM111" s="4">
        <f t="shared" ref="AM111:AM112" si="447">SUM(C111:N111)</f>
        <v>0</v>
      </c>
      <c r="AN111" s="4">
        <f t="shared" ref="AN111:AN112" si="448">SUM(P111:AA111)</f>
        <v>0</v>
      </c>
      <c r="AO111" s="1"/>
      <c r="AP111" s="25">
        <f t="shared" ref="AP111:AP112" si="449">ROUND(SUM(AC111:AF111)-AM111,2)</f>
        <v>0</v>
      </c>
      <c r="AQ111" s="25">
        <f t="shared" ref="AQ111:AQ112" si="450">ROUND(SUM(AH111:AK111)-AN111,2)</f>
        <v>0</v>
      </c>
    </row>
    <row r="112" spans="2:45" x14ac:dyDescent="0.2">
      <c r="B112" s="30" t="s">
        <v>118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13">
        <v>0</v>
      </c>
      <c r="O112" s="29"/>
      <c r="P112" s="13">
        <v>0</v>
      </c>
      <c r="Q112" s="13">
        <v>0</v>
      </c>
      <c r="R112" s="13">
        <f>IFERROR(R110*(Q112/Q110),0)</f>
        <v>0</v>
      </c>
      <c r="S112" s="13">
        <f>+R112</f>
        <v>0</v>
      </c>
      <c r="T112" s="13">
        <f t="shared" ref="T112:AA112" si="451">+S112</f>
        <v>0</v>
      </c>
      <c r="U112" s="13">
        <f t="shared" si="451"/>
        <v>0</v>
      </c>
      <c r="V112" s="13">
        <f t="shared" si="451"/>
        <v>0</v>
      </c>
      <c r="W112" s="13">
        <f t="shared" si="451"/>
        <v>0</v>
      </c>
      <c r="X112" s="13">
        <f t="shared" si="451"/>
        <v>0</v>
      </c>
      <c r="Y112" s="13">
        <f t="shared" si="451"/>
        <v>0</v>
      </c>
      <c r="Z112" s="13">
        <f t="shared" si="451"/>
        <v>0</v>
      </c>
      <c r="AA112" s="13">
        <f t="shared" si="451"/>
        <v>0</v>
      </c>
      <c r="AB112" s="8"/>
      <c r="AC112" s="4">
        <f>SUM(C112:E112)</f>
        <v>0</v>
      </c>
      <c r="AD112" s="4">
        <f>SUM(F112:H112)</f>
        <v>0</v>
      </c>
      <c r="AE112" s="4">
        <f>SUM(I112:K112)</f>
        <v>0</v>
      </c>
      <c r="AF112" s="4">
        <f>SUM(L112:N112)</f>
        <v>0</v>
      </c>
      <c r="AG112" s="4"/>
      <c r="AH112" s="4">
        <f t="shared" si="443"/>
        <v>0</v>
      </c>
      <c r="AI112" s="4">
        <f t="shared" si="444"/>
        <v>0</v>
      </c>
      <c r="AJ112" s="4">
        <f t="shared" si="445"/>
        <v>0</v>
      </c>
      <c r="AK112" s="4">
        <f t="shared" si="446"/>
        <v>0</v>
      </c>
      <c r="AL112" s="4"/>
      <c r="AM112" s="4">
        <f t="shared" si="447"/>
        <v>0</v>
      </c>
      <c r="AN112" s="4">
        <f t="shared" si="448"/>
        <v>0</v>
      </c>
      <c r="AO112" s="1"/>
      <c r="AP112" s="25">
        <f t="shared" si="449"/>
        <v>0</v>
      </c>
      <c r="AQ112" s="25">
        <f t="shared" si="450"/>
        <v>0</v>
      </c>
    </row>
    <row r="113" spans="2:43" x14ac:dyDescent="0.2">
      <c r="B113" s="28" t="s">
        <v>122</v>
      </c>
      <c r="C113" s="29">
        <f>SUM(C110:C112)</f>
        <v>0</v>
      </c>
      <c r="D113" s="29">
        <f t="shared" ref="D113" si="452">SUM(D110:D112)</f>
        <v>0</v>
      </c>
      <c r="E113" s="29">
        <f t="shared" ref="E113" si="453">SUM(E110:E112)</f>
        <v>0</v>
      </c>
      <c r="F113" s="29">
        <f t="shared" ref="F113" si="454">SUM(F110:F112)</f>
        <v>0</v>
      </c>
      <c r="G113" s="29">
        <f t="shared" ref="G113" si="455">SUM(G110:G112)</f>
        <v>0</v>
      </c>
      <c r="H113" s="29">
        <f t="shared" ref="H113" si="456">SUM(H110:H112)</f>
        <v>0</v>
      </c>
      <c r="I113" s="29">
        <f t="shared" ref="I113" si="457">SUM(I110:I112)</f>
        <v>0</v>
      </c>
      <c r="J113" s="29">
        <f t="shared" ref="J113:K113" si="458">SUM(J110:J112)</f>
        <v>0</v>
      </c>
      <c r="K113" s="29">
        <f t="shared" si="458"/>
        <v>0</v>
      </c>
      <c r="L113" s="29">
        <f t="shared" ref="L113" si="459">SUM(L110:L112)</f>
        <v>0</v>
      </c>
      <c r="M113" s="29">
        <f t="shared" ref="M113" si="460">SUM(M110:M112)</f>
        <v>0</v>
      </c>
      <c r="N113" s="29">
        <f t="shared" ref="N113:AA113" si="461">SUM(N110:N112)</f>
        <v>0</v>
      </c>
      <c r="O113" s="29"/>
      <c r="P113" s="29">
        <f t="shared" si="461"/>
        <v>0</v>
      </c>
      <c r="Q113" s="29">
        <f t="shared" si="461"/>
        <v>0</v>
      </c>
      <c r="R113" s="29">
        <f t="shared" si="461"/>
        <v>0</v>
      </c>
      <c r="S113" s="29">
        <f t="shared" si="461"/>
        <v>0</v>
      </c>
      <c r="T113" s="29">
        <f t="shared" si="461"/>
        <v>0</v>
      </c>
      <c r="U113" s="29">
        <f t="shared" si="461"/>
        <v>0</v>
      </c>
      <c r="V113" s="29">
        <f t="shared" si="461"/>
        <v>0</v>
      </c>
      <c r="W113" s="29">
        <f t="shared" si="461"/>
        <v>0</v>
      </c>
      <c r="X113" s="29">
        <f t="shared" si="461"/>
        <v>0</v>
      </c>
      <c r="Y113" s="29">
        <f t="shared" si="461"/>
        <v>0</v>
      </c>
      <c r="Z113" s="29">
        <f t="shared" si="461"/>
        <v>0</v>
      </c>
      <c r="AA113" s="29">
        <f t="shared" si="461"/>
        <v>0</v>
      </c>
      <c r="AB113" s="8"/>
      <c r="AC113" s="29">
        <f t="shared" ref="AC113" si="462">SUM(AC110:AC112)</f>
        <v>0</v>
      </c>
      <c r="AD113" s="29">
        <f t="shared" ref="AD113" si="463">SUM(AD110:AD112)</f>
        <v>0</v>
      </c>
      <c r="AE113" s="29">
        <f t="shared" ref="AE113" si="464">SUM(AE110:AE112)</f>
        <v>0</v>
      </c>
      <c r="AF113" s="29">
        <f t="shared" ref="AF113" si="465">SUM(AF110:AF112)</f>
        <v>0</v>
      </c>
      <c r="AG113" s="12"/>
      <c r="AH113" s="29">
        <f>SUM(AH110:AH112)</f>
        <v>0</v>
      </c>
      <c r="AI113" s="29">
        <f t="shared" ref="AI113:AK113" si="466">SUM(AI110:AI112)</f>
        <v>0</v>
      </c>
      <c r="AJ113" s="29">
        <f t="shared" si="466"/>
        <v>0</v>
      </c>
      <c r="AK113" s="29">
        <f t="shared" si="466"/>
        <v>0</v>
      </c>
      <c r="AL113" s="12"/>
      <c r="AM113" s="29">
        <f>SUM(AM110:AM112)</f>
        <v>0</v>
      </c>
      <c r="AN113" s="29">
        <f>SUM(AN110:AN112)</f>
        <v>0</v>
      </c>
      <c r="AO113" s="1"/>
      <c r="AP113" s="25">
        <f>ROUND(SUM(AC113:AF113)-AM113,2)</f>
        <v>0</v>
      </c>
      <c r="AQ113" s="25">
        <f>ROUND(SUM(AH113:AK113)-AN113,2)</f>
        <v>0</v>
      </c>
    </row>
    <row r="114" spans="2:43" x14ac:dyDescent="0.2">
      <c r="O114" s="29"/>
    </row>
    <row r="115" spans="2:43" x14ac:dyDescent="0.2">
      <c r="B115" s="30" t="s">
        <v>117</v>
      </c>
      <c r="C115" s="99">
        <v>0</v>
      </c>
      <c r="D115" s="99">
        <v>0</v>
      </c>
      <c r="E115" s="99">
        <v>0</v>
      </c>
      <c r="F115" s="99">
        <v>0</v>
      </c>
      <c r="G115" s="99">
        <v>0</v>
      </c>
      <c r="H115" s="99">
        <v>0</v>
      </c>
      <c r="I115" s="99">
        <v>0</v>
      </c>
      <c r="J115" s="99">
        <v>0</v>
      </c>
      <c r="K115" s="99">
        <v>0</v>
      </c>
      <c r="L115" s="99">
        <v>0</v>
      </c>
      <c r="M115" s="99">
        <v>0</v>
      </c>
      <c r="N115" s="13">
        <v>0</v>
      </c>
      <c r="O115" s="29"/>
      <c r="P115" s="13">
        <v>0</v>
      </c>
      <c r="Q115" s="13">
        <v>0</v>
      </c>
      <c r="R115" s="13">
        <f>+Q115+(Q115*$R$2)</f>
        <v>0</v>
      </c>
      <c r="S115" s="13">
        <f>+R115</f>
        <v>0</v>
      </c>
      <c r="T115" s="13">
        <f t="shared" ref="T115:AA115" si="467">+S115</f>
        <v>0</v>
      </c>
      <c r="U115" s="13">
        <f t="shared" si="467"/>
        <v>0</v>
      </c>
      <c r="V115" s="13">
        <f t="shared" si="467"/>
        <v>0</v>
      </c>
      <c r="W115" s="13">
        <f t="shared" si="467"/>
        <v>0</v>
      </c>
      <c r="X115" s="13">
        <f t="shared" si="467"/>
        <v>0</v>
      </c>
      <c r="Y115" s="13">
        <f t="shared" si="467"/>
        <v>0</v>
      </c>
      <c r="Z115" s="13">
        <f t="shared" si="467"/>
        <v>0</v>
      </c>
      <c r="AA115" s="13">
        <f t="shared" si="467"/>
        <v>0</v>
      </c>
      <c r="AB115" s="8"/>
      <c r="AC115" s="4">
        <f>SUM(C115:E115)</f>
        <v>0</v>
      </c>
      <c r="AD115" s="4">
        <f>SUM(F115:H115)</f>
        <v>0</v>
      </c>
      <c r="AE115" s="4">
        <f>SUM(I115:K115)</f>
        <v>0</v>
      </c>
      <c r="AF115" s="4">
        <f>SUM(L115:N115)</f>
        <v>0</v>
      </c>
      <c r="AG115" s="4"/>
      <c r="AH115" s="4">
        <f>SUM(P115:R115)</f>
        <v>0</v>
      </c>
      <c r="AI115" s="4">
        <f>SUM(S115:U115)</f>
        <v>0</v>
      </c>
      <c r="AJ115" s="4">
        <f>SUM(V115:X115)</f>
        <v>0</v>
      </c>
      <c r="AK115" s="4">
        <f>SUM(Y115:AA115)</f>
        <v>0</v>
      </c>
      <c r="AL115" s="4"/>
      <c r="AM115" s="4">
        <f>SUM(C115:N115)</f>
        <v>0</v>
      </c>
      <c r="AN115" s="4">
        <f>SUM(P115:AA115)</f>
        <v>0</v>
      </c>
      <c r="AO115" s="1"/>
      <c r="AP115" s="25">
        <f>ROUND(SUM(AC115:AF115)-AM115,2)</f>
        <v>0</v>
      </c>
      <c r="AQ115" s="25">
        <f>ROUND(SUM(AH115:AK115)-AN115,2)</f>
        <v>0</v>
      </c>
    </row>
    <row r="116" spans="2:43" x14ac:dyDescent="0.2">
      <c r="B116" s="30" t="s">
        <v>25</v>
      </c>
      <c r="C116" s="99">
        <v>0</v>
      </c>
      <c r="D116" s="99">
        <v>0</v>
      </c>
      <c r="E116" s="99">
        <v>0</v>
      </c>
      <c r="F116" s="99">
        <v>0</v>
      </c>
      <c r="G116" s="99">
        <v>0</v>
      </c>
      <c r="H116" s="99">
        <v>0</v>
      </c>
      <c r="I116" s="99">
        <v>0</v>
      </c>
      <c r="J116" s="99">
        <v>0</v>
      </c>
      <c r="K116" s="99">
        <v>0</v>
      </c>
      <c r="L116" s="99">
        <v>0</v>
      </c>
      <c r="M116" s="99">
        <v>0</v>
      </c>
      <c r="N116" s="13">
        <v>0</v>
      </c>
      <c r="O116" s="29"/>
      <c r="P116" s="13">
        <v>0</v>
      </c>
      <c r="Q116" s="13">
        <v>0</v>
      </c>
      <c r="R116" s="13">
        <v>0</v>
      </c>
      <c r="S116" s="13">
        <f>+R116</f>
        <v>0</v>
      </c>
      <c r="T116" s="13">
        <f t="shared" ref="T116:AA116" si="468">+S116</f>
        <v>0</v>
      </c>
      <c r="U116" s="13">
        <f t="shared" si="468"/>
        <v>0</v>
      </c>
      <c r="V116" s="13">
        <f t="shared" si="468"/>
        <v>0</v>
      </c>
      <c r="W116" s="13">
        <f t="shared" si="468"/>
        <v>0</v>
      </c>
      <c r="X116" s="13">
        <f t="shared" si="468"/>
        <v>0</v>
      </c>
      <c r="Y116" s="13">
        <f t="shared" si="468"/>
        <v>0</v>
      </c>
      <c r="Z116" s="13">
        <f t="shared" si="468"/>
        <v>0</v>
      </c>
      <c r="AA116" s="13">
        <f t="shared" si="468"/>
        <v>0</v>
      </c>
      <c r="AB116" s="8"/>
      <c r="AC116" s="4">
        <f>SUM(C116:E116)</f>
        <v>0</v>
      </c>
      <c r="AD116" s="4">
        <f>SUM(F116:H116)</f>
        <v>0</v>
      </c>
      <c r="AE116" s="4">
        <f>SUM(I116:K116)</f>
        <v>0</v>
      </c>
      <c r="AF116" s="4">
        <f>SUM(L116:N116)</f>
        <v>0</v>
      </c>
      <c r="AG116" s="4"/>
      <c r="AH116" s="4">
        <f t="shared" ref="AH116:AH117" si="469">SUM(P116:R116)</f>
        <v>0</v>
      </c>
      <c r="AI116" s="4">
        <f t="shared" ref="AI116:AI117" si="470">SUM(S116:U116)</f>
        <v>0</v>
      </c>
      <c r="AJ116" s="4">
        <f t="shared" ref="AJ116:AJ117" si="471">SUM(V116:X116)</f>
        <v>0</v>
      </c>
      <c r="AK116" s="4">
        <f t="shared" ref="AK116:AK117" si="472">SUM(Y116:AA116)</f>
        <v>0</v>
      </c>
      <c r="AL116" s="4"/>
      <c r="AM116" s="4">
        <f t="shared" ref="AM116:AM117" si="473">SUM(C116:N116)</f>
        <v>0</v>
      </c>
      <c r="AN116" s="4">
        <f t="shared" ref="AN116:AN117" si="474">SUM(P116:AA116)</f>
        <v>0</v>
      </c>
      <c r="AO116" s="1"/>
      <c r="AP116" s="25">
        <f t="shared" ref="AP116:AP117" si="475">ROUND(SUM(AC116:AF116)-AM116,2)</f>
        <v>0</v>
      </c>
      <c r="AQ116" s="25">
        <f t="shared" ref="AQ116:AQ117" si="476">ROUND(SUM(AH116:AK116)-AN116,2)</f>
        <v>0</v>
      </c>
    </row>
    <row r="117" spans="2:43" x14ac:dyDescent="0.2">
      <c r="B117" s="30" t="s">
        <v>118</v>
      </c>
      <c r="C117" s="99">
        <v>0</v>
      </c>
      <c r="D117" s="99">
        <v>0</v>
      </c>
      <c r="E117" s="99">
        <v>0</v>
      </c>
      <c r="F117" s="99">
        <v>0</v>
      </c>
      <c r="G117" s="99">
        <v>0</v>
      </c>
      <c r="H117" s="99">
        <v>0</v>
      </c>
      <c r="I117" s="99">
        <v>0</v>
      </c>
      <c r="J117" s="99">
        <v>0</v>
      </c>
      <c r="K117" s="99">
        <v>0</v>
      </c>
      <c r="L117" s="99">
        <v>0</v>
      </c>
      <c r="M117" s="99">
        <v>0</v>
      </c>
      <c r="N117" s="13">
        <v>0</v>
      </c>
      <c r="O117" s="29"/>
      <c r="P117" s="13">
        <v>0</v>
      </c>
      <c r="Q117" s="13">
        <v>0</v>
      </c>
      <c r="R117" s="13">
        <f>IFERROR(R115*(Q117/Q115),0)</f>
        <v>0</v>
      </c>
      <c r="S117" s="13">
        <f>+R117</f>
        <v>0</v>
      </c>
      <c r="T117" s="13">
        <f t="shared" ref="T117:AA117" si="477">+S117</f>
        <v>0</v>
      </c>
      <c r="U117" s="13">
        <f t="shared" si="477"/>
        <v>0</v>
      </c>
      <c r="V117" s="13">
        <f t="shared" si="477"/>
        <v>0</v>
      </c>
      <c r="W117" s="13">
        <f t="shared" si="477"/>
        <v>0</v>
      </c>
      <c r="X117" s="13">
        <f t="shared" si="477"/>
        <v>0</v>
      </c>
      <c r="Y117" s="13">
        <f t="shared" si="477"/>
        <v>0</v>
      </c>
      <c r="Z117" s="13">
        <f t="shared" si="477"/>
        <v>0</v>
      </c>
      <c r="AA117" s="13">
        <f t="shared" si="477"/>
        <v>0</v>
      </c>
      <c r="AB117" s="8"/>
      <c r="AC117" s="4">
        <f>SUM(C117:E117)</f>
        <v>0</v>
      </c>
      <c r="AD117" s="4">
        <f>SUM(F117:H117)</f>
        <v>0</v>
      </c>
      <c r="AE117" s="4">
        <f>SUM(I117:K117)</f>
        <v>0</v>
      </c>
      <c r="AF117" s="4">
        <f>SUM(L117:N117)</f>
        <v>0</v>
      </c>
      <c r="AG117" s="4"/>
      <c r="AH117" s="4">
        <f t="shared" si="469"/>
        <v>0</v>
      </c>
      <c r="AI117" s="4">
        <f t="shared" si="470"/>
        <v>0</v>
      </c>
      <c r="AJ117" s="4">
        <f t="shared" si="471"/>
        <v>0</v>
      </c>
      <c r="AK117" s="4">
        <f t="shared" si="472"/>
        <v>0</v>
      </c>
      <c r="AL117" s="4"/>
      <c r="AM117" s="4">
        <f t="shared" si="473"/>
        <v>0</v>
      </c>
      <c r="AN117" s="4">
        <f t="shared" si="474"/>
        <v>0</v>
      </c>
      <c r="AO117" s="1"/>
      <c r="AP117" s="25">
        <f t="shared" si="475"/>
        <v>0</v>
      </c>
      <c r="AQ117" s="25">
        <f t="shared" si="476"/>
        <v>0</v>
      </c>
    </row>
    <row r="118" spans="2:43" x14ac:dyDescent="0.2">
      <c r="B118" s="28" t="s">
        <v>122</v>
      </c>
      <c r="C118" s="29">
        <f>SUM(C115:C117)</f>
        <v>0</v>
      </c>
      <c r="D118" s="29">
        <f t="shared" ref="D118" si="478">SUM(D115:D117)</f>
        <v>0</v>
      </c>
      <c r="E118" s="29">
        <f t="shared" ref="E118" si="479">SUM(E115:E117)</f>
        <v>0</v>
      </c>
      <c r="F118" s="29">
        <f t="shared" ref="F118" si="480">SUM(F115:F117)</f>
        <v>0</v>
      </c>
      <c r="G118" s="29">
        <f t="shared" ref="G118" si="481">SUM(G115:G117)</f>
        <v>0</v>
      </c>
      <c r="H118" s="29">
        <f t="shared" ref="H118" si="482">SUM(H115:H117)</f>
        <v>0</v>
      </c>
      <c r="I118" s="29">
        <f t="shared" ref="I118" si="483">SUM(I115:I117)</f>
        <v>0</v>
      </c>
      <c r="J118" s="29">
        <f t="shared" ref="J118:K118" si="484">SUM(J115:J117)</f>
        <v>0</v>
      </c>
      <c r="K118" s="29">
        <f t="shared" si="484"/>
        <v>0</v>
      </c>
      <c r="L118" s="29">
        <f t="shared" ref="L118" si="485">SUM(L115:L117)</f>
        <v>0</v>
      </c>
      <c r="M118" s="29">
        <f t="shared" ref="M118" si="486">SUM(M115:M117)</f>
        <v>0</v>
      </c>
      <c r="N118" s="29">
        <f t="shared" ref="N118:AA118" si="487">SUM(N115:N117)</f>
        <v>0</v>
      </c>
      <c r="O118" s="29"/>
      <c r="P118" s="29">
        <f t="shared" si="487"/>
        <v>0</v>
      </c>
      <c r="Q118" s="29">
        <f t="shared" si="487"/>
        <v>0</v>
      </c>
      <c r="R118" s="29">
        <f t="shared" si="487"/>
        <v>0</v>
      </c>
      <c r="S118" s="29">
        <f t="shared" si="487"/>
        <v>0</v>
      </c>
      <c r="T118" s="29">
        <f t="shared" si="487"/>
        <v>0</v>
      </c>
      <c r="U118" s="29">
        <f t="shared" si="487"/>
        <v>0</v>
      </c>
      <c r="V118" s="29">
        <f t="shared" si="487"/>
        <v>0</v>
      </c>
      <c r="W118" s="29">
        <f t="shared" si="487"/>
        <v>0</v>
      </c>
      <c r="X118" s="29">
        <f t="shared" si="487"/>
        <v>0</v>
      </c>
      <c r="Y118" s="29">
        <f t="shared" si="487"/>
        <v>0</v>
      </c>
      <c r="Z118" s="29">
        <f t="shared" si="487"/>
        <v>0</v>
      </c>
      <c r="AA118" s="29">
        <f t="shared" si="487"/>
        <v>0</v>
      </c>
      <c r="AB118" s="8"/>
      <c r="AC118" s="29">
        <f t="shared" ref="AC118" si="488">SUM(AC115:AC117)</f>
        <v>0</v>
      </c>
      <c r="AD118" s="29">
        <f t="shared" ref="AD118" si="489">SUM(AD115:AD117)</f>
        <v>0</v>
      </c>
      <c r="AE118" s="29">
        <f t="shared" ref="AE118" si="490">SUM(AE115:AE117)</f>
        <v>0</v>
      </c>
      <c r="AF118" s="29">
        <f t="shared" ref="AF118" si="491">SUM(AF115:AF117)</f>
        <v>0</v>
      </c>
      <c r="AG118" s="12"/>
      <c r="AH118" s="29">
        <f>SUM(AH115:AH117)</f>
        <v>0</v>
      </c>
      <c r="AI118" s="29">
        <f t="shared" ref="AI118:AK118" si="492">SUM(AI115:AI117)</f>
        <v>0</v>
      </c>
      <c r="AJ118" s="29">
        <f t="shared" si="492"/>
        <v>0</v>
      </c>
      <c r="AK118" s="29">
        <f t="shared" si="492"/>
        <v>0</v>
      </c>
      <c r="AL118" s="12"/>
      <c r="AM118" s="29">
        <f>SUM(AM115:AM117)</f>
        <v>0</v>
      </c>
      <c r="AN118" s="29">
        <f>SUM(AN115:AN117)</f>
        <v>0</v>
      </c>
      <c r="AO118" s="1"/>
      <c r="AP118" s="25">
        <f>ROUND(SUM(AC118:AF118)-AM118,2)</f>
        <v>0</v>
      </c>
      <c r="AQ118" s="25">
        <f>ROUND(SUM(AH118:AK118)-AN118,2)</f>
        <v>0</v>
      </c>
    </row>
    <row r="119" spans="2:43" x14ac:dyDescent="0.2">
      <c r="O119" s="29"/>
    </row>
    <row r="120" spans="2:43" x14ac:dyDescent="0.2">
      <c r="B120" s="30" t="s">
        <v>117</v>
      </c>
      <c r="C120" s="4">
        <f>+C85+C90+C95+C100+C105+C110+C115</f>
        <v>23952.54</v>
      </c>
      <c r="D120" s="4">
        <f t="shared" ref="D120:N120" si="493">+D85+D90+D95+D100+D105+D110+D115</f>
        <v>19961.949999999997</v>
      </c>
      <c r="E120" s="4">
        <f t="shared" si="493"/>
        <v>21465.24</v>
      </c>
      <c r="F120" s="4">
        <f t="shared" si="493"/>
        <v>21996.82</v>
      </c>
      <c r="G120" s="4">
        <f t="shared" si="493"/>
        <v>21996.82</v>
      </c>
      <c r="H120" s="4">
        <f t="shared" si="493"/>
        <v>21996.86</v>
      </c>
      <c r="I120" s="4">
        <f t="shared" si="493"/>
        <v>21996.82</v>
      </c>
      <c r="J120" s="4">
        <f t="shared" si="493"/>
        <v>21996.86</v>
      </c>
      <c r="K120" s="4">
        <f t="shared" si="493"/>
        <v>22683.74</v>
      </c>
      <c r="L120" s="4">
        <f t="shared" si="493"/>
        <v>23043.21</v>
      </c>
      <c r="M120" s="4">
        <f t="shared" si="493"/>
        <v>22817.37</v>
      </c>
      <c r="N120" s="4">
        <f t="shared" si="493"/>
        <v>22100</v>
      </c>
      <c r="O120" s="29"/>
      <c r="P120" s="4">
        <f t="shared" ref="P120:Z120" si="494">+P85+P90+P95+P100+P105+P110+P115</f>
        <v>22100</v>
      </c>
      <c r="Q120" s="4">
        <f t="shared" si="494"/>
        <v>22100</v>
      </c>
      <c r="R120" s="4">
        <f t="shared" si="494"/>
        <v>22763</v>
      </c>
      <c r="S120" s="4">
        <f t="shared" si="494"/>
        <v>22763</v>
      </c>
      <c r="T120" s="4">
        <f t="shared" si="494"/>
        <v>22763</v>
      </c>
      <c r="U120" s="4">
        <f t="shared" si="494"/>
        <v>22763</v>
      </c>
      <c r="V120" s="4">
        <f t="shared" si="494"/>
        <v>22763</v>
      </c>
      <c r="W120" s="4">
        <f t="shared" si="494"/>
        <v>22763</v>
      </c>
      <c r="X120" s="4">
        <f t="shared" si="494"/>
        <v>22763</v>
      </c>
      <c r="Y120" s="4">
        <f t="shared" si="494"/>
        <v>22763</v>
      </c>
      <c r="Z120" s="4">
        <f t="shared" si="494"/>
        <v>22763</v>
      </c>
      <c r="AA120" s="4">
        <f>+AA85+AA90+AA95+AA100+AA105+AA110+AA115</f>
        <v>22763</v>
      </c>
      <c r="AB120" s="8"/>
      <c r="AC120" s="4">
        <f t="shared" ref="AC120:AF120" si="495">+AC85+AC90+AC95+AC100+AC105+AC110+AC115</f>
        <v>65379.73000000001</v>
      </c>
      <c r="AD120" s="4">
        <f t="shared" si="495"/>
        <v>65990.5</v>
      </c>
      <c r="AE120" s="4">
        <f t="shared" si="495"/>
        <v>66677.42</v>
      </c>
      <c r="AF120" s="4">
        <f t="shared" si="495"/>
        <v>67960.58</v>
      </c>
      <c r="AG120" s="4"/>
      <c r="AH120" s="4">
        <f t="shared" ref="AH120:AK120" si="496">+AH85+AH90+AH95+AH100+AH105+AH110+AH115</f>
        <v>66963</v>
      </c>
      <c r="AI120" s="4">
        <f t="shared" si="496"/>
        <v>68289</v>
      </c>
      <c r="AJ120" s="4">
        <f t="shared" si="496"/>
        <v>68289</v>
      </c>
      <c r="AK120" s="4">
        <f t="shared" si="496"/>
        <v>68289</v>
      </c>
      <c r="AL120" s="4"/>
      <c r="AM120" s="4">
        <f t="shared" ref="AM120:AN120" si="497">+AM85+AM90+AM95+AM100+AM105+AM110+AM115</f>
        <v>266008.23</v>
      </c>
      <c r="AN120" s="4">
        <f t="shared" si="497"/>
        <v>271830</v>
      </c>
      <c r="AO120" s="1"/>
      <c r="AP120" s="25">
        <f t="shared" ref="AP120:AP123" si="498">ROUND(SUM(AC120:AF120)-AM120,2)</f>
        <v>0</v>
      </c>
      <c r="AQ120" s="25">
        <f t="shared" ref="AQ120:AQ123" si="499">ROUND(SUM(AH120:AK120)-AN120,2)</f>
        <v>0</v>
      </c>
    </row>
    <row r="121" spans="2:43" x14ac:dyDescent="0.2">
      <c r="B121" s="30" t="s">
        <v>25</v>
      </c>
      <c r="C121" s="4">
        <f t="shared" ref="C121:N121" si="500">+C86+C91+C96+C101+C106+C111+C116</f>
        <v>0</v>
      </c>
      <c r="D121" s="4">
        <f t="shared" si="500"/>
        <v>21973.449999999997</v>
      </c>
      <c r="E121" s="4">
        <f t="shared" si="500"/>
        <v>0</v>
      </c>
      <c r="F121" s="4">
        <f t="shared" si="500"/>
        <v>0</v>
      </c>
      <c r="G121" s="4">
        <f t="shared" si="500"/>
        <v>0</v>
      </c>
      <c r="H121" s="4">
        <f t="shared" si="500"/>
        <v>0</v>
      </c>
      <c r="I121" s="4">
        <f t="shared" si="500"/>
        <v>0</v>
      </c>
      <c r="J121" s="4">
        <f t="shared" si="500"/>
        <v>0</v>
      </c>
      <c r="K121" s="4">
        <f t="shared" si="500"/>
        <v>0</v>
      </c>
      <c r="L121" s="4">
        <f t="shared" si="500"/>
        <v>0</v>
      </c>
      <c r="M121" s="4">
        <f t="shared" si="500"/>
        <v>0</v>
      </c>
      <c r="N121" s="4">
        <f t="shared" si="500"/>
        <v>0</v>
      </c>
      <c r="O121" s="29"/>
      <c r="P121" s="4">
        <f t="shared" ref="P121:AA121" si="501">+P86+P91+P96+P101+P106+P111+P116</f>
        <v>0</v>
      </c>
      <c r="Q121" s="4">
        <f t="shared" si="501"/>
        <v>62929.487627999995</v>
      </c>
      <c r="R121" s="4">
        <f t="shared" si="501"/>
        <v>0</v>
      </c>
      <c r="S121" s="4">
        <f t="shared" si="501"/>
        <v>0</v>
      </c>
      <c r="T121" s="4">
        <f t="shared" si="501"/>
        <v>0</v>
      </c>
      <c r="U121" s="4">
        <f t="shared" si="501"/>
        <v>0</v>
      </c>
      <c r="V121" s="4">
        <f t="shared" si="501"/>
        <v>0</v>
      </c>
      <c r="W121" s="4">
        <f t="shared" si="501"/>
        <v>0</v>
      </c>
      <c r="X121" s="4">
        <f t="shared" si="501"/>
        <v>0</v>
      </c>
      <c r="Y121" s="4">
        <f t="shared" si="501"/>
        <v>0</v>
      </c>
      <c r="Z121" s="4">
        <f t="shared" si="501"/>
        <v>0</v>
      </c>
      <c r="AA121" s="4">
        <f t="shared" si="501"/>
        <v>0</v>
      </c>
      <c r="AB121" s="8"/>
      <c r="AC121" s="4">
        <f t="shared" ref="AC121:AF121" si="502">+AC86+AC91+AC96+AC101+AC106+AC111+AC116</f>
        <v>21973.449999999997</v>
      </c>
      <c r="AD121" s="4">
        <f t="shared" si="502"/>
        <v>0</v>
      </c>
      <c r="AE121" s="4">
        <f t="shared" si="502"/>
        <v>0</v>
      </c>
      <c r="AF121" s="4">
        <f t="shared" si="502"/>
        <v>0</v>
      </c>
      <c r="AG121" s="4"/>
      <c r="AH121" s="4">
        <f t="shared" ref="AH121:AK121" si="503">+AH86+AH91+AH96+AH101+AH106+AH111+AH116</f>
        <v>62929.487627999995</v>
      </c>
      <c r="AI121" s="4">
        <f t="shared" si="503"/>
        <v>0</v>
      </c>
      <c r="AJ121" s="4">
        <f t="shared" si="503"/>
        <v>0</v>
      </c>
      <c r="AK121" s="4">
        <f t="shared" si="503"/>
        <v>0</v>
      </c>
      <c r="AL121" s="4"/>
      <c r="AM121" s="4">
        <f t="shared" ref="AM121:AN121" si="504">+AM86+AM91+AM96+AM101+AM106+AM111+AM116</f>
        <v>21973.449999999997</v>
      </c>
      <c r="AN121" s="4">
        <f t="shared" si="504"/>
        <v>62929.487627999995</v>
      </c>
      <c r="AO121" s="1"/>
      <c r="AP121" s="25">
        <f t="shared" si="498"/>
        <v>0</v>
      </c>
      <c r="AQ121" s="25">
        <f t="shared" si="499"/>
        <v>0</v>
      </c>
    </row>
    <row r="122" spans="2:43" x14ac:dyDescent="0.2">
      <c r="B122" s="30" t="s">
        <v>118</v>
      </c>
      <c r="C122" s="4">
        <f t="shared" ref="C122:N122" si="505">+C87+C92+C97+C102+C107+C112+C117</f>
        <v>8878.67</v>
      </c>
      <c r="D122" s="4">
        <f t="shared" si="505"/>
        <v>23798.620000000003</v>
      </c>
      <c r="E122" s="4">
        <f t="shared" si="505"/>
        <v>8647.4000000000015</v>
      </c>
      <c r="F122" s="4">
        <f t="shared" si="505"/>
        <v>8962.8999999999978</v>
      </c>
      <c r="G122" s="4">
        <f t="shared" si="505"/>
        <v>8962.9199999999983</v>
      </c>
      <c r="H122" s="4">
        <f t="shared" si="505"/>
        <v>8962.8799999999992</v>
      </c>
      <c r="I122" s="4">
        <f t="shared" si="505"/>
        <v>8962.93</v>
      </c>
      <c r="J122" s="4">
        <f t="shared" si="505"/>
        <v>8962.89</v>
      </c>
      <c r="K122" s="4">
        <f t="shared" si="505"/>
        <v>7589.09</v>
      </c>
      <c r="L122" s="4">
        <f t="shared" si="505"/>
        <v>6827.43</v>
      </c>
      <c r="M122" s="4">
        <f t="shared" si="505"/>
        <v>6901.1</v>
      </c>
      <c r="N122" s="4">
        <f t="shared" si="505"/>
        <v>8450</v>
      </c>
      <c r="O122" s="29"/>
      <c r="P122" s="4">
        <f t="shared" ref="P122:AA122" si="506">+P87+P92+P97+P102+P107+P112+P117</f>
        <v>8450</v>
      </c>
      <c r="Q122" s="4">
        <f t="shared" si="506"/>
        <v>8450</v>
      </c>
      <c r="R122" s="4">
        <f t="shared" si="506"/>
        <v>8703.5</v>
      </c>
      <c r="S122" s="4">
        <f t="shared" si="506"/>
        <v>8703.5</v>
      </c>
      <c r="T122" s="4">
        <f t="shared" si="506"/>
        <v>8703.5</v>
      </c>
      <c r="U122" s="4">
        <f t="shared" si="506"/>
        <v>8703.5</v>
      </c>
      <c r="V122" s="4">
        <f t="shared" si="506"/>
        <v>8703.5</v>
      </c>
      <c r="W122" s="4">
        <f t="shared" si="506"/>
        <v>8703.5</v>
      </c>
      <c r="X122" s="4">
        <f t="shared" si="506"/>
        <v>8703.5</v>
      </c>
      <c r="Y122" s="4">
        <f t="shared" si="506"/>
        <v>8703.5</v>
      </c>
      <c r="Z122" s="4">
        <f t="shared" si="506"/>
        <v>8703.5</v>
      </c>
      <c r="AA122" s="4">
        <f t="shared" si="506"/>
        <v>8703.5</v>
      </c>
      <c r="AB122" s="8"/>
      <c r="AC122" s="4">
        <f t="shared" ref="AC122:AF122" si="507">+AC87+AC92+AC97+AC102+AC107+AC112+AC117</f>
        <v>41324.69</v>
      </c>
      <c r="AD122" s="4">
        <f t="shared" si="507"/>
        <v>26888.699999999997</v>
      </c>
      <c r="AE122" s="4">
        <f t="shared" si="507"/>
        <v>25514.91</v>
      </c>
      <c r="AF122" s="4">
        <f t="shared" si="507"/>
        <v>22178.53</v>
      </c>
      <c r="AG122" s="4"/>
      <c r="AH122" s="4">
        <f t="shared" ref="AH122:AK122" si="508">+AH87+AH92+AH97+AH102+AH107+AH112+AH117</f>
        <v>25603.5</v>
      </c>
      <c r="AI122" s="4">
        <f t="shared" si="508"/>
        <v>26110.5</v>
      </c>
      <c r="AJ122" s="4">
        <f t="shared" si="508"/>
        <v>26110.5</v>
      </c>
      <c r="AK122" s="4">
        <f t="shared" si="508"/>
        <v>26110.5</v>
      </c>
      <c r="AL122" s="4"/>
      <c r="AM122" s="4">
        <f t="shared" ref="AM122:AN122" si="509">+AM87+AM92+AM97+AM102+AM107+AM112+AM117</f>
        <v>115906.83</v>
      </c>
      <c r="AN122" s="4">
        <f t="shared" si="509"/>
        <v>103935</v>
      </c>
      <c r="AO122" s="1"/>
      <c r="AP122" s="25">
        <f t="shared" si="498"/>
        <v>0</v>
      </c>
      <c r="AQ122" s="25">
        <f t="shared" si="499"/>
        <v>0</v>
      </c>
    </row>
    <row r="123" spans="2:43" x14ac:dyDescent="0.2">
      <c r="B123" s="28" t="s">
        <v>124</v>
      </c>
      <c r="C123" s="32">
        <f>+C88+C93+C98+C103+C108+C113+C118</f>
        <v>32831.21</v>
      </c>
      <c r="D123" s="32">
        <f t="shared" ref="D123:N123" si="510">+D88+D93+D98+D103+D108+D113+D118</f>
        <v>65734.02</v>
      </c>
      <c r="E123" s="32">
        <f t="shared" si="510"/>
        <v>30112.640000000003</v>
      </c>
      <c r="F123" s="32">
        <f t="shared" si="510"/>
        <v>30959.719999999998</v>
      </c>
      <c r="G123" s="32">
        <f t="shared" si="510"/>
        <v>30959.739999999998</v>
      </c>
      <c r="H123" s="32">
        <f t="shared" si="510"/>
        <v>30959.739999999998</v>
      </c>
      <c r="I123" s="32">
        <f t="shared" si="510"/>
        <v>30959.75</v>
      </c>
      <c r="J123" s="32">
        <f t="shared" si="510"/>
        <v>30959.75</v>
      </c>
      <c r="K123" s="32">
        <f t="shared" si="510"/>
        <v>30272.83</v>
      </c>
      <c r="L123" s="32">
        <f t="shared" si="510"/>
        <v>29870.639999999999</v>
      </c>
      <c r="M123" s="32">
        <f t="shared" si="510"/>
        <v>29718.47</v>
      </c>
      <c r="N123" s="32">
        <f t="shared" si="510"/>
        <v>30550</v>
      </c>
      <c r="O123" s="29"/>
      <c r="P123" s="32">
        <f t="shared" ref="P123:AA123" si="511">+P88+P93+P98+P103+P108+P113+P118</f>
        <v>30550</v>
      </c>
      <c r="Q123" s="32">
        <f t="shared" si="511"/>
        <v>93479.487628000003</v>
      </c>
      <c r="R123" s="32">
        <f t="shared" si="511"/>
        <v>31466.5</v>
      </c>
      <c r="S123" s="32">
        <f t="shared" si="511"/>
        <v>31466.5</v>
      </c>
      <c r="T123" s="32">
        <f t="shared" si="511"/>
        <v>31466.5</v>
      </c>
      <c r="U123" s="32">
        <f t="shared" si="511"/>
        <v>31466.5</v>
      </c>
      <c r="V123" s="32">
        <f t="shared" si="511"/>
        <v>31466.5</v>
      </c>
      <c r="W123" s="32">
        <f t="shared" si="511"/>
        <v>31466.5</v>
      </c>
      <c r="X123" s="32">
        <f t="shared" si="511"/>
        <v>31466.5</v>
      </c>
      <c r="Y123" s="32">
        <f t="shared" si="511"/>
        <v>31466.5</v>
      </c>
      <c r="Z123" s="32">
        <f t="shared" si="511"/>
        <v>31466.5</v>
      </c>
      <c r="AA123" s="32">
        <f t="shared" si="511"/>
        <v>31466.5</v>
      </c>
      <c r="AB123" s="33"/>
      <c r="AC123" s="32">
        <f t="shared" ref="AC123:AF123" si="512">+AC88+AC93+AC98+AC103+AC108+AC113+AC118</f>
        <v>128677.87000000001</v>
      </c>
      <c r="AD123" s="32">
        <f t="shared" si="512"/>
        <v>92879.2</v>
      </c>
      <c r="AE123" s="32">
        <f t="shared" si="512"/>
        <v>92192.329999999987</v>
      </c>
      <c r="AF123" s="32">
        <f t="shared" si="512"/>
        <v>90139.11</v>
      </c>
      <c r="AG123" s="33"/>
      <c r="AH123" s="32">
        <f t="shared" ref="AH123:AK123" si="513">+AH88+AH93+AH98+AH103+AH108+AH113+AH118</f>
        <v>155495.987628</v>
      </c>
      <c r="AI123" s="32">
        <f t="shared" si="513"/>
        <v>94399.5</v>
      </c>
      <c r="AJ123" s="32">
        <f t="shared" si="513"/>
        <v>94399.5</v>
      </c>
      <c r="AK123" s="32">
        <f t="shared" si="513"/>
        <v>94399.5</v>
      </c>
      <c r="AL123" s="33"/>
      <c r="AM123" s="32">
        <f t="shared" ref="AM123:AN123" si="514">+AM88+AM93+AM98+AM103+AM108+AM113+AM118</f>
        <v>403888.51</v>
      </c>
      <c r="AN123" s="32">
        <f t="shared" si="514"/>
        <v>438694.48762800003</v>
      </c>
      <c r="AP123" s="25">
        <f t="shared" si="498"/>
        <v>0</v>
      </c>
      <c r="AQ123" s="25">
        <f t="shared" si="499"/>
        <v>0</v>
      </c>
    </row>
    <row r="124" spans="2:43" x14ac:dyDescent="0.2">
      <c r="B124" s="28"/>
      <c r="C124" s="41" t="str">
        <f>IF(ROUND(C123-SUM(C120:C122),2)=0,"ok","check")</f>
        <v>ok</v>
      </c>
      <c r="D124" s="41" t="str">
        <f t="shared" ref="D124:N124" si="515">IF(ROUND(D123-SUM(D120:D122),2)=0,"ok","check")</f>
        <v>ok</v>
      </c>
      <c r="E124" s="41" t="str">
        <f t="shared" si="515"/>
        <v>ok</v>
      </c>
      <c r="F124" s="41" t="str">
        <f t="shared" si="515"/>
        <v>ok</v>
      </c>
      <c r="G124" s="41" t="str">
        <f t="shared" si="515"/>
        <v>ok</v>
      </c>
      <c r="H124" s="41" t="str">
        <f t="shared" si="515"/>
        <v>ok</v>
      </c>
      <c r="I124" s="41" t="str">
        <f t="shared" si="515"/>
        <v>ok</v>
      </c>
      <c r="J124" s="41" t="str">
        <f t="shared" si="515"/>
        <v>ok</v>
      </c>
      <c r="K124" s="41" t="str">
        <f t="shared" si="515"/>
        <v>ok</v>
      </c>
      <c r="L124" s="41" t="str">
        <f t="shared" si="515"/>
        <v>ok</v>
      </c>
      <c r="M124" s="41" t="str">
        <f t="shared" si="515"/>
        <v>ok</v>
      </c>
      <c r="N124" s="41" t="str">
        <f t="shared" si="515"/>
        <v>ok</v>
      </c>
      <c r="O124" s="29"/>
      <c r="P124" s="41" t="str">
        <f t="shared" ref="P124:AA124" si="516">IF(ROUND(P123-SUM(P120:P122),2)=0,"ok","check")</f>
        <v>ok</v>
      </c>
      <c r="Q124" s="41" t="str">
        <f t="shared" si="516"/>
        <v>ok</v>
      </c>
      <c r="R124" s="41" t="str">
        <f t="shared" si="516"/>
        <v>ok</v>
      </c>
      <c r="S124" s="41" t="str">
        <f t="shared" si="516"/>
        <v>ok</v>
      </c>
      <c r="T124" s="41" t="str">
        <f t="shared" si="516"/>
        <v>ok</v>
      </c>
      <c r="U124" s="41" t="str">
        <f t="shared" si="516"/>
        <v>ok</v>
      </c>
      <c r="V124" s="41" t="str">
        <f t="shared" si="516"/>
        <v>ok</v>
      </c>
      <c r="W124" s="41" t="str">
        <f t="shared" si="516"/>
        <v>ok</v>
      </c>
      <c r="X124" s="41" t="str">
        <f t="shared" si="516"/>
        <v>ok</v>
      </c>
      <c r="Y124" s="41" t="str">
        <f t="shared" si="516"/>
        <v>ok</v>
      </c>
      <c r="Z124" s="41" t="str">
        <f t="shared" si="516"/>
        <v>ok</v>
      </c>
      <c r="AA124" s="41" t="str">
        <f t="shared" si="516"/>
        <v>ok</v>
      </c>
    </row>
    <row r="126" spans="2:43" x14ac:dyDescent="0.2">
      <c r="B126" s="167" t="s">
        <v>125</v>
      </c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9"/>
    </row>
    <row r="128" spans="2:43" x14ac:dyDescent="0.2">
      <c r="B128" s="30" t="s">
        <v>117</v>
      </c>
      <c r="C128" s="99">
        <v>0</v>
      </c>
      <c r="D128" s="99">
        <v>0</v>
      </c>
      <c r="E128" s="99">
        <v>0</v>
      </c>
      <c r="F128" s="99">
        <v>0</v>
      </c>
      <c r="G128" s="99">
        <v>0</v>
      </c>
      <c r="H128" s="99">
        <v>0</v>
      </c>
      <c r="I128" s="99">
        <v>0</v>
      </c>
      <c r="J128" s="99">
        <v>0</v>
      </c>
      <c r="K128" s="99">
        <v>0</v>
      </c>
      <c r="L128" s="99">
        <v>0</v>
      </c>
      <c r="M128" s="99">
        <v>0</v>
      </c>
      <c r="N128" s="13">
        <v>0</v>
      </c>
      <c r="P128" s="13">
        <v>0</v>
      </c>
      <c r="Q128" s="13">
        <v>0</v>
      </c>
      <c r="R128" s="13">
        <f>+Q128+(Q128*$R$2)</f>
        <v>0</v>
      </c>
      <c r="S128" s="13">
        <f>+R128</f>
        <v>0</v>
      </c>
      <c r="T128" s="13">
        <f t="shared" ref="T128:AA128" si="517">+S128</f>
        <v>0</v>
      </c>
      <c r="U128" s="13">
        <f t="shared" si="517"/>
        <v>0</v>
      </c>
      <c r="V128" s="13">
        <f t="shared" si="517"/>
        <v>0</v>
      </c>
      <c r="W128" s="13">
        <f t="shared" si="517"/>
        <v>0</v>
      </c>
      <c r="X128" s="13">
        <f t="shared" si="517"/>
        <v>0</v>
      </c>
      <c r="Y128" s="13">
        <f t="shared" si="517"/>
        <v>0</v>
      </c>
      <c r="Z128" s="13">
        <f t="shared" si="517"/>
        <v>0</v>
      </c>
      <c r="AA128" s="13">
        <f t="shared" si="517"/>
        <v>0</v>
      </c>
      <c r="AB128" s="8"/>
      <c r="AC128" s="4">
        <f>SUM(C128:E128)</f>
        <v>0</v>
      </c>
      <c r="AD128" s="4">
        <f>SUM(F128:H128)</f>
        <v>0</v>
      </c>
      <c r="AE128" s="4">
        <f>SUM(I128:K128)</f>
        <v>0</v>
      </c>
      <c r="AF128" s="4">
        <f>SUM(L128:N128)</f>
        <v>0</v>
      </c>
      <c r="AG128" s="4"/>
      <c r="AH128" s="4">
        <f>SUM(P128:R128)</f>
        <v>0</v>
      </c>
      <c r="AI128" s="4">
        <f>SUM(S128:U128)</f>
        <v>0</v>
      </c>
      <c r="AJ128" s="4">
        <f>SUM(V128:X128)</f>
        <v>0</v>
      </c>
      <c r="AK128" s="4">
        <f>SUM(Y128:AA128)</f>
        <v>0</v>
      </c>
      <c r="AL128" s="4"/>
      <c r="AM128" s="4">
        <f>SUM(C128:N128)</f>
        <v>0</v>
      </c>
      <c r="AN128" s="4">
        <f>SUM(P128:AA128)</f>
        <v>0</v>
      </c>
      <c r="AO128" s="1"/>
      <c r="AP128" s="25">
        <f>ROUND(SUM(AC128:AF128)-AM128,2)</f>
        <v>0</v>
      </c>
      <c r="AQ128" s="25">
        <f>ROUND(SUM(AH128:AK128)-AN128,2)</f>
        <v>0</v>
      </c>
    </row>
    <row r="129" spans="2:43" x14ac:dyDescent="0.2">
      <c r="B129" s="30" t="s">
        <v>25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13">
        <v>0</v>
      </c>
      <c r="P129" s="13">
        <v>0</v>
      </c>
      <c r="Q129" s="13">
        <v>0</v>
      </c>
      <c r="R129" s="13">
        <v>0</v>
      </c>
      <c r="S129" s="13">
        <f>+R129</f>
        <v>0</v>
      </c>
      <c r="T129" s="13">
        <f t="shared" ref="T129:AA129" si="518">+S129</f>
        <v>0</v>
      </c>
      <c r="U129" s="13">
        <f t="shared" si="518"/>
        <v>0</v>
      </c>
      <c r="V129" s="13">
        <f t="shared" si="518"/>
        <v>0</v>
      </c>
      <c r="W129" s="13">
        <f t="shared" si="518"/>
        <v>0</v>
      </c>
      <c r="X129" s="13">
        <f t="shared" si="518"/>
        <v>0</v>
      </c>
      <c r="Y129" s="13">
        <f t="shared" si="518"/>
        <v>0</v>
      </c>
      <c r="Z129" s="13">
        <f t="shared" si="518"/>
        <v>0</v>
      </c>
      <c r="AA129" s="13">
        <f t="shared" si="518"/>
        <v>0</v>
      </c>
      <c r="AB129" s="8"/>
      <c r="AC129" s="4">
        <f>SUM(C129:E129)</f>
        <v>0</v>
      </c>
      <c r="AD129" s="4">
        <f>SUM(F129:H129)</f>
        <v>0</v>
      </c>
      <c r="AE129" s="4">
        <f>SUM(I129:K129)</f>
        <v>0</v>
      </c>
      <c r="AF129" s="4">
        <f>SUM(L129:N129)</f>
        <v>0</v>
      </c>
      <c r="AG129" s="4"/>
      <c r="AH129" s="4">
        <f t="shared" ref="AH129:AH130" si="519">SUM(P129:R129)</f>
        <v>0</v>
      </c>
      <c r="AI129" s="4">
        <f t="shared" ref="AI129:AI130" si="520">SUM(S129:U129)</f>
        <v>0</v>
      </c>
      <c r="AJ129" s="4">
        <f t="shared" ref="AJ129:AJ130" si="521">SUM(V129:X129)</f>
        <v>0</v>
      </c>
      <c r="AK129" s="4">
        <f t="shared" ref="AK129:AK130" si="522">SUM(Y129:AA129)</f>
        <v>0</v>
      </c>
      <c r="AL129" s="4"/>
      <c r="AM129" s="4">
        <f t="shared" ref="AM129:AM130" si="523">SUM(C129:N129)</f>
        <v>0</v>
      </c>
      <c r="AN129" s="4">
        <f t="shared" ref="AN129:AN130" si="524">SUM(P129:AA129)</f>
        <v>0</v>
      </c>
      <c r="AO129" s="1"/>
      <c r="AP129" s="25">
        <f t="shared" ref="AP129:AP130" si="525">ROUND(SUM(AC129:AF129)-AM129,2)</f>
        <v>0</v>
      </c>
      <c r="AQ129" s="25">
        <f t="shared" ref="AQ129:AQ130" si="526">ROUND(SUM(AH129:AK129)-AN129,2)</f>
        <v>0</v>
      </c>
    </row>
    <row r="130" spans="2:43" x14ac:dyDescent="0.2">
      <c r="B130" s="30" t="s">
        <v>118</v>
      </c>
      <c r="C130" s="99">
        <v>0</v>
      </c>
      <c r="D130" s="99">
        <v>0</v>
      </c>
      <c r="E130" s="99">
        <v>0</v>
      </c>
      <c r="F130" s="99">
        <v>0</v>
      </c>
      <c r="G130" s="99">
        <v>0</v>
      </c>
      <c r="H130" s="99">
        <v>0</v>
      </c>
      <c r="I130" s="99">
        <v>0</v>
      </c>
      <c r="J130" s="99">
        <v>0</v>
      </c>
      <c r="K130" s="99">
        <v>0</v>
      </c>
      <c r="L130" s="99">
        <v>0</v>
      </c>
      <c r="M130" s="99">
        <v>0</v>
      </c>
      <c r="N130" s="13">
        <v>0</v>
      </c>
      <c r="P130" s="13">
        <v>0</v>
      </c>
      <c r="Q130" s="13">
        <v>0</v>
      </c>
      <c r="R130" s="13">
        <f>IFERROR(R128*(Q130/Q128),0)</f>
        <v>0</v>
      </c>
      <c r="S130" s="13">
        <f>+R130</f>
        <v>0</v>
      </c>
      <c r="T130" s="13">
        <f t="shared" ref="T130:AA130" si="527">+S130</f>
        <v>0</v>
      </c>
      <c r="U130" s="13">
        <f t="shared" si="527"/>
        <v>0</v>
      </c>
      <c r="V130" s="13">
        <f t="shared" si="527"/>
        <v>0</v>
      </c>
      <c r="W130" s="13">
        <f t="shared" si="527"/>
        <v>0</v>
      </c>
      <c r="X130" s="13">
        <f t="shared" si="527"/>
        <v>0</v>
      </c>
      <c r="Y130" s="13">
        <f t="shared" si="527"/>
        <v>0</v>
      </c>
      <c r="Z130" s="13">
        <f t="shared" si="527"/>
        <v>0</v>
      </c>
      <c r="AA130" s="13">
        <f t="shared" si="527"/>
        <v>0</v>
      </c>
      <c r="AB130" s="8"/>
      <c r="AC130" s="4">
        <f>SUM(C130:E130)</f>
        <v>0</v>
      </c>
      <c r="AD130" s="4">
        <f>SUM(F130:H130)</f>
        <v>0</v>
      </c>
      <c r="AE130" s="4">
        <f>SUM(I130:K130)</f>
        <v>0</v>
      </c>
      <c r="AF130" s="4">
        <f>SUM(L130:N130)</f>
        <v>0</v>
      </c>
      <c r="AG130" s="4"/>
      <c r="AH130" s="4">
        <f t="shared" si="519"/>
        <v>0</v>
      </c>
      <c r="AI130" s="4">
        <f t="shared" si="520"/>
        <v>0</v>
      </c>
      <c r="AJ130" s="4">
        <f t="shared" si="521"/>
        <v>0</v>
      </c>
      <c r="AK130" s="4">
        <f t="shared" si="522"/>
        <v>0</v>
      </c>
      <c r="AL130" s="4"/>
      <c r="AM130" s="4">
        <f t="shared" si="523"/>
        <v>0</v>
      </c>
      <c r="AN130" s="4">
        <f t="shared" si="524"/>
        <v>0</v>
      </c>
      <c r="AO130" s="1"/>
      <c r="AP130" s="25">
        <f t="shared" si="525"/>
        <v>0</v>
      </c>
      <c r="AQ130" s="25">
        <f t="shared" si="526"/>
        <v>0</v>
      </c>
    </row>
    <row r="131" spans="2:43" x14ac:dyDescent="0.2">
      <c r="B131" s="28" t="s">
        <v>122</v>
      </c>
      <c r="C131" s="29">
        <f>SUM(C128:C130)</f>
        <v>0</v>
      </c>
      <c r="D131" s="29">
        <f t="shared" ref="D131" si="528">SUM(D128:D130)</f>
        <v>0</v>
      </c>
      <c r="E131" s="29">
        <f t="shared" ref="E131" si="529">SUM(E128:E130)</f>
        <v>0</v>
      </c>
      <c r="F131" s="29">
        <f t="shared" ref="F131" si="530">SUM(F128:F130)</f>
        <v>0</v>
      </c>
      <c r="G131" s="29">
        <f t="shared" ref="G131:H131" si="531">SUM(G128:G130)</f>
        <v>0</v>
      </c>
      <c r="H131" s="29">
        <f t="shared" si="531"/>
        <v>0</v>
      </c>
      <c r="I131" s="29">
        <f t="shared" ref="I131" si="532">SUM(I128:I130)</f>
        <v>0</v>
      </c>
      <c r="J131" s="29">
        <f t="shared" ref="J131:K131" si="533">SUM(J128:J130)</f>
        <v>0</v>
      </c>
      <c r="K131" s="29">
        <f t="shared" si="533"/>
        <v>0</v>
      </c>
      <c r="L131" s="29">
        <f t="shared" ref="L131:M131" si="534">SUM(L128:L130)</f>
        <v>0</v>
      </c>
      <c r="M131" s="29">
        <f t="shared" si="534"/>
        <v>0</v>
      </c>
      <c r="N131" s="29">
        <f t="shared" ref="N131:AA131" si="535">SUM(N128:N130)</f>
        <v>0</v>
      </c>
      <c r="P131" s="29">
        <f t="shared" si="535"/>
        <v>0</v>
      </c>
      <c r="Q131" s="29">
        <f t="shared" si="535"/>
        <v>0</v>
      </c>
      <c r="R131" s="29">
        <f t="shared" si="535"/>
        <v>0</v>
      </c>
      <c r="S131" s="29">
        <f t="shared" si="535"/>
        <v>0</v>
      </c>
      <c r="T131" s="29">
        <f t="shared" si="535"/>
        <v>0</v>
      </c>
      <c r="U131" s="29">
        <f t="shared" si="535"/>
        <v>0</v>
      </c>
      <c r="V131" s="29">
        <f t="shared" si="535"/>
        <v>0</v>
      </c>
      <c r="W131" s="29">
        <f t="shared" si="535"/>
        <v>0</v>
      </c>
      <c r="X131" s="29">
        <f t="shared" si="535"/>
        <v>0</v>
      </c>
      <c r="Y131" s="29">
        <f t="shared" si="535"/>
        <v>0</v>
      </c>
      <c r="Z131" s="29">
        <f t="shared" si="535"/>
        <v>0</v>
      </c>
      <c r="AA131" s="29">
        <f t="shared" si="535"/>
        <v>0</v>
      </c>
      <c r="AB131" s="8"/>
      <c r="AC131" s="29">
        <f t="shared" ref="AC131" si="536">SUM(AC128:AC130)</f>
        <v>0</v>
      </c>
      <c r="AD131" s="29">
        <f t="shared" ref="AD131" si="537">SUM(AD128:AD130)</f>
        <v>0</v>
      </c>
      <c r="AE131" s="29">
        <f t="shared" ref="AE131" si="538">SUM(AE128:AE130)</f>
        <v>0</v>
      </c>
      <c r="AF131" s="29">
        <f t="shared" ref="AF131" si="539">SUM(AF128:AF130)</f>
        <v>0</v>
      </c>
      <c r="AG131" s="12"/>
      <c r="AH131" s="29">
        <f>SUM(AH128:AH130)</f>
        <v>0</v>
      </c>
      <c r="AI131" s="29">
        <f t="shared" ref="AI131:AK131" si="540">SUM(AI128:AI130)</f>
        <v>0</v>
      </c>
      <c r="AJ131" s="29">
        <f t="shared" si="540"/>
        <v>0</v>
      </c>
      <c r="AK131" s="29">
        <f t="shared" si="540"/>
        <v>0</v>
      </c>
      <c r="AL131" s="12"/>
      <c r="AM131" s="29">
        <f>SUM(AM128:AM130)</f>
        <v>0</v>
      </c>
      <c r="AN131" s="29">
        <f>SUM(AN128:AN130)</f>
        <v>0</v>
      </c>
      <c r="AO131" s="1"/>
      <c r="AP131" s="25">
        <f>ROUND(SUM(AC131:AF131)-AM131,2)</f>
        <v>0</v>
      </c>
      <c r="AQ131" s="25">
        <f>ROUND(SUM(AH131:AK131)-AN131,2)</f>
        <v>0</v>
      </c>
    </row>
    <row r="133" spans="2:43" x14ac:dyDescent="0.2">
      <c r="B133" s="30" t="s">
        <v>117</v>
      </c>
      <c r="C133" s="99">
        <v>0</v>
      </c>
      <c r="D133" s="99">
        <v>0</v>
      </c>
      <c r="E133" s="99">
        <v>0</v>
      </c>
      <c r="F133" s="99">
        <v>0</v>
      </c>
      <c r="G133" s="99">
        <v>0</v>
      </c>
      <c r="H133" s="99">
        <v>0</v>
      </c>
      <c r="I133" s="99">
        <v>0</v>
      </c>
      <c r="J133" s="99">
        <v>0</v>
      </c>
      <c r="K133" s="99">
        <v>0</v>
      </c>
      <c r="L133" s="99">
        <v>0</v>
      </c>
      <c r="M133" s="99">
        <v>0</v>
      </c>
      <c r="N133" s="13">
        <v>0</v>
      </c>
      <c r="P133" s="13">
        <v>0</v>
      </c>
      <c r="Q133" s="13">
        <v>0</v>
      </c>
      <c r="R133" s="13">
        <f>+Q133+(Q133*$R$2)</f>
        <v>0</v>
      </c>
      <c r="S133" s="13">
        <f>+R133</f>
        <v>0</v>
      </c>
      <c r="T133" s="13">
        <f t="shared" ref="T133:AA133" si="541">+S133</f>
        <v>0</v>
      </c>
      <c r="U133" s="13">
        <f t="shared" si="541"/>
        <v>0</v>
      </c>
      <c r="V133" s="13">
        <f t="shared" si="541"/>
        <v>0</v>
      </c>
      <c r="W133" s="13">
        <f t="shared" si="541"/>
        <v>0</v>
      </c>
      <c r="X133" s="13">
        <f t="shared" si="541"/>
        <v>0</v>
      </c>
      <c r="Y133" s="13">
        <f t="shared" si="541"/>
        <v>0</v>
      </c>
      <c r="Z133" s="13">
        <f t="shared" si="541"/>
        <v>0</v>
      </c>
      <c r="AA133" s="13">
        <f t="shared" si="541"/>
        <v>0</v>
      </c>
      <c r="AB133" s="8"/>
      <c r="AC133" s="4">
        <f>SUM(C133:E133)</f>
        <v>0</v>
      </c>
      <c r="AD133" s="4">
        <f>SUM(F133:H133)</f>
        <v>0</v>
      </c>
      <c r="AE133" s="4">
        <f>SUM(I133:K133)</f>
        <v>0</v>
      </c>
      <c r="AF133" s="4">
        <f>SUM(L133:N133)</f>
        <v>0</v>
      </c>
      <c r="AG133" s="4"/>
      <c r="AH133" s="4">
        <f>SUM(P133:R133)</f>
        <v>0</v>
      </c>
      <c r="AI133" s="4">
        <f>SUM(S133:U133)</f>
        <v>0</v>
      </c>
      <c r="AJ133" s="4">
        <f>SUM(V133:X133)</f>
        <v>0</v>
      </c>
      <c r="AK133" s="4">
        <f>SUM(Y133:AA133)</f>
        <v>0</v>
      </c>
      <c r="AL133" s="4"/>
      <c r="AM133" s="4">
        <f>SUM(C133:N133)</f>
        <v>0</v>
      </c>
      <c r="AN133" s="4">
        <f>SUM(P133:AA133)</f>
        <v>0</v>
      </c>
      <c r="AO133" s="1"/>
      <c r="AP133" s="25">
        <f>ROUND(SUM(AC133:AF133)-AM133,2)</f>
        <v>0</v>
      </c>
      <c r="AQ133" s="25">
        <f>ROUND(SUM(AH133:AK133)-AN133,2)</f>
        <v>0</v>
      </c>
    </row>
    <row r="134" spans="2:43" x14ac:dyDescent="0.2">
      <c r="B134" s="30" t="s">
        <v>25</v>
      </c>
      <c r="C134" s="99">
        <v>0</v>
      </c>
      <c r="D134" s="99">
        <v>0</v>
      </c>
      <c r="E134" s="99">
        <v>0</v>
      </c>
      <c r="F134" s="99">
        <v>0</v>
      </c>
      <c r="G134" s="99">
        <v>0</v>
      </c>
      <c r="H134" s="99">
        <v>0</v>
      </c>
      <c r="I134" s="99">
        <v>0</v>
      </c>
      <c r="J134" s="99">
        <v>0</v>
      </c>
      <c r="K134" s="99">
        <v>0</v>
      </c>
      <c r="L134" s="99">
        <v>0</v>
      </c>
      <c r="M134" s="99">
        <v>0</v>
      </c>
      <c r="N134" s="13">
        <v>0</v>
      </c>
      <c r="P134" s="13">
        <v>0</v>
      </c>
      <c r="Q134" s="13">
        <v>0</v>
      </c>
      <c r="R134" s="13">
        <v>0</v>
      </c>
      <c r="S134" s="13">
        <f>+R134</f>
        <v>0</v>
      </c>
      <c r="T134" s="13">
        <f t="shared" ref="T134:AA134" si="542">+S134</f>
        <v>0</v>
      </c>
      <c r="U134" s="13">
        <f t="shared" si="542"/>
        <v>0</v>
      </c>
      <c r="V134" s="13">
        <f t="shared" si="542"/>
        <v>0</v>
      </c>
      <c r="W134" s="13">
        <f t="shared" si="542"/>
        <v>0</v>
      </c>
      <c r="X134" s="13">
        <f t="shared" si="542"/>
        <v>0</v>
      </c>
      <c r="Y134" s="13">
        <f t="shared" si="542"/>
        <v>0</v>
      </c>
      <c r="Z134" s="13">
        <f t="shared" si="542"/>
        <v>0</v>
      </c>
      <c r="AA134" s="13">
        <f t="shared" si="542"/>
        <v>0</v>
      </c>
      <c r="AB134" s="8"/>
      <c r="AC134" s="4">
        <f>SUM(C134:E134)</f>
        <v>0</v>
      </c>
      <c r="AD134" s="4">
        <f>SUM(F134:H134)</f>
        <v>0</v>
      </c>
      <c r="AE134" s="4">
        <f>SUM(I134:K134)</f>
        <v>0</v>
      </c>
      <c r="AF134" s="4">
        <f>SUM(L134:N134)</f>
        <v>0</v>
      </c>
      <c r="AG134" s="4"/>
      <c r="AH134" s="4">
        <f t="shared" ref="AH134:AH135" si="543">SUM(P134:R134)</f>
        <v>0</v>
      </c>
      <c r="AI134" s="4">
        <f t="shared" ref="AI134:AI135" si="544">SUM(S134:U134)</f>
        <v>0</v>
      </c>
      <c r="AJ134" s="4">
        <f t="shared" ref="AJ134:AJ135" si="545">SUM(V134:X134)</f>
        <v>0</v>
      </c>
      <c r="AK134" s="4">
        <f t="shared" ref="AK134:AK135" si="546">SUM(Y134:AA134)</f>
        <v>0</v>
      </c>
      <c r="AL134" s="4"/>
      <c r="AM134" s="4">
        <f t="shared" ref="AM134:AM135" si="547">SUM(C134:N134)</f>
        <v>0</v>
      </c>
      <c r="AN134" s="4">
        <f t="shared" ref="AN134:AN135" si="548">SUM(P134:AA134)</f>
        <v>0</v>
      </c>
      <c r="AO134" s="1"/>
      <c r="AP134" s="25">
        <f t="shared" ref="AP134:AP135" si="549">ROUND(SUM(AC134:AF134)-AM134,2)</f>
        <v>0</v>
      </c>
      <c r="AQ134" s="25">
        <f t="shared" ref="AQ134:AQ135" si="550">ROUND(SUM(AH134:AK134)-AN134,2)</f>
        <v>0</v>
      </c>
    </row>
    <row r="135" spans="2:43" x14ac:dyDescent="0.2">
      <c r="B135" s="30" t="s">
        <v>118</v>
      </c>
      <c r="C135" s="99">
        <v>0</v>
      </c>
      <c r="D135" s="99">
        <v>0</v>
      </c>
      <c r="E135" s="99">
        <v>0</v>
      </c>
      <c r="F135" s="99">
        <v>0</v>
      </c>
      <c r="G135" s="99">
        <v>0</v>
      </c>
      <c r="H135" s="99">
        <v>0</v>
      </c>
      <c r="I135" s="99">
        <v>0</v>
      </c>
      <c r="J135" s="99">
        <v>0</v>
      </c>
      <c r="K135" s="99">
        <v>0</v>
      </c>
      <c r="L135" s="99">
        <v>0</v>
      </c>
      <c r="M135" s="99">
        <v>0</v>
      </c>
      <c r="N135" s="13">
        <v>0</v>
      </c>
      <c r="P135" s="13">
        <v>0</v>
      </c>
      <c r="Q135" s="13">
        <v>0</v>
      </c>
      <c r="R135" s="13">
        <f>IFERROR(R133*(Q135/Q133),0)</f>
        <v>0</v>
      </c>
      <c r="S135" s="13">
        <f>+R135</f>
        <v>0</v>
      </c>
      <c r="T135" s="13">
        <f t="shared" ref="T135:AA135" si="551">+S135</f>
        <v>0</v>
      </c>
      <c r="U135" s="13">
        <f t="shared" si="551"/>
        <v>0</v>
      </c>
      <c r="V135" s="13">
        <f t="shared" si="551"/>
        <v>0</v>
      </c>
      <c r="W135" s="13">
        <f t="shared" si="551"/>
        <v>0</v>
      </c>
      <c r="X135" s="13">
        <f t="shared" si="551"/>
        <v>0</v>
      </c>
      <c r="Y135" s="13">
        <f t="shared" si="551"/>
        <v>0</v>
      </c>
      <c r="Z135" s="13">
        <f t="shared" si="551"/>
        <v>0</v>
      </c>
      <c r="AA135" s="13">
        <f t="shared" si="551"/>
        <v>0</v>
      </c>
      <c r="AB135" s="8"/>
      <c r="AC135" s="4">
        <f>SUM(C135:E135)</f>
        <v>0</v>
      </c>
      <c r="AD135" s="4">
        <f>SUM(F135:H135)</f>
        <v>0</v>
      </c>
      <c r="AE135" s="4">
        <f>SUM(I135:K135)</f>
        <v>0</v>
      </c>
      <c r="AF135" s="4">
        <f>SUM(L135:N135)</f>
        <v>0</v>
      </c>
      <c r="AG135" s="4"/>
      <c r="AH135" s="4">
        <f t="shared" si="543"/>
        <v>0</v>
      </c>
      <c r="AI135" s="4">
        <f t="shared" si="544"/>
        <v>0</v>
      </c>
      <c r="AJ135" s="4">
        <f t="shared" si="545"/>
        <v>0</v>
      </c>
      <c r="AK135" s="4">
        <f t="shared" si="546"/>
        <v>0</v>
      </c>
      <c r="AL135" s="4"/>
      <c r="AM135" s="4">
        <f t="shared" si="547"/>
        <v>0</v>
      </c>
      <c r="AN135" s="4">
        <f t="shared" si="548"/>
        <v>0</v>
      </c>
      <c r="AO135" s="1"/>
      <c r="AP135" s="25">
        <f t="shared" si="549"/>
        <v>0</v>
      </c>
      <c r="AQ135" s="25">
        <f t="shared" si="550"/>
        <v>0</v>
      </c>
    </row>
    <row r="136" spans="2:43" x14ac:dyDescent="0.2">
      <c r="B136" s="28" t="s">
        <v>122</v>
      </c>
      <c r="C136" s="29">
        <f>SUM(C133:C135)</f>
        <v>0</v>
      </c>
      <c r="D136" s="29">
        <f t="shared" ref="D136" si="552">SUM(D133:D135)</f>
        <v>0</v>
      </c>
      <c r="E136" s="29">
        <f t="shared" ref="E136" si="553">SUM(E133:E135)</f>
        <v>0</v>
      </c>
      <c r="F136" s="29">
        <f t="shared" ref="F136" si="554">SUM(F133:F135)</f>
        <v>0</v>
      </c>
      <c r="G136" s="29">
        <f t="shared" ref="G136:H136" si="555">SUM(G133:G135)</f>
        <v>0</v>
      </c>
      <c r="H136" s="29">
        <f t="shared" si="555"/>
        <v>0</v>
      </c>
      <c r="I136" s="29">
        <f t="shared" ref="I136" si="556">SUM(I133:I135)</f>
        <v>0</v>
      </c>
      <c r="J136" s="29">
        <f t="shared" ref="J136:K136" si="557">SUM(J133:J135)</f>
        <v>0</v>
      </c>
      <c r="K136" s="29">
        <f t="shared" si="557"/>
        <v>0</v>
      </c>
      <c r="L136" s="29">
        <f t="shared" ref="L136:M136" si="558">SUM(L133:L135)</f>
        <v>0</v>
      </c>
      <c r="M136" s="29">
        <f t="shared" si="558"/>
        <v>0</v>
      </c>
      <c r="N136" s="29">
        <f t="shared" ref="N136:AA136" si="559">SUM(N133:N135)</f>
        <v>0</v>
      </c>
      <c r="P136" s="29">
        <f t="shared" si="559"/>
        <v>0</v>
      </c>
      <c r="Q136" s="29">
        <f t="shared" si="559"/>
        <v>0</v>
      </c>
      <c r="R136" s="29">
        <f t="shared" si="559"/>
        <v>0</v>
      </c>
      <c r="S136" s="29">
        <f t="shared" si="559"/>
        <v>0</v>
      </c>
      <c r="T136" s="29">
        <f t="shared" si="559"/>
        <v>0</v>
      </c>
      <c r="U136" s="29">
        <f t="shared" si="559"/>
        <v>0</v>
      </c>
      <c r="V136" s="29">
        <f t="shared" si="559"/>
        <v>0</v>
      </c>
      <c r="W136" s="29">
        <f t="shared" si="559"/>
        <v>0</v>
      </c>
      <c r="X136" s="29">
        <f t="shared" si="559"/>
        <v>0</v>
      </c>
      <c r="Y136" s="29">
        <f t="shared" si="559"/>
        <v>0</v>
      </c>
      <c r="Z136" s="29">
        <f t="shared" si="559"/>
        <v>0</v>
      </c>
      <c r="AA136" s="29">
        <f t="shared" si="559"/>
        <v>0</v>
      </c>
      <c r="AB136" s="8"/>
      <c r="AC136" s="29">
        <f t="shared" ref="AC136" si="560">SUM(AC133:AC135)</f>
        <v>0</v>
      </c>
      <c r="AD136" s="29">
        <f t="shared" ref="AD136" si="561">SUM(AD133:AD135)</f>
        <v>0</v>
      </c>
      <c r="AE136" s="29">
        <f t="shared" ref="AE136" si="562">SUM(AE133:AE135)</f>
        <v>0</v>
      </c>
      <c r="AF136" s="29">
        <f t="shared" ref="AF136" si="563">SUM(AF133:AF135)</f>
        <v>0</v>
      </c>
      <c r="AG136" s="12"/>
      <c r="AH136" s="29">
        <f>SUM(AH133:AH135)</f>
        <v>0</v>
      </c>
      <c r="AI136" s="29">
        <f t="shared" ref="AI136:AK136" si="564">SUM(AI133:AI135)</f>
        <v>0</v>
      </c>
      <c r="AJ136" s="29">
        <f t="shared" si="564"/>
        <v>0</v>
      </c>
      <c r="AK136" s="29">
        <f t="shared" si="564"/>
        <v>0</v>
      </c>
      <c r="AL136" s="12"/>
      <c r="AM136" s="29">
        <f>SUM(AM133:AM135)</f>
        <v>0</v>
      </c>
      <c r="AN136" s="29">
        <f>SUM(AN133:AN135)</f>
        <v>0</v>
      </c>
      <c r="AO136" s="1"/>
      <c r="AP136" s="25">
        <f>ROUND(SUM(AC136:AF136)-AM136,2)</f>
        <v>0</v>
      </c>
      <c r="AQ136" s="25">
        <f>ROUND(SUM(AH136:AK136)-AN136,2)</f>
        <v>0</v>
      </c>
    </row>
    <row r="138" spans="2:43" x14ac:dyDescent="0.2">
      <c r="B138" s="30" t="s">
        <v>117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13">
        <v>0</v>
      </c>
      <c r="P138" s="13">
        <v>0</v>
      </c>
      <c r="Q138" s="13">
        <v>0</v>
      </c>
      <c r="R138" s="13">
        <f>+Q138+(Q138*$R$2)</f>
        <v>0</v>
      </c>
      <c r="S138" s="13">
        <f>+R138</f>
        <v>0</v>
      </c>
      <c r="T138" s="13">
        <f t="shared" ref="T138:AA138" si="565">+S138</f>
        <v>0</v>
      </c>
      <c r="U138" s="13">
        <f t="shared" si="565"/>
        <v>0</v>
      </c>
      <c r="V138" s="13">
        <f t="shared" si="565"/>
        <v>0</v>
      </c>
      <c r="W138" s="13">
        <f t="shared" si="565"/>
        <v>0</v>
      </c>
      <c r="X138" s="13">
        <f t="shared" si="565"/>
        <v>0</v>
      </c>
      <c r="Y138" s="13">
        <f t="shared" si="565"/>
        <v>0</v>
      </c>
      <c r="Z138" s="13">
        <f t="shared" si="565"/>
        <v>0</v>
      </c>
      <c r="AA138" s="13">
        <f t="shared" si="565"/>
        <v>0</v>
      </c>
      <c r="AB138" s="8"/>
      <c r="AC138" s="4">
        <f>SUM(C138:E138)</f>
        <v>0</v>
      </c>
      <c r="AD138" s="4">
        <f>SUM(F138:H138)</f>
        <v>0</v>
      </c>
      <c r="AE138" s="4">
        <f>SUM(I138:K138)</f>
        <v>0</v>
      </c>
      <c r="AF138" s="4">
        <f>SUM(L138:N138)</f>
        <v>0</v>
      </c>
      <c r="AG138" s="4"/>
      <c r="AH138" s="4">
        <f>SUM(P138:R138)</f>
        <v>0</v>
      </c>
      <c r="AI138" s="4">
        <f>SUM(S138:U138)</f>
        <v>0</v>
      </c>
      <c r="AJ138" s="4">
        <f>SUM(V138:X138)</f>
        <v>0</v>
      </c>
      <c r="AK138" s="4">
        <f>SUM(Y138:AA138)</f>
        <v>0</v>
      </c>
      <c r="AL138" s="4"/>
      <c r="AM138" s="4">
        <f>SUM(C138:N138)</f>
        <v>0</v>
      </c>
      <c r="AN138" s="4">
        <f>SUM(P138:AA138)</f>
        <v>0</v>
      </c>
      <c r="AO138" s="1"/>
      <c r="AP138" s="25">
        <f>ROUND(SUM(AC138:AF138)-AM138,2)</f>
        <v>0</v>
      </c>
      <c r="AQ138" s="25">
        <f>ROUND(SUM(AH138:AK138)-AN138,2)</f>
        <v>0</v>
      </c>
    </row>
    <row r="139" spans="2:43" x14ac:dyDescent="0.2">
      <c r="B139" s="30" t="s">
        <v>25</v>
      </c>
      <c r="C139" s="99">
        <v>0</v>
      </c>
      <c r="D139" s="99">
        <v>0</v>
      </c>
      <c r="E139" s="99">
        <v>0</v>
      </c>
      <c r="F139" s="99">
        <v>0</v>
      </c>
      <c r="G139" s="99">
        <v>0</v>
      </c>
      <c r="H139" s="99">
        <v>0</v>
      </c>
      <c r="I139" s="99">
        <v>0</v>
      </c>
      <c r="J139" s="99">
        <v>0</v>
      </c>
      <c r="K139" s="99">
        <v>0</v>
      </c>
      <c r="L139" s="99">
        <v>0</v>
      </c>
      <c r="M139" s="99">
        <v>0</v>
      </c>
      <c r="N139" s="13">
        <v>0</v>
      </c>
      <c r="P139" s="13">
        <v>0</v>
      </c>
      <c r="Q139" s="13">
        <v>0</v>
      </c>
      <c r="R139" s="13">
        <v>0</v>
      </c>
      <c r="S139" s="13">
        <f>+R139</f>
        <v>0</v>
      </c>
      <c r="T139" s="13">
        <f t="shared" ref="T139:AA139" si="566">+S139</f>
        <v>0</v>
      </c>
      <c r="U139" s="13">
        <f t="shared" si="566"/>
        <v>0</v>
      </c>
      <c r="V139" s="13">
        <f t="shared" si="566"/>
        <v>0</v>
      </c>
      <c r="W139" s="13">
        <f t="shared" si="566"/>
        <v>0</v>
      </c>
      <c r="X139" s="13">
        <f t="shared" si="566"/>
        <v>0</v>
      </c>
      <c r="Y139" s="13">
        <f t="shared" si="566"/>
        <v>0</v>
      </c>
      <c r="Z139" s="13">
        <f t="shared" si="566"/>
        <v>0</v>
      </c>
      <c r="AA139" s="13">
        <f t="shared" si="566"/>
        <v>0</v>
      </c>
      <c r="AB139" s="8"/>
      <c r="AC139" s="4">
        <f>SUM(C139:E139)</f>
        <v>0</v>
      </c>
      <c r="AD139" s="4">
        <f>SUM(F139:H139)</f>
        <v>0</v>
      </c>
      <c r="AE139" s="4">
        <f>SUM(I139:K139)</f>
        <v>0</v>
      </c>
      <c r="AF139" s="4">
        <f>SUM(L139:N139)</f>
        <v>0</v>
      </c>
      <c r="AG139" s="4"/>
      <c r="AH139" s="4">
        <f t="shared" ref="AH139:AH140" si="567">SUM(P139:R139)</f>
        <v>0</v>
      </c>
      <c r="AI139" s="4">
        <f t="shared" ref="AI139:AI140" si="568">SUM(S139:U139)</f>
        <v>0</v>
      </c>
      <c r="AJ139" s="4">
        <f t="shared" ref="AJ139:AJ140" si="569">SUM(V139:X139)</f>
        <v>0</v>
      </c>
      <c r="AK139" s="4">
        <f t="shared" ref="AK139:AK140" si="570">SUM(Y139:AA139)</f>
        <v>0</v>
      </c>
      <c r="AL139" s="4"/>
      <c r="AM139" s="4">
        <f t="shared" ref="AM139:AM140" si="571">SUM(C139:N139)</f>
        <v>0</v>
      </c>
      <c r="AN139" s="4">
        <f t="shared" ref="AN139:AN140" si="572">SUM(P139:AA139)</f>
        <v>0</v>
      </c>
      <c r="AO139" s="1"/>
      <c r="AP139" s="25">
        <f t="shared" ref="AP139:AP140" si="573">ROUND(SUM(AC139:AF139)-AM139,2)</f>
        <v>0</v>
      </c>
      <c r="AQ139" s="25">
        <f t="shared" ref="AQ139:AQ140" si="574">ROUND(SUM(AH139:AK139)-AN139,2)</f>
        <v>0</v>
      </c>
    </row>
    <row r="140" spans="2:43" x14ac:dyDescent="0.2">
      <c r="B140" s="30" t="s">
        <v>118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13">
        <v>0</v>
      </c>
      <c r="P140" s="13">
        <v>0</v>
      </c>
      <c r="Q140" s="13">
        <v>0</v>
      </c>
      <c r="R140" s="13">
        <f>IFERROR(R138*(Q140/Q138),0)</f>
        <v>0</v>
      </c>
      <c r="S140" s="13">
        <f>+R140</f>
        <v>0</v>
      </c>
      <c r="T140" s="13">
        <f t="shared" ref="T140:AA140" si="575">+S140</f>
        <v>0</v>
      </c>
      <c r="U140" s="13">
        <f t="shared" si="575"/>
        <v>0</v>
      </c>
      <c r="V140" s="13">
        <f t="shared" si="575"/>
        <v>0</v>
      </c>
      <c r="W140" s="13">
        <f t="shared" si="575"/>
        <v>0</v>
      </c>
      <c r="X140" s="13">
        <f t="shared" si="575"/>
        <v>0</v>
      </c>
      <c r="Y140" s="13">
        <f t="shared" si="575"/>
        <v>0</v>
      </c>
      <c r="Z140" s="13">
        <f t="shared" si="575"/>
        <v>0</v>
      </c>
      <c r="AA140" s="13">
        <f t="shared" si="575"/>
        <v>0</v>
      </c>
      <c r="AB140" s="8"/>
      <c r="AC140" s="4">
        <f>SUM(C140:E140)</f>
        <v>0</v>
      </c>
      <c r="AD140" s="4">
        <f>SUM(F140:H140)</f>
        <v>0</v>
      </c>
      <c r="AE140" s="4">
        <f>SUM(I140:K140)</f>
        <v>0</v>
      </c>
      <c r="AF140" s="4">
        <f>SUM(L140:N140)</f>
        <v>0</v>
      </c>
      <c r="AG140" s="4"/>
      <c r="AH140" s="4">
        <f t="shared" si="567"/>
        <v>0</v>
      </c>
      <c r="AI140" s="4">
        <f t="shared" si="568"/>
        <v>0</v>
      </c>
      <c r="AJ140" s="4">
        <f t="shared" si="569"/>
        <v>0</v>
      </c>
      <c r="AK140" s="4">
        <f t="shared" si="570"/>
        <v>0</v>
      </c>
      <c r="AL140" s="4"/>
      <c r="AM140" s="4">
        <f t="shared" si="571"/>
        <v>0</v>
      </c>
      <c r="AN140" s="4">
        <f t="shared" si="572"/>
        <v>0</v>
      </c>
      <c r="AO140" s="1"/>
      <c r="AP140" s="25">
        <f t="shared" si="573"/>
        <v>0</v>
      </c>
      <c r="AQ140" s="25">
        <f t="shared" si="574"/>
        <v>0</v>
      </c>
    </row>
    <row r="141" spans="2:43" x14ac:dyDescent="0.2">
      <c r="B141" s="28" t="s">
        <v>122</v>
      </c>
      <c r="C141" s="29">
        <f>SUM(C138:C140)</f>
        <v>0</v>
      </c>
      <c r="D141" s="29">
        <f t="shared" ref="D141" si="576">SUM(D138:D140)</f>
        <v>0</v>
      </c>
      <c r="E141" s="29">
        <f t="shared" ref="E141" si="577">SUM(E138:E140)</f>
        <v>0</v>
      </c>
      <c r="F141" s="29">
        <f t="shared" ref="F141" si="578">SUM(F138:F140)</f>
        <v>0</v>
      </c>
      <c r="G141" s="29">
        <f t="shared" ref="G141:H141" si="579">SUM(G138:G140)</f>
        <v>0</v>
      </c>
      <c r="H141" s="29">
        <f t="shared" si="579"/>
        <v>0</v>
      </c>
      <c r="I141" s="29">
        <f t="shared" ref="I141" si="580">SUM(I138:I140)</f>
        <v>0</v>
      </c>
      <c r="J141" s="29">
        <f t="shared" ref="J141:K141" si="581">SUM(J138:J140)</f>
        <v>0</v>
      </c>
      <c r="K141" s="29">
        <f t="shared" si="581"/>
        <v>0</v>
      </c>
      <c r="L141" s="29">
        <f t="shared" ref="L141:M141" si="582">SUM(L138:L140)</f>
        <v>0</v>
      </c>
      <c r="M141" s="29">
        <f t="shared" si="582"/>
        <v>0</v>
      </c>
      <c r="N141" s="29">
        <f t="shared" ref="N141:AA141" si="583">SUM(N138:N140)</f>
        <v>0</v>
      </c>
      <c r="P141" s="29">
        <f t="shared" si="583"/>
        <v>0</v>
      </c>
      <c r="Q141" s="29">
        <f t="shared" si="583"/>
        <v>0</v>
      </c>
      <c r="R141" s="29">
        <f t="shared" si="583"/>
        <v>0</v>
      </c>
      <c r="S141" s="29">
        <f t="shared" si="583"/>
        <v>0</v>
      </c>
      <c r="T141" s="29">
        <f t="shared" si="583"/>
        <v>0</v>
      </c>
      <c r="U141" s="29">
        <f t="shared" si="583"/>
        <v>0</v>
      </c>
      <c r="V141" s="29">
        <f t="shared" si="583"/>
        <v>0</v>
      </c>
      <c r="W141" s="29">
        <f t="shared" si="583"/>
        <v>0</v>
      </c>
      <c r="X141" s="29">
        <f t="shared" si="583"/>
        <v>0</v>
      </c>
      <c r="Y141" s="29">
        <f t="shared" si="583"/>
        <v>0</v>
      </c>
      <c r="Z141" s="29">
        <f t="shared" si="583"/>
        <v>0</v>
      </c>
      <c r="AA141" s="29">
        <f t="shared" si="583"/>
        <v>0</v>
      </c>
      <c r="AB141" s="8"/>
      <c r="AC141" s="29">
        <f t="shared" ref="AC141" si="584">SUM(AC138:AC140)</f>
        <v>0</v>
      </c>
      <c r="AD141" s="29">
        <f t="shared" ref="AD141" si="585">SUM(AD138:AD140)</f>
        <v>0</v>
      </c>
      <c r="AE141" s="29">
        <f t="shared" ref="AE141" si="586">SUM(AE138:AE140)</f>
        <v>0</v>
      </c>
      <c r="AF141" s="29">
        <f t="shared" ref="AF141" si="587">SUM(AF138:AF140)</f>
        <v>0</v>
      </c>
      <c r="AG141" s="12"/>
      <c r="AH141" s="29">
        <f>SUM(AH138:AH140)</f>
        <v>0</v>
      </c>
      <c r="AI141" s="29">
        <f t="shared" ref="AI141:AK141" si="588">SUM(AI138:AI140)</f>
        <v>0</v>
      </c>
      <c r="AJ141" s="29">
        <f t="shared" si="588"/>
        <v>0</v>
      </c>
      <c r="AK141" s="29">
        <f t="shared" si="588"/>
        <v>0</v>
      </c>
      <c r="AL141" s="12"/>
      <c r="AM141" s="29">
        <f>SUM(AM138:AM140)</f>
        <v>0</v>
      </c>
      <c r="AN141" s="29">
        <f>SUM(AN138:AN140)</f>
        <v>0</v>
      </c>
      <c r="AO141" s="1"/>
      <c r="AP141" s="25">
        <f>ROUND(SUM(AC141:AF141)-AM141,2)</f>
        <v>0</v>
      </c>
      <c r="AQ141" s="25">
        <f>ROUND(SUM(AH141:AK141)-AN141,2)</f>
        <v>0</v>
      </c>
    </row>
    <row r="143" spans="2:43" x14ac:dyDescent="0.2">
      <c r="B143" s="30" t="s">
        <v>117</v>
      </c>
      <c r="C143" s="99">
        <v>0</v>
      </c>
      <c r="D143" s="99">
        <v>0</v>
      </c>
      <c r="E143" s="99">
        <v>0</v>
      </c>
      <c r="F143" s="99">
        <v>0</v>
      </c>
      <c r="G143" s="99">
        <v>0</v>
      </c>
      <c r="H143" s="99">
        <v>0</v>
      </c>
      <c r="I143" s="99">
        <v>0</v>
      </c>
      <c r="J143" s="99">
        <v>0</v>
      </c>
      <c r="K143" s="99">
        <v>0</v>
      </c>
      <c r="L143" s="99">
        <v>0</v>
      </c>
      <c r="M143" s="99">
        <v>0</v>
      </c>
      <c r="N143" s="13">
        <v>0</v>
      </c>
      <c r="P143" s="13">
        <v>0</v>
      </c>
      <c r="Q143" s="13">
        <v>0</v>
      </c>
      <c r="R143" s="13">
        <f>+Q143+(Q143*$R$2)</f>
        <v>0</v>
      </c>
      <c r="S143" s="13">
        <f>+R143</f>
        <v>0</v>
      </c>
      <c r="T143" s="13">
        <f t="shared" ref="T143:AA143" si="589">+S143</f>
        <v>0</v>
      </c>
      <c r="U143" s="13">
        <f t="shared" si="589"/>
        <v>0</v>
      </c>
      <c r="V143" s="13">
        <f t="shared" si="589"/>
        <v>0</v>
      </c>
      <c r="W143" s="13">
        <f t="shared" si="589"/>
        <v>0</v>
      </c>
      <c r="X143" s="13">
        <f t="shared" si="589"/>
        <v>0</v>
      </c>
      <c r="Y143" s="13">
        <f t="shared" si="589"/>
        <v>0</v>
      </c>
      <c r="Z143" s="13">
        <f t="shared" si="589"/>
        <v>0</v>
      </c>
      <c r="AA143" s="13">
        <f t="shared" si="589"/>
        <v>0</v>
      </c>
      <c r="AB143" s="8"/>
      <c r="AC143" s="4">
        <f>SUM(C143:E143)</f>
        <v>0</v>
      </c>
      <c r="AD143" s="4">
        <f>SUM(F143:H143)</f>
        <v>0</v>
      </c>
      <c r="AE143" s="4">
        <f>SUM(I143:K143)</f>
        <v>0</v>
      </c>
      <c r="AF143" s="4">
        <f>SUM(L143:N143)</f>
        <v>0</v>
      </c>
      <c r="AG143" s="4"/>
      <c r="AH143" s="4">
        <f>SUM(P143:R143)</f>
        <v>0</v>
      </c>
      <c r="AI143" s="4">
        <f>SUM(S143:U143)</f>
        <v>0</v>
      </c>
      <c r="AJ143" s="4">
        <f>SUM(V143:X143)</f>
        <v>0</v>
      </c>
      <c r="AK143" s="4">
        <f>SUM(Y143:AA143)</f>
        <v>0</v>
      </c>
      <c r="AL143" s="4"/>
      <c r="AM143" s="4">
        <f>SUM(C143:N143)</f>
        <v>0</v>
      </c>
      <c r="AN143" s="4">
        <f>SUM(P143:AA143)</f>
        <v>0</v>
      </c>
      <c r="AO143" s="1"/>
      <c r="AP143" s="25">
        <f>ROUND(SUM(AC143:AF143)-AM143,2)</f>
        <v>0</v>
      </c>
      <c r="AQ143" s="25">
        <f>ROUND(SUM(AH143:AK143)-AN143,2)</f>
        <v>0</v>
      </c>
    </row>
    <row r="144" spans="2:43" x14ac:dyDescent="0.2">
      <c r="B144" s="30" t="s">
        <v>25</v>
      </c>
      <c r="C144" s="99">
        <v>0</v>
      </c>
      <c r="D144" s="99">
        <v>0</v>
      </c>
      <c r="E144" s="99">
        <v>0</v>
      </c>
      <c r="F144" s="99">
        <v>0</v>
      </c>
      <c r="G144" s="99">
        <v>0</v>
      </c>
      <c r="H144" s="99">
        <v>0</v>
      </c>
      <c r="I144" s="99">
        <v>0</v>
      </c>
      <c r="J144" s="99">
        <v>0</v>
      </c>
      <c r="K144" s="99">
        <v>0</v>
      </c>
      <c r="L144" s="99">
        <v>0</v>
      </c>
      <c r="M144" s="99">
        <v>0</v>
      </c>
      <c r="N144" s="13">
        <v>0</v>
      </c>
      <c r="P144" s="13">
        <v>0</v>
      </c>
      <c r="Q144" s="13">
        <v>0</v>
      </c>
      <c r="R144" s="13">
        <v>0</v>
      </c>
      <c r="S144" s="13">
        <f>+R144</f>
        <v>0</v>
      </c>
      <c r="T144" s="13">
        <f t="shared" ref="T144:AA144" si="590">+S144</f>
        <v>0</v>
      </c>
      <c r="U144" s="13">
        <f t="shared" si="590"/>
        <v>0</v>
      </c>
      <c r="V144" s="13">
        <f t="shared" si="590"/>
        <v>0</v>
      </c>
      <c r="W144" s="13">
        <f t="shared" si="590"/>
        <v>0</v>
      </c>
      <c r="X144" s="13">
        <f t="shared" si="590"/>
        <v>0</v>
      </c>
      <c r="Y144" s="13">
        <f t="shared" si="590"/>
        <v>0</v>
      </c>
      <c r="Z144" s="13">
        <f t="shared" si="590"/>
        <v>0</v>
      </c>
      <c r="AA144" s="13">
        <f t="shared" si="590"/>
        <v>0</v>
      </c>
      <c r="AB144" s="8"/>
      <c r="AC144" s="4">
        <f>SUM(C144:E144)</f>
        <v>0</v>
      </c>
      <c r="AD144" s="4">
        <f>SUM(F144:H144)</f>
        <v>0</v>
      </c>
      <c r="AE144" s="4">
        <f>SUM(I144:K144)</f>
        <v>0</v>
      </c>
      <c r="AF144" s="4">
        <f>SUM(L144:N144)</f>
        <v>0</v>
      </c>
      <c r="AG144" s="4"/>
      <c r="AH144" s="4">
        <f t="shared" ref="AH144:AH145" si="591">SUM(P144:R144)</f>
        <v>0</v>
      </c>
      <c r="AI144" s="4">
        <f t="shared" ref="AI144:AI145" si="592">SUM(S144:U144)</f>
        <v>0</v>
      </c>
      <c r="AJ144" s="4">
        <f t="shared" ref="AJ144:AJ145" si="593">SUM(V144:X144)</f>
        <v>0</v>
      </c>
      <c r="AK144" s="4">
        <f t="shared" ref="AK144:AK145" si="594">SUM(Y144:AA144)</f>
        <v>0</v>
      </c>
      <c r="AL144" s="4"/>
      <c r="AM144" s="4">
        <f t="shared" ref="AM144:AM145" si="595">SUM(C144:N144)</f>
        <v>0</v>
      </c>
      <c r="AN144" s="4">
        <f t="shared" ref="AN144:AN145" si="596">SUM(P144:AA144)</f>
        <v>0</v>
      </c>
      <c r="AO144" s="1"/>
      <c r="AP144" s="25">
        <f t="shared" ref="AP144:AP145" si="597">ROUND(SUM(AC144:AF144)-AM144,2)</f>
        <v>0</v>
      </c>
      <c r="AQ144" s="25">
        <f t="shared" ref="AQ144:AQ145" si="598">ROUND(SUM(AH144:AK144)-AN144,2)</f>
        <v>0</v>
      </c>
    </row>
    <row r="145" spans="2:43" x14ac:dyDescent="0.2">
      <c r="B145" s="30" t="s">
        <v>118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13">
        <v>0</v>
      </c>
      <c r="P145" s="13">
        <v>0</v>
      </c>
      <c r="Q145" s="13">
        <v>0</v>
      </c>
      <c r="R145" s="13">
        <f>IFERROR(R143*(Q145/Q143),0)</f>
        <v>0</v>
      </c>
      <c r="S145" s="13">
        <f>+R145</f>
        <v>0</v>
      </c>
      <c r="T145" s="13">
        <f t="shared" ref="T145:AA145" si="599">+S145</f>
        <v>0</v>
      </c>
      <c r="U145" s="13">
        <f t="shared" si="599"/>
        <v>0</v>
      </c>
      <c r="V145" s="13">
        <f t="shared" si="599"/>
        <v>0</v>
      </c>
      <c r="W145" s="13">
        <f t="shared" si="599"/>
        <v>0</v>
      </c>
      <c r="X145" s="13">
        <f t="shared" si="599"/>
        <v>0</v>
      </c>
      <c r="Y145" s="13">
        <f t="shared" si="599"/>
        <v>0</v>
      </c>
      <c r="Z145" s="13">
        <f t="shared" si="599"/>
        <v>0</v>
      </c>
      <c r="AA145" s="13">
        <f t="shared" si="599"/>
        <v>0</v>
      </c>
      <c r="AB145" s="8"/>
      <c r="AC145" s="4">
        <f>SUM(C145:E145)</f>
        <v>0</v>
      </c>
      <c r="AD145" s="4">
        <f>SUM(F145:H145)</f>
        <v>0</v>
      </c>
      <c r="AE145" s="4">
        <f>SUM(I145:K145)</f>
        <v>0</v>
      </c>
      <c r="AF145" s="4">
        <f>SUM(L145:N145)</f>
        <v>0</v>
      </c>
      <c r="AG145" s="4"/>
      <c r="AH145" s="4">
        <f t="shared" si="591"/>
        <v>0</v>
      </c>
      <c r="AI145" s="4">
        <f t="shared" si="592"/>
        <v>0</v>
      </c>
      <c r="AJ145" s="4">
        <f t="shared" si="593"/>
        <v>0</v>
      </c>
      <c r="AK145" s="4">
        <f t="shared" si="594"/>
        <v>0</v>
      </c>
      <c r="AL145" s="4"/>
      <c r="AM145" s="4">
        <f t="shared" si="595"/>
        <v>0</v>
      </c>
      <c r="AN145" s="4">
        <f t="shared" si="596"/>
        <v>0</v>
      </c>
      <c r="AO145" s="1"/>
      <c r="AP145" s="25">
        <f t="shared" si="597"/>
        <v>0</v>
      </c>
      <c r="AQ145" s="25">
        <f t="shared" si="598"/>
        <v>0</v>
      </c>
    </row>
    <row r="146" spans="2:43" x14ac:dyDescent="0.2">
      <c r="B146" s="28" t="s">
        <v>122</v>
      </c>
      <c r="C146" s="29">
        <f>SUM(C143:C145)</f>
        <v>0</v>
      </c>
      <c r="D146" s="29">
        <f t="shared" ref="D146" si="600">SUM(D143:D145)</f>
        <v>0</v>
      </c>
      <c r="E146" s="29">
        <f t="shared" ref="E146" si="601">SUM(E143:E145)</f>
        <v>0</v>
      </c>
      <c r="F146" s="29">
        <f t="shared" ref="F146" si="602">SUM(F143:F145)</f>
        <v>0</v>
      </c>
      <c r="G146" s="29">
        <f t="shared" ref="G146:H146" si="603">SUM(G143:G145)</f>
        <v>0</v>
      </c>
      <c r="H146" s="29">
        <f t="shared" si="603"/>
        <v>0</v>
      </c>
      <c r="I146" s="29">
        <f t="shared" ref="I146" si="604">SUM(I143:I145)</f>
        <v>0</v>
      </c>
      <c r="J146" s="29">
        <f t="shared" ref="J146:K146" si="605">SUM(J143:J145)</f>
        <v>0</v>
      </c>
      <c r="K146" s="29">
        <f t="shared" si="605"/>
        <v>0</v>
      </c>
      <c r="L146" s="29">
        <f t="shared" ref="L146:M146" si="606">SUM(L143:L145)</f>
        <v>0</v>
      </c>
      <c r="M146" s="29">
        <f t="shared" si="606"/>
        <v>0</v>
      </c>
      <c r="N146" s="29">
        <f t="shared" ref="N146:AA146" si="607">SUM(N143:N145)</f>
        <v>0</v>
      </c>
      <c r="P146" s="29">
        <f t="shared" si="607"/>
        <v>0</v>
      </c>
      <c r="Q146" s="29">
        <f t="shared" si="607"/>
        <v>0</v>
      </c>
      <c r="R146" s="29">
        <f t="shared" si="607"/>
        <v>0</v>
      </c>
      <c r="S146" s="29">
        <f t="shared" si="607"/>
        <v>0</v>
      </c>
      <c r="T146" s="29">
        <f t="shared" si="607"/>
        <v>0</v>
      </c>
      <c r="U146" s="29">
        <f t="shared" si="607"/>
        <v>0</v>
      </c>
      <c r="V146" s="29">
        <f t="shared" si="607"/>
        <v>0</v>
      </c>
      <c r="W146" s="29">
        <f t="shared" si="607"/>
        <v>0</v>
      </c>
      <c r="X146" s="29">
        <f t="shared" si="607"/>
        <v>0</v>
      </c>
      <c r="Y146" s="29">
        <f t="shared" si="607"/>
        <v>0</v>
      </c>
      <c r="Z146" s="29">
        <f t="shared" si="607"/>
        <v>0</v>
      </c>
      <c r="AA146" s="29">
        <f t="shared" si="607"/>
        <v>0</v>
      </c>
      <c r="AB146" s="8"/>
      <c r="AC146" s="29">
        <f t="shared" ref="AC146" si="608">SUM(AC143:AC145)</f>
        <v>0</v>
      </c>
      <c r="AD146" s="29">
        <f t="shared" ref="AD146" si="609">SUM(AD143:AD145)</f>
        <v>0</v>
      </c>
      <c r="AE146" s="29">
        <f t="shared" ref="AE146" si="610">SUM(AE143:AE145)</f>
        <v>0</v>
      </c>
      <c r="AF146" s="29">
        <f t="shared" ref="AF146" si="611">SUM(AF143:AF145)</f>
        <v>0</v>
      </c>
      <c r="AG146" s="12"/>
      <c r="AH146" s="29">
        <f>SUM(AH143:AH145)</f>
        <v>0</v>
      </c>
      <c r="AI146" s="29">
        <f t="shared" ref="AI146:AK146" si="612">SUM(AI143:AI145)</f>
        <v>0</v>
      </c>
      <c r="AJ146" s="29">
        <f t="shared" si="612"/>
        <v>0</v>
      </c>
      <c r="AK146" s="29">
        <f t="shared" si="612"/>
        <v>0</v>
      </c>
      <c r="AL146" s="12"/>
      <c r="AM146" s="29">
        <f>SUM(AM143:AM145)</f>
        <v>0</v>
      </c>
      <c r="AN146" s="29">
        <f>SUM(AN143:AN145)</f>
        <v>0</v>
      </c>
      <c r="AO146" s="1"/>
      <c r="AP146" s="25">
        <f>ROUND(SUM(AC146:AF146)-AM146,2)</f>
        <v>0</v>
      </c>
      <c r="AQ146" s="25">
        <f>ROUND(SUM(AH146:AK146)-AN146,2)</f>
        <v>0</v>
      </c>
    </row>
    <row r="148" spans="2:43" x14ac:dyDescent="0.2">
      <c r="B148" s="30" t="s">
        <v>117</v>
      </c>
      <c r="C148" s="99">
        <v>0</v>
      </c>
      <c r="D148" s="99">
        <v>0</v>
      </c>
      <c r="E148" s="99">
        <v>0</v>
      </c>
      <c r="F148" s="99">
        <v>0</v>
      </c>
      <c r="G148" s="99">
        <v>0</v>
      </c>
      <c r="H148" s="99">
        <v>0</v>
      </c>
      <c r="I148" s="99">
        <v>0</v>
      </c>
      <c r="J148" s="99">
        <v>0</v>
      </c>
      <c r="K148" s="99">
        <v>0</v>
      </c>
      <c r="L148" s="99">
        <v>0</v>
      </c>
      <c r="M148" s="99">
        <v>0</v>
      </c>
      <c r="N148" s="13">
        <v>0</v>
      </c>
      <c r="P148" s="13">
        <v>0</v>
      </c>
      <c r="Q148" s="13">
        <v>0</v>
      </c>
      <c r="R148" s="13">
        <f>+Q148+(Q148*$R$2)</f>
        <v>0</v>
      </c>
      <c r="S148" s="13">
        <f>+R148</f>
        <v>0</v>
      </c>
      <c r="T148" s="13">
        <f t="shared" ref="T148:AA148" si="613">+S148</f>
        <v>0</v>
      </c>
      <c r="U148" s="13">
        <f t="shared" si="613"/>
        <v>0</v>
      </c>
      <c r="V148" s="13">
        <f t="shared" si="613"/>
        <v>0</v>
      </c>
      <c r="W148" s="13">
        <f t="shared" si="613"/>
        <v>0</v>
      </c>
      <c r="X148" s="13">
        <f t="shared" si="613"/>
        <v>0</v>
      </c>
      <c r="Y148" s="13">
        <f t="shared" si="613"/>
        <v>0</v>
      </c>
      <c r="Z148" s="13">
        <f t="shared" si="613"/>
        <v>0</v>
      </c>
      <c r="AA148" s="13">
        <f t="shared" si="613"/>
        <v>0</v>
      </c>
      <c r="AB148" s="8"/>
      <c r="AC148" s="4">
        <f>SUM(C148:E148)</f>
        <v>0</v>
      </c>
      <c r="AD148" s="4">
        <f>SUM(F148:H148)</f>
        <v>0</v>
      </c>
      <c r="AE148" s="4">
        <f>SUM(I148:K148)</f>
        <v>0</v>
      </c>
      <c r="AF148" s="4">
        <f>SUM(L148:N148)</f>
        <v>0</v>
      </c>
      <c r="AG148" s="4"/>
      <c r="AH148" s="4">
        <f>SUM(P148:R148)</f>
        <v>0</v>
      </c>
      <c r="AI148" s="4">
        <f>SUM(S148:U148)</f>
        <v>0</v>
      </c>
      <c r="AJ148" s="4">
        <f>SUM(V148:X148)</f>
        <v>0</v>
      </c>
      <c r="AK148" s="4">
        <f>SUM(Y148:AA148)</f>
        <v>0</v>
      </c>
      <c r="AL148" s="4"/>
      <c r="AM148" s="4">
        <f>SUM(C148:N148)</f>
        <v>0</v>
      </c>
      <c r="AN148" s="4">
        <f>SUM(P148:AA148)</f>
        <v>0</v>
      </c>
      <c r="AO148" s="1"/>
      <c r="AP148" s="25">
        <f>ROUND(SUM(AC148:AF148)-AM148,2)</f>
        <v>0</v>
      </c>
      <c r="AQ148" s="25">
        <f>ROUND(SUM(AH148:AK148)-AN148,2)</f>
        <v>0</v>
      </c>
    </row>
    <row r="149" spans="2:43" x14ac:dyDescent="0.2">
      <c r="B149" s="30" t="s">
        <v>25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13">
        <v>0</v>
      </c>
      <c r="P149" s="13">
        <v>0</v>
      </c>
      <c r="Q149" s="13">
        <v>0</v>
      </c>
      <c r="R149" s="13">
        <v>0</v>
      </c>
      <c r="S149" s="13">
        <f>+R149</f>
        <v>0</v>
      </c>
      <c r="T149" s="13">
        <f t="shared" ref="T149:AA149" si="614">+S149</f>
        <v>0</v>
      </c>
      <c r="U149" s="13">
        <f t="shared" si="614"/>
        <v>0</v>
      </c>
      <c r="V149" s="13">
        <f t="shared" si="614"/>
        <v>0</v>
      </c>
      <c r="W149" s="13">
        <f t="shared" si="614"/>
        <v>0</v>
      </c>
      <c r="X149" s="13">
        <f t="shared" si="614"/>
        <v>0</v>
      </c>
      <c r="Y149" s="13">
        <f t="shared" si="614"/>
        <v>0</v>
      </c>
      <c r="Z149" s="13">
        <f t="shared" si="614"/>
        <v>0</v>
      </c>
      <c r="AA149" s="13">
        <f t="shared" si="614"/>
        <v>0</v>
      </c>
      <c r="AB149" s="8"/>
      <c r="AC149" s="4">
        <f>SUM(C149:E149)</f>
        <v>0</v>
      </c>
      <c r="AD149" s="4">
        <f>SUM(F149:H149)</f>
        <v>0</v>
      </c>
      <c r="AE149" s="4">
        <f>SUM(I149:K149)</f>
        <v>0</v>
      </c>
      <c r="AF149" s="4">
        <f>SUM(L149:N149)</f>
        <v>0</v>
      </c>
      <c r="AG149" s="4"/>
      <c r="AH149" s="4">
        <f t="shared" ref="AH149:AH150" si="615">SUM(P149:R149)</f>
        <v>0</v>
      </c>
      <c r="AI149" s="4">
        <f t="shared" ref="AI149:AI150" si="616">SUM(S149:U149)</f>
        <v>0</v>
      </c>
      <c r="AJ149" s="4">
        <f t="shared" ref="AJ149:AJ150" si="617">SUM(V149:X149)</f>
        <v>0</v>
      </c>
      <c r="AK149" s="4">
        <f t="shared" ref="AK149:AK150" si="618">SUM(Y149:AA149)</f>
        <v>0</v>
      </c>
      <c r="AL149" s="4"/>
      <c r="AM149" s="4">
        <f t="shared" ref="AM149:AM150" si="619">SUM(C149:N149)</f>
        <v>0</v>
      </c>
      <c r="AN149" s="4">
        <f t="shared" ref="AN149:AN150" si="620">SUM(P149:AA149)</f>
        <v>0</v>
      </c>
      <c r="AO149" s="1"/>
      <c r="AP149" s="25">
        <f t="shared" ref="AP149:AP150" si="621">ROUND(SUM(AC149:AF149)-AM149,2)</f>
        <v>0</v>
      </c>
      <c r="AQ149" s="25">
        <f t="shared" ref="AQ149:AQ150" si="622">ROUND(SUM(AH149:AK149)-AN149,2)</f>
        <v>0</v>
      </c>
    </row>
    <row r="150" spans="2:43" x14ac:dyDescent="0.2">
      <c r="B150" s="30" t="s">
        <v>118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13">
        <v>0</v>
      </c>
      <c r="P150" s="13">
        <v>0</v>
      </c>
      <c r="Q150" s="13">
        <v>0</v>
      </c>
      <c r="R150" s="13">
        <f>IFERROR(R148*(Q150/Q148),0)</f>
        <v>0</v>
      </c>
      <c r="S150" s="13">
        <f>+R150</f>
        <v>0</v>
      </c>
      <c r="T150" s="13">
        <f t="shared" ref="T150:AA150" si="623">+S150</f>
        <v>0</v>
      </c>
      <c r="U150" s="13">
        <f t="shared" si="623"/>
        <v>0</v>
      </c>
      <c r="V150" s="13">
        <f t="shared" si="623"/>
        <v>0</v>
      </c>
      <c r="W150" s="13">
        <f t="shared" si="623"/>
        <v>0</v>
      </c>
      <c r="X150" s="13">
        <f t="shared" si="623"/>
        <v>0</v>
      </c>
      <c r="Y150" s="13">
        <f t="shared" si="623"/>
        <v>0</v>
      </c>
      <c r="Z150" s="13">
        <f t="shared" si="623"/>
        <v>0</v>
      </c>
      <c r="AA150" s="13">
        <f t="shared" si="623"/>
        <v>0</v>
      </c>
      <c r="AB150" s="8"/>
      <c r="AC150" s="4">
        <f>SUM(C150:E150)</f>
        <v>0</v>
      </c>
      <c r="AD150" s="4">
        <f>SUM(F150:H150)</f>
        <v>0</v>
      </c>
      <c r="AE150" s="4">
        <f>SUM(I150:K150)</f>
        <v>0</v>
      </c>
      <c r="AF150" s="4">
        <f>SUM(L150:N150)</f>
        <v>0</v>
      </c>
      <c r="AG150" s="4"/>
      <c r="AH150" s="4">
        <f t="shared" si="615"/>
        <v>0</v>
      </c>
      <c r="AI150" s="4">
        <f t="shared" si="616"/>
        <v>0</v>
      </c>
      <c r="AJ150" s="4">
        <f t="shared" si="617"/>
        <v>0</v>
      </c>
      <c r="AK150" s="4">
        <f t="shared" si="618"/>
        <v>0</v>
      </c>
      <c r="AL150" s="4"/>
      <c r="AM150" s="4">
        <f t="shared" si="619"/>
        <v>0</v>
      </c>
      <c r="AN150" s="4">
        <f t="shared" si="620"/>
        <v>0</v>
      </c>
      <c r="AO150" s="1"/>
      <c r="AP150" s="25">
        <f t="shared" si="621"/>
        <v>0</v>
      </c>
      <c r="AQ150" s="25">
        <f t="shared" si="622"/>
        <v>0</v>
      </c>
    </row>
    <row r="151" spans="2:43" x14ac:dyDescent="0.2">
      <c r="B151" s="28" t="s">
        <v>122</v>
      </c>
      <c r="C151" s="29">
        <f>SUM(C148:C150)</f>
        <v>0</v>
      </c>
      <c r="D151" s="29">
        <f t="shared" ref="D151" si="624">SUM(D148:D150)</f>
        <v>0</v>
      </c>
      <c r="E151" s="29">
        <f t="shared" ref="E151" si="625">SUM(E148:E150)</f>
        <v>0</v>
      </c>
      <c r="F151" s="29">
        <f t="shared" ref="F151" si="626">SUM(F148:F150)</f>
        <v>0</v>
      </c>
      <c r="G151" s="29">
        <f t="shared" ref="G151:H151" si="627">SUM(G148:G150)</f>
        <v>0</v>
      </c>
      <c r="H151" s="29">
        <f t="shared" si="627"/>
        <v>0</v>
      </c>
      <c r="I151" s="29">
        <f t="shared" ref="I151" si="628">SUM(I148:I150)</f>
        <v>0</v>
      </c>
      <c r="J151" s="29">
        <f t="shared" ref="J151" si="629">SUM(J148:J150)</f>
        <v>0</v>
      </c>
      <c r="K151" s="29">
        <f t="shared" ref="K151:L151" si="630">SUM(K148:K150)</f>
        <v>0</v>
      </c>
      <c r="L151" s="29">
        <f t="shared" si="630"/>
        <v>0</v>
      </c>
      <c r="M151" s="29">
        <f t="shared" ref="M151" si="631">SUM(M148:M150)</f>
        <v>0</v>
      </c>
      <c r="N151" s="29">
        <f t="shared" ref="N151:AA151" si="632">SUM(N148:N150)</f>
        <v>0</v>
      </c>
      <c r="P151" s="29">
        <f t="shared" si="632"/>
        <v>0</v>
      </c>
      <c r="Q151" s="29">
        <f t="shared" si="632"/>
        <v>0</v>
      </c>
      <c r="R151" s="29">
        <f t="shared" si="632"/>
        <v>0</v>
      </c>
      <c r="S151" s="29">
        <f t="shared" si="632"/>
        <v>0</v>
      </c>
      <c r="T151" s="29">
        <f t="shared" si="632"/>
        <v>0</v>
      </c>
      <c r="U151" s="29">
        <f t="shared" si="632"/>
        <v>0</v>
      </c>
      <c r="V151" s="29">
        <f t="shared" si="632"/>
        <v>0</v>
      </c>
      <c r="W151" s="29">
        <f t="shared" si="632"/>
        <v>0</v>
      </c>
      <c r="X151" s="29">
        <f t="shared" si="632"/>
        <v>0</v>
      </c>
      <c r="Y151" s="29">
        <f t="shared" si="632"/>
        <v>0</v>
      </c>
      <c r="Z151" s="29">
        <f t="shared" si="632"/>
        <v>0</v>
      </c>
      <c r="AA151" s="29">
        <f t="shared" si="632"/>
        <v>0</v>
      </c>
      <c r="AB151" s="8"/>
      <c r="AC151" s="29">
        <f t="shared" ref="AC151" si="633">SUM(AC148:AC150)</f>
        <v>0</v>
      </c>
      <c r="AD151" s="29">
        <f t="shared" ref="AD151" si="634">SUM(AD148:AD150)</f>
        <v>0</v>
      </c>
      <c r="AE151" s="29">
        <f t="shared" ref="AE151" si="635">SUM(AE148:AE150)</f>
        <v>0</v>
      </c>
      <c r="AF151" s="29">
        <f t="shared" ref="AF151" si="636">SUM(AF148:AF150)</f>
        <v>0</v>
      </c>
      <c r="AG151" s="12"/>
      <c r="AH151" s="29">
        <f>SUM(AH148:AH150)</f>
        <v>0</v>
      </c>
      <c r="AI151" s="29">
        <f t="shared" ref="AI151:AK151" si="637">SUM(AI148:AI150)</f>
        <v>0</v>
      </c>
      <c r="AJ151" s="29">
        <f t="shared" si="637"/>
        <v>0</v>
      </c>
      <c r="AK151" s="29">
        <f t="shared" si="637"/>
        <v>0</v>
      </c>
      <c r="AL151" s="12"/>
      <c r="AM151" s="29">
        <f>SUM(AM148:AM150)</f>
        <v>0</v>
      </c>
      <c r="AN151" s="29">
        <f>SUM(AN148:AN150)</f>
        <v>0</v>
      </c>
      <c r="AO151" s="1"/>
      <c r="AP151" s="25">
        <f>ROUND(SUM(AC151:AF151)-AM151,2)</f>
        <v>0</v>
      </c>
      <c r="AQ151" s="25">
        <f>ROUND(SUM(AH151:AK151)-AN151,2)</f>
        <v>0</v>
      </c>
    </row>
    <row r="152" spans="2:43" x14ac:dyDescent="0.2">
      <c r="B152" s="28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8"/>
      <c r="AC152" s="29"/>
      <c r="AD152" s="29"/>
      <c r="AE152" s="29"/>
      <c r="AF152" s="29"/>
      <c r="AG152" s="12"/>
      <c r="AH152" s="12"/>
      <c r="AI152" s="12"/>
      <c r="AJ152" s="12"/>
      <c r="AK152" s="12"/>
      <c r="AL152" s="12"/>
      <c r="AM152" s="12"/>
      <c r="AN152" s="29"/>
      <c r="AO152" s="1"/>
      <c r="AP152" s="25"/>
      <c r="AQ152" s="25"/>
    </row>
    <row r="153" spans="2:43" x14ac:dyDescent="0.2">
      <c r="B153" s="30" t="s">
        <v>117</v>
      </c>
      <c r="C153" s="4">
        <f>+C128+C133+C138+C143+C148</f>
        <v>0</v>
      </c>
      <c r="D153" s="4">
        <f t="shared" ref="D153:N153" si="638">+D128+D133+D138+D143+D148</f>
        <v>0</v>
      </c>
      <c r="E153" s="4">
        <f t="shared" si="638"/>
        <v>0</v>
      </c>
      <c r="F153" s="4">
        <f t="shared" si="638"/>
        <v>0</v>
      </c>
      <c r="G153" s="4">
        <f t="shared" si="638"/>
        <v>0</v>
      </c>
      <c r="H153" s="4">
        <f t="shared" si="638"/>
        <v>0</v>
      </c>
      <c r="I153" s="4">
        <f t="shared" si="638"/>
        <v>0</v>
      </c>
      <c r="J153" s="4">
        <f t="shared" si="638"/>
        <v>0</v>
      </c>
      <c r="K153" s="4">
        <f t="shared" si="638"/>
        <v>0</v>
      </c>
      <c r="L153" s="4">
        <f t="shared" si="638"/>
        <v>0</v>
      </c>
      <c r="M153" s="4">
        <f t="shared" si="638"/>
        <v>0</v>
      </c>
      <c r="N153" s="4">
        <f t="shared" si="638"/>
        <v>0</v>
      </c>
      <c r="P153" s="4">
        <f t="shared" ref="P153:Z153" si="639">+P128+P133+P138+P143+P148</f>
        <v>0</v>
      </c>
      <c r="Q153" s="4">
        <f t="shared" si="639"/>
        <v>0</v>
      </c>
      <c r="R153" s="4">
        <f t="shared" si="639"/>
        <v>0</v>
      </c>
      <c r="S153" s="4">
        <f t="shared" si="639"/>
        <v>0</v>
      </c>
      <c r="T153" s="4">
        <f t="shared" si="639"/>
        <v>0</v>
      </c>
      <c r="U153" s="4">
        <f t="shared" si="639"/>
        <v>0</v>
      </c>
      <c r="V153" s="4">
        <f t="shared" si="639"/>
        <v>0</v>
      </c>
      <c r="W153" s="4">
        <f t="shared" si="639"/>
        <v>0</v>
      </c>
      <c r="X153" s="4">
        <f t="shared" si="639"/>
        <v>0</v>
      </c>
      <c r="Y153" s="4">
        <f t="shared" si="639"/>
        <v>0</v>
      </c>
      <c r="Z153" s="4">
        <f t="shared" si="639"/>
        <v>0</v>
      </c>
      <c r="AA153" s="4">
        <f>+AA128+AA133+AA138+AA143+AA148</f>
        <v>0</v>
      </c>
      <c r="AB153" s="8"/>
      <c r="AC153" s="4">
        <f t="shared" ref="AC153:AF153" si="640">+AC128+AC133+AC138+AC143+AC148</f>
        <v>0</v>
      </c>
      <c r="AD153" s="4">
        <f t="shared" si="640"/>
        <v>0</v>
      </c>
      <c r="AE153" s="4">
        <f t="shared" si="640"/>
        <v>0</v>
      </c>
      <c r="AF153" s="4">
        <f t="shared" si="640"/>
        <v>0</v>
      </c>
      <c r="AG153" s="4"/>
      <c r="AH153" s="4">
        <f t="shared" ref="AH153:AK153" si="641">+AH128+AH133+AH138+AH143+AH148</f>
        <v>0</v>
      </c>
      <c r="AI153" s="4">
        <f t="shared" si="641"/>
        <v>0</v>
      </c>
      <c r="AJ153" s="4">
        <f t="shared" si="641"/>
        <v>0</v>
      </c>
      <c r="AK153" s="4">
        <f t="shared" si="641"/>
        <v>0</v>
      </c>
      <c r="AL153" s="4"/>
      <c r="AM153" s="4">
        <f t="shared" ref="AM153:AN153" si="642">+AM128+AM133+AM138+AM143+AM148</f>
        <v>0</v>
      </c>
      <c r="AN153" s="4">
        <f t="shared" si="642"/>
        <v>0</v>
      </c>
      <c r="AO153" s="1"/>
      <c r="AP153" s="25">
        <f>ROUND(SUM(AC153:AF153)-AM153,2)</f>
        <v>0</v>
      </c>
      <c r="AQ153" s="25">
        <f>ROUND(SUM(AH153:AK153)-AN153,2)</f>
        <v>0</v>
      </c>
    </row>
    <row r="154" spans="2:43" x14ac:dyDescent="0.2">
      <c r="B154" s="30" t="s">
        <v>25</v>
      </c>
      <c r="C154" s="4">
        <f t="shared" ref="C154:N154" si="643">+C129+C134+C139+C144+C149</f>
        <v>0</v>
      </c>
      <c r="D154" s="4">
        <f t="shared" si="643"/>
        <v>0</v>
      </c>
      <c r="E154" s="4">
        <f t="shared" si="643"/>
        <v>0</v>
      </c>
      <c r="F154" s="4">
        <f t="shared" si="643"/>
        <v>0</v>
      </c>
      <c r="G154" s="4">
        <f t="shared" si="643"/>
        <v>0</v>
      </c>
      <c r="H154" s="4">
        <f t="shared" si="643"/>
        <v>0</v>
      </c>
      <c r="I154" s="4">
        <f t="shared" si="643"/>
        <v>0</v>
      </c>
      <c r="J154" s="4">
        <f t="shared" si="643"/>
        <v>0</v>
      </c>
      <c r="K154" s="4">
        <f t="shared" si="643"/>
        <v>0</v>
      </c>
      <c r="L154" s="4">
        <f t="shared" si="643"/>
        <v>0</v>
      </c>
      <c r="M154" s="4">
        <f t="shared" si="643"/>
        <v>0</v>
      </c>
      <c r="N154" s="4">
        <f t="shared" si="643"/>
        <v>0</v>
      </c>
      <c r="P154" s="4">
        <f t="shared" ref="P154:Z154" si="644">+P129+P134+P139+P144+P149</f>
        <v>0</v>
      </c>
      <c r="Q154" s="4">
        <f t="shared" si="644"/>
        <v>0</v>
      </c>
      <c r="R154" s="4">
        <f t="shared" si="644"/>
        <v>0</v>
      </c>
      <c r="S154" s="4">
        <f t="shared" si="644"/>
        <v>0</v>
      </c>
      <c r="T154" s="4">
        <f t="shared" si="644"/>
        <v>0</v>
      </c>
      <c r="U154" s="4">
        <f t="shared" si="644"/>
        <v>0</v>
      </c>
      <c r="V154" s="4">
        <f t="shared" si="644"/>
        <v>0</v>
      </c>
      <c r="W154" s="4">
        <f t="shared" si="644"/>
        <v>0</v>
      </c>
      <c r="X154" s="4">
        <f t="shared" si="644"/>
        <v>0</v>
      </c>
      <c r="Y154" s="4">
        <f t="shared" si="644"/>
        <v>0</v>
      </c>
      <c r="Z154" s="4">
        <f t="shared" si="644"/>
        <v>0</v>
      </c>
      <c r="AA154" s="4">
        <f>+AA129+AA134+AA139+AA144+AA149</f>
        <v>0</v>
      </c>
      <c r="AB154" s="8"/>
      <c r="AC154" s="4">
        <f t="shared" ref="AC154:AF154" si="645">+AC129+AC134+AC139+AC144+AC149</f>
        <v>0</v>
      </c>
      <c r="AD154" s="4">
        <f t="shared" si="645"/>
        <v>0</v>
      </c>
      <c r="AE154" s="4">
        <f t="shared" si="645"/>
        <v>0</v>
      </c>
      <c r="AF154" s="4">
        <f t="shared" si="645"/>
        <v>0</v>
      </c>
      <c r="AG154" s="4"/>
      <c r="AH154" s="4">
        <f t="shared" ref="AH154:AK154" si="646">+AH129+AH134+AH139+AH144+AH149</f>
        <v>0</v>
      </c>
      <c r="AI154" s="4">
        <f t="shared" si="646"/>
        <v>0</v>
      </c>
      <c r="AJ154" s="4">
        <f t="shared" si="646"/>
        <v>0</v>
      </c>
      <c r="AK154" s="4">
        <f t="shared" si="646"/>
        <v>0</v>
      </c>
      <c r="AL154" s="4"/>
      <c r="AM154" s="4">
        <f t="shared" ref="AM154:AN154" si="647">+AM129+AM134+AM139+AM144+AM149</f>
        <v>0</v>
      </c>
      <c r="AN154" s="4">
        <f t="shared" si="647"/>
        <v>0</v>
      </c>
      <c r="AO154" s="1"/>
      <c r="AP154" s="25">
        <f t="shared" ref="AP154:AP155" si="648">ROUND(SUM(AC154:AF154)-AM154,2)</f>
        <v>0</v>
      </c>
      <c r="AQ154" s="25">
        <f t="shared" ref="AQ154:AQ155" si="649">ROUND(SUM(AH154:AK154)-AN154,2)</f>
        <v>0</v>
      </c>
    </row>
    <row r="155" spans="2:43" x14ac:dyDescent="0.2">
      <c r="B155" s="30" t="s">
        <v>118</v>
      </c>
      <c r="C155" s="4">
        <f t="shared" ref="C155:N155" si="650">+C130+C135+C140+C145+C150</f>
        <v>0</v>
      </c>
      <c r="D155" s="4">
        <f t="shared" si="650"/>
        <v>0</v>
      </c>
      <c r="E155" s="4">
        <f t="shared" si="650"/>
        <v>0</v>
      </c>
      <c r="F155" s="4">
        <f t="shared" si="650"/>
        <v>0</v>
      </c>
      <c r="G155" s="4">
        <f t="shared" si="650"/>
        <v>0</v>
      </c>
      <c r="H155" s="4">
        <f t="shared" si="650"/>
        <v>0</v>
      </c>
      <c r="I155" s="4">
        <f t="shared" si="650"/>
        <v>0</v>
      </c>
      <c r="J155" s="4">
        <f t="shared" si="650"/>
        <v>0</v>
      </c>
      <c r="K155" s="4">
        <f t="shared" si="650"/>
        <v>0</v>
      </c>
      <c r="L155" s="4">
        <f t="shared" si="650"/>
        <v>0</v>
      </c>
      <c r="M155" s="4">
        <f t="shared" si="650"/>
        <v>0</v>
      </c>
      <c r="N155" s="4">
        <f t="shared" si="650"/>
        <v>0</v>
      </c>
      <c r="P155" s="4">
        <f t="shared" ref="P155:Z155" si="651">+P130+P135+P140+P145+P150</f>
        <v>0</v>
      </c>
      <c r="Q155" s="4">
        <f t="shared" si="651"/>
        <v>0</v>
      </c>
      <c r="R155" s="4">
        <f t="shared" si="651"/>
        <v>0</v>
      </c>
      <c r="S155" s="4">
        <f t="shared" si="651"/>
        <v>0</v>
      </c>
      <c r="T155" s="4">
        <f t="shared" si="651"/>
        <v>0</v>
      </c>
      <c r="U155" s="4">
        <f t="shared" si="651"/>
        <v>0</v>
      </c>
      <c r="V155" s="4">
        <f t="shared" si="651"/>
        <v>0</v>
      </c>
      <c r="W155" s="4">
        <f t="shared" si="651"/>
        <v>0</v>
      </c>
      <c r="X155" s="4">
        <f t="shared" si="651"/>
        <v>0</v>
      </c>
      <c r="Y155" s="4">
        <f t="shared" si="651"/>
        <v>0</v>
      </c>
      <c r="Z155" s="4">
        <f t="shared" si="651"/>
        <v>0</v>
      </c>
      <c r="AA155" s="4">
        <f>+AA130+AA135+AA140+AA145+AA150</f>
        <v>0</v>
      </c>
      <c r="AB155" s="8"/>
      <c r="AC155" s="4">
        <f t="shared" ref="AC155:AF155" si="652">+AC130+AC135+AC140+AC145+AC150</f>
        <v>0</v>
      </c>
      <c r="AD155" s="4">
        <f t="shared" si="652"/>
        <v>0</v>
      </c>
      <c r="AE155" s="4">
        <f t="shared" si="652"/>
        <v>0</v>
      </c>
      <c r="AF155" s="4">
        <f t="shared" si="652"/>
        <v>0</v>
      </c>
      <c r="AG155" s="4"/>
      <c r="AH155" s="4">
        <f t="shared" ref="AH155:AK155" si="653">+AH130+AH135+AH140+AH145+AH150</f>
        <v>0</v>
      </c>
      <c r="AI155" s="4">
        <f t="shared" si="653"/>
        <v>0</v>
      </c>
      <c r="AJ155" s="4">
        <f t="shared" si="653"/>
        <v>0</v>
      </c>
      <c r="AK155" s="4">
        <f t="shared" si="653"/>
        <v>0</v>
      </c>
      <c r="AL155" s="4"/>
      <c r="AM155" s="4">
        <f t="shared" ref="AM155:AN155" si="654">+AM130+AM135+AM140+AM145+AM150</f>
        <v>0</v>
      </c>
      <c r="AN155" s="4">
        <f t="shared" si="654"/>
        <v>0</v>
      </c>
      <c r="AO155" s="1"/>
      <c r="AP155" s="25">
        <f t="shared" si="648"/>
        <v>0</v>
      </c>
      <c r="AQ155" s="25">
        <f t="shared" si="649"/>
        <v>0</v>
      </c>
    </row>
    <row r="156" spans="2:43" x14ac:dyDescent="0.2">
      <c r="B156" s="28" t="s">
        <v>126</v>
      </c>
      <c r="C156" s="32">
        <f>+C131+C136+C141+C146+C151</f>
        <v>0</v>
      </c>
      <c r="D156" s="32">
        <f t="shared" ref="D156:N156" si="655">+D131+D136+D141+D146+D151</f>
        <v>0</v>
      </c>
      <c r="E156" s="32">
        <f t="shared" si="655"/>
        <v>0</v>
      </c>
      <c r="F156" s="32">
        <f t="shared" si="655"/>
        <v>0</v>
      </c>
      <c r="G156" s="32">
        <f t="shared" si="655"/>
        <v>0</v>
      </c>
      <c r="H156" s="32">
        <f t="shared" si="655"/>
        <v>0</v>
      </c>
      <c r="I156" s="32">
        <f t="shared" si="655"/>
        <v>0</v>
      </c>
      <c r="J156" s="32">
        <f t="shared" si="655"/>
        <v>0</v>
      </c>
      <c r="K156" s="32">
        <f t="shared" si="655"/>
        <v>0</v>
      </c>
      <c r="L156" s="32">
        <f t="shared" si="655"/>
        <v>0</v>
      </c>
      <c r="M156" s="32">
        <f t="shared" si="655"/>
        <v>0</v>
      </c>
      <c r="N156" s="32">
        <f t="shared" si="655"/>
        <v>0</v>
      </c>
      <c r="P156" s="32">
        <f t="shared" ref="P156:Z156" si="656">+P131+P136+P141+P146+P151</f>
        <v>0</v>
      </c>
      <c r="Q156" s="32">
        <f t="shared" si="656"/>
        <v>0</v>
      </c>
      <c r="R156" s="32">
        <f t="shared" si="656"/>
        <v>0</v>
      </c>
      <c r="S156" s="32">
        <f t="shared" si="656"/>
        <v>0</v>
      </c>
      <c r="T156" s="32">
        <f t="shared" si="656"/>
        <v>0</v>
      </c>
      <c r="U156" s="32">
        <f t="shared" si="656"/>
        <v>0</v>
      </c>
      <c r="V156" s="32">
        <f t="shared" si="656"/>
        <v>0</v>
      </c>
      <c r="W156" s="32">
        <f t="shared" si="656"/>
        <v>0</v>
      </c>
      <c r="X156" s="32">
        <f t="shared" si="656"/>
        <v>0</v>
      </c>
      <c r="Y156" s="32">
        <f t="shared" si="656"/>
        <v>0</v>
      </c>
      <c r="Z156" s="32">
        <f t="shared" si="656"/>
        <v>0</v>
      </c>
      <c r="AA156" s="32">
        <f>+AA131+AA136+AA141+AA146+AA151</f>
        <v>0</v>
      </c>
      <c r="AB156" s="33"/>
      <c r="AC156" s="32">
        <f t="shared" ref="AC156:AF156" si="657">+AC131+AC136+AC141+AC146+AC151</f>
        <v>0</v>
      </c>
      <c r="AD156" s="32">
        <f t="shared" si="657"/>
        <v>0</v>
      </c>
      <c r="AE156" s="32">
        <f t="shared" si="657"/>
        <v>0</v>
      </c>
      <c r="AF156" s="32">
        <f t="shared" si="657"/>
        <v>0</v>
      </c>
      <c r="AG156" s="33"/>
      <c r="AH156" s="32">
        <f t="shared" ref="AH156:AK156" si="658">+AH131+AH136+AH141+AH146+AH151</f>
        <v>0</v>
      </c>
      <c r="AI156" s="32">
        <f t="shared" si="658"/>
        <v>0</v>
      </c>
      <c r="AJ156" s="32">
        <f t="shared" si="658"/>
        <v>0</v>
      </c>
      <c r="AK156" s="32">
        <f t="shared" si="658"/>
        <v>0</v>
      </c>
      <c r="AL156" s="12"/>
      <c r="AM156" s="32">
        <f t="shared" ref="AM156:AN156" si="659">+AM131+AM136+AM141+AM146+AM151</f>
        <v>0</v>
      </c>
      <c r="AN156" s="32">
        <f t="shared" si="659"/>
        <v>0</v>
      </c>
      <c r="AO156" s="1"/>
      <c r="AP156" s="25">
        <f>ROUND(SUM(AC156:AF156)-AM156,2)</f>
        <v>0</v>
      </c>
      <c r="AQ156" s="25">
        <f>ROUND(SUM(AH156:AK156)-AN156,2)</f>
        <v>0</v>
      </c>
    </row>
    <row r="157" spans="2:43" x14ac:dyDescent="0.2">
      <c r="B157" s="28"/>
      <c r="C157" s="41" t="str">
        <f>IF(C156-SUM(C153:C155)=0,"ok","check")</f>
        <v>ok</v>
      </c>
      <c r="D157" s="41" t="str">
        <f t="shared" ref="D157" si="660">IF(D156-SUM(D153:D155)=0,"ok","check")</f>
        <v>ok</v>
      </c>
      <c r="E157" s="41" t="str">
        <f t="shared" ref="E157" si="661">IF(E156-SUM(E153:E155)=0,"ok","check")</f>
        <v>ok</v>
      </c>
      <c r="F157" s="41" t="str">
        <f t="shared" ref="F157" si="662">IF(F156-SUM(F153:F155)=0,"ok","check")</f>
        <v>ok</v>
      </c>
      <c r="G157" s="41" t="str">
        <f t="shared" ref="G157" si="663">IF(G156-SUM(G153:G155)=0,"ok","check")</f>
        <v>ok</v>
      </c>
      <c r="H157" s="41" t="str">
        <f t="shared" ref="H157" si="664">IF(H156-SUM(H153:H155)=0,"ok","check")</f>
        <v>ok</v>
      </c>
      <c r="I157" s="41" t="str">
        <f t="shared" ref="I157" si="665">IF(I156-SUM(I153:I155)=0,"ok","check")</f>
        <v>ok</v>
      </c>
      <c r="J157" s="41" t="str">
        <f t="shared" ref="J157" si="666">IF(J156-SUM(J153:J155)=0,"ok","check")</f>
        <v>ok</v>
      </c>
      <c r="K157" s="41" t="str">
        <f t="shared" ref="K157" si="667">IF(K156-SUM(K153:K155)=0,"ok","check")</f>
        <v>ok</v>
      </c>
      <c r="L157" s="41" t="str">
        <f t="shared" ref="L157" si="668">IF(L156-SUM(L153:L155)=0,"ok","check")</f>
        <v>ok</v>
      </c>
      <c r="M157" s="41" t="str">
        <f t="shared" ref="M157" si="669">IF(M156-SUM(M153:M155)=0,"ok","check")</f>
        <v>ok</v>
      </c>
      <c r="N157" s="41" t="str">
        <f t="shared" ref="N157:AA157" si="670">IF(N156-SUM(N153:N155)=0,"ok","check")</f>
        <v>ok</v>
      </c>
      <c r="P157" s="41" t="str">
        <f t="shared" si="670"/>
        <v>ok</v>
      </c>
      <c r="Q157" s="41" t="str">
        <f t="shared" si="670"/>
        <v>ok</v>
      </c>
      <c r="R157" s="41" t="str">
        <f t="shared" si="670"/>
        <v>ok</v>
      </c>
      <c r="S157" s="41" t="str">
        <f t="shared" si="670"/>
        <v>ok</v>
      </c>
      <c r="T157" s="41" t="str">
        <f t="shared" si="670"/>
        <v>ok</v>
      </c>
      <c r="U157" s="41" t="str">
        <f t="shared" si="670"/>
        <v>ok</v>
      </c>
      <c r="V157" s="41" t="str">
        <f t="shared" si="670"/>
        <v>ok</v>
      </c>
      <c r="W157" s="41" t="str">
        <f t="shared" si="670"/>
        <v>ok</v>
      </c>
      <c r="X157" s="41" t="str">
        <f t="shared" si="670"/>
        <v>ok</v>
      </c>
      <c r="Y157" s="41" t="str">
        <f t="shared" si="670"/>
        <v>ok</v>
      </c>
      <c r="Z157" s="41" t="str">
        <f t="shared" si="670"/>
        <v>ok</v>
      </c>
      <c r="AA157" s="41" t="str">
        <f t="shared" si="670"/>
        <v>ok</v>
      </c>
    </row>
    <row r="159" spans="2:43" x14ac:dyDescent="0.2">
      <c r="B159" s="167" t="s">
        <v>127</v>
      </c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9"/>
    </row>
    <row r="161" spans="2:48" x14ac:dyDescent="0.2">
      <c r="B161" s="30" t="s">
        <v>117</v>
      </c>
      <c r="C161" s="99">
        <v>0</v>
      </c>
      <c r="D161" s="99">
        <v>0</v>
      </c>
      <c r="E161" s="99">
        <v>0</v>
      </c>
      <c r="F161" s="99">
        <v>0</v>
      </c>
      <c r="G161" s="99">
        <v>0</v>
      </c>
      <c r="H161" s="99">
        <v>0</v>
      </c>
      <c r="I161" s="99">
        <v>0</v>
      </c>
      <c r="J161" s="99">
        <v>0</v>
      </c>
      <c r="K161" s="99">
        <v>0</v>
      </c>
      <c r="L161" s="99">
        <v>0</v>
      </c>
      <c r="M161" s="99">
        <v>0</v>
      </c>
      <c r="N161" s="13">
        <v>0</v>
      </c>
      <c r="P161" s="13">
        <v>0</v>
      </c>
      <c r="Q161" s="13">
        <v>0</v>
      </c>
      <c r="R161" s="13">
        <f>+Q161+(Q161*$R$2)</f>
        <v>0</v>
      </c>
      <c r="S161" s="13">
        <f>+R161</f>
        <v>0</v>
      </c>
      <c r="T161" s="13">
        <f t="shared" ref="T161:AA161" si="671">+S161</f>
        <v>0</v>
      </c>
      <c r="U161" s="13">
        <f t="shared" si="671"/>
        <v>0</v>
      </c>
      <c r="V161" s="13">
        <f t="shared" si="671"/>
        <v>0</v>
      </c>
      <c r="W161" s="13">
        <f t="shared" si="671"/>
        <v>0</v>
      </c>
      <c r="X161" s="13">
        <f t="shared" si="671"/>
        <v>0</v>
      </c>
      <c r="Y161" s="13">
        <f t="shared" si="671"/>
        <v>0</v>
      </c>
      <c r="Z161" s="13">
        <f t="shared" si="671"/>
        <v>0</v>
      </c>
      <c r="AA161" s="13">
        <f t="shared" si="671"/>
        <v>0</v>
      </c>
      <c r="AB161" s="8"/>
      <c r="AC161" s="4">
        <f>SUM(C161:E161)</f>
        <v>0</v>
      </c>
      <c r="AD161" s="4">
        <f>SUM(F161:H161)</f>
        <v>0</v>
      </c>
      <c r="AE161" s="4">
        <f>SUM(I161:K161)</f>
        <v>0</v>
      </c>
      <c r="AF161" s="4">
        <f>SUM(L161:N161)</f>
        <v>0</v>
      </c>
      <c r="AG161" s="4"/>
      <c r="AH161" s="4">
        <f>SUM(P161:R161)</f>
        <v>0</v>
      </c>
      <c r="AI161" s="4">
        <f>SUM(S161:U161)</f>
        <v>0</v>
      </c>
      <c r="AJ161" s="4">
        <f>SUM(V161:X161)</f>
        <v>0</v>
      </c>
      <c r="AK161" s="4">
        <f>SUM(Y161:AA161)</f>
        <v>0</v>
      </c>
      <c r="AL161" s="4"/>
      <c r="AM161" s="4">
        <f>SUM(C161:N161)</f>
        <v>0</v>
      </c>
      <c r="AN161" s="4">
        <f>SUM(P161:AA161)</f>
        <v>0</v>
      </c>
      <c r="AO161" s="1"/>
      <c r="AP161" s="25">
        <f>ROUND(SUM(AC161:AF161)-AM161,2)</f>
        <v>0</v>
      </c>
      <c r="AQ161" s="25">
        <f>ROUND(SUM(AH161:AK161)-AN161,2)</f>
        <v>0</v>
      </c>
      <c r="AS161" s="4"/>
    </row>
    <row r="162" spans="2:48" x14ac:dyDescent="0.2">
      <c r="B162" s="30" t="s">
        <v>25</v>
      </c>
      <c r="C162" s="99">
        <v>0</v>
      </c>
      <c r="D162" s="99">
        <v>0</v>
      </c>
      <c r="E162" s="99">
        <v>0</v>
      </c>
      <c r="F162" s="99">
        <v>0</v>
      </c>
      <c r="G162" s="99">
        <v>0</v>
      </c>
      <c r="H162" s="99">
        <v>0</v>
      </c>
      <c r="I162" s="99">
        <v>0</v>
      </c>
      <c r="J162" s="99">
        <v>0</v>
      </c>
      <c r="K162" s="99">
        <v>0</v>
      </c>
      <c r="L162" s="99">
        <v>0</v>
      </c>
      <c r="M162" s="99">
        <v>0</v>
      </c>
      <c r="N162" s="13">
        <v>0</v>
      </c>
      <c r="P162" s="13">
        <v>0</v>
      </c>
      <c r="Q162" s="13">
        <v>0</v>
      </c>
      <c r="R162" s="13">
        <v>0</v>
      </c>
      <c r="S162" s="13">
        <f>+R162</f>
        <v>0</v>
      </c>
      <c r="T162" s="13">
        <f t="shared" ref="T162:AA162" si="672">+S162</f>
        <v>0</v>
      </c>
      <c r="U162" s="13">
        <f t="shared" si="672"/>
        <v>0</v>
      </c>
      <c r="V162" s="13">
        <f t="shared" si="672"/>
        <v>0</v>
      </c>
      <c r="W162" s="13">
        <f t="shared" si="672"/>
        <v>0</v>
      </c>
      <c r="X162" s="13">
        <f t="shared" si="672"/>
        <v>0</v>
      </c>
      <c r="Y162" s="13">
        <f t="shared" si="672"/>
        <v>0</v>
      </c>
      <c r="Z162" s="13">
        <f t="shared" si="672"/>
        <v>0</v>
      </c>
      <c r="AA162" s="13">
        <f t="shared" si="672"/>
        <v>0</v>
      </c>
      <c r="AB162" s="8"/>
      <c r="AC162" s="4">
        <f>SUM(C162:E162)</f>
        <v>0</v>
      </c>
      <c r="AD162" s="4">
        <f>SUM(F162:H162)</f>
        <v>0</v>
      </c>
      <c r="AE162" s="4">
        <f>SUM(I162:K162)</f>
        <v>0</v>
      </c>
      <c r="AF162" s="4">
        <f>SUM(L162:N162)</f>
        <v>0</v>
      </c>
      <c r="AG162" s="4"/>
      <c r="AH162" s="4">
        <f t="shared" ref="AH162:AH163" si="673">SUM(P162:R162)</f>
        <v>0</v>
      </c>
      <c r="AI162" s="4">
        <f t="shared" ref="AI162:AI163" si="674">SUM(S162:U162)</f>
        <v>0</v>
      </c>
      <c r="AJ162" s="4">
        <f t="shared" ref="AJ162:AJ163" si="675">SUM(V162:X162)</f>
        <v>0</v>
      </c>
      <c r="AK162" s="4">
        <f t="shared" ref="AK162:AK163" si="676">SUM(Y162:AA162)</f>
        <v>0</v>
      </c>
      <c r="AL162" s="4"/>
      <c r="AM162" s="4">
        <f t="shared" ref="AM162:AM163" si="677">SUM(C162:N162)</f>
        <v>0</v>
      </c>
      <c r="AN162" s="4">
        <f t="shared" ref="AN162:AN163" si="678">SUM(P162:AA162)</f>
        <v>0</v>
      </c>
      <c r="AO162" s="1"/>
      <c r="AP162" s="25">
        <f t="shared" ref="AP162:AP163" si="679">ROUND(SUM(AC162:AF162)-AM162,2)</f>
        <v>0</v>
      </c>
      <c r="AQ162" s="25">
        <f t="shared" ref="AQ162:AQ163" si="680">ROUND(SUM(AH162:AK162)-AN162,2)</f>
        <v>0</v>
      </c>
      <c r="AS162" s="4">
        <v>14256.079999999998</v>
      </c>
    </row>
    <row r="163" spans="2:48" x14ac:dyDescent="0.2">
      <c r="B163" s="30" t="s">
        <v>118</v>
      </c>
      <c r="C163" s="99">
        <v>0</v>
      </c>
      <c r="D163" s="99">
        <v>0</v>
      </c>
      <c r="E163" s="99">
        <v>0</v>
      </c>
      <c r="F163" s="99">
        <v>0</v>
      </c>
      <c r="G163" s="99">
        <v>0</v>
      </c>
      <c r="H163" s="99">
        <v>0</v>
      </c>
      <c r="I163" s="99">
        <v>0</v>
      </c>
      <c r="J163" s="99">
        <v>0</v>
      </c>
      <c r="K163" s="99">
        <v>0</v>
      </c>
      <c r="L163" s="99">
        <v>0</v>
      </c>
      <c r="M163" s="99">
        <v>0</v>
      </c>
      <c r="N163" s="13">
        <v>0</v>
      </c>
      <c r="P163" s="13">
        <v>0</v>
      </c>
      <c r="Q163" s="13">
        <v>0</v>
      </c>
      <c r="R163" s="13">
        <f>IFERROR(R161*(Q163/Q161),0)</f>
        <v>0</v>
      </c>
      <c r="S163" s="13">
        <f>+R163</f>
        <v>0</v>
      </c>
      <c r="T163" s="13">
        <f t="shared" ref="T163:AA163" si="681">+S163</f>
        <v>0</v>
      </c>
      <c r="U163" s="13">
        <f t="shared" si="681"/>
        <v>0</v>
      </c>
      <c r="V163" s="13">
        <f t="shared" si="681"/>
        <v>0</v>
      </c>
      <c r="W163" s="13">
        <f t="shared" si="681"/>
        <v>0</v>
      </c>
      <c r="X163" s="13">
        <f t="shared" si="681"/>
        <v>0</v>
      </c>
      <c r="Y163" s="13">
        <f t="shared" si="681"/>
        <v>0</v>
      </c>
      <c r="Z163" s="13">
        <f t="shared" si="681"/>
        <v>0</v>
      </c>
      <c r="AA163" s="13">
        <f t="shared" si="681"/>
        <v>0</v>
      </c>
      <c r="AB163" s="8"/>
      <c r="AC163" s="4">
        <f>SUM(C163:E163)</f>
        <v>0</v>
      </c>
      <c r="AD163" s="4">
        <f>SUM(F163:H163)</f>
        <v>0</v>
      </c>
      <c r="AE163" s="4">
        <f>SUM(I163:K163)</f>
        <v>0</v>
      </c>
      <c r="AF163" s="4">
        <f>SUM(L163:N163)</f>
        <v>0</v>
      </c>
      <c r="AG163" s="4"/>
      <c r="AH163" s="4">
        <f t="shared" si="673"/>
        <v>0</v>
      </c>
      <c r="AI163" s="4">
        <f t="shared" si="674"/>
        <v>0</v>
      </c>
      <c r="AJ163" s="4">
        <f t="shared" si="675"/>
        <v>0</v>
      </c>
      <c r="AK163" s="4">
        <f t="shared" si="676"/>
        <v>0</v>
      </c>
      <c r="AL163" s="4"/>
      <c r="AM163" s="4">
        <f t="shared" si="677"/>
        <v>0</v>
      </c>
      <c r="AN163" s="4">
        <f t="shared" si="678"/>
        <v>0</v>
      </c>
      <c r="AO163" s="1"/>
      <c r="AP163" s="25">
        <f t="shared" si="679"/>
        <v>0</v>
      </c>
      <c r="AQ163" s="25">
        <f t="shared" si="680"/>
        <v>0</v>
      </c>
      <c r="AS163" s="26">
        <f>+AS162*(F166/SUM(F166:F167))</f>
        <v>6490</v>
      </c>
    </row>
    <row r="164" spans="2:48" x14ac:dyDescent="0.2">
      <c r="B164" s="28" t="s">
        <v>122</v>
      </c>
      <c r="C164" s="29">
        <f>SUM(C161:C163)</f>
        <v>0</v>
      </c>
      <c r="D164" s="29">
        <f t="shared" ref="D164" si="682">SUM(D161:D163)</f>
        <v>0</v>
      </c>
      <c r="E164" s="29">
        <f t="shared" ref="E164" si="683">SUM(E161:E163)</f>
        <v>0</v>
      </c>
      <c r="F164" s="29">
        <f t="shared" ref="F164" si="684">SUM(F161:F163)</f>
        <v>0</v>
      </c>
      <c r="G164" s="29">
        <f t="shared" ref="G164" si="685">SUM(G161:G163)</f>
        <v>0</v>
      </c>
      <c r="H164" s="29">
        <f t="shared" ref="H164" si="686">SUM(H161:H163)</f>
        <v>0</v>
      </c>
      <c r="I164" s="29">
        <f t="shared" ref="I164" si="687">SUM(I161:I163)</f>
        <v>0</v>
      </c>
      <c r="J164" s="29">
        <f t="shared" ref="J164" si="688">SUM(J161:J163)</f>
        <v>0</v>
      </c>
      <c r="K164" s="29">
        <f t="shared" ref="K164" si="689">SUM(K161:K163)</f>
        <v>0</v>
      </c>
      <c r="L164" s="29">
        <f t="shared" ref="L164" si="690">SUM(L161:L163)</f>
        <v>0</v>
      </c>
      <c r="M164" s="29">
        <f t="shared" ref="M164" si="691">SUM(M161:M163)</f>
        <v>0</v>
      </c>
      <c r="N164" s="29">
        <f t="shared" ref="N164" si="692">SUM(N161:N163)</f>
        <v>0</v>
      </c>
      <c r="P164" s="29">
        <f t="shared" ref="P164:AA164" si="693">SUM(P161:P163)</f>
        <v>0</v>
      </c>
      <c r="Q164" s="29">
        <f t="shared" si="693"/>
        <v>0</v>
      </c>
      <c r="R164" s="29">
        <f t="shared" si="693"/>
        <v>0</v>
      </c>
      <c r="S164" s="29">
        <f t="shared" si="693"/>
        <v>0</v>
      </c>
      <c r="T164" s="29">
        <f t="shared" si="693"/>
        <v>0</v>
      </c>
      <c r="U164" s="29">
        <f t="shared" si="693"/>
        <v>0</v>
      </c>
      <c r="V164" s="29">
        <f t="shared" si="693"/>
        <v>0</v>
      </c>
      <c r="W164" s="29">
        <f t="shared" si="693"/>
        <v>0</v>
      </c>
      <c r="X164" s="29">
        <f t="shared" si="693"/>
        <v>0</v>
      </c>
      <c r="Y164" s="29">
        <f t="shared" si="693"/>
        <v>0</v>
      </c>
      <c r="Z164" s="29">
        <f t="shared" si="693"/>
        <v>0</v>
      </c>
      <c r="AA164" s="29">
        <f t="shared" si="693"/>
        <v>0</v>
      </c>
      <c r="AB164" s="8"/>
      <c r="AC164" s="29">
        <f t="shared" ref="AC164" si="694">SUM(AC161:AC163)</f>
        <v>0</v>
      </c>
      <c r="AD164" s="29">
        <f t="shared" ref="AD164" si="695">SUM(AD161:AD163)</f>
        <v>0</v>
      </c>
      <c r="AE164" s="29">
        <f t="shared" ref="AE164" si="696">SUM(AE161:AE163)</f>
        <v>0</v>
      </c>
      <c r="AF164" s="29">
        <f t="shared" ref="AF164" si="697">SUM(AF161:AF163)</f>
        <v>0</v>
      </c>
      <c r="AG164" s="12"/>
      <c r="AH164" s="29">
        <f>SUM(AH161:AH163)</f>
        <v>0</v>
      </c>
      <c r="AI164" s="29">
        <f t="shared" ref="AI164:AK164" si="698">SUM(AI161:AI163)</f>
        <v>0</v>
      </c>
      <c r="AJ164" s="29">
        <f t="shared" si="698"/>
        <v>0</v>
      </c>
      <c r="AK164" s="29">
        <f t="shared" si="698"/>
        <v>0</v>
      </c>
      <c r="AL164" s="12"/>
      <c r="AM164" s="29">
        <f>SUM(AM161:AM163)</f>
        <v>0</v>
      </c>
      <c r="AN164" s="29">
        <f>SUM(AN161:AN163)</f>
        <v>0</v>
      </c>
      <c r="AO164" s="1"/>
      <c r="AP164" s="25">
        <f>ROUND(SUM(AC164:AF164)-AM164,2)</f>
        <v>0</v>
      </c>
      <c r="AQ164" s="25">
        <f>ROUND(SUM(AH164:AK164)-AN164,2)</f>
        <v>0</v>
      </c>
      <c r="AS164" s="27">
        <f>+AS162-F166</f>
        <v>7766.0799999999981</v>
      </c>
    </row>
    <row r="166" spans="2:48" x14ac:dyDescent="0.2">
      <c r="B166" s="30" t="s">
        <v>117</v>
      </c>
      <c r="C166" s="99">
        <v>0</v>
      </c>
      <c r="D166" s="99">
        <v>0</v>
      </c>
      <c r="E166" s="99">
        <v>0</v>
      </c>
      <c r="F166" s="99">
        <v>6490</v>
      </c>
      <c r="G166" s="99">
        <f>18676-G167</f>
        <v>11676</v>
      </c>
      <c r="H166" s="99">
        <f>18676-H167</f>
        <v>11676</v>
      </c>
      <c r="I166" s="99">
        <v>12249.76</v>
      </c>
      <c r="J166" s="99">
        <v>6125.6</v>
      </c>
      <c r="K166" s="99">
        <v>0.72000000000014319</v>
      </c>
      <c r="L166" s="99">
        <v>0</v>
      </c>
      <c r="M166" s="99">
        <v>0</v>
      </c>
      <c r="N166" s="13">
        <v>0</v>
      </c>
      <c r="P166" s="13">
        <v>0</v>
      </c>
      <c r="Q166" s="13">
        <v>0</v>
      </c>
      <c r="R166" s="13">
        <f>+Q166+(Q166*$R$2)</f>
        <v>0</v>
      </c>
      <c r="S166" s="13">
        <f>+R166</f>
        <v>0</v>
      </c>
      <c r="T166" s="13">
        <f t="shared" ref="T166:AA166" si="699">+S166</f>
        <v>0</v>
      </c>
      <c r="U166" s="13">
        <f t="shared" si="699"/>
        <v>0</v>
      </c>
      <c r="V166" s="13">
        <f t="shared" si="699"/>
        <v>0</v>
      </c>
      <c r="W166" s="13">
        <f t="shared" si="699"/>
        <v>0</v>
      </c>
      <c r="X166" s="13">
        <f t="shared" si="699"/>
        <v>0</v>
      </c>
      <c r="Y166" s="13">
        <f t="shared" si="699"/>
        <v>0</v>
      </c>
      <c r="Z166" s="13">
        <f t="shared" si="699"/>
        <v>0</v>
      </c>
      <c r="AA166" s="13">
        <f t="shared" si="699"/>
        <v>0</v>
      </c>
      <c r="AB166" s="8"/>
      <c r="AC166" s="4">
        <f>SUM(C166:E166)</f>
        <v>0</v>
      </c>
      <c r="AD166" s="4">
        <f>SUM(F166:H166)</f>
        <v>29842</v>
      </c>
      <c r="AE166" s="4">
        <f>SUM(I166:K166)</f>
        <v>18376.080000000002</v>
      </c>
      <c r="AF166" s="4">
        <f>SUM(L166:N166)</f>
        <v>0</v>
      </c>
      <c r="AG166" s="4"/>
      <c r="AH166" s="4">
        <f>SUM(P166:R166)</f>
        <v>0</v>
      </c>
      <c r="AI166" s="4">
        <f>SUM(S166:U166)</f>
        <v>0</v>
      </c>
      <c r="AJ166" s="4">
        <f>SUM(V166:X166)</f>
        <v>0</v>
      </c>
      <c r="AK166" s="4">
        <f>SUM(Y166:AA166)</f>
        <v>0</v>
      </c>
      <c r="AL166" s="4"/>
      <c r="AM166" s="4">
        <f>SUM(C166:N166)</f>
        <v>48218.080000000002</v>
      </c>
      <c r="AN166" s="4">
        <f>SUM(P166:AA166)</f>
        <v>0</v>
      </c>
      <c r="AO166" s="1"/>
      <c r="AP166" s="25">
        <f>ROUND(SUM(AC166:AF166)-AM166,2)</f>
        <v>0</v>
      </c>
      <c r="AQ166" s="25">
        <f>ROUND(SUM(AH166:AK166)-AN166,2)</f>
        <v>0</v>
      </c>
      <c r="AS166" s="4">
        <v>200000</v>
      </c>
      <c r="AT166" s="4">
        <v>10000</v>
      </c>
    </row>
    <row r="167" spans="2:48" x14ac:dyDescent="0.2">
      <c r="B167" s="30" t="s">
        <v>533</v>
      </c>
      <c r="C167" s="99">
        <v>0</v>
      </c>
      <c r="D167" s="99">
        <v>0</v>
      </c>
      <c r="E167" s="99">
        <v>0</v>
      </c>
      <c r="F167" s="99">
        <v>7766.0799999999981</v>
      </c>
      <c r="G167" s="99">
        <v>7000</v>
      </c>
      <c r="H167" s="99">
        <v>7000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13">
        <v>0</v>
      </c>
      <c r="P167" s="13">
        <v>0</v>
      </c>
      <c r="Q167" s="13">
        <v>0</v>
      </c>
      <c r="R167" s="13">
        <v>0</v>
      </c>
      <c r="S167" s="13">
        <f>+R167</f>
        <v>0</v>
      </c>
      <c r="T167" s="13">
        <f t="shared" ref="T167:AA167" si="700">+S167</f>
        <v>0</v>
      </c>
      <c r="U167" s="13">
        <f t="shared" si="700"/>
        <v>0</v>
      </c>
      <c r="V167" s="13">
        <f t="shared" si="700"/>
        <v>0</v>
      </c>
      <c r="W167" s="13">
        <f t="shared" si="700"/>
        <v>0</v>
      </c>
      <c r="X167" s="13">
        <f t="shared" si="700"/>
        <v>0</v>
      </c>
      <c r="Y167" s="13">
        <f t="shared" si="700"/>
        <v>0</v>
      </c>
      <c r="Z167" s="13">
        <f t="shared" si="700"/>
        <v>0</v>
      </c>
      <c r="AA167" s="13">
        <f t="shared" si="700"/>
        <v>0</v>
      </c>
      <c r="AB167" s="8"/>
      <c r="AC167" s="4">
        <f>SUM(C167:E167)</f>
        <v>0</v>
      </c>
      <c r="AD167" s="4">
        <f>SUM(F167:H167)</f>
        <v>21766.079999999998</v>
      </c>
      <c r="AE167" s="4">
        <f>SUM(I167:K167)</f>
        <v>0</v>
      </c>
      <c r="AF167" s="4">
        <f>SUM(L167:N167)</f>
        <v>0</v>
      </c>
      <c r="AG167" s="4"/>
      <c r="AH167" s="4">
        <f t="shared" ref="AH167:AH168" si="701">SUM(P167:R167)</f>
        <v>0</v>
      </c>
      <c r="AI167" s="4">
        <f t="shared" ref="AI167:AI168" si="702">SUM(S167:U167)</f>
        <v>0</v>
      </c>
      <c r="AJ167" s="4">
        <f t="shared" ref="AJ167:AJ168" si="703">SUM(V167:X167)</f>
        <v>0</v>
      </c>
      <c r="AK167" s="4">
        <f t="shared" ref="AK167:AK168" si="704">SUM(Y167:AA167)</f>
        <v>0</v>
      </c>
      <c r="AL167" s="4"/>
      <c r="AM167" s="4">
        <f t="shared" ref="AM167:AM168" si="705">SUM(C167:N167)</f>
        <v>21766.079999999998</v>
      </c>
      <c r="AN167" s="4">
        <f t="shared" ref="AN167:AN168" si="706">SUM(P167:AA167)</f>
        <v>0</v>
      </c>
      <c r="AO167" s="1"/>
      <c r="AP167" s="25">
        <f t="shared" ref="AP167:AP168" si="707">ROUND(SUM(AC167:AF167)-AM167,2)</f>
        <v>0</v>
      </c>
      <c r="AQ167" s="25">
        <f t="shared" ref="AQ167:AQ168" si="708">ROUND(SUM(AH167:AK167)-AN167,2)</f>
        <v>0</v>
      </c>
      <c r="AS167" s="4">
        <f>+AS166*1.075/12</f>
        <v>17916.666666666668</v>
      </c>
      <c r="AT167" s="4">
        <f>+AT166*1.075</f>
        <v>10750</v>
      </c>
      <c r="AV167" s="101" t="s">
        <v>538</v>
      </c>
    </row>
    <row r="168" spans="2:48" x14ac:dyDescent="0.2">
      <c r="B168" s="30" t="s">
        <v>118</v>
      </c>
      <c r="C168" s="99">
        <v>0</v>
      </c>
      <c r="D168" s="99">
        <v>0</v>
      </c>
      <c r="E168" s="99">
        <v>0</v>
      </c>
      <c r="F168" s="99">
        <v>6332.46</v>
      </c>
      <c r="G168" s="99">
        <v>7714.68</v>
      </c>
      <c r="H168" s="99">
        <v>7714.68</v>
      </c>
      <c r="I168" s="99">
        <v>3975.92</v>
      </c>
      <c r="J168" s="99">
        <v>1988.08</v>
      </c>
      <c r="K168" s="99">
        <v>0.12000000000000001</v>
      </c>
      <c r="L168" s="99">
        <v>0</v>
      </c>
      <c r="M168" s="99">
        <v>0</v>
      </c>
      <c r="N168" s="13">
        <v>0</v>
      </c>
      <c r="P168" s="13">
        <v>0</v>
      </c>
      <c r="Q168" s="13">
        <v>0</v>
      </c>
      <c r="R168" s="13">
        <f>IFERROR(R166*(Q168/Q166),0)</f>
        <v>0</v>
      </c>
      <c r="S168" s="13">
        <f>+R168</f>
        <v>0</v>
      </c>
      <c r="T168" s="13">
        <f t="shared" ref="T168:AA168" si="709">+S168</f>
        <v>0</v>
      </c>
      <c r="U168" s="13">
        <f t="shared" si="709"/>
        <v>0</v>
      </c>
      <c r="V168" s="13">
        <f t="shared" si="709"/>
        <v>0</v>
      </c>
      <c r="W168" s="13">
        <f t="shared" si="709"/>
        <v>0</v>
      </c>
      <c r="X168" s="13">
        <f t="shared" si="709"/>
        <v>0</v>
      </c>
      <c r="Y168" s="13">
        <f t="shared" si="709"/>
        <v>0</v>
      </c>
      <c r="Z168" s="13">
        <f t="shared" si="709"/>
        <v>0</v>
      </c>
      <c r="AA168" s="13">
        <f t="shared" si="709"/>
        <v>0</v>
      </c>
      <c r="AB168" s="8"/>
      <c r="AC168" s="4">
        <f>SUM(C168:E168)</f>
        <v>0</v>
      </c>
      <c r="AD168" s="4">
        <f>SUM(F168:H168)</f>
        <v>21761.82</v>
      </c>
      <c r="AE168" s="4">
        <f>SUM(I168:K168)</f>
        <v>5964.12</v>
      </c>
      <c r="AF168" s="4">
        <f>SUM(L168:N168)</f>
        <v>0</v>
      </c>
      <c r="AG168" s="4"/>
      <c r="AH168" s="4">
        <f t="shared" si="701"/>
        <v>0</v>
      </c>
      <c r="AI168" s="4">
        <f t="shared" si="702"/>
        <v>0</v>
      </c>
      <c r="AJ168" s="4">
        <f t="shared" si="703"/>
        <v>0</v>
      </c>
      <c r="AK168" s="4">
        <f t="shared" si="704"/>
        <v>0</v>
      </c>
      <c r="AL168" s="4"/>
      <c r="AM168" s="4">
        <f t="shared" si="705"/>
        <v>27725.94</v>
      </c>
      <c r="AN168" s="4">
        <f t="shared" si="706"/>
        <v>0</v>
      </c>
      <c r="AO168" s="1"/>
      <c r="AP168" s="25">
        <f t="shared" si="707"/>
        <v>0</v>
      </c>
      <c r="AQ168" s="25">
        <f t="shared" si="708"/>
        <v>0</v>
      </c>
      <c r="AS168" s="27">
        <f>+AS167*0.65</f>
        <v>11645.833333333334</v>
      </c>
      <c r="AT168" s="27">
        <f>+AT167*0.65</f>
        <v>6987.5</v>
      </c>
    </row>
    <row r="169" spans="2:48" x14ac:dyDescent="0.2">
      <c r="B169" s="28" t="s">
        <v>532</v>
      </c>
      <c r="C169" s="29">
        <f>SUM(C166:C168)</f>
        <v>0</v>
      </c>
      <c r="D169" s="29">
        <f t="shared" ref="D169" si="710">SUM(D166:D168)</f>
        <v>0</v>
      </c>
      <c r="E169" s="29">
        <f t="shared" ref="E169" si="711">SUM(E166:E168)</f>
        <v>0</v>
      </c>
      <c r="F169" s="29">
        <f t="shared" ref="F169" si="712">SUM(F166:F168)</f>
        <v>20588.539999999997</v>
      </c>
      <c r="G169" s="29">
        <f t="shared" ref="G169" si="713">SUM(G166:G168)</f>
        <v>26390.68</v>
      </c>
      <c r="H169" s="29">
        <f t="shared" ref="H169" si="714">SUM(H166:H168)</f>
        <v>26390.68</v>
      </c>
      <c r="I169" s="29">
        <f t="shared" ref="I169" si="715">SUM(I166:I168)</f>
        <v>16225.68</v>
      </c>
      <c r="J169" s="29">
        <f t="shared" ref="J169" si="716">SUM(J166:J168)</f>
        <v>8113.68</v>
      </c>
      <c r="K169" s="29">
        <f t="shared" ref="K169" si="717">SUM(K166:K168)</f>
        <v>0.84000000000014319</v>
      </c>
      <c r="L169" s="29">
        <f t="shared" ref="L169" si="718">SUM(L166:L168)</f>
        <v>0</v>
      </c>
      <c r="M169" s="29">
        <f t="shared" ref="M169" si="719">SUM(M166:M168)</f>
        <v>0</v>
      </c>
      <c r="N169" s="29">
        <f t="shared" ref="N169" si="720">SUM(N166:N168)</f>
        <v>0</v>
      </c>
      <c r="P169" s="29">
        <f t="shared" ref="P169:AA169" si="721">SUM(P166:P168)</f>
        <v>0</v>
      </c>
      <c r="Q169" s="29">
        <f t="shared" si="721"/>
        <v>0</v>
      </c>
      <c r="R169" s="29">
        <f t="shared" si="721"/>
        <v>0</v>
      </c>
      <c r="S169" s="29">
        <f t="shared" si="721"/>
        <v>0</v>
      </c>
      <c r="T169" s="29">
        <f t="shared" si="721"/>
        <v>0</v>
      </c>
      <c r="U169" s="29">
        <f t="shared" si="721"/>
        <v>0</v>
      </c>
      <c r="V169" s="29">
        <f t="shared" si="721"/>
        <v>0</v>
      </c>
      <c r="W169" s="29">
        <f t="shared" si="721"/>
        <v>0</v>
      </c>
      <c r="X169" s="29">
        <f t="shared" si="721"/>
        <v>0</v>
      </c>
      <c r="Y169" s="29">
        <f t="shared" si="721"/>
        <v>0</v>
      </c>
      <c r="Z169" s="29">
        <f t="shared" si="721"/>
        <v>0</v>
      </c>
      <c r="AA169" s="29">
        <f t="shared" si="721"/>
        <v>0</v>
      </c>
      <c r="AB169" s="8"/>
      <c r="AC169" s="29">
        <f t="shared" ref="AC169" si="722">SUM(AC166:AC168)</f>
        <v>0</v>
      </c>
      <c r="AD169" s="29">
        <f t="shared" ref="AD169" si="723">SUM(AD166:AD168)</f>
        <v>73369.899999999994</v>
      </c>
      <c r="AE169" s="29">
        <f t="shared" ref="AE169" si="724">SUM(AE166:AE168)</f>
        <v>24340.2</v>
      </c>
      <c r="AF169" s="29">
        <f t="shared" ref="AF169" si="725">SUM(AF166:AF168)</f>
        <v>0</v>
      </c>
      <c r="AG169" s="12"/>
      <c r="AH169" s="29">
        <f>SUM(AH166:AH168)</f>
        <v>0</v>
      </c>
      <c r="AI169" s="29">
        <f t="shared" ref="AI169:AK169" si="726">SUM(AI166:AI168)</f>
        <v>0</v>
      </c>
      <c r="AJ169" s="29">
        <f t="shared" si="726"/>
        <v>0</v>
      </c>
      <c r="AK169" s="29">
        <f t="shared" si="726"/>
        <v>0</v>
      </c>
      <c r="AL169" s="12"/>
      <c r="AM169" s="29">
        <f>SUM(AM166:AM168)</f>
        <v>97710.1</v>
      </c>
      <c r="AN169" s="29">
        <f>SUM(AN166:AN168)</f>
        <v>0</v>
      </c>
      <c r="AO169" s="1"/>
      <c r="AP169" s="25">
        <f>ROUND(SUM(AC169:AF169)-AM169,2)</f>
        <v>0</v>
      </c>
      <c r="AQ169" s="25">
        <f>ROUND(SUM(AH169:AK169)-AN169,2)</f>
        <v>0</v>
      </c>
      <c r="AS169" s="27">
        <f>+AS167*0.35</f>
        <v>6270.833333333333</v>
      </c>
      <c r="AT169" s="27">
        <f>+AT167*0.35</f>
        <v>3762.4999999999995</v>
      </c>
    </row>
    <row r="171" spans="2:48" x14ac:dyDescent="0.2">
      <c r="B171" s="30" t="s">
        <v>117</v>
      </c>
      <c r="C171" s="99">
        <v>0</v>
      </c>
      <c r="D171" s="99">
        <v>0</v>
      </c>
      <c r="E171" s="99">
        <v>0</v>
      </c>
      <c r="F171" s="99">
        <v>4661.21</v>
      </c>
      <c r="G171" s="99">
        <v>8703.8000000000029</v>
      </c>
      <c r="H171" s="99">
        <v>8703.8000000000029</v>
      </c>
      <c r="I171" s="99">
        <v>8703.7999999999993</v>
      </c>
      <c r="J171" s="99">
        <v>8703.8000000000029</v>
      </c>
      <c r="K171" s="99">
        <v>8703.8000000000029</v>
      </c>
      <c r="L171" s="99">
        <v>8703.8000000000029</v>
      </c>
      <c r="M171" s="99">
        <v>6933.6000000000013</v>
      </c>
      <c r="N171" s="13">
        <v>8800</v>
      </c>
      <c r="P171" s="13">
        <v>8800</v>
      </c>
      <c r="Q171" s="13">
        <v>8800</v>
      </c>
      <c r="R171" s="13">
        <f>+Q171+(Q171*$R$2)</f>
        <v>9064</v>
      </c>
      <c r="S171" s="13">
        <f>+R171</f>
        <v>9064</v>
      </c>
      <c r="T171" s="13">
        <f t="shared" ref="T171:AA171" si="727">+S171</f>
        <v>9064</v>
      </c>
      <c r="U171" s="13">
        <f t="shared" si="727"/>
        <v>9064</v>
      </c>
      <c r="V171" s="13">
        <f t="shared" si="727"/>
        <v>9064</v>
      </c>
      <c r="W171" s="13">
        <f t="shared" si="727"/>
        <v>9064</v>
      </c>
      <c r="X171" s="13">
        <f t="shared" si="727"/>
        <v>9064</v>
      </c>
      <c r="Y171" s="13">
        <f t="shared" si="727"/>
        <v>9064</v>
      </c>
      <c r="Z171" s="13">
        <f t="shared" si="727"/>
        <v>9064</v>
      </c>
      <c r="AA171" s="13">
        <f t="shared" si="727"/>
        <v>9064</v>
      </c>
      <c r="AB171" s="8"/>
      <c r="AC171" s="4">
        <f>SUM(C171:E171)</f>
        <v>0</v>
      </c>
      <c r="AD171" s="4">
        <f>SUM(F171:H171)</f>
        <v>22068.810000000005</v>
      </c>
      <c r="AE171" s="4">
        <f>SUM(I171:K171)</f>
        <v>26111.400000000005</v>
      </c>
      <c r="AF171" s="4">
        <f>SUM(L171:N171)</f>
        <v>24437.400000000005</v>
      </c>
      <c r="AG171" s="4"/>
      <c r="AH171" s="4">
        <f>SUM(P171:R171)</f>
        <v>26664</v>
      </c>
      <c r="AI171" s="4">
        <f>SUM(S171:U171)</f>
        <v>27192</v>
      </c>
      <c r="AJ171" s="4">
        <f>SUM(V171:X171)</f>
        <v>27192</v>
      </c>
      <c r="AK171" s="4">
        <f>SUM(Y171:AA171)</f>
        <v>27192</v>
      </c>
      <c r="AL171" s="4"/>
      <c r="AM171" s="4">
        <f>SUM(C171:N171)</f>
        <v>72617.610000000015</v>
      </c>
      <c r="AN171" s="4">
        <f>SUM(P171:AA171)</f>
        <v>108240</v>
      </c>
      <c r="AO171" s="1"/>
      <c r="AP171" s="25">
        <f>ROUND(SUM(AC171:AF171)-AM171,2)</f>
        <v>0</v>
      </c>
      <c r="AQ171" s="25">
        <f>ROUND(SUM(AH171:AK171)-AN171,2)</f>
        <v>0</v>
      </c>
      <c r="AS171" s="4">
        <v>175000</v>
      </c>
      <c r="AT171" s="4">
        <v>7000</v>
      </c>
    </row>
    <row r="172" spans="2:48" x14ac:dyDescent="0.2">
      <c r="B172" s="30" t="s">
        <v>533</v>
      </c>
      <c r="C172" s="99">
        <v>0</v>
      </c>
      <c r="D172" s="99">
        <v>0</v>
      </c>
      <c r="E172" s="99">
        <v>0</v>
      </c>
      <c r="F172" s="99">
        <v>0</v>
      </c>
      <c r="G172" s="99">
        <v>0</v>
      </c>
      <c r="H172" s="99">
        <v>0</v>
      </c>
      <c r="I172" s="99">
        <v>0</v>
      </c>
      <c r="J172" s="99">
        <v>0</v>
      </c>
      <c r="K172" s="99">
        <v>0</v>
      </c>
      <c r="L172" s="99">
        <v>0</v>
      </c>
      <c r="M172" s="99">
        <v>0</v>
      </c>
      <c r="N172" s="100">
        <f>4900*3</f>
        <v>14700</v>
      </c>
      <c r="P172" s="100">
        <v>4900</v>
      </c>
      <c r="Q172" s="100">
        <v>4900</v>
      </c>
      <c r="R172" s="100">
        <v>4900</v>
      </c>
      <c r="S172" s="100">
        <v>4900</v>
      </c>
      <c r="T172" s="100">
        <v>4900</v>
      </c>
      <c r="U172" s="100">
        <v>4900</v>
      </c>
      <c r="V172" s="100">
        <v>4900</v>
      </c>
      <c r="W172" s="100">
        <v>4900</v>
      </c>
      <c r="X172" s="100">
        <v>4900</v>
      </c>
      <c r="Y172" s="100">
        <v>4900</v>
      </c>
      <c r="Z172" s="100">
        <v>4900</v>
      </c>
      <c r="AA172" s="100">
        <v>4900</v>
      </c>
      <c r="AB172" s="8"/>
      <c r="AC172" s="4">
        <f>SUM(C172:E172)</f>
        <v>0</v>
      </c>
      <c r="AD172" s="4">
        <f>SUM(F172:H172)</f>
        <v>0</v>
      </c>
      <c r="AE172" s="4">
        <f>SUM(I172:K172)</f>
        <v>0</v>
      </c>
      <c r="AF172" s="4">
        <f>SUM(L172:N172)</f>
        <v>14700</v>
      </c>
      <c r="AG172" s="4"/>
      <c r="AH172" s="4">
        <f t="shared" ref="AH172:AH173" si="728">SUM(P172:R172)</f>
        <v>14700</v>
      </c>
      <c r="AI172" s="4">
        <f t="shared" ref="AI172:AI173" si="729">SUM(S172:U172)</f>
        <v>14700</v>
      </c>
      <c r="AJ172" s="4">
        <f t="shared" ref="AJ172:AJ173" si="730">SUM(V172:X172)</f>
        <v>14700</v>
      </c>
      <c r="AK172" s="4">
        <f t="shared" ref="AK172:AK173" si="731">SUM(Y172:AA172)</f>
        <v>14700</v>
      </c>
      <c r="AL172" s="4"/>
      <c r="AM172" s="4">
        <f t="shared" ref="AM172:AM173" si="732">SUM(C172:N172)</f>
        <v>14700</v>
      </c>
      <c r="AN172" s="4">
        <f t="shared" ref="AN172:AN173" si="733">SUM(P172:AA172)</f>
        <v>58800</v>
      </c>
      <c r="AO172" s="1"/>
      <c r="AP172" s="25">
        <f t="shared" ref="AP172:AP173" si="734">ROUND(SUM(AC172:AF172)-AM172,2)</f>
        <v>0</v>
      </c>
      <c r="AQ172" s="25">
        <f t="shared" ref="AQ172:AQ173" si="735">ROUND(SUM(AH172:AK172)-AN172,2)</f>
        <v>0</v>
      </c>
      <c r="AS172" s="4">
        <f>+AS171*1.075/12</f>
        <v>15677.083333333334</v>
      </c>
      <c r="AT172" s="4">
        <f>+AT171*1.075</f>
        <v>7525</v>
      </c>
      <c r="AV172" s="101" t="s">
        <v>539</v>
      </c>
    </row>
    <row r="173" spans="2:48" x14ac:dyDescent="0.2">
      <c r="B173" s="30" t="s">
        <v>118</v>
      </c>
      <c r="C173" s="99">
        <v>0</v>
      </c>
      <c r="D173" s="99">
        <v>0</v>
      </c>
      <c r="E173" s="99">
        <v>0</v>
      </c>
      <c r="F173" s="99">
        <v>2766.8599999999997</v>
      </c>
      <c r="G173" s="99">
        <v>5004.8799999999992</v>
      </c>
      <c r="H173" s="99">
        <v>4764.3799999999992</v>
      </c>
      <c r="I173" s="99">
        <v>4764.38</v>
      </c>
      <c r="J173" s="99">
        <v>4764.3799999999992</v>
      </c>
      <c r="K173" s="99">
        <v>4764.3799999999992</v>
      </c>
      <c r="L173" s="99">
        <v>4764.3799999999992</v>
      </c>
      <c r="M173" s="99">
        <v>4764.3799999999992</v>
      </c>
      <c r="N173" s="13">
        <v>7000</v>
      </c>
      <c r="P173" s="13">
        <v>7000</v>
      </c>
      <c r="Q173" s="13">
        <v>7000</v>
      </c>
      <c r="R173" s="13">
        <f>IFERROR(R171*(Q173/Q171),0)</f>
        <v>7210</v>
      </c>
      <c r="S173" s="13">
        <f>+R173</f>
        <v>7210</v>
      </c>
      <c r="T173" s="13">
        <f t="shared" ref="T173:AA173" si="736">+S173</f>
        <v>7210</v>
      </c>
      <c r="U173" s="13">
        <f t="shared" si="736"/>
        <v>7210</v>
      </c>
      <c r="V173" s="13">
        <f t="shared" si="736"/>
        <v>7210</v>
      </c>
      <c r="W173" s="13">
        <f t="shared" si="736"/>
        <v>7210</v>
      </c>
      <c r="X173" s="13">
        <f t="shared" si="736"/>
        <v>7210</v>
      </c>
      <c r="Y173" s="13">
        <f t="shared" si="736"/>
        <v>7210</v>
      </c>
      <c r="Z173" s="13">
        <f t="shared" si="736"/>
        <v>7210</v>
      </c>
      <c r="AA173" s="13">
        <f t="shared" si="736"/>
        <v>7210</v>
      </c>
      <c r="AB173" s="8"/>
      <c r="AC173" s="4">
        <f>SUM(C173:E173)</f>
        <v>0</v>
      </c>
      <c r="AD173" s="4">
        <f>SUM(F173:H173)</f>
        <v>12536.119999999999</v>
      </c>
      <c r="AE173" s="4">
        <f>SUM(I173:K173)</f>
        <v>14293.139999999998</v>
      </c>
      <c r="AF173" s="4">
        <f>SUM(L173:N173)</f>
        <v>16528.759999999998</v>
      </c>
      <c r="AG173" s="4"/>
      <c r="AH173" s="4">
        <f t="shared" si="728"/>
        <v>21210</v>
      </c>
      <c r="AI173" s="4">
        <f t="shared" si="729"/>
        <v>21630</v>
      </c>
      <c r="AJ173" s="4">
        <f t="shared" si="730"/>
        <v>21630</v>
      </c>
      <c r="AK173" s="4">
        <f t="shared" si="731"/>
        <v>21630</v>
      </c>
      <c r="AL173" s="4"/>
      <c r="AM173" s="4">
        <f t="shared" si="732"/>
        <v>43358.01999999999</v>
      </c>
      <c r="AN173" s="4">
        <f t="shared" si="733"/>
        <v>86100</v>
      </c>
      <c r="AO173" s="1"/>
      <c r="AP173" s="25">
        <f t="shared" si="734"/>
        <v>0</v>
      </c>
      <c r="AQ173" s="25">
        <f t="shared" si="735"/>
        <v>0</v>
      </c>
      <c r="AS173" s="27">
        <f>+AS172*0.65</f>
        <v>10190.104166666668</v>
      </c>
      <c r="AT173" s="27">
        <f>+AT172*0.65</f>
        <v>4891.25</v>
      </c>
    </row>
    <row r="174" spans="2:48" x14ac:dyDescent="0.2">
      <c r="B174" s="28" t="s">
        <v>534</v>
      </c>
      <c r="C174" s="29">
        <f>SUM(C171:C173)</f>
        <v>0</v>
      </c>
      <c r="D174" s="29">
        <f t="shared" ref="D174" si="737">SUM(D171:D173)</f>
        <v>0</v>
      </c>
      <c r="E174" s="29">
        <f t="shared" ref="E174" si="738">SUM(E171:E173)</f>
        <v>0</v>
      </c>
      <c r="F174" s="29">
        <f t="shared" ref="F174" si="739">SUM(F171:F173)</f>
        <v>7428.07</v>
      </c>
      <c r="G174" s="29">
        <f t="shared" ref="G174" si="740">SUM(G171:G173)</f>
        <v>13708.680000000002</v>
      </c>
      <c r="H174" s="29">
        <f t="shared" ref="H174" si="741">SUM(H171:H173)</f>
        <v>13468.180000000002</v>
      </c>
      <c r="I174" s="29">
        <f t="shared" ref="I174" si="742">SUM(I171:I173)</f>
        <v>13468.18</v>
      </c>
      <c r="J174" s="29">
        <f t="shared" ref="J174" si="743">SUM(J171:J173)</f>
        <v>13468.180000000002</v>
      </c>
      <c r="K174" s="29">
        <f t="shared" ref="K174" si="744">SUM(K171:K173)</f>
        <v>13468.180000000002</v>
      </c>
      <c r="L174" s="29">
        <f t="shared" ref="L174" si="745">SUM(L171:L173)</f>
        <v>13468.180000000002</v>
      </c>
      <c r="M174" s="29">
        <f t="shared" ref="M174" si="746">SUM(M171:M173)</f>
        <v>11697.98</v>
      </c>
      <c r="N174" s="29">
        <f t="shared" ref="N174" si="747">SUM(N171:N173)</f>
        <v>30500</v>
      </c>
      <c r="P174" s="29">
        <f t="shared" ref="P174:AA174" si="748">SUM(P171:P173)</f>
        <v>20700</v>
      </c>
      <c r="Q174" s="29">
        <f t="shared" si="748"/>
        <v>20700</v>
      </c>
      <c r="R174" s="29">
        <f t="shared" si="748"/>
        <v>21174</v>
      </c>
      <c r="S174" s="29">
        <f t="shared" si="748"/>
        <v>21174</v>
      </c>
      <c r="T174" s="29">
        <f t="shared" si="748"/>
        <v>21174</v>
      </c>
      <c r="U174" s="29">
        <f t="shared" si="748"/>
        <v>21174</v>
      </c>
      <c r="V174" s="29">
        <f t="shared" si="748"/>
        <v>21174</v>
      </c>
      <c r="W174" s="29">
        <f t="shared" si="748"/>
        <v>21174</v>
      </c>
      <c r="X174" s="29">
        <f t="shared" si="748"/>
        <v>21174</v>
      </c>
      <c r="Y174" s="29">
        <f t="shared" si="748"/>
        <v>21174</v>
      </c>
      <c r="Z174" s="29">
        <f t="shared" si="748"/>
        <v>21174</v>
      </c>
      <c r="AA174" s="29">
        <f t="shared" si="748"/>
        <v>21174</v>
      </c>
      <c r="AB174" s="8"/>
      <c r="AC174" s="29">
        <f t="shared" ref="AC174" si="749">SUM(AC171:AC173)</f>
        <v>0</v>
      </c>
      <c r="AD174" s="29">
        <f t="shared" ref="AD174" si="750">SUM(AD171:AD173)</f>
        <v>34604.930000000008</v>
      </c>
      <c r="AE174" s="29">
        <f t="shared" ref="AE174" si="751">SUM(AE171:AE173)</f>
        <v>40404.54</v>
      </c>
      <c r="AF174" s="29">
        <f t="shared" ref="AF174" si="752">SUM(AF171:AF173)</f>
        <v>55666.16</v>
      </c>
      <c r="AG174" s="12"/>
      <c r="AH174" s="29">
        <f>SUM(AH171:AH173)</f>
        <v>62574</v>
      </c>
      <c r="AI174" s="29">
        <f t="shared" ref="AI174:AK174" si="753">SUM(AI171:AI173)</f>
        <v>63522</v>
      </c>
      <c r="AJ174" s="29">
        <f t="shared" si="753"/>
        <v>63522</v>
      </c>
      <c r="AK174" s="29">
        <f t="shared" si="753"/>
        <v>63522</v>
      </c>
      <c r="AL174" s="12"/>
      <c r="AM174" s="29">
        <f>SUM(AM171:AM173)</f>
        <v>130675.63</v>
      </c>
      <c r="AN174" s="29">
        <f>SUM(AN171:AN173)</f>
        <v>253140</v>
      </c>
      <c r="AO174" s="1"/>
      <c r="AP174" s="25">
        <f>ROUND(SUM(AC174:AF174)-AM174,2)</f>
        <v>0</v>
      </c>
      <c r="AQ174" s="25">
        <f>ROUND(SUM(AH174:AK174)-AN174,2)</f>
        <v>0</v>
      </c>
      <c r="AS174" s="27">
        <f>+AS172*0.35</f>
        <v>5486.979166666667</v>
      </c>
      <c r="AT174" s="27">
        <f>+AT172*0.35</f>
        <v>2633.75</v>
      </c>
    </row>
    <row r="176" spans="2:48" x14ac:dyDescent="0.2">
      <c r="B176" s="30" t="s">
        <v>117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13">
        <v>0</v>
      </c>
      <c r="P176" s="13">
        <v>0</v>
      </c>
      <c r="Q176" s="13">
        <v>0</v>
      </c>
      <c r="R176" s="13">
        <f>+Q176+(Q176*$R$2)</f>
        <v>0</v>
      </c>
      <c r="S176" s="13">
        <f>+R176</f>
        <v>0</v>
      </c>
      <c r="T176" s="13">
        <f t="shared" ref="T176:AA176" si="754">+S176</f>
        <v>0</v>
      </c>
      <c r="U176" s="13">
        <f t="shared" si="754"/>
        <v>0</v>
      </c>
      <c r="V176" s="13">
        <f t="shared" si="754"/>
        <v>0</v>
      </c>
      <c r="W176" s="13">
        <f t="shared" si="754"/>
        <v>0</v>
      </c>
      <c r="X176" s="13">
        <f t="shared" si="754"/>
        <v>0</v>
      </c>
      <c r="Y176" s="13">
        <f t="shared" si="754"/>
        <v>0</v>
      </c>
      <c r="Z176" s="13">
        <f t="shared" si="754"/>
        <v>0</v>
      </c>
      <c r="AA176" s="13">
        <f t="shared" si="754"/>
        <v>0</v>
      </c>
      <c r="AB176" s="8"/>
      <c r="AC176" s="4">
        <f>SUM(C176:E176)</f>
        <v>0</v>
      </c>
      <c r="AD176" s="4">
        <f>SUM(F176:H176)</f>
        <v>0</v>
      </c>
      <c r="AE176" s="4">
        <f>SUM(I176:K176)</f>
        <v>0</v>
      </c>
      <c r="AF176" s="4">
        <f>SUM(L176:N176)</f>
        <v>0</v>
      </c>
      <c r="AG176" s="4"/>
      <c r="AH176" s="4">
        <f>SUM(P176:R176)</f>
        <v>0</v>
      </c>
      <c r="AI176" s="4">
        <f>SUM(S176:U176)</f>
        <v>0</v>
      </c>
      <c r="AJ176" s="4">
        <f>SUM(V176:X176)</f>
        <v>0</v>
      </c>
      <c r="AK176" s="4">
        <f>SUM(Y176:AA176)</f>
        <v>0</v>
      </c>
      <c r="AL176" s="4"/>
      <c r="AM176" s="4">
        <f>SUM(C176:N176)</f>
        <v>0</v>
      </c>
      <c r="AN176" s="4">
        <f>SUM(P176:AA176)</f>
        <v>0</v>
      </c>
      <c r="AO176" s="1"/>
      <c r="AP176" s="25">
        <f>ROUND(SUM(AC176:AF176)-AM176,2)</f>
        <v>0</v>
      </c>
      <c r="AQ176" s="25">
        <f>ROUND(SUM(AH176:AK176)-AN176,2)</f>
        <v>0</v>
      </c>
      <c r="AT176" s="27"/>
    </row>
    <row r="177" spans="2:46" x14ac:dyDescent="0.2">
      <c r="B177" s="30" t="s">
        <v>25</v>
      </c>
      <c r="C177" s="99">
        <v>0</v>
      </c>
      <c r="D177" s="99">
        <v>0</v>
      </c>
      <c r="E177" s="99">
        <v>0</v>
      </c>
      <c r="F177" s="99">
        <v>0</v>
      </c>
      <c r="G177" s="99">
        <v>0</v>
      </c>
      <c r="H177" s="99">
        <v>0</v>
      </c>
      <c r="I177" s="99">
        <v>0</v>
      </c>
      <c r="J177" s="99">
        <v>0</v>
      </c>
      <c r="K177" s="99">
        <v>0</v>
      </c>
      <c r="L177" s="99">
        <v>0</v>
      </c>
      <c r="M177" s="99">
        <v>0</v>
      </c>
      <c r="N177" s="13">
        <v>0</v>
      </c>
      <c r="P177" s="13">
        <v>0</v>
      </c>
      <c r="Q177" s="13">
        <v>0</v>
      </c>
      <c r="R177" s="13">
        <v>0</v>
      </c>
      <c r="S177" s="13">
        <f>+R177</f>
        <v>0</v>
      </c>
      <c r="T177" s="13">
        <f t="shared" ref="T177:AA177" si="755">+S177</f>
        <v>0</v>
      </c>
      <c r="U177" s="13">
        <f t="shared" si="755"/>
        <v>0</v>
      </c>
      <c r="V177" s="13">
        <f t="shared" si="755"/>
        <v>0</v>
      </c>
      <c r="W177" s="13">
        <f t="shared" si="755"/>
        <v>0</v>
      </c>
      <c r="X177" s="13">
        <f t="shared" si="755"/>
        <v>0</v>
      </c>
      <c r="Y177" s="13">
        <f t="shared" si="755"/>
        <v>0</v>
      </c>
      <c r="Z177" s="13">
        <f t="shared" si="755"/>
        <v>0</v>
      </c>
      <c r="AA177" s="13">
        <f t="shared" si="755"/>
        <v>0</v>
      </c>
      <c r="AB177" s="8"/>
      <c r="AC177" s="4">
        <f>SUM(C177:E177)</f>
        <v>0</v>
      </c>
      <c r="AD177" s="4">
        <f>SUM(F177:H177)</f>
        <v>0</v>
      </c>
      <c r="AE177" s="4">
        <f>SUM(I177:K177)</f>
        <v>0</v>
      </c>
      <c r="AF177" s="4">
        <f>SUM(L177:N177)</f>
        <v>0</v>
      </c>
      <c r="AG177" s="4"/>
      <c r="AH177" s="4">
        <f t="shared" ref="AH177:AH178" si="756">SUM(P177:R177)</f>
        <v>0</v>
      </c>
      <c r="AI177" s="4">
        <f t="shared" ref="AI177:AI178" si="757">SUM(S177:U177)</f>
        <v>0</v>
      </c>
      <c r="AJ177" s="4">
        <f t="shared" ref="AJ177:AJ178" si="758">SUM(V177:X177)</f>
        <v>0</v>
      </c>
      <c r="AK177" s="4">
        <f t="shared" ref="AK177:AK178" si="759">SUM(Y177:AA177)</f>
        <v>0</v>
      </c>
      <c r="AL177" s="4"/>
      <c r="AM177" s="4">
        <f t="shared" ref="AM177:AM178" si="760">SUM(C177:N177)</f>
        <v>0</v>
      </c>
      <c r="AN177" s="4">
        <f t="shared" ref="AN177:AN178" si="761">SUM(P177:AA177)</f>
        <v>0</v>
      </c>
      <c r="AO177" s="1"/>
      <c r="AP177" s="25">
        <f t="shared" ref="AP177:AP178" si="762">ROUND(SUM(AC177:AF177)-AM177,2)</f>
        <v>0</v>
      </c>
      <c r="AQ177" s="25">
        <f t="shared" ref="AQ177:AQ178" si="763">ROUND(SUM(AH177:AK177)-AN177,2)</f>
        <v>0</v>
      </c>
      <c r="AT177" s="27"/>
    </row>
    <row r="178" spans="2:46" x14ac:dyDescent="0.2">
      <c r="B178" s="30" t="s">
        <v>118</v>
      </c>
      <c r="C178" s="99">
        <v>0</v>
      </c>
      <c r="D178" s="99">
        <v>0</v>
      </c>
      <c r="E178" s="99">
        <v>0</v>
      </c>
      <c r="F178" s="99">
        <v>0</v>
      </c>
      <c r="G178" s="99">
        <v>0</v>
      </c>
      <c r="H178" s="99">
        <v>0</v>
      </c>
      <c r="I178" s="99">
        <v>0</v>
      </c>
      <c r="J178" s="99">
        <v>0</v>
      </c>
      <c r="K178" s="99">
        <v>0</v>
      </c>
      <c r="L178" s="99">
        <v>0</v>
      </c>
      <c r="M178" s="99">
        <v>0</v>
      </c>
      <c r="N178" s="13">
        <v>0</v>
      </c>
      <c r="P178" s="13">
        <v>0</v>
      </c>
      <c r="Q178" s="13">
        <v>0</v>
      </c>
      <c r="R178" s="13">
        <f>IFERROR(R176*(Q178/Q176),0)</f>
        <v>0</v>
      </c>
      <c r="S178" s="13">
        <f>+R178</f>
        <v>0</v>
      </c>
      <c r="T178" s="13">
        <f t="shared" ref="T178:AA178" si="764">+S178</f>
        <v>0</v>
      </c>
      <c r="U178" s="13">
        <f t="shared" si="764"/>
        <v>0</v>
      </c>
      <c r="V178" s="13">
        <f t="shared" si="764"/>
        <v>0</v>
      </c>
      <c r="W178" s="13">
        <f t="shared" si="764"/>
        <v>0</v>
      </c>
      <c r="X178" s="13">
        <f t="shared" si="764"/>
        <v>0</v>
      </c>
      <c r="Y178" s="13">
        <f t="shared" si="764"/>
        <v>0</v>
      </c>
      <c r="Z178" s="13">
        <f t="shared" si="764"/>
        <v>0</v>
      </c>
      <c r="AA178" s="13">
        <f t="shared" si="764"/>
        <v>0</v>
      </c>
      <c r="AB178" s="8"/>
      <c r="AC178" s="4">
        <f>SUM(C178:E178)</f>
        <v>0</v>
      </c>
      <c r="AD178" s="4">
        <f>SUM(F178:H178)</f>
        <v>0</v>
      </c>
      <c r="AE178" s="4">
        <f>SUM(I178:K178)</f>
        <v>0</v>
      </c>
      <c r="AF178" s="4">
        <f>SUM(L178:N178)</f>
        <v>0</v>
      </c>
      <c r="AG178" s="4"/>
      <c r="AH178" s="4">
        <f t="shared" si="756"/>
        <v>0</v>
      </c>
      <c r="AI178" s="4">
        <f t="shared" si="757"/>
        <v>0</v>
      </c>
      <c r="AJ178" s="4">
        <f t="shared" si="758"/>
        <v>0</v>
      </c>
      <c r="AK178" s="4">
        <f t="shared" si="759"/>
        <v>0</v>
      </c>
      <c r="AL178" s="4"/>
      <c r="AM178" s="4">
        <f t="shared" si="760"/>
        <v>0</v>
      </c>
      <c r="AN178" s="4">
        <f t="shared" si="761"/>
        <v>0</v>
      </c>
      <c r="AO178" s="1"/>
      <c r="AP178" s="25">
        <f t="shared" si="762"/>
        <v>0</v>
      </c>
      <c r="AQ178" s="25">
        <f t="shared" si="763"/>
        <v>0</v>
      </c>
    </row>
    <row r="179" spans="2:46" x14ac:dyDescent="0.2">
      <c r="B179" s="28" t="s">
        <v>122</v>
      </c>
      <c r="C179" s="29">
        <f>SUM(C176:C178)</f>
        <v>0</v>
      </c>
      <c r="D179" s="29">
        <f t="shared" ref="D179" si="765">SUM(D176:D178)</f>
        <v>0</v>
      </c>
      <c r="E179" s="29">
        <f t="shared" ref="E179" si="766">SUM(E176:E178)</f>
        <v>0</v>
      </c>
      <c r="F179" s="29">
        <f t="shared" ref="F179" si="767">SUM(F176:F178)</f>
        <v>0</v>
      </c>
      <c r="G179" s="29">
        <f t="shared" ref="G179" si="768">SUM(G176:G178)</f>
        <v>0</v>
      </c>
      <c r="H179" s="29">
        <f t="shared" ref="H179" si="769">SUM(H176:H178)</f>
        <v>0</v>
      </c>
      <c r="I179" s="29">
        <f t="shared" ref="I179" si="770">SUM(I176:I178)</f>
        <v>0</v>
      </c>
      <c r="J179" s="29">
        <f t="shared" ref="J179" si="771">SUM(J176:J178)</f>
        <v>0</v>
      </c>
      <c r="K179" s="29">
        <f t="shared" ref="K179" si="772">SUM(K176:K178)</f>
        <v>0</v>
      </c>
      <c r="L179" s="29">
        <f t="shared" ref="L179" si="773">SUM(L176:L178)</f>
        <v>0</v>
      </c>
      <c r="M179" s="29">
        <f t="shared" ref="M179" si="774">SUM(M176:M178)</f>
        <v>0</v>
      </c>
      <c r="N179" s="29">
        <f t="shared" ref="N179" si="775">SUM(N176:N178)</f>
        <v>0</v>
      </c>
      <c r="P179" s="29">
        <f t="shared" ref="P179:AA179" si="776">SUM(P176:P178)</f>
        <v>0</v>
      </c>
      <c r="Q179" s="29">
        <f t="shared" si="776"/>
        <v>0</v>
      </c>
      <c r="R179" s="29">
        <f t="shared" si="776"/>
        <v>0</v>
      </c>
      <c r="S179" s="29">
        <f t="shared" si="776"/>
        <v>0</v>
      </c>
      <c r="T179" s="29">
        <f t="shared" si="776"/>
        <v>0</v>
      </c>
      <c r="U179" s="29">
        <f t="shared" si="776"/>
        <v>0</v>
      </c>
      <c r="V179" s="29">
        <f t="shared" si="776"/>
        <v>0</v>
      </c>
      <c r="W179" s="29">
        <f t="shared" si="776"/>
        <v>0</v>
      </c>
      <c r="X179" s="29">
        <f t="shared" si="776"/>
        <v>0</v>
      </c>
      <c r="Y179" s="29">
        <f t="shared" si="776"/>
        <v>0</v>
      </c>
      <c r="Z179" s="29">
        <f t="shared" si="776"/>
        <v>0</v>
      </c>
      <c r="AA179" s="29">
        <f t="shared" si="776"/>
        <v>0</v>
      </c>
      <c r="AB179" s="8"/>
      <c r="AC179" s="29">
        <f t="shared" ref="AC179" si="777">SUM(AC176:AC178)</f>
        <v>0</v>
      </c>
      <c r="AD179" s="29">
        <f t="shared" ref="AD179" si="778">SUM(AD176:AD178)</f>
        <v>0</v>
      </c>
      <c r="AE179" s="29">
        <f t="shared" ref="AE179" si="779">SUM(AE176:AE178)</f>
        <v>0</v>
      </c>
      <c r="AF179" s="29">
        <f t="shared" ref="AF179" si="780">SUM(AF176:AF178)</f>
        <v>0</v>
      </c>
      <c r="AG179" s="12"/>
      <c r="AH179" s="29">
        <f>SUM(AH176:AH178)</f>
        <v>0</v>
      </c>
      <c r="AI179" s="29">
        <f t="shared" ref="AI179:AK179" si="781">SUM(AI176:AI178)</f>
        <v>0</v>
      </c>
      <c r="AJ179" s="29">
        <f t="shared" si="781"/>
        <v>0</v>
      </c>
      <c r="AK179" s="29">
        <f t="shared" si="781"/>
        <v>0</v>
      </c>
      <c r="AL179" s="12"/>
      <c r="AM179" s="29">
        <f>SUM(AM176:AM178)</f>
        <v>0</v>
      </c>
      <c r="AN179" s="29">
        <f>SUM(AN176:AN178)</f>
        <v>0</v>
      </c>
      <c r="AO179" s="1"/>
      <c r="AP179" s="25">
        <f>ROUND(SUM(AC179:AF179)-AM179,2)</f>
        <v>0</v>
      </c>
      <c r="AQ179" s="25">
        <f>ROUND(SUM(AH179:AK179)-AN179,2)</f>
        <v>0</v>
      </c>
    </row>
    <row r="181" spans="2:46" x14ac:dyDescent="0.2">
      <c r="B181" s="30" t="s">
        <v>117</v>
      </c>
      <c r="C181" s="99">
        <v>0</v>
      </c>
      <c r="D181" s="99">
        <v>0</v>
      </c>
      <c r="E181" s="99">
        <v>0</v>
      </c>
      <c r="F181" s="99">
        <v>0</v>
      </c>
      <c r="G181" s="99">
        <v>0</v>
      </c>
      <c r="H181" s="99">
        <v>0</v>
      </c>
      <c r="I181" s="99">
        <v>0</v>
      </c>
      <c r="J181" s="99">
        <v>0</v>
      </c>
      <c r="K181" s="99">
        <v>0</v>
      </c>
      <c r="L181" s="99">
        <v>0</v>
      </c>
      <c r="M181" s="99">
        <v>0</v>
      </c>
      <c r="N181" s="13">
        <v>0</v>
      </c>
      <c r="P181" s="13">
        <v>0</v>
      </c>
      <c r="Q181" s="13">
        <v>0</v>
      </c>
      <c r="R181" s="13">
        <f>+Q181+(Q181*$R$2)</f>
        <v>0</v>
      </c>
      <c r="S181" s="13">
        <f>+R181</f>
        <v>0</v>
      </c>
      <c r="T181" s="13">
        <f t="shared" ref="T181:AA181" si="782">+S181</f>
        <v>0</v>
      </c>
      <c r="U181" s="13">
        <f t="shared" si="782"/>
        <v>0</v>
      </c>
      <c r="V181" s="13">
        <f t="shared" si="782"/>
        <v>0</v>
      </c>
      <c r="W181" s="13">
        <f t="shared" si="782"/>
        <v>0</v>
      </c>
      <c r="X181" s="13">
        <f t="shared" si="782"/>
        <v>0</v>
      </c>
      <c r="Y181" s="13">
        <f t="shared" si="782"/>
        <v>0</v>
      </c>
      <c r="Z181" s="13">
        <f t="shared" si="782"/>
        <v>0</v>
      </c>
      <c r="AA181" s="13">
        <f t="shared" si="782"/>
        <v>0</v>
      </c>
      <c r="AB181" s="8"/>
      <c r="AC181" s="4">
        <f>SUM(C181:E181)</f>
        <v>0</v>
      </c>
      <c r="AD181" s="4">
        <f>SUM(F181:H181)</f>
        <v>0</v>
      </c>
      <c r="AE181" s="4">
        <f>SUM(I181:K181)</f>
        <v>0</v>
      </c>
      <c r="AF181" s="4">
        <f>SUM(L181:N181)</f>
        <v>0</v>
      </c>
      <c r="AG181" s="4"/>
      <c r="AH181" s="4">
        <f>SUM(P181:R181)</f>
        <v>0</v>
      </c>
      <c r="AI181" s="4">
        <f>SUM(S181:U181)</f>
        <v>0</v>
      </c>
      <c r="AJ181" s="4">
        <f>SUM(V181:X181)</f>
        <v>0</v>
      </c>
      <c r="AK181" s="4">
        <f>SUM(Y181:AA181)</f>
        <v>0</v>
      </c>
      <c r="AL181" s="4"/>
      <c r="AM181" s="4">
        <f>SUM(C181:N181)</f>
        <v>0</v>
      </c>
      <c r="AN181" s="4">
        <f>SUM(P181:AA181)</f>
        <v>0</v>
      </c>
      <c r="AO181" s="1"/>
      <c r="AP181" s="25">
        <f>ROUND(SUM(AC181:AF181)-AM181,2)</f>
        <v>0</v>
      </c>
      <c r="AQ181" s="25">
        <f>ROUND(SUM(AH181:AK181)-AN181,2)</f>
        <v>0</v>
      </c>
    </row>
    <row r="182" spans="2:46" x14ac:dyDescent="0.2">
      <c r="B182" s="30" t="s">
        <v>25</v>
      </c>
      <c r="C182" s="99">
        <v>0</v>
      </c>
      <c r="D182" s="99">
        <v>0</v>
      </c>
      <c r="E182" s="99">
        <v>0</v>
      </c>
      <c r="F182" s="99">
        <v>0</v>
      </c>
      <c r="G182" s="99">
        <v>0</v>
      </c>
      <c r="H182" s="99">
        <v>0</v>
      </c>
      <c r="I182" s="99">
        <v>0</v>
      </c>
      <c r="J182" s="99">
        <v>0</v>
      </c>
      <c r="K182" s="99">
        <v>0</v>
      </c>
      <c r="L182" s="99">
        <v>0</v>
      </c>
      <c r="M182" s="99">
        <v>0</v>
      </c>
      <c r="N182" s="13">
        <v>0</v>
      </c>
      <c r="P182" s="13">
        <v>0</v>
      </c>
      <c r="Q182" s="13">
        <v>0</v>
      </c>
      <c r="R182" s="13">
        <v>0</v>
      </c>
      <c r="S182" s="13">
        <f>+R182</f>
        <v>0</v>
      </c>
      <c r="T182" s="13">
        <f t="shared" ref="T182:AA182" si="783">+S182</f>
        <v>0</v>
      </c>
      <c r="U182" s="13">
        <f t="shared" si="783"/>
        <v>0</v>
      </c>
      <c r="V182" s="13">
        <f t="shared" si="783"/>
        <v>0</v>
      </c>
      <c r="W182" s="13">
        <f t="shared" si="783"/>
        <v>0</v>
      </c>
      <c r="X182" s="13">
        <f t="shared" si="783"/>
        <v>0</v>
      </c>
      <c r="Y182" s="13">
        <f t="shared" si="783"/>
        <v>0</v>
      </c>
      <c r="Z182" s="13">
        <f t="shared" si="783"/>
        <v>0</v>
      </c>
      <c r="AA182" s="13">
        <f t="shared" si="783"/>
        <v>0</v>
      </c>
      <c r="AB182" s="8"/>
      <c r="AC182" s="4">
        <f>SUM(C182:E182)</f>
        <v>0</v>
      </c>
      <c r="AD182" s="4">
        <f>SUM(F182:H182)</f>
        <v>0</v>
      </c>
      <c r="AE182" s="4">
        <f>SUM(I182:K182)</f>
        <v>0</v>
      </c>
      <c r="AF182" s="4">
        <f>SUM(L182:N182)</f>
        <v>0</v>
      </c>
      <c r="AG182" s="4"/>
      <c r="AH182" s="4">
        <f t="shared" ref="AH182:AH183" si="784">SUM(P182:R182)</f>
        <v>0</v>
      </c>
      <c r="AI182" s="4">
        <f t="shared" ref="AI182:AI183" si="785">SUM(S182:U182)</f>
        <v>0</v>
      </c>
      <c r="AJ182" s="4">
        <f t="shared" ref="AJ182:AJ183" si="786">SUM(V182:X182)</f>
        <v>0</v>
      </c>
      <c r="AK182" s="4">
        <f t="shared" ref="AK182:AK183" si="787">SUM(Y182:AA182)</f>
        <v>0</v>
      </c>
      <c r="AL182" s="4"/>
      <c r="AM182" s="4">
        <f t="shared" ref="AM182:AM183" si="788">SUM(C182:N182)</f>
        <v>0</v>
      </c>
      <c r="AN182" s="4">
        <f t="shared" ref="AN182:AN183" si="789">SUM(P182:AA182)</f>
        <v>0</v>
      </c>
      <c r="AO182" s="1"/>
      <c r="AP182" s="25">
        <f t="shared" ref="AP182:AP183" si="790">ROUND(SUM(AC182:AF182)-AM182,2)</f>
        <v>0</v>
      </c>
      <c r="AQ182" s="25">
        <f t="shared" ref="AQ182:AQ183" si="791">ROUND(SUM(AH182:AK182)-AN182,2)</f>
        <v>0</v>
      </c>
    </row>
    <row r="183" spans="2:46" x14ac:dyDescent="0.2">
      <c r="B183" s="30" t="s">
        <v>118</v>
      </c>
      <c r="C183" s="99">
        <v>0</v>
      </c>
      <c r="D183" s="99">
        <v>0</v>
      </c>
      <c r="E183" s="99">
        <v>0</v>
      </c>
      <c r="F183" s="99">
        <v>0</v>
      </c>
      <c r="G183" s="99">
        <v>0</v>
      </c>
      <c r="H183" s="99">
        <v>0</v>
      </c>
      <c r="I183" s="99">
        <v>0</v>
      </c>
      <c r="J183" s="99">
        <v>0</v>
      </c>
      <c r="K183" s="99">
        <v>0</v>
      </c>
      <c r="L183" s="99">
        <v>0</v>
      </c>
      <c r="M183" s="99">
        <v>0</v>
      </c>
      <c r="N183" s="13">
        <v>0</v>
      </c>
      <c r="P183" s="13">
        <v>0</v>
      </c>
      <c r="Q183" s="13">
        <v>0</v>
      </c>
      <c r="R183" s="13">
        <f>IFERROR(R181*(Q183/Q181),0)</f>
        <v>0</v>
      </c>
      <c r="S183" s="13">
        <f>+R183</f>
        <v>0</v>
      </c>
      <c r="T183" s="13">
        <f t="shared" ref="T183:AA183" si="792">+S183</f>
        <v>0</v>
      </c>
      <c r="U183" s="13">
        <f t="shared" si="792"/>
        <v>0</v>
      </c>
      <c r="V183" s="13">
        <f t="shared" si="792"/>
        <v>0</v>
      </c>
      <c r="W183" s="13">
        <f t="shared" si="792"/>
        <v>0</v>
      </c>
      <c r="X183" s="13">
        <f t="shared" si="792"/>
        <v>0</v>
      </c>
      <c r="Y183" s="13">
        <f t="shared" si="792"/>
        <v>0</v>
      </c>
      <c r="Z183" s="13">
        <f t="shared" si="792"/>
        <v>0</v>
      </c>
      <c r="AA183" s="13">
        <f t="shared" si="792"/>
        <v>0</v>
      </c>
      <c r="AB183" s="8"/>
      <c r="AC183" s="4">
        <f>SUM(C183:E183)</f>
        <v>0</v>
      </c>
      <c r="AD183" s="4">
        <f>SUM(F183:H183)</f>
        <v>0</v>
      </c>
      <c r="AE183" s="4">
        <f>SUM(I183:K183)</f>
        <v>0</v>
      </c>
      <c r="AF183" s="4">
        <f>SUM(L183:N183)</f>
        <v>0</v>
      </c>
      <c r="AG183" s="4"/>
      <c r="AH183" s="4">
        <f t="shared" si="784"/>
        <v>0</v>
      </c>
      <c r="AI183" s="4">
        <f t="shared" si="785"/>
        <v>0</v>
      </c>
      <c r="AJ183" s="4">
        <f t="shared" si="786"/>
        <v>0</v>
      </c>
      <c r="AK183" s="4">
        <f t="shared" si="787"/>
        <v>0</v>
      </c>
      <c r="AL183" s="4"/>
      <c r="AM183" s="4">
        <f t="shared" si="788"/>
        <v>0</v>
      </c>
      <c r="AN183" s="4">
        <f t="shared" si="789"/>
        <v>0</v>
      </c>
      <c r="AO183" s="1"/>
      <c r="AP183" s="25">
        <f t="shared" si="790"/>
        <v>0</v>
      </c>
      <c r="AQ183" s="25">
        <f t="shared" si="791"/>
        <v>0</v>
      </c>
    </row>
    <row r="184" spans="2:46" x14ac:dyDescent="0.2">
      <c r="B184" s="28" t="s">
        <v>122</v>
      </c>
      <c r="C184" s="29">
        <f>SUM(C181:C183)</f>
        <v>0</v>
      </c>
      <c r="D184" s="29">
        <f t="shared" ref="D184" si="793">SUM(D181:D183)</f>
        <v>0</v>
      </c>
      <c r="E184" s="29">
        <f t="shared" ref="E184" si="794">SUM(E181:E183)</f>
        <v>0</v>
      </c>
      <c r="F184" s="29">
        <f t="shared" ref="F184" si="795">SUM(F181:F183)</f>
        <v>0</v>
      </c>
      <c r="G184" s="29">
        <f t="shared" ref="G184" si="796">SUM(G181:G183)</f>
        <v>0</v>
      </c>
      <c r="H184" s="29">
        <f t="shared" ref="H184" si="797">SUM(H181:H183)</f>
        <v>0</v>
      </c>
      <c r="I184" s="29">
        <f t="shared" ref="I184" si="798">SUM(I181:I183)</f>
        <v>0</v>
      </c>
      <c r="J184" s="29">
        <f t="shared" ref="J184" si="799">SUM(J181:J183)</f>
        <v>0</v>
      </c>
      <c r="K184" s="29">
        <f t="shared" ref="K184" si="800">SUM(K181:K183)</f>
        <v>0</v>
      </c>
      <c r="L184" s="29">
        <f t="shared" ref="L184" si="801">SUM(L181:L183)</f>
        <v>0</v>
      </c>
      <c r="M184" s="29">
        <f t="shared" ref="M184" si="802">SUM(M181:M183)</f>
        <v>0</v>
      </c>
      <c r="N184" s="29">
        <f t="shared" ref="N184" si="803">SUM(N181:N183)</f>
        <v>0</v>
      </c>
      <c r="P184" s="29">
        <f t="shared" ref="P184:AA184" si="804">SUM(P181:P183)</f>
        <v>0</v>
      </c>
      <c r="Q184" s="29">
        <f t="shared" si="804"/>
        <v>0</v>
      </c>
      <c r="R184" s="29">
        <f t="shared" si="804"/>
        <v>0</v>
      </c>
      <c r="S184" s="29">
        <f t="shared" si="804"/>
        <v>0</v>
      </c>
      <c r="T184" s="29">
        <f t="shared" si="804"/>
        <v>0</v>
      </c>
      <c r="U184" s="29">
        <f t="shared" si="804"/>
        <v>0</v>
      </c>
      <c r="V184" s="29">
        <f t="shared" si="804"/>
        <v>0</v>
      </c>
      <c r="W184" s="29">
        <f t="shared" si="804"/>
        <v>0</v>
      </c>
      <c r="X184" s="29">
        <f t="shared" si="804"/>
        <v>0</v>
      </c>
      <c r="Y184" s="29">
        <f t="shared" si="804"/>
        <v>0</v>
      </c>
      <c r="Z184" s="29">
        <f t="shared" si="804"/>
        <v>0</v>
      </c>
      <c r="AA184" s="29">
        <f t="shared" si="804"/>
        <v>0</v>
      </c>
      <c r="AB184" s="8"/>
      <c r="AC184" s="29">
        <f t="shared" ref="AC184" si="805">SUM(AC181:AC183)</f>
        <v>0</v>
      </c>
      <c r="AD184" s="29">
        <f t="shared" ref="AD184" si="806">SUM(AD181:AD183)</f>
        <v>0</v>
      </c>
      <c r="AE184" s="29">
        <f t="shared" ref="AE184" si="807">SUM(AE181:AE183)</f>
        <v>0</v>
      </c>
      <c r="AF184" s="29">
        <f t="shared" ref="AF184" si="808">SUM(AF181:AF183)</f>
        <v>0</v>
      </c>
      <c r="AG184" s="12"/>
      <c r="AH184" s="29">
        <f>SUM(AH181:AH183)</f>
        <v>0</v>
      </c>
      <c r="AI184" s="29">
        <f t="shared" ref="AI184:AK184" si="809">SUM(AI181:AI183)</f>
        <v>0</v>
      </c>
      <c r="AJ184" s="29">
        <f t="shared" si="809"/>
        <v>0</v>
      </c>
      <c r="AK184" s="29">
        <f t="shared" si="809"/>
        <v>0</v>
      </c>
      <c r="AL184" s="12"/>
      <c r="AM184" s="29">
        <f>SUM(AM181:AM183)</f>
        <v>0</v>
      </c>
      <c r="AN184" s="29">
        <f>SUM(AN181:AN183)</f>
        <v>0</v>
      </c>
      <c r="AO184" s="1"/>
      <c r="AP184" s="25">
        <f>ROUND(SUM(AC184:AF184)-AM184,2)</f>
        <v>0</v>
      </c>
      <c r="AQ184" s="25">
        <f>ROUND(SUM(AH184:AK184)-AN184,2)</f>
        <v>0</v>
      </c>
    </row>
    <row r="185" spans="2:46" x14ac:dyDescent="0.2">
      <c r="B185" s="28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8"/>
      <c r="AC185" s="29"/>
      <c r="AD185" s="29"/>
      <c r="AE185" s="29"/>
      <c r="AF185" s="29"/>
      <c r="AG185" s="12"/>
      <c r="AH185" s="12"/>
      <c r="AI185" s="12"/>
      <c r="AJ185" s="12"/>
      <c r="AK185" s="12"/>
      <c r="AL185" s="12"/>
      <c r="AM185" s="12"/>
      <c r="AN185" s="29"/>
      <c r="AO185" s="1"/>
      <c r="AP185" s="25"/>
      <c r="AQ185" s="25"/>
    </row>
    <row r="186" spans="2:46" x14ac:dyDescent="0.2">
      <c r="B186" s="30" t="s">
        <v>117</v>
      </c>
      <c r="C186" s="4">
        <f>+C161+C166+C171+C176+C181</f>
        <v>0</v>
      </c>
      <c r="D186" s="4">
        <f t="shared" ref="D186:N186" si="810">+D161+D166+D171+D176+D181</f>
        <v>0</v>
      </c>
      <c r="E186" s="4">
        <f t="shared" si="810"/>
        <v>0</v>
      </c>
      <c r="F186" s="4">
        <f t="shared" si="810"/>
        <v>11151.21</v>
      </c>
      <c r="G186" s="4">
        <f t="shared" si="810"/>
        <v>20379.800000000003</v>
      </c>
      <c r="H186" s="4">
        <f t="shared" si="810"/>
        <v>20379.800000000003</v>
      </c>
      <c r="I186" s="4">
        <f t="shared" si="810"/>
        <v>20953.559999999998</v>
      </c>
      <c r="J186" s="4">
        <f t="shared" si="810"/>
        <v>14829.400000000003</v>
      </c>
      <c r="K186" s="4">
        <f t="shared" si="810"/>
        <v>8704.5200000000023</v>
      </c>
      <c r="L186" s="4">
        <f t="shared" si="810"/>
        <v>8703.8000000000029</v>
      </c>
      <c r="M186" s="4">
        <f t="shared" si="810"/>
        <v>6933.6000000000013</v>
      </c>
      <c r="N186" s="4">
        <f t="shared" si="810"/>
        <v>8800</v>
      </c>
      <c r="P186" s="4">
        <f t="shared" ref="P186:AA186" si="811">+P161+P166+P171+P176+P181</f>
        <v>8800</v>
      </c>
      <c r="Q186" s="4">
        <f t="shared" si="811"/>
        <v>8800</v>
      </c>
      <c r="R186" s="4">
        <f t="shared" si="811"/>
        <v>9064</v>
      </c>
      <c r="S186" s="4">
        <f t="shared" si="811"/>
        <v>9064</v>
      </c>
      <c r="T186" s="4">
        <f t="shared" si="811"/>
        <v>9064</v>
      </c>
      <c r="U186" s="4">
        <f t="shared" si="811"/>
        <v>9064</v>
      </c>
      <c r="V186" s="4">
        <f t="shared" si="811"/>
        <v>9064</v>
      </c>
      <c r="W186" s="4">
        <f t="shared" si="811"/>
        <v>9064</v>
      </c>
      <c r="X186" s="4">
        <f t="shared" si="811"/>
        <v>9064</v>
      </c>
      <c r="Y186" s="4">
        <f t="shared" si="811"/>
        <v>9064</v>
      </c>
      <c r="Z186" s="4">
        <f t="shared" si="811"/>
        <v>9064</v>
      </c>
      <c r="AA186" s="4">
        <f t="shared" si="811"/>
        <v>9064</v>
      </c>
      <c r="AB186" s="8"/>
      <c r="AC186" s="4">
        <f t="shared" ref="AC186:AF186" si="812">+AC161+AC166+AC171+AC176+AC181</f>
        <v>0</v>
      </c>
      <c r="AD186" s="4">
        <f t="shared" si="812"/>
        <v>51910.810000000005</v>
      </c>
      <c r="AE186" s="4">
        <f t="shared" si="812"/>
        <v>44487.48000000001</v>
      </c>
      <c r="AF186" s="4">
        <f t="shared" si="812"/>
        <v>24437.400000000005</v>
      </c>
      <c r="AG186" s="4"/>
      <c r="AH186" s="4">
        <f t="shared" ref="AH186:AK186" si="813">+AH161+AH166+AH171+AH176+AH181</f>
        <v>26664</v>
      </c>
      <c r="AI186" s="4">
        <f t="shared" si="813"/>
        <v>27192</v>
      </c>
      <c r="AJ186" s="4">
        <f t="shared" si="813"/>
        <v>27192</v>
      </c>
      <c r="AK186" s="4">
        <f t="shared" si="813"/>
        <v>27192</v>
      </c>
      <c r="AL186" s="4"/>
      <c r="AM186" s="4">
        <f t="shared" ref="AM186:AN186" si="814">+AM161+AM166+AM171+AM176+AM181</f>
        <v>120835.69000000002</v>
      </c>
      <c r="AN186" s="4">
        <f t="shared" si="814"/>
        <v>108240</v>
      </c>
      <c r="AO186" s="1"/>
      <c r="AP186" s="25">
        <f t="shared" ref="AP186:AP189" si="815">ROUND(SUM(AC186:AF186)-AM186,2)</f>
        <v>0</v>
      </c>
      <c r="AQ186" s="25">
        <f t="shared" ref="AQ186:AQ189" si="816">ROUND(SUM(AH186:AK186)-AN186,2)</f>
        <v>0</v>
      </c>
    </row>
    <row r="187" spans="2:46" x14ac:dyDescent="0.2">
      <c r="B187" s="30" t="s">
        <v>25</v>
      </c>
      <c r="C187" s="4">
        <f t="shared" ref="C187:N187" si="817">+C162+C167+C172+C177+C182</f>
        <v>0</v>
      </c>
      <c r="D187" s="4">
        <f t="shared" si="817"/>
        <v>0</v>
      </c>
      <c r="E187" s="4">
        <f t="shared" si="817"/>
        <v>0</v>
      </c>
      <c r="F187" s="4">
        <f t="shared" si="817"/>
        <v>7766.0799999999981</v>
      </c>
      <c r="G187" s="4">
        <f t="shared" si="817"/>
        <v>7000</v>
      </c>
      <c r="H187" s="4">
        <f t="shared" si="817"/>
        <v>7000</v>
      </c>
      <c r="I187" s="4">
        <f t="shared" si="817"/>
        <v>0</v>
      </c>
      <c r="J187" s="4">
        <f t="shared" si="817"/>
        <v>0</v>
      </c>
      <c r="K187" s="4">
        <f t="shared" si="817"/>
        <v>0</v>
      </c>
      <c r="L187" s="4">
        <f t="shared" si="817"/>
        <v>0</v>
      </c>
      <c r="M187" s="4">
        <f t="shared" si="817"/>
        <v>0</v>
      </c>
      <c r="N187" s="4">
        <f t="shared" si="817"/>
        <v>14700</v>
      </c>
      <c r="P187" s="4">
        <f t="shared" ref="P187:AA187" si="818">+P162+P167+P172+P177+P182</f>
        <v>4900</v>
      </c>
      <c r="Q187" s="4">
        <f t="shared" si="818"/>
        <v>4900</v>
      </c>
      <c r="R187" s="4">
        <f t="shared" si="818"/>
        <v>4900</v>
      </c>
      <c r="S187" s="4">
        <f t="shared" si="818"/>
        <v>4900</v>
      </c>
      <c r="T187" s="4">
        <f t="shared" si="818"/>
        <v>4900</v>
      </c>
      <c r="U187" s="4">
        <f t="shared" si="818"/>
        <v>4900</v>
      </c>
      <c r="V187" s="4">
        <f t="shared" si="818"/>
        <v>4900</v>
      </c>
      <c r="W187" s="4">
        <f t="shared" si="818"/>
        <v>4900</v>
      </c>
      <c r="X187" s="4">
        <f t="shared" si="818"/>
        <v>4900</v>
      </c>
      <c r="Y187" s="4">
        <f t="shared" si="818"/>
        <v>4900</v>
      </c>
      <c r="Z187" s="4">
        <f t="shared" si="818"/>
        <v>4900</v>
      </c>
      <c r="AA187" s="4">
        <f t="shared" si="818"/>
        <v>4900</v>
      </c>
      <c r="AB187" s="8"/>
      <c r="AC187" s="4">
        <f t="shared" ref="AC187:AF187" si="819">+AC162+AC167+AC172+AC177+AC182</f>
        <v>0</v>
      </c>
      <c r="AD187" s="4">
        <f t="shared" si="819"/>
        <v>21766.079999999998</v>
      </c>
      <c r="AE187" s="4">
        <f t="shared" si="819"/>
        <v>0</v>
      </c>
      <c r="AF187" s="4">
        <f t="shared" si="819"/>
        <v>14700</v>
      </c>
      <c r="AG187" s="4"/>
      <c r="AH187" s="4">
        <f t="shared" ref="AH187:AK187" si="820">+AH162+AH167+AH172+AH177+AH182</f>
        <v>14700</v>
      </c>
      <c r="AI187" s="4">
        <f t="shared" si="820"/>
        <v>14700</v>
      </c>
      <c r="AJ187" s="4">
        <f t="shared" si="820"/>
        <v>14700</v>
      </c>
      <c r="AK187" s="4">
        <f t="shared" si="820"/>
        <v>14700</v>
      </c>
      <c r="AL187" s="4"/>
      <c r="AM187" s="4">
        <f t="shared" ref="AM187:AN187" si="821">+AM162+AM167+AM172+AM177+AM182</f>
        <v>36466.080000000002</v>
      </c>
      <c r="AN187" s="4">
        <f t="shared" si="821"/>
        <v>58800</v>
      </c>
      <c r="AO187" s="1"/>
      <c r="AP187" s="25">
        <f t="shared" si="815"/>
        <v>0</v>
      </c>
      <c r="AQ187" s="25">
        <f t="shared" si="816"/>
        <v>0</v>
      </c>
    </row>
    <row r="188" spans="2:46" x14ac:dyDescent="0.2">
      <c r="B188" s="30" t="s">
        <v>118</v>
      </c>
      <c r="C188" s="4">
        <f t="shared" ref="C188:N188" si="822">+C163+C168+C173+C178+C183</f>
        <v>0</v>
      </c>
      <c r="D188" s="4">
        <f t="shared" si="822"/>
        <v>0</v>
      </c>
      <c r="E188" s="4">
        <f t="shared" si="822"/>
        <v>0</v>
      </c>
      <c r="F188" s="4">
        <f t="shared" si="822"/>
        <v>9099.32</v>
      </c>
      <c r="G188" s="4">
        <f t="shared" si="822"/>
        <v>12719.56</v>
      </c>
      <c r="H188" s="4">
        <f t="shared" si="822"/>
        <v>12479.06</v>
      </c>
      <c r="I188" s="4">
        <f t="shared" si="822"/>
        <v>8740.2999999999993</v>
      </c>
      <c r="J188" s="4">
        <f t="shared" si="822"/>
        <v>6752.4599999999991</v>
      </c>
      <c r="K188" s="4">
        <f t="shared" si="822"/>
        <v>4764.4999999999991</v>
      </c>
      <c r="L188" s="4">
        <f t="shared" si="822"/>
        <v>4764.3799999999992</v>
      </c>
      <c r="M188" s="4">
        <f t="shared" si="822"/>
        <v>4764.3799999999992</v>
      </c>
      <c r="N188" s="4">
        <f t="shared" si="822"/>
        <v>7000</v>
      </c>
      <c r="P188" s="4">
        <f t="shared" ref="P188:AA188" si="823">+P163+P168+P173+P178+P183</f>
        <v>7000</v>
      </c>
      <c r="Q188" s="4">
        <f t="shared" si="823"/>
        <v>7000</v>
      </c>
      <c r="R188" s="4">
        <f t="shared" si="823"/>
        <v>7210</v>
      </c>
      <c r="S188" s="4">
        <f t="shared" si="823"/>
        <v>7210</v>
      </c>
      <c r="T188" s="4">
        <f t="shared" si="823"/>
        <v>7210</v>
      </c>
      <c r="U188" s="4">
        <f t="shared" si="823"/>
        <v>7210</v>
      </c>
      <c r="V188" s="4">
        <f t="shared" si="823"/>
        <v>7210</v>
      </c>
      <c r="W188" s="4">
        <f t="shared" si="823"/>
        <v>7210</v>
      </c>
      <c r="X188" s="4">
        <f t="shared" si="823"/>
        <v>7210</v>
      </c>
      <c r="Y188" s="4">
        <f t="shared" si="823"/>
        <v>7210</v>
      </c>
      <c r="Z188" s="4">
        <f t="shared" si="823"/>
        <v>7210</v>
      </c>
      <c r="AA188" s="4">
        <f t="shared" si="823"/>
        <v>7210</v>
      </c>
      <c r="AB188" s="8"/>
      <c r="AC188" s="4">
        <f t="shared" ref="AC188:AF188" si="824">+AC163+AC168+AC173+AC178+AC183</f>
        <v>0</v>
      </c>
      <c r="AD188" s="4">
        <f t="shared" si="824"/>
        <v>34297.94</v>
      </c>
      <c r="AE188" s="4">
        <f t="shared" si="824"/>
        <v>20257.259999999998</v>
      </c>
      <c r="AF188" s="4">
        <f t="shared" si="824"/>
        <v>16528.759999999998</v>
      </c>
      <c r="AG188" s="4"/>
      <c r="AH188" s="4">
        <f t="shared" ref="AH188:AK188" si="825">+AH163+AH168+AH173+AH178+AH183</f>
        <v>21210</v>
      </c>
      <c r="AI188" s="4">
        <f t="shared" si="825"/>
        <v>21630</v>
      </c>
      <c r="AJ188" s="4">
        <f t="shared" si="825"/>
        <v>21630</v>
      </c>
      <c r="AK188" s="4">
        <f t="shared" si="825"/>
        <v>21630</v>
      </c>
      <c r="AL188" s="4"/>
      <c r="AM188" s="4">
        <f t="shared" ref="AM188:AN188" si="826">+AM163+AM168+AM173+AM178+AM183</f>
        <v>71083.959999999992</v>
      </c>
      <c r="AN188" s="4">
        <f t="shared" si="826"/>
        <v>86100</v>
      </c>
      <c r="AO188" s="1"/>
      <c r="AP188" s="25">
        <f t="shared" si="815"/>
        <v>0</v>
      </c>
      <c r="AQ188" s="25">
        <f t="shared" si="816"/>
        <v>0</v>
      </c>
    </row>
    <row r="189" spans="2:46" x14ac:dyDescent="0.2">
      <c r="B189" s="28" t="s">
        <v>128</v>
      </c>
      <c r="C189" s="32">
        <f>+C164+C169+C174+C179+C184</f>
        <v>0</v>
      </c>
      <c r="D189" s="32">
        <f t="shared" ref="D189:N189" si="827">+D164+D169+D174+D179+D184</f>
        <v>0</v>
      </c>
      <c r="E189" s="32">
        <f t="shared" si="827"/>
        <v>0</v>
      </c>
      <c r="F189" s="32">
        <f t="shared" si="827"/>
        <v>28016.609999999997</v>
      </c>
      <c r="G189" s="32">
        <f t="shared" si="827"/>
        <v>40099.360000000001</v>
      </c>
      <c r="H189" s="32">
        <f t="shared" si="827"/>
        <v>39858.86</v>
      </c>
      <c r="I189" s="32">
        <f t="shared" si="827"/>
        <v>29693.86</v>
      </c>
      <c r="J189" s="32">
        <f t="shared" si="827"/>
        <v>21581.86</v>
      </c>
      <c r="K189" s="32">
        <f t="shared" si="827"/>
        <v>13469.020000000002</v>
      </c>
      <c r="L189" s="32">
        <f t="shared" si="827"/>
        <v>13468.180000000002</v>
      </c>
      <c r="M189" s="32">
        <f t="shared" si="827"/>
        <v>11697.98</v>
      </c>
      <c r="N189" s="32">
        <f t="shared" si="827"/>
        <v>30500</v>
      </c>
      <c r="P189" s="32">
        <f t="shared" ref="P189:AA189" si="828">+P164+P169+P174+P179+P184</f>
        <v>20700</v>
      </c>
      <c r="Q189" s="32">
        <f t="shared" si="828"/>
        <v>20700</v>
      </c>
      <c r="R189" s="32">
        <f t="shared" si="828"/>
        <v>21174</v>
      </c>
      <c r="S189" s="32">
        <f t="shared" si="828"/>
        <v>21174</v>
      </c>
      <c r="T189" s="32">
        <f t="shared" si="828"/>
        <v>21174</v>
      </c>
      <c r="U189" s="32">
        <f t="shared" si="828"/>
        <v>21174</v>
      </c>
      <c r="V189" s="32">
        <f t="shared" si="828"/>
        <v>21174</v>
      </c>
      <c r="W189" s="32">
        <f t="shared" si="828"/>
        <v>21174</v>
      </c>
      <c r="X189" s="32">
        <f t="shared" si="828"/>
        <v>21174</v>
      </c>
      <c r="Y189" s="32">
        <f t="shared" si="828"/>
        <v>21174</v>
      </c>
      <c r="Z189" s="32">
        <f t="shared" si="828"/>
        <v>21174</v>
      </c>
      <c r="AA189" s="32">
        <f t="shared" si="828"/>
        <v>21174</v>
      </c>
      <c r="AB189" s="33"/>
      <c r="AC189" s="32">
        <f t="shared" ref="AC189:AF189" si="829">+AC164+AC169+AC174+AC179+AC184</f>
        <v>0</v>
      </c>
      <c r="AD189" s="32">
        <f t="shared" si="829"/>
        <v>107974.83</v>
      </c>
      <c r="AE189" s="32">
        <f t="shared" si="829"/>
        <v>64744.740000000005</v>
      </c>
      <c r="AF189" s="32">
        <f t="shared" si="829"/>
        <v>55666.16</v>
      </c>
      <c r="AG189" s="33"/>
      <c r="AH189" s="32">
        <f t="shared" ref="AH189:AK189" si="830">+AH164+AH169+AH174+AH179+AH184</f>
        <v>62574</v>
      </c>
      <c r="AI189" s="32">
        <f t="shared" si="830"/>
        <v>63522</v>
      </c>
      <c r="AJ189" s="32">
        <f t="shared" si="830"/>
        <v>63522</v>
      </c>
      <c r="AK189" s="32">
        <f t="shared" si="830"/>
        <v>63522</v>
      </c>
      <c r="AL189" s="33"/>
      <c r="AM189" s="32">
        <f t="shared" ref="AM189:AN189" si="831">+AM164+AM169+AM174+AM179+AM184</f>
        <v>228385.73</v>
      </c>
      <c r="AN189" s="32">
        <f t="shared" si="831"/>
        <v>253140</v>
      </c>
      <c r="AP189" s="25">
        <f t="shared" si="815"/>
        <v>0</v>
      </c>
      <c r="AQ189" s="25">
        <f t="shared" si="816"/>
        <v>0</v>
      </c>
    </row>
    <row r="190" spans="2:46" x14ac:dyDescent="0.2">
      <c r="B190" s="28"/>
      <c r="C190" s="41" t="str">
        <f>IF(C189-SUM(C186:C188)=0,"ok","check")</f>
        <v>ok</v>
      </c>
      <c r="D190" s="41" t="str">
        <f t="shared" ref="D190" si="832">IF(D189-SUM(D186:D188)=0,"ok","check")</f>
        <v>ok</v>
      </c>
      <c r="E190" s="41" t="str">
        <f t="shared" ref="E190" si="833">IF(E189-SUM(E186:E188)=0,"ok","check")</f>
        <v>ok</v>
      </c>
      <c r="F190" s="41" t="str">
        <f t="shared" ref="F190" si="834">IF(F189-SUM(F186:F188)=0,"ok","check")</f>
        <v>ok</v>
      </c>
      <c r="G190" s="41" t="str">
        <f t="shared" ref="G190" si="835">IF(G189-SUM(G186:G188)=0,"ok","check")</f>
        <v>ok</v>
      </c>
      <c r="H190" s="41" t="str">
        <f t="shared" ref="H190" si="836">IF(H189-SUM(H186:H188)=0,"ok","check")</f>
        <v>ok</v>
      </c>
      <c r="I190" s="41" t="str">
        <f t="shared" ref="I190" si="837">IF(I189-SUM(I186:I188)=0,"ok","check")</f>
        <v>check</v>
      </c>
      <c r="J190" s="41" t="str">
        <f t="shared" ref="J190" si="838">IF(J189-SUM(J186:J188)=0,"ok","check")</f>
        <v>ok</v>
      </c>
      <c r="K190" s="41" t="str">
        <f t="shared" ref="K190" si="839">IF(K189-SUM(K186:K188)=0,"ok","check")</f>
        <v>check</v>
      </c>
      <c r="L190" s="41" t="str">
        <f t="shared" ref="L190" si="840">IF(L189-SUM(L186:L188)=0,"ok","check")</f>
        <v>ok</v>
      </c>
      <c r="M190" s="41" t="str">
        <f t="shared" ref="M190" si="841">IF(M189-SUM(M186:M188)=0,"ok","check")</f>
        <v>ok</v>
      </c>
      <c r="N190" s="41" t="str">
        <f t="shared" ref="N190" si="842">IF(N189-SUM(N186:N188)=0,"ok","check")</f>
        <v>ok</v>
      </c>
      <c r="P190" s="41" t="str">
        <f t="shared" ref="P190:AA190" si="843">IF(P189-SUM(P186:P188)=0,"ok","check")</f>
        <v>ok</v>
      </c>
      <c r="Q190" s="41" t="str">
        <f t="shared" si="843"/>
        <v>ok</v>
      </c>
      <c r="R190" s="41" t="str">
        <f t="shared" si="843"/>
        <v>ok</v>
      </c>
      <c r="S190" s="41" t="str">
        <f t="shared" si="843"/>
        <v>ok</v>
      </c>
      <c r="T190" s="41" t="str">
        <f t="shared" si="843"/>
        <v>ok</v>
      </c>
      <c r="U190" s="41" t="str">
        <f t="shared" si="843"/>
        <v>ok</v>
      </c>
      <c r="V190" s="41" t="str">
        <f t="shared" si="843"/>
        <v>ok</v>
      </c>
      <c r="W190" s="41" t="str">
        <f t="shared" si="843"/>
        <v>ok</v>
      </c>
      <c r="X190" s="41" t="str">
        <f t="shared" si="843"/>
        <v>ok</v>
      </c>
      <c r="Y190" s="41" t="str">
        <f t="shared" si="843"/>
        <v>ok</v>
      </c>
      <c r="Z190" s="41" t="str">
        <f t="shared" si="843"/>
        <v>ok</v>
      </c>
      <c r="AA190" s="41" t="str">
        <f t="shared" si="843"/>
        <v>ok</v>
      </c>
    </row>
    <row r="192" spans="2:46" x14ac:dyDescent="0.2">
      <c r="B192" s="167" t="s">
        <v>129</v>
      </c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9"/>
    </row>
    <row r="194" spans="2:46" x14ac:dyDescent="0.2">
      <c r="B194" s="30" t="s">
        <v>117</v>
      </c>
      <c r="C194" s="99">
        <v>13502.64</v>
      </c>
      <c r="D194" s="99">
        <v>13502.64</v>
      </c>
      <c r="E194" s="99">
        <v>13502.64</v>
      </c>
      <c r="F194" s="99">
        <v>6751.32</v>
      </c>
      <c r="G194" s="99">
        <v>0</v>
      </c>
      <c r="H194" s="99">
        <v>0</v>
      </c>
      <c r="I194" s="99">
        <v>0</v>
      </c>
      <c r="J194" s="99">
        <v>0</v>
      </c>
      <c r="K194" s="99">
        <v>0</v>
      </c>
      <c r="L194" s="99">
        <v>0</v>
      </c>
      <c r="M194" s="99">
        <v>0</v>
      </c>
      <c r="N194" s="13">
        <v>0</v>
      </c>
      <c r="P194" s="13">
        <v>0</v>
      </c>
      <c r="Q194" s="13">
        <v>0</v>
      </c>
      <c r="R194" s="13">
        <f>+Q194+(Q194*$R$2)</f>
        <v>0</v>
      </c>
      <c r="S194" s="13">
        <f>+R194</f>
        <v>0</v>
      </c>
      <c r="T194" s="13">
        <f t="shared" ref="T194:AA194" si="844">+S194</f>
        <v>0</v>
      </c>
      <c r="U194" s="13">
        <f t="shared" si="844"/>
        <v>0</v>
      </c>
      <c r="V194" s="13">
        <f t="shared" si="844"/>
        <v>0</v>
      </c>
      <c r="W194" s="13">
        <f t="shared" si="844"/>
        <v>0</v>
      </c>
      <c r="X194" s="13">
        <f t="shared" si="844"/>
        <v>0</v>
      </c>
      <c r="Y194" s="13">
        <f t="shared" si="844"/>
        <v>0</v>
      </c>
      <c r="Z194" s="13">
        <f t="shared" si="844"/>
        <v>0</v>
      </c>
      <c r="AA194" s="13">
        <f t="shared" si="844"/>
        <v>0</v>
      </c>
      <c r="AB194" s="8"/>
      <c r="AC194" s="4">
        <f>SUM(C194:E194)</f>
        <v>40507.919999999998</v>
      </c>
      <c r="AD194" s="4">
        <f>SUM(F194:H194)</f>
        <v>6751.32</v>
      </c>
      <c r="AE194" s="4">
        <f>SUM(I194:K194)</f>
        <v>0</v>
      </c>
      <c r="AF194" s="4">
        <f>SUM(L194:N194)</f>
        <v>0</v>
      </c>
      <c r="AG194" s="4"/>
      <c r="AH194" s="4">
        <f>SUM(P194:R194)</f>
        <v>0</v>
      </c>
      <c r="AI194" s="4">
        <f>SUM(S194:U194)</f>
        <v>0</v>
      </c>
      <c r="AJ194" s="4">
        <f>SUM(V194:X194)</f>
        <v>0</v>
      </c>
      <c r="AK194" s="4">
        <f>SUM(Y194:AA194)</f>
        <v>0</v>
      </c>
      <c r="AL194" s="4"/>
      <c r="AM194" s="4">
        <f>SUM(C194:N194)</f>
        <v>47259.24</v>
      </c>
      <c r="AN194" s="4">
        <f>SUM(P194:AA194)</f>
        <v>0</v>
      </c>
      <c r="AO194" s="1"/>
      <c r="AP194" s="25">
        <f>ROUND(SUM(AC194:AF194)-AM194,2)</f>
        <v>0</v>
      </c>
      <c r="AQ194" s="25">
        <f>ROUND(SUM(AH194:AK194)-AN194,2)</f>
        <v>0</v>
      </c>
    </row>
    <row r="195" spans="2:46" x14ac:dyDescent="0.2">
      <c r="B195" s="30" t="s">
        <v>25</v>
      </c>
      <c r="C195" s="99">
        <v>0</v>
      </c>
      <c r="D195" s="99">
        <v>0</v>
      </c>
      <c r="E195" s="99">
        <v>0</v>
      </c>
      <c r="F195" s="99">
        <v>0</v>
      </c>
      <c r="G195" s="99">
        <v>0</v>
      </c>
      <c r="H195" s="99">
        <v>0</v>
      </c>
      <c r="I195" s="99">
        <v>0</v>
      </c>
      <c r="J195" s="99">
        <v>0</v>
      </c>
      <c r="K195" s="99">
        <v>0</v>
      </c>
      <c r="L195" s="99">
        <v>0</v>
      </c>
      <c r="M195" s="99">
        <v>0</v>
      </c>
      <c r="N195" s="13">
        <v>0</v>
      </c>
      <c r="P195" s="13">
        <v>0</v>
      </c>
      <c r="Q195" s="13">
        <v>0</v>
      </c>
      <c r="R195" s="13">
        <v>0</v>
      </c>
      <c r="S195" s="13">
        <f>+R195</f>
        <v>0</v>
      </c>
      <c r="T195" s="13">
        <f t="shared" ref="T195:AA195" si="845">+S195</f>
        <v>0</v>
      </c>
      <c r="U195" s="13">
        <f t="shared" si="845"/>
        <v>0</v>
      </c>
      <c r="V195" s="13">
        <f t="shared" si="845"/>
        <v>0</v>
      </c>
      <c r="W195" s="13">
        <f t="shared" si="845"/>
        <v>0</v>
      </c>
      <c r="X195" s="13">
        <f t="shared" si="845"/>
        <v>0</v>
      </c>
      <c r="Y195" s="13">
        <f t="shared" si="845"/>
        <v>0</v>
      </c>
      <c r="Z195" s="13">
        <f t="shared" si="845"/>
        <v>0</v>
      </c>
      <c r="AA195" s="13">
        <f t="shared" si="845"/>
        <v>0</v>
      </c>
      <c r="AB195" s="8"/>
      <c r="AC195" s="4">
        <f>SUM(C195:E195)</f>
        <v>0</v>
      </c>
      <c r="AD195" s="4">
        <f>SUM(F195:H195)</f>
        <v>0</v>
      </c>
      <c r="AE195" s="4">
        <f>SUM(I195:K195)</f>
        <v>0</v>
      </c>
      <c r="AF195" s="4">
        <f>SUM(L195:N195)</f>
        <v>0</v>
      </c>
      <c r="AG195" s="4"/>
      <c r="AH195" s="4">
        <f t="shared" ref="AH195:AH196" si="846">SUM(P195:R195)</f>
        <v>0</v>
      </c>
      <c r="AI195" s="4">
        <f t="shared" ref="AI195:AI196" si="847">SUM(S195:U195)</f>
        <v>0</v>
      </c>
      <c r="AJ195" s="4">
        <f t="shared" ref="AJ195:AJ196" si="848">SUM(V195:X195)</f>
        <v>0</v>
      </c>
      <c r="AK195" s="4">
        <f t="shared" ref="AK195:AK196" si="849">SUM(Y195:AA195)</f>
        <v>0</v>
      </c>
      <c r="AL195" s="4"/>
      <c r="AM195" s="4">
        <f t="shared" ref="AM195:AM196" si="850">SUM(C195:N195)</f>
        <v>0</v>
      </c>
      <c r="AN195" s="4">
        <f t="shared" ref="AN195:AN196" si="851">SUM(P195:AA195)</f>
        <v>0</v>
      </c>
      <c r="AO195" s="1"/>
      <c r="AP195" s="25">
        <f t="shared" ref="AP195:AP196" si="852">ROUND(SUM(AC195:AF195)-AM195,2)</f>
        <v>0</v>
      </c>
      <c r="AQ195" s="25">
        <f t="shared" ref="AQ195:AQ196" si="853">ROUND(SUM(AH195:AK195)-AN195,2)</f>
        <v>0</v>
      </c>
    </row>
    <row r="196" spans="2:46" x14ac:dyDescent="0.2">
      <c r="B196" s="30" t="s">
        <v>118</v>
      </c>
      <c r="C196" s="99">
        <v>7606.28</v>
      </c>
      <c r="D196" s="99">
        <v>7130.28</v>
      </c>
      <c r="E196" s="99">
        <v>7130.2800000000007</v>
      </c>
      <c r="F196" s="99">
        <v>3565.1400000000003</v>
      </c>
      <c r="G196" s="99">
        <v>0</v>
      </c>
      <c r="H196" s="99">
        <v>0</v>
      </c>
      <c r="I196" s="99">
        <v>0</v>
      </c>
      <c r="J196" s="99">
        <v>0</v>
      </c>
      <c r="K196" s="99">
        <v>0</v>
      </c>
      <c r="L196" s="99">
        <v>0</v>
      </c>
      <c r="M196" s="99">
        <v>0</v>
      </c>
      <c r="N196" s="13">
        <v>0</v>
      </c>
      <c r="P196" s="13">
        <v>0</v>
      </c>
      <c r="Q196" s="13">
        <v>0</v>
      </c>
      <c r="R196" s="13">
        <f>IFERROR(R194*(Q196/Q194),0)</f>
        <v>0</v>
      </c>
      <c r="S196" s="13">
        <f>+R196</f>
        <v>0</v>
      </c>
      <c r="T196" s="13">
        <f t="shared" ref="T196:AA196" si="854">+S196</f>
        <v>0</v>
      </c>
      <c r="U196" s="13">
        <f t="shared" si="854"/>
        <v>0</v>
      </c>
      <c r="V196" s="13">
        <f t="shared" si="854"/>
        <v>0</v>
      </c>
      <c r="W196" s="13">
        <f t="shared" si="854"/>
        <v>0</v>
      </c>
      <c r="X196" s="13">
        <f t="shared" si="854"/>
        <v>0</v>
      </c>
      <c r="Y196" s="13">
        <f t="shared" si="854"/>
        <v>0</v>
      </c>
      <c r="Z196" s="13">
        <f t="shared" si="854"/>
        <v>0</v>
      </c>
      <c r="AA196" s="13">
        <f t="shared" si="854"/>
        <v>0</v>
      </c>
      <c r="AB196" s="8"/>
      <c r="AC196" s="4">
        <f>SUM(C196:E196)</f>
        <v>21866.84</v>
      </c>
      <c r="AD196" s="4">
        <f>SUM(F196:H196)</f>
        <v>3565.1400000000003</v>
      </c>
      <c r="AE196" s="4">
        <f>SUM(I196:K196)</f>
        <v>0</v>
      </c>
      <c r="AF196" s="4">
        <f>SUM(L196:N196)</f>
        <v>0</v>
      </c>
      <c r="AG196" s="4"/>
      <c r="AH196" s="4">
        <f t="shared" si="846"/>
        <v>0</v>
      </c>
      <c r="AI196" s="4">
        <f t="shared" si="847"/>
        <v>0</v>
      </c>
      <c r="AJ196" s="4">
        <f t="shared" si="848"/>
        <v>0</v>
      </c>
      <c r="AK196" s="4">
        <f t="shared" si="849"/>
        <v>0</v>
      </c>
      <c r="AL196" s="4"/>
      <c r="AM196" s="4">
        <f t="shared" si="850"/>
        <v>25431.98</v>
      </c>
      <c r="AN196" s="4">
        <f t="shared" si="851"/>
        <v>0</v>
      </c>
      <c r="AO196" s="1"/>
      <c r="AP196" s="25">
        <f t="shared" si="852"/>
        <v>0</v>
      </c>
      <c r="AQ196" s="25">
        <f t="shared" si="853"/>
        <v>0</v>
      </c>
    </row>
    <row r="197" spans="2:46" x14ac:dyDescent="0.2">
      <c r="B197" s="28" t="s">
        <v>130</v>
      </c>
      <c r="C197" s="29">
        <f>SUM(C194:C196)</f>
        <v>21108.92</v>
      </c>
      <c r="D197" s="29">
        <f t="shared" ref="D197" si="855">SUM(D194:D196)</f>
        <v>20632.919999999998</v>
      </c>
      <c r="E197" s="29">
        <f t="shared" ref="E197" si="856">SUM(E194:E196)</f>
        <v>20632.919999999998</v>
      </c>
      <c r="F197" s="29">
        <f>SUM(F194:F196)</f>
        <v>10316.459999999999</v>
      </c>
      <c r="G197" s="29">
        <f>SUM(G194:G196)</f>
        <v>0</v>
      </c>
      <c r="H197" s="29">
        <f t="shared" ref="H197" si="857">SUM(H194:H196)</f>
        <v>0</v>
      </c>
      <c r="I197" s="29">
        <f t="shared" ref="I197" si="858">SUM(I194:I196)</f>
        <v>0</v>
      </c>
      <c r="J197" s="29">
        <f t="shared" ref="J197" si="859">SUM(J194:J196)</f>
        <v>0</v>
      </c>
      <c r="K197" s="29">
        <f t="shared" ref="K197" si="860">SUM(K194:K196)</f>
        <v>0</v>
      </c>
      <c r="L197" s="29">
        <f t="shared" ref="L197" si="861">SUM(L194:L196)</f>
        <v>0</v>
      </c>
      <c r="M197" s="29">
        <f t="shared" ref="M197" si="862">SUM(M194:M196)</f>
        <v>0</v>
      </c>
      <c r="N197" s="29">
        <f t="shared" ref="N197:AA197" si="863">SUM(N194:N196)</f>
        <v>0</v>
      </c>
      <c r="P197" s="29">
        <f t="shared" si="863"/>
        <v>0</v>
      </c>
      <c r="Q197" s="29">
        <f t="shared" si="863"/>
        <v>0</v>
      </c>
      <c r="R197" s="29">
        <f t="shared" si="863"/>
        <v>0</v>
      </c>
      <c r="S197" s="29">
        <f t="shared" si="863"/>
        <v>0</v>
      </c>
      <c r="T197" s="29">
        <f t="shared" si="863"/>
        <v>0</v>
      </c>
      <c r="U197" s="29">
        <f t="shared" si="863"/>
        <v>0</v>
      </c>
      <c r="V197" s="29">
        <f t="shared" si="863"/>
        <v>0</v>
      </c>
      <c r="W197" s="29">
        <f t="shared" si="863"/>
        <v>0</v>
      </c>
      <c r="X197" s="29">
        <f t="shared" si="863"/>
        <v>0</v>
      </c>
      <c r="Y197" s="29">
        <f t="shared" si="863"/>
        <v>0</v>
      </c>
      <c r="Z197" s="29">
        <f t="shared" si="863"/>
        <v>0</v>
      </c>
      <c r="AA197" s="29">
        <f t="shared" si="863"/>
        <v>0</v>
      </c>
      <c r="AB197" s="8"/>
      <c r="AC197" s="29">
        <f t="shared" ref="AC197" si="864">SUM(AC194:AC196)</f>
        <v>62374.759999999995</v>
      </c>
      <c r="AD197" s="29">
        <f t="shared" ref="AD197" si="865">SUM(AD194:AD196)</f>
        <v>10316.459999999999</v>
      </c>
      <c r="AE197" s="29">
        <f t="shared" ref="AE197" si="866">SUM(AE194:AE196)</f>
        <v>0</v>
      </c>
      <c r="AF197" s="29">
        <f t="shared" ref="AF197" si="867">SUM(AF194:AF196)</f>
        <v>0</v>
      </c>
      <c r="AG197" s="12"/>
      <c r="AH197" s="29">
        <f>SUM(AH194:AH196)</f>
        <v>0</v>
      </c>
      <c r="AI197" s="29">
        <f t="shared" ref="AI197:AK197" si="868">SUM(AI194:AI196)</f>
        <v>0</v>
      </c>
      <c r="AJ197" s="29">
        <f t="shared" si="868"/>
        <v>0</v>
      </c>
      <c r="AK197" s="29">
        <f t="shared" si="868"/>
        <v>0</v>
      </c>
      <c r="AL197" s="12"/>
      <c r="AM197" s="29">
        <f>SUM(AM194:AM196)</f>
        <v>72691.22</v>
      </c>
      <c r="AN197" s="29">
        <f>SUM(AN194:AN196)</f>
        <v>0</v>
      </c>
      <c r="AO197" s="1"/>
      <c r="AP197" s="25">
        <f>ROUND(SUM(AC197:AF197)-AM197,2)</f>
        <v>0</v>
      </c>
      <c r="AQ197" s="25">
        <f>ROUND(SUM(AH197:AK197)-AN197,2)</f>
        <v>0</v>
      </c>
    </row>
    <row r="199" spans="2:46" x14ac:dyDescent="0.2">
      <c r="B199" s="30" t="s">
        <v>117</v>
      </c>
      <c r="C199" s="99">
        <v>0</v>
      </c>
      <c r="D199" s="99">
        <v>0</v>
      </c>
      <c r="E199" s="99">
        <v>0</v>
      </c>
      <c r="F199" s="99">
        <v>3289.7299999999996</v>
      </c>
      <c r="G199" s="99">
        <v>10285.880000000001</v>
      </c>
      <c r="H199" s="99">
        <v>7991.0800000000008</v>
      </c>
      <c r="I199" s="99">
        <v>7991.08</v>
      </c>
      <c r="J199" s="99">
        <v>14893.75</v>
      </c>
      <c r="K199" s="99">
        <v>0</v>
      </c>
      <c r="L199" s="99">
        <v>0</v>
      </c>
      <c r="M199" s="99">
        <v>0</v>
      </c>
      <c r="N199" s="13">
        <v>0</v>
      </c>
      <c r="P199" s="13">
        <v>0</v>
      </c>
      <c r="Q199" s="13">
        <v>0</v>
      </c>
      <c r="R199" s="13">
        <f>+Q199+(Q199*$R$2)</f>
        <v>0</v>
      </c>
      <c r="S199" s="13">
        <f>+R199</f>
        <v>0</v>
      </c>
      <c r="T199" s="13">
        <f t="shared" ref="T199:AA199" si="869">+S199</f>
        <v>0</v>
      </c>
      <c r="U199" s="13">
        <f t="shared" si="869"/>
        <v>0</v>
      </c>
      <c r="V199" s="13">
        <f t="shared" si="869"/>
        <v>0</v>
      </c>
      <c r="W199" s="13">
        <f t="shared" si="869"/>
        <v>0</v>
      </c>
      <c r="X199" s="13">
        <f t="shared" si="869"/>
        <v>0</v>
      </c>
      <c r="Y199" s="13">
        <f t="shared" si="869"/>
        <v>0</v>
      </c>
      <c r="Z199" s="13">
        <f t="shared" si="869"/>
        <v>0</v>
      </c>
      <c r="AA199" s="13">
        <f t="shared" si="869"/>
        <v>0</v>
      </c>
      <c r="AB199" s="8"/>
      <c r="AC199" s="4">
        <f>SUM(C199:E199)</f>
        <v>0</v>
      </c>
      <c r="AD199" s="4">
        <f>SUM(F199:H199)</f>
        <v>21566.690000000002</v>
      </c>
      <c r="AE199" s="4">
        <f>SUM(I199:K199)</f>
        <v>22884.83</v>
      </c>
      <c r="AF199" s="4">
        <f>SUM(L199:N199)</f>
        <v>0</v>
      </c>
      <c r="AG199" s="4"/>
      <c r="AH199" s="4">
        <f>SUM(P199:R199)</f>
        <v>0</v>
      </c>
      <c r="AI199" s="4">
        <f>SUM(S199:U199)</f>
        <v>0</v>
      </c>
      <c r="AJ199" s="4">
        <f>SUM(V199:X199)</f>
        <v>0</v>
      </c>
      <c r="AK199" s="4">
        <f>SUM(Y199:AA199)</f>
        <v>0</v>
      </c>
      <c r="AL199" s="4"/>
      <c r="AM199" s="4">
        <f>SUM(C199:N199)</f>
        <v>44451.520000000004</v>
      </c>
      <c r="AN199" s="4">
        <f>SUM(P199:AA199)</f>
        <v>0</v>
      </c>
      <c r="AO199" s="1"/>
      <c r="AP199" s="25">
        <f>ROUND(SUM(AC199:AF199)-AM199,2)</f>
        <v>0</v>
      </c>
      <c r="AQ199" s="25">
        <f>ROUND(SUM(AH199:AK199)-AN199,2)</f>
        <v>0</v>
      </c>
      <c r="AT199" s="4">
        <v>135000</v>
      </c>
    </row>
    <row r="200" spans="2:46" x14ac:dyDescent="0.2">
      <c r="B200" s="30" t="s">
        <v>25</v>
      </c>
      <c r="C200" s="99">
        <v>0</v>
      </c>
      <c r="D200" s="99">
        <v>0</v>
      </c>
      <c r="E200" s="99">
        <v>0</v>
      </c>
      <c r="F200" s="99">
        <v>0</v>
      </c>
      <c r="G200" s="99">
        <v>0</v>
      </c>
      <c r="H200" s="99">
        <v>0</v>
      </c>
      <c r="I200" s="99">
        <v>0</v>
      </c>
      <c r="J200" s="99">
        <v>0</v>
      </c>
      <c r="K200" s="99">
        <v>0</v>
      </c>
      <c r="L200" s="99">
        <v>0</v>
      </c>
      <c r="M200" s="99">
        <v>0</v>
      </c>
      <c r="N200" s="13">
        <v>0</v>
      </c>
      <c r="P200" s="13">
        <v>0</v>
      </c>
      <c r="Q200" s="13">
        <v>0</v>
      </c>
      <c r="R200" s="13">
        <v>0</v>
      </c>
      <c r="S200" s="13">
        <f>+R200</f>
        <v>0</v>
      </c>
      <c r="T200" s="13">
        <f t="shared" ref="T200:AA200" si="870">+S200</f>
        <v>0</v>
      </c>
      <c r="U200" s="13">
        <f t="shared" si="870"/>
        <v>0</v>
      </c>
      <c r="V200" s="13">
        <f t="shared" si="870"/>
        <v>0</v>
      </c>
      <c r="W200" s="13">
        <f t="shared" si="870"/>
        <v>0</v>
      </c>
      <c r="X200" s="13">
        <f t="shared" si="870"/>
        <v>0</v>
      </c>
      <c r="Y200" s="13">
        <f t="shared" si="870"/>
        <v>0</v>
      </c>
      <c r="Z200" s="13">
        <f t="shared" si="870"/>
        <v>0</v>
      </c>
      <c r="AA200" s="13">
        <f t="shared" si="870"/>
        <v>0</v>
      </c>
      <c r="AB200" s="8"/>
      <c r="AC200" s="4">
        <f>SUM(C200:E200)</f>
        <v>0</v>
      </c>
      <c r="AD200" s="4">
        <f>SUM(F200:H200)</f>
        <v>0</v>
      </c>
      <c r="AE200" s="4">
        <f>SUM(I200:K200)</f>
        <v>0</v>
      </c>
      <c r="AF200" s="4">
        <f>SUM(L200:N200)</f>
        <v>0</v>
      </c>
      <c r="AG200" s="4"/>
      <c r="AH200" s="4">
        <f t="shared" ref="AH200:AH201" si="871">SUM(P200:R200)</f>
        <v>0</v>
      </c>
      <c r="AI200" s="4">
        <f t="shared" ref="AI200:AI201" si="872">SUM(S200:U200)</f>
        <v>0</v>
      </c>
      <c r="AJ200" s="4">
        <f t="shared" ref="AJ200:AJ201" si="873">SUM(V200:X200)</f>
        <v>0</v>
      </c>
      <c r="AK200" s="4">
        <f t="shared" ref="AK200:AK201" si="874">SUM(Y200:AA200)</f>
        <v>0</v>
      </c>
      <c r="AL200" s="4"/>
      <c r="AM200" s="4">
        <f t="shared" ref="AM200:AM201" si="875">SUM(C200:N200)</f>
        <v>0</v>
      </c>
      <c r="AN200" s="4">
        <f t="shared" ref="AN200:AN201" si="876">SUM(P200:AA200)</f>
        <v>0</v>
      </c>
      <c r="AO200" s="1"/>
      <c r="AP200" s="25">
        <f t="shared" ref="AP200:AP201" si="877">ROUND(SUM(AC200:AF200)-AM200,2)</f>
        <v>0</v>
      </c>
      <c r="AQ200" s="25">
        <f t="shared" ref="AQ200:AQ201" si="878">ROUND(SUM(AH200:AK200)-AN200,2)</f>
        <v>0</v>
      </c>
      <c r="AT200" s="4">
        <f>+AT199*1.075/12</f>
        <v>12093.75</v>
      </c>
    </row>
    <row r="201" spans="2:46" x14ac:dyDescent="0.2">
      <c r="B201" s="30" t="s">
        <v>118</v>
      </c>
      <c r="C201" s="99">
        <v>0</v>
      </c>
      <c r="D201" s="99">
        <v>0</v>
      </c>
      <c r="E201" s="99">
        <v>0</v>
      </c>
      <c r="F201" s="99">
        <v>584.45999999999992</v>
      </c>
      <c r="G201" s="99">
        <v>1752.6200000000001</v>
      </c>
      <c r="H201" s="99">
        <v>3326.92</v>
      </c>
      <c r="I201" s="99">
        <v>3326.92</v>
      </c>
      <c r="J201" s="99">
        <v>6916.7699999999995</v>
      </c>
      <c r="K201" s="99">
        <v>0</v>
      </c>
      <c r="L201" s="99">
        <v>0</v>
      </c>
      <c r="M201" s="99">
        <v>0</v>
      </c>
      <c r="N201" s="13">
        <v>0</v>
      </c>
      <c r="P201" s="13">
        <v>0</v>
      </c>
      <c r="Q201" s="13">
        <v>0</v>
      </c>
      <c r="R201" s="13">
        <f>IFERROR(R199*(Q201/Q199),0)</f>
        <v>0</v>
      </c>
      <c r="S201" s="13">
        <f>+R201</f>
        <v>0</v>
      </c>
      <c r="T201" s="13">
        <f t="shared" ref="T201:AA201" si="879">+S201</f>
        <v>0</v>
      </c>
      <c r="U201" s="13">
        <f t="shared" si="879"/>
        <v>0</v>
      </c>
      <c r="V201" s="13">
        <f t="shared" si="879"/>
        <v>0</v>
      </c>
      <c r="W201" s="13">
        <f t="shared" si="879"/>
        <v>0</v>
      </c>
      <c r="X201" s="13">
        <f t="shared" si="879"/>
        <v>0</v>
      </c>
      <c r="Y201" s="13">
        <f t="shared" si="879"/>
        <v>0</v>
      </c>
      <c r="Z201" s="13">
        <f t="shared" si="879"/>
        <v>0</v>
      </c>
      <c r="AA201" s="13">
        <f t="shared" si="879"/>
        <v>0</v>
      </c>
      <c r="AB201" s="8"/>
      <c r="AC201" s="4">
        <f>SUM(C201:E201)</f>
        <v>0</v>
      </c>
      <c r="AD201" s="4">
        <f>SUM(F201:H201)</f>
        <v>5664</v>
      </c>
      <c r="AE201" s="4">
        <f>SUM(I201:K201)</f>
        <v>10243.689999999999</v>
      </c>
      <c r="AF201" s="4">
        <f>SUM(L201:N201)</f>
        <v>0</v>
      </c>
      <c r="AG201" s="4"/>
      <c r="AH201" s="4">
        <f t="shared" si="871"/>
        <v>0</v>
      </c>
      <c r="AI201" s="4">
        <f t="shared" si="872"/>
        <v>0</v>
      </c>
      <c r="AJ201" s="4">
        <f t="shared" si="873"/>
        <v>0</v>
      </c>
      <c r="AK201" s="4">
        <f t="shared" si="874"/>
        <v>0</v>
      </c>
      <c r="AL201" s="4"/>
      <c r="AM201" s="4">
        <f t="shared" si="875"/>
        <v>15907.689999999999</v>
      </c>
      <c r="AN201" s="4">
        <f t="shared" si="876"/>
        <v>0</v>
      </c>
      <c r="AO201" s="1"/>
      <c r="AP201" s="25">
        <f t="shared" si="877"/>
        <v>0</v>
      </c>
      <c r="AQ201" s="25">
        <f t="shared" si="878"/>
        <v>0</v>
      </c>
      <c r="AT201" s="27">
        <f>+AT200*0.65</f>
        <v>7860.9375</v>
      </c>
    </row>
    <row r="202" spans="2:46" x14ac:dyDescent="0.2">
      <c r="B202" s="28" t="s">
        <v>530</v>
      </c>
      <c r="C202" s="29">
        <f>SUM(C199:C201)</f>
        <v>0</v>
      </c>
      <c r="D202" s="29">
        <f t="shared" ref="D202:N202" si="880">SUM(D199:D201)</f>
        <v>0</v>
      </c>
      <c r="E202" s="29">
        <f t="shared" si="880"/>
        <v>0</v>
      </c>
      <c r="F202" s="29">
        <f>SUM(F199:F201)</f>
        <v>3874.1899999999996</v>
      </c>
      <c r="G202" s="29">
        <f t="shared" si="880"/>
        <v>12038.500000000002</v>
      </c>
      <c r="H202" s="29">
        <f t="shared" si="880"/>
        <v>11318</v>
      </c>
      <c r="I202" s="29">
        <f t="shared" si="880"/>
        <v>11318</v>
      </c>
      <c r="J202" s="29">
        <f t="shared" si="880"/>
        <v>21810.52</v>
      </c>
      <c r="K202" s="29">
        <f t="shared" si="880"/>
        <v>0</v>
      </c>
      <c r="L202" s="29">
        <f t="shared" si="880"/>
        <v>0</v>
      </c>
      <c r="M202" s="29">
        <f t="shared" si="880"/>
        <v>0</v>
      </c>
      <c r="N202" s="29">
        <f t="shared" si="880"/>
        <v>0</v>
      </c>
      <c r="P202" s="29">
        <f t="shared" ref="P202:AA202" si="881">SUM(P199:P201)</f>
        <v>0</v>
      </c>
      <c r="Q202" s="29">
        <f t="shared" si="881"/>
        <v>0</v>
      </c>
      <c r="R202" s="29">
        <f t="shared" si="881"/>
        <v>0</v>
      </c>
      <c r="S202" s="29">
        <f t="shared" si="881"/>
        <v>0</v>
      </c>
      <c r="T202" s="29">
        <f t="shared" si="881"/>
        <v>0</v>
      </c>
      <c r="U202" s="29">
        <f t="shared" si="881"/>
        <v>0</v>
      </c>
      <c r="V202" s="29">
        <f t="shared" si="881"/>
        <v>0</v>
      </c>
      <c r="W202" s="29">
        <f t="shared" si="881"/>
        <v>0</v>
      </c>
      <c r="X202" s="29">
        <f t="shared" si="881"/>
        <v>0</v>
      </c>
      <c r="Y202" s="29">
        <f t="shared" si="881"/>
        <v>0</v>
      </c>
      <c r="Z202" s="29">
        <f t="shared" si="881"/>
        <v>0</v>
      </c>
      <c r="AA202" s="29">
        <f t="shared" si="881"/>
        <v>0</v>
      </c>
      <c r="AB202" s="8"/>
      <c r="AC202" s="29">
        <f t="shared" ref="AC202" si="882">SUM(AC199:AC201)</f>
        <v>0</v>
      </c>
      <c r="AD202" s="29">
        <f t="shared" ref="AD202" si="883">SUM(AD199:AD201)</f>
        <v>27230.690000000002</v>
      </c>
      <c r="AE202" s="29">
        <f t="shared" ref="AE202" si="884">SUM(AE199:AE201)</f>
        <v>33128.520000000004</v>
      </c>
      <c r="AF202" s="29">
        <f t="shared" ref="AF202" si="885">SUM(AF199:AF201)</f>
        <v>0</v>
      </c>
      <c r="AG202" s="12"/>
      <c r="AH202" s="29">
        <f>SUM(AH199:AH201)</f>
        <v>0</v>
      </c>
      <c r="AI202" s="29">
        <f t="shared" ref="AI202:AK202" si="886">SUM(AI199:AI201)</f>
        <v>0</v>
      </c>
      <c r="AJ202" s="29">
        <f t="shared" si="886"/>
        <v>0</v>
      </c>
      <c r="AK202" s="29">
        <f t="shared" si="886"/>
        <v>0</v>
      </c>
      <c r="AL202" s="12"/>
      <c r="AM202" s="29">
        <f>SUM(AM199:AM201)</f>
        <v>60359.210000000006</v>
      </c>
      <c r="AN202" s="29">
        <f>SUM(AN199:AN201)</f>
        <v>0</v>
      </c>
      <c r="AO202" s="1"/>
      <c r="AP202" s="25">
        <f>ROUND(SUM(AC202:AF202)-AM202,2)</f>
        <v>0</v>
      </c>
      <c r="AQ202" s="25">
        <f>ROUND(SUM(AH202:AK202)-AN202,2)</f>
        <v>0</v>
      </c>
      <c r="AT202" s="27">
        <f>+AT200*0.35</f>
        <v>4232.8125</v>
      </c>
    </row>
    <row r="204" spans="2:46" x14ac:dyDescent="0.2">
      <c r="B204" s="30" t="s">
        <v>117</v>
      </c>
      <c r="C204" s="99">
        <v>0</v>
      </c>
      <c r="D204" s="99">
        <v>0</v>
      </c>
      <c r="E204" s="99">
        <v>0</v>
      </c>
      <c r="F204" s="99">
        <v>0</v>
      </c>
      <c r="G204" s="99">
        <v>0</v>
      </c>
      <c r="H204" s="99">
        <v>3569.8099999999995</v>
      </c>
      <c r="I204" s="99">
        <v>9750.68</v>
      </c>
      <c r="J204" s="99">
        <v>9147.0999999999985</v>
      </c>
      <c r="K204" s="99">
        <v>9147.0999999999985</v>
      </c>
      <c r="L204" s="99">
        <v>9448.89</v>
      </c>
      <c r="M204" s="99">
        <v>9750.64</v>
      </c>
      <c r="N204" s="13">
        <v>9800</v>
      </c>
      <c r="P204" s="13">
        <v>9800</v>
      </c>
      <c r="Q204" s="13">
        <v>9800</v>
      </c>
      <c r="R204" s="13">
        <f>+Q204+(Q204*$R$2)</f>
        <v>10094</v>
      </c>
      <c r="S204" s="13">
        <f>+R204</f>
        <v>10094</v>
      </c>
      <c r="T204" s="13">
        <f t="shared" ref="T204:AA204" si="887">+S204</f>
        <v>10094</v>
      </c>
      <c r="U204" s="13">
        <f t="shared" si="887"/>
        <v>10094</v>
      </c>
      <c r="V204" s="13">
        <f t="shared" si="887"/>
        <v>10094</v>
      </c>
      <c r="W204" s="13">
        <f t="shared" si="887"/>
        <v>10094</v>
      </c>
      <c r="X204" s="13">
        <f t="shared" si="887"/>
        <v>10094</v>
      </c>
      <c r="Y204" s="13">
        <f t="shared" si="887"/>
        <v>10094</v>
      </c>
      <c r="Z204" s="13">
        <f t="shared" si="887"/>
        <v>10094</v>
      </c>
      <c r="AA204" s="13">
        <f t="shared" si="887"/>
        <v>10094</v>
      </c>
      <c r="AB204" s="8"/>
      <c r="AC204" s="4">
        <f>SUM(C204:E204)</f>
        <v>0</v>
      </c>
      <c r="AD204" s="4">
        <f>SUM(F204:H204)</f>
        <v>3569.8099999999995</v>
      </c>
      <c r="AE204" s="4">
        <f>SUM(I204:K204)</f>
        <v>28044.879999999997</v>
      </c>
      <c r="AF204" s="4">
        <f>SUM(L204:N204)</f>
        <v>28999.53</v>
      </c>
      <c r="AG204" s="4"/>
      <c r="AH204" s="4">
        <f>SUM(P204:R204)</f>
        <v>29694</v>
      </c>
      <c r="AI204" s="4">
        <f>SUM(S204:U204)</f>
        <v>30282</v>
      </c>
      <c r="AJ204" s="4">
        <f>SUM(V204:X204)</f>
        <v>30282</v>
      </c>
      <c r="AK204" s="4">
        <f>SUM(Y204:AA204)</f>
        <v>30282</v>
      </c>
      <c r="AL204" s="4"/>
      <c r="AM204" s="4">
        <f>SUM(C204:N204)</f>
        <v>60614.219999999994</v>
      </c>
      <c r="AN204" s="4">
        <f>SUM(P204:AA204)</f>
        <v>120540</v>
      </c>
      <c r="AO204" s="1"/>
      <c r="AP204" s="25">
        <f>ROUND(SUM(AC204:AF204)-AM204,2)</f>
        <v>0</v>
      </c>
      <c r="AQ204" s="25">
        <f>ROUND(SUM(AH204:AK204)-AN204,2)</f>
        <v>0</v>
      </c>
      <c r="AT204" s="4">
        <v>185000</v>
      </c>
    </row>
    <row r="205" spans="2:46" x14ac:dyDescent="0.2">
      <c r="B205" s="30" t="s">
        <v>25</v>
      </c>
      <c r="C205" s="99">
        <v>0</v>
      </c>
      <c r="D205" s="99">
        <v>0</v>
      </c>
      <c r="E205" s="99">
        <v>0</v>
      </c>
      <c r="F205" s="99">
        <v>0</v>
      </c>
      <c r="G205" s="99">
        <v>0</v>
      </c>
      <c r="H205" s="99">
        <v>0</v>
      </c>
      <c r="I205" s="99">
        <v>0</v>
      </c>
      <c r="J205" s="99">
        <v>0</v>
      </c>
      <c r="K205" s="99">
        <v>0</v>
      </c>
      <c r="L205" s="99">
        <v>0</v>
      </c>
      <c r="M205" s="99">
        <v>0</v>
      </c>
      <c r="N205" s="13">
        <v>0</v>
      </c>
      <c r="P205" s="13">
        <v>0</v>
      </c>
      <c r="Q205" s="13">
        <f>+H328+I328</f>
        <v>12237.75</v>
      </c>
      <c r="R205" s="13">
        <v>0</v>
      </c>
      <c r="S205" s="13">
        <f>+R205</f>
        <v>0</v>
      </c>
      <c r="T205" s="13">
        <f t="shared" ref="T205:AA205" si="888">+S205</f>
        <v>0</v>
      </c>
      <c r="U205" s="13">
        <f t="shared" si="888"/>
        <v>0</v>
      </c>
      <c r="V205" s="13">
        <f t="shared" si="888"/>
        <v>0</v>
      </c>
      <c r="W205" s="13">
        <f t="shared" si="888"/>
        <v>0</v>
      </c>
      <c r="X205" s="13">
        <f t="shared" si="888"/>
        <v>0</v>
      </c>
      <c r="Y205" s="13">
        <f t="shared" si="888"/>
        <v>0</v>
      </c>
      <c r="Z205" s="13">
        <f t="shared" si="888"/>
        <v>0</v>
      </c>
      <c r="AA205" s="13">
        <f t="shared" si="888"/>
        <v>0</v>
      </c>
      <c r="AB205" s="8"/>
      <c r="AC205" s="4">
        <f>SUM(C205:E205)</f>
        <v>0</v>
      </c>
      <c r="AD205" s="4">
        <f>SUM(F205:H205)</f>
        <v>0</v>
      </c>
      <c r="AE205" s="4">
        <f>SUM(I205:K205)</f>
        <v>0</v>
      </c>
      <c r="AF205" s="4">
        <f>SUM(L205:N205)</f>
        <v>0</v>
      </c>
      <c r="AG205" s="4"/>
      <c r="AH205" s="4">
        <f t="shared" ref="AH205:AH206" si="889">SUM(P205:R205)</f>
        <v>12237.75</v>
      </c>
      <c r="AI205" s="4">
        <f t="shared" ref="AI205:AI206" si="890">SUM(S205:U205)</f>
        <v>0</v>
      </c>
      <c r="AJ205" s="4">
        <f t="shared" ref="AJ205:AJ206" si="891">SUM(V205:X205)</f>
        <v>0</v>
      </c>
      <c r="AK205" s="4">
        <f t="shared" ref="AK205:AK206" si="892">SUM(Y205:AA205)</f>
        <v>0</v>
      </c>
      <c r="AL205" s="4"/>
      <c r="AM205" s="4">
        <f t="shared" ref="AM205:AM206" si="893">SUM(C205:N205)</f>
        <v>0</v>
      </c>
      <c r="AN205" s="4">
        <f t="shared" ref="AN205:AN206" si="894">SUM(P205:AA205)</f>
        <v>12237.75</v>
      </c>
      <c r="AO205" s="1"/>
      <c r="AP205" s="25">
        <f t="shared" ref="AP205:AP206" si="895">ROUND(SUM(AC205:AF205)-AM205,2)</f>
        <v>0</v>
      </c>
      <c r="AQ205" s="25">
        <f t="shared" ref="AQ205:AQ206" si="896">ROUND(SUM(AH205:AK205)-AN205,2)</f>
        <v>0</v>
      </c>
      <c r="AT205" s="4">
        <f>+AT204*1.075/12</f>
        <v>16572.916666666668</v>
      </c>
    </row>
    <row r="206" spans="2:46" x14ac:dyDescent="0.2">
      <c r="B206" s="30" t="s">
        <v>118</v>
      </c>
      <c r="C206" s="99">
        <v>0</v>
      </c>
      <c r="D206" s="99">
        <v>0</v>
      </c>
      <c r="E206" s="99">
        <v>0</v>
      </c>
      <c r="F206" s="99">
        <v>0</v>
      </c>
      <c r="G206" s="99">
        <v>0</v>
      </c>
      <c r="H206" s="99">
        <v>2446.19</v>
      </c>
      <c r="I206" s="99">
        <v>7112</v>
      </c>
      <c r="J206" s="99">
        <v>6454.8000000000011</v>
      </c>
      <c r="K206" s="99">
        <v>6454.8000000000011</v>
      </c>
      <c r="L206" s="99">
        <v>6615.51</v>
      </c>
      <c r="M206" s="99">
        <v>6776.26</v>
      </c>
      <c r="N206" s="13">
        <v>6800</v>
      </c>
      <c r="P206" s="13">
        <v>6800</v>
      </c>
      <c r="Q206" s="13">
        <v>6800</v>
      </c>
      <c r="R206" s="13">
        <f>IFERROR(R204*(Q206/Q204),0)</f>
        <v>7004</v>
      </c>
      <c r="S206" s="13">
        <f>+R206</f>
        <v>7004</v>
      </c>
      <c r="T206" s="13">
        <f t="shared" ref="T206:AA206" si="897">+S206</f>
        <v>7004</v>
      </c>
      <c r="U206" s="13">
        <f t="shared" si="897"/>
        <v>7004</v>
      </c>
      <c r="V206" s="13">
        <f t="shared" si="897"/>
        <v>7004</v>
      </c>
      <c r="W206" s="13">
        <f t="shared" si="897"/>
        <v>7004</v>
      </c>
      <c r="X206" s="13">
        <f t="shared" si="897"/>
        <v>7004</v>
      </c>
      <c r="Y206" s="13">
        <f t="shared" si="897"/>
        <v>7004</v>
      </c>
      <c r="Z206" s="13">
        <f t="shared" si="897"/>
        <v>7004</v>
      </c>
      <c r="AA206" s="13">
        <f t="shared" si="897"/>
        <v>7004</v>
      </c>
      <c r="AB206" s="8"/>
      <c r="AC206" s="4">
        <f>SUM(C206:E206)</f>
        <v>0</v>
      </c>
      <c r="AD206" s="4">
        <f>SUM(F206:H206)</f>
        <v>2446.19</v>
      </c>
      <c r="AE206" s="4">
        <f>SUM(I206:K206)</f>
        <v>20021.600000000002</v>
      </c>
      <c r="AF206" s="4">
        <f>SUM(L206:N206)</f>
        <v>20191.77</v>
      </c>
      <c r="AG206" s="4"/>
      <c r="AH206" s="4">
        <f t="shared" si="889"/>
        <v>20604</v>
      </c>
      <c r="AI206" s="4">
        <f t="shared" si="890"/>
        <v>21012</v>
      </c>
      <c r="AJ206" s="4">
        <f t="shared" si="891"/>
        <v>21012</v>
      </c>
      <c r="AK206" s="4">
        <f t="shared" si="892"/>
        <v>21012</v>
      </c>
      <c r="AL206" s="4"/>
      <c r="AM206" s="4">
        <f t="shared" si="893"/>
        <v>42659.560000000005</v>
      </c>
      <c r="AN206" s="4">
        <f t="shared" si="894"/>
        <v>83640</v>
      </c>
      <c r="AO206" s="1"/>
      <c r="AP206" s="25">
        <f t="shared" si="895"/>
        <v>0</v>
      </c>
      <c r="AQ206" s="25">
        <f t="shared" si="896"/>
        <v>0</v>
      </c>
      <c r="AT206" s="27">
        <f>+AT205*0.65</f>
        <v>10772.395833333334</v>
      </c>
    </row>
    <row r="207" spans="2:46" x14ac:dyDescent="0.2">
      <c r="B207" s="28" t="s">
        <v>742</v>
      </c>
      <c r="C207" s="29">
        <f>SUM(C204:C206)</f>
        <v>0</v>
      </c>
      <c r="D207" s="29">
        <f t="shared" ref="D207:N207" si="898">SUM(D204:D206)</f>
        <v>0</v>
      </c>
      <c r="E207" s="29">
        <f t="shared" si="898"/>
        <v>0</v>
      </c>
      <c r="F207" s="29">
        <f t="shared" si="898"/>
        <v>0</v>
      </c>
      <c r="G207" s="29">
        <f t="shared" si="898"/>
        <v>0</v>
      </c>
      <c r="H207" s="29">
        <f t="shared" si="898"/>
        <v>6016</v>
      </c>
      <c r="I207" s="29">
        <f t="shared" si="898"/>
        <v>16862.68</v>
      </c>
      <c r="J207" s="29">
        <f t="shared" si="898"/>
        <v>15601.9</v>
      </c>
      <c r="K207" s="29">
        <f t="shared" si="898"/>
        <v>15601.9</v>
      </c>
      <c r="L207" s="29">
        <f t="shared" si="898"/>
        <v>16064.4</v>
      </c>
      <c r="M207" s="29">
        <f t="shared" si="898"/>
        <v>16526.900000000001</v>
      </c>
      <c r="N207" s="29">
        <f t="shared" si="898"/>
        <v>16600</v>
      </c>
      <c r="P207" s="29">
        <f t="shared" ref="P207:AA207" si="899">SUM(P204:P206)</f>
        <v>16600</v>
      </c>
      <c r="Q207" s="29">
        <f t="shared" si="899"/>
        <v>28837.75</v>
      </c>
      <c r="R207" s="29">
        <f t="shared" si="899"/>
        <v>17098</v>
      </c>
      <c r="S207" s="29">
        <f t="shared" si="899"/>
        <v>17098</v>
      </c>
      <c r="T207" s="29">
        <f t="shared" si="899"/>
        <v>17098</v>
      </c>
      <c r="U207" s="29">
        <f t="shared" si="899"/>
        <v>17098</v>
      </c>
      <c r="V207" s="29">
        <f t="shared" si="899"/>
        <v>17098</v>
      </c>
      <c r="W207" s="29">
        <f t="shared" si="899"/>
        <v>17098</v>
      </c>
      <c r="X207" s="29">
        <f t="shared" si="899"/>
        <v>17098</v>
      </c>
      <c r="Y207" s="29">
        <f t="shared" si="899"/>
        <v>17098</v>
      </c>
      <c r="Z207" s="29">
        <f t="shared" si="899"/>
        <v>17098</v>
      </c>
      <c r="AA207" s="29">
        <f t="shared" si="899"/>
        <v>17098</v>
      </c>
      <c r="AB207" s="8"/>
      <c r="AC207" s="29">
        <f t="shared" ref="AC207" si="900">SUM(AC204:AC206)</f>
        <v>0</v>
      </c>
      <c r="AD207" s="29">
        <f t="shared" ref="AD207" si="901">SUM(AD204:AD206)</f>
        <v>6016</v>
      </c>
      <c r="AE207" s="29">
        <f t="shared" ref="AE207" si="902">SUM(AE204:AE206)</f>
        <v>48066.479999999996</v>
      </c>
      <c r="AF207" s="29">
        <f t="shared" ref="AF207" si="903">SUM(AF204:AF206)</f>
        <v>49191.3</v>
      </c>
      <c r="AG207" s="12"/>
      <c r="AH207" s="29">
        <f>SUM(AH204:AH206)</f>
        <v>62535.75</v>
      </c>
      <c r="AI207" s="29">
        <f t="shared" ref="AI207:AK207" si="904">SUM(AI204:AI206)</f>
        <v>51294</v>
      </c>
      <c r="AJ207" s="29">
        <f t="shared" si="904"/>
        <v>51294</v>
      </c>
      <c r="AK207" s="29">
        <f t="shared" si="904"/>
        <v>51294</v>
      </c>
      <c r="AL207" s="12"/>
      <c r="AM207" s="29">
        <f>SUM(AM204:AM206)</f>
        <v>103273.78</v>
      </c>
      <c r="AN207" s="29">
        <f>SUM(AN204:AN206)</f>
        <v>216417.75</v>
      </c>
      <c r="AO207" s="1"/>
      <c r="AP207" s="25">
        <f>ROUND(SUM(AC207:AF207)-AM207,2)</f>
        <v>0</v>
      </c>
      <c r="AQ207" s="25">
        <f>ROUND(SUM(AH207:AK207)-AN207,2)</f>
        <v>0</v>
      </c>
      <c r="AT207" s="27">
        <f>+AT205*0.35</f>
        <v>5800.520833333333</v>
      </c>
    </row>
    <row r="209" spans="2:46" x14ac:dyDescent="0.2">
      <c r="B209" s="30" t="s">
        <v>117</v>
      </c>
      <c r="C209" s="99">
        <v>0</v>
      </c>
      <c r="D209" s="99">
        <v>0</v>
      </c>
      <c r="E209" s="99">
        <v>12121.25</v>
      </c>
      <c r="F209" s="99">
        <v>12344.84</v>
      </c>
      <c r="G209" s="99">
        <v>12344.84</v>
      </c>
      <c r="H209" s="99">
        <v>12344.84</v>
      </c>
      <c r="I209" s="99">
        <v>12344.84</v>
      </c>
      <c r="J209" s="99">
        <v>6172.42</v>
      </c>
      <c r="K209" s="99">
        <v>0</v>
      </c>
      <c r="L209" s="99">
        <v>0</v>
      </c>
      <c r="M209" s="99">
        <v>0</v>
      </c>
      <c r="N209" s="13">
        <v>0</v>
      </c>
      <c r="P209" s="13">
        <v>0</v>
      </c>
      <c r="Q209" s="13">
        <v>0</v>
      </c>
      <c r="R209" s="13">
        <f>+Q209+(Q209*$R$2)</f>
        <v>0</v>
      </c>
      <c r="S209" s="13">
        <f>+R209</f>
        <v>0</v>
      </c>
      <c r="T209" s="13">
        <f t="shared" ref="T209:AA209" si="905">+S209</f>
        <v>0</v>
      </c>
      <c r="U209" s="13">
        <f t="shared" si="905"/>
        <v>0</v>
      </c>
      <c r="V209" s="13">
        <f t="shared" si="905"/>
        <v>0</v>
      </c>
      <c r="W209" s="13">
        <f t="shared" si="905"/>
        <v>0</v>
      </c>
      <c r="X209" s="13">
        <f t="shared" si="905"/>
        <v>0</v>
      </c>
      <c r="Y209" s="13">
        <f t="shared" si="905"/>
        <v>0</v>
      </c>
      <c r="Z209" s="13">
        <f t="shared" si="905"/>
        <v>0</v>
      </c>
      <c r="AA209" s="13">
        <f t="shared" si="905"/>
        <v>0</v>
      </c>
      <c r="AB209" s="8"/>
      <c r="AC209" s="4">
        <f>SUM(C209:E209)</f>
        <v>12121.25</v>
      </c>
      <c r="AD209" s="4">
        <f>SUM(F209:H209)</f>
        <v>37034.520000000004</v>
      </c>
      <c r="AE209" s="4">
        <f>SUM(I209:K209)</f>
        <v>18517.260000000002</v>
      </c>
      <c r="AF209" s="4">
        <f>SUM(L209:N209)</f>
        <v>0</v>
      </c>
      <c r="AG209" s="4"/>
      <c r="AH209" s="4">
        <f>SUM(P209:R209)</f>
        <v>0</v>
      </c>
      <c r="AI209" s="4">
        <f>SUM(S209:U209)</f>
        <v>0</v>
      </c>
      <c r="AJ209" s="4">
        <f>SUM(V209:X209)</f>
        <v>0</v>
      </c>
      <c r="AK209" s="4">
        <f>SUM(Y209:AA209)</f>
        <v>0</v>
      </c>
      <c r="AL209" s="4"/>
      <c r="AM209" s="4">
        <f>SUM(C209:N209)</f>
        <v>67673.03</v>
      </c>
      <c r="AN209" s="4">
        <f>SUM(P209:AA209)</f>
        <v>0</v>
      </c>
      <c r="AO209" s="1"/>
      <c r="AP209" s="25">
        <f>ROUND(SUM(AC209:AF209)-AM209,2)</f>
        <v>0</v>
      </c>
      <c r="AQ209" s="25">
        <f>ROUND(SUM(AH209:AK209)-AN209,2)</f>
        <v>0</v>
      </c>
    </row>
    <row r="210" spans="2:46" x14ac:dyDescent="0.2">
      <c r="B210" s="30" t="s">
        <v>25</v>
      </c>
      <c r="C210" s="99">
        <v>0</v>
      </c>
      <c r="D210" s="99">
        <v>0</v>
      </c>
      <c r="E210" s="99">
        <v>0</v>
      </c>
      <c r="F210" s="99">
        <v>0</v>
      </c>
      <c r="G210" s="99">
        <v>0</v>
      </c>
      <c r="H210" s="99">
        <v>0</v>
      </c>
      <c r="I210" s="99">
        <v>0</v>
      </c>
      <c r="J210" s="99">
        <v>0</v>
      </c>
      <c r="K210" s="99">
        <v>0</v>
      </c>
      <c r="L210" s="99">
        <v>0</v>
      </c>
      <c r="M210" s="99">
        <v>0</v>
      </c>
      <c r="N210" s="13">
        <v>0</v>
      </c>
      <c r="P210" s="13">
        <v>0</v>
      </c>
      <c r="Q210" s="13">
        <v>0</v>
      </c>
      <c r="R210" s="13">
        <v>0</v>
      </c>
      <c r="S210" s="13">
        <f>+R210</f>
        <v>0</v>
      </c>
      <c r="T210" s="13">
        <f t="shared" ref="T210:AA210" si="906">+S210</f>
        <v>0</v>
      </c>
      <c r="U210" s="13">
        <f t="shared" si="906"/>
        <v>0</v>
      </c>
      <c r="V210" s="13">
        <f t="shared" si="906"/>
        <v>0</v>
      </c>
      <c r="W210" s="13">
        <f t="shared" si="906"/>
        <v>0</v>
      </c>
      <c r="X210" s="13">
        <f t="shared" si="906"/>
        <v>0</v>
      </c>
      <c r="Y210" s="13">
        <f t="shared" si="906"/>
        <v>0</v>
      </c>
      <c r="Z210" s="13">
        <f t="shared" si="906"/>
        <v>0</v>
      </c>
      <c r="AA210" s="13">
        <f t="shared" si="906"/>
        <v>0</v>
      </c>
      <c r="AB210" s="8"/>
      <c r="AC210" s="4">
        <f>SUM(C210:E210)</f>
        <v>0</v>
      </c>
      <c r="AD210" s="4">
        <f>SUM(F210:H210)</f>
        <v>0</v>
      </c>
      <c r="AE210" s="4">
        <f>SUM(I210:K210)</f>
        <v>0</v>
      </c>
      <c r="AF210" s="4">
        <f>SUM(L210:N210)</f>
        <v>0</v>
      </c>
      <c r="AG210" s="4"/>
      <c r="AH210" s="4">
        <f t="shared" ref="AH210:AH211" si="907">SUM(P210:R210)</f>
        <v>0</v>
      </c>
      <c r="AI210" s="4">
        <f t="shared" ref="AI210:AI211" si="908">SUM(S210:U210)</f>
        <v>0</v>
      </c>
      <c r="AJ210" s="4">
        <f t="shared" ref="AJ210:AJ211" si="909">SUM(V210:X210)</f>
        <v>0</v>
      </c>
      <c r="AK210" s="4">
        <f t="shared" ref="AK210:AK211" si="910">SUM(Y210:AA210)</f>
        <v>0</v>
      </c>
      <c r="AL210" s="4"/>
      <c r="AM210" s="4">
        <f t="shared" ref="AM210:AM211" si="911">SUM(C210:N210)</f>
        <v>0</v>
      </c>
      <c r="AN210" s="4">
        <f t="shared" ref="AN210:AN211" si="912">SUM(P210:AA210)</f>
        <v>0</v>
      </c>
      <c r="AO210" s="1"/>
      <c r="AP210" s="25">
        <f t="shared" ref="AP210:AP211" si="913">ROUND(SUM(AC210:AF210)-AM210,2)</f>
        <v>0</v>
      </c>
      <c r="AQ210" s="25">
        <f t="shared" ref="AQ210:AQ211" si="914">ROUND(SUM(AH210:AK210)-AN210,2)</f>
        <v>0</v>
      </c>
    </row>
    <row r="211" spans="2:46" x14ac:dyDescent="0.2">
      <c r="B211" s="30" t="s">
        <v>118</v>
      </c>
      <c r="C211" s="99">
        <v>0</v>
      </c>
      <c r="D211" s="99">
        <v>0</v>
      </c>
      <c r="E211" s="99">
        <v>4403.2199999999993</v>
      </c>
      <c r="F211" s="99">
        <v>4873.88</v>
      </c>
      <c r="G211" s="99">
        <v>4873.88</v>
      </c>
      <c r="H211" s="99">
        <v>4873.88</v>
      </c>
      <c r="I211" s="99">
        <v>4873.88</v>
      </c>
      <c r="J211" s="99">
        <v>2436.94</v>
      </c>
      <c r="K211" s="99">
        <v>0</v>
      </c>
      <c r="L211" s="99">
        <v>0</v>
      </c>
      <c r="M211" s="99">
        <v>0</v>
      </c>
      <c r="N211" s="13">
        <v>0</v>
      </c>
      <c r="P211" s="13">
        <v>0</v>
      </c>
      <c r="Q211" s="13">
        <v>0</v>
      </c>
      <c r="R211" s="13">
        <f>IFERROR(R209*(Q211/Q209),0)</f>
        <v>0</v>
      </c>
      <c r="S211" s="13">
        <f>+R211</f>
        <v>0</v>
      </c>
      <c r="T211" s="13">
        <f t="shared" ref="T211:AA211" si="915">+S211</f>
        <v>0</v>
      </c>
      <c r="U211" s="13">
        <f t="shared" si="915"/>
        <v>0</v>
      </c>
      <c r="V211" s="13">
        <f t="shared" si="915"/>
        <v>0</v>
      </c>
      <c r="W211" s="13">
        <f t="shared" si="915"/>
        <v>0</v>
      </c>
      <c r="X211" s="13">
        <f t="shared" si="915"/>
        <v>0</v>
      </c>
      <c r="Y211" s="13">
        <f t="shared" si="915"/>
        <v>0</v>
      </c>
      <c r="Z211" s="13">
        <f t="shared" si="915"/>
        <v>0</v>
      </c>
      <c r="AA211" s="13">
        <f t="shared" si="915"/>
        <v>0</v>
      </c>
      <c r="AB211" s="8"/>
      <c r="AC211" s="4">
        <f>SUM(C211:E211)</f>
        <v>4403.2199999999993</v>
      </c>
      <c r="AD211" s="4">
        <f>SUM(F211:H211)</f>
        <v>14621.64</v>
      </c>
      <c r="AE211" s="4">
        <f>SUM(I211:K211)</f>
        <v>7310.82</v>
      </c>
      <c r="AF211" s="4">
        <f>SUM(L211:N211)</f>
        <v>0</v>
      </c>
      <c r="AG211" s="4"/>
      <c r="AH211" s="4">
        <f t="shared" si="907"/>
        <v>0</v>
      </c>
      <c r="AI211" s="4">
        <f t="shared" si="908"/>
        <v>0</v>
      </c>
      <c r="AJ211" s="4">
        <f t="shared" si="909"/>
        <v>0</v>
      </c>
      <c r="AK211" s="4">
        <f t="shared" si="910"/>
        <v>0</v>
      </c>
      <c r="AL211" s="4"/>
      <c r="AM211" s="4">
        <f t="shared" si="911"/>
        <v>26335.68</v>
      </c>
      <c r="AN211" s="4">
        <f t="shared" si="912"/>
        <v>0</v>
      </c>
      <c r="AO211" s="1"/>
      <c r="AP211" s="25">
        <f t="shared" si="913"/>
        <v>0</v>
      </c>
      <c r="AQ211" s="25">
        <f t="shared" si="914"/>
        <v>0</v>
      </c>
    </row>
    <row r="212" spans="2:46" x14ac:dyDescent="0.2">
      <c r="B212" s="28" t="s">
        <v>292</v>
      </c>
      <c r="C212" s="29">
        <f>SUM(C209:C211)</f>
        <v>0</v>
      </c>
      <c r="D212" s="29">
        <f t="shared" ref="D212:N212" si="916">SUM(D209:D211)</f>
        <v>0</v>
      </c>
      <c r="E212" s="29">
        <f t="shared" si="916"/>
        <v>16524.47</v>
      </c>
      <c r="F212" s="29">
        <f t="shared" si="916"/>
        <v>17218.72</v>
      </c>
      <c r="G212" s="29">
        <f t="shared" si="916"/>
        <v>17218.72</v>
      </c>
      <c r="H212" s="29">
        <f t="shared" si="916"/>
        <v>17218.72</v>
      </c>
      <c r="I212" s="29">
        <f t="shared" si="916"/>
        <v>17218.72</v>
      </c>
      <c r="J212" s="29">
        <f t="shared" si="916"/>
        <v>8609.36</v>
      </c>
      <c r="K212" s="29">
        <f t="shared" si="916"/>
        <v>0</v>
      </c>
      <c r="L212" s="29">
        <f t="shared" si="916"/>
        <v>0</v>
      </c>
      <c r="M212" s="29">
        <f t="shared" si="916"/>
        <v>0</v>
      </c>
      <c r="N212" s="29">
        <f t="shared" si="916"/>
        <v>0</v>
      </c>
      <c r="P212" s="29">
        <f t="shared" ref="P212:AA212" si="917">SUM(P209:P211)</f>
        <v>0</v>
      </c>
      <c r="Q212" s="29">
        <f t="shared" si="917"/>
        <v>0</v>
      </c>
      <c r="R212" s="29">
        <f t="shared" si="917"/>
        <v>0</v>
      </c>
      <c r="S212" s="29">
        <f t="shared" si="917"/>
        <v>0</v>
      </c>
      <c r="T212" s="29">
        <f t="shared" si="917"/>
        <v>0</v>
      </c>
      <c r="U212" s="29">
        <f t="shared" si="917"/>
        <v>0</v>
      </c>
      <c r="V212" s="29">
        <f t="shared" si="917"/>
        <v>0</v>
      </c>
      <c r="W212" s="29">
        <f t="shared" si="917"/>
        <v>0</v>
      </c>
      <c r="X212" s="29">
        <f t="shared" si="917"/>
        <v>0</v>
      </c>
      <c r="Y212" s="29">
        <f t="shared" si="917"/>
        <v>0</v>
      </c>
      <c r="Z212" s="29">
        <f t="shared" si="917"/>
        <v>0</v>
      </c>
      <c r="AA212" s="29">
        <f t="shared" si="917"/>
        <v>0</v>
      </c>
      <c r="AB212" s="8"/>
      <c r="AC212" s="29">
        <f t="shared" ref="AC212" si="918">SUM(AC209:AC211)</f>
        <v>16524.47</v>
      </c>
      <c r="AD212" s="29">
        <f t="shared" ref="AD212" si="919">SUM(AD209:AD211)</f>
        <v>51656.160000000003</v>
      </c>
      <c r="AE212" s="29">
        <f t="shared" ref="AE212" si="920">SUM(AE209:AE211)</f>
        <v>25828.080000000002</v>
      </c>
      <c r="AF212" s="29">
        <f t="shared" ref="AF212" si="921">SUM(AF209:AF211)</f>
        <v>0</v>
      </c>
      <c r="AG212" s="12"/>
      <c r="AH212" s="29">
        <f>SUM(AH209:AH211)</f>
        <v>0</v>
      </c>
      <c r="AI212" s="29">
        <f t="shared" ref="AI212:AK212" si="922">SUM(AI209:AI211)</f>
        <v>0</v>
      </c>
      <c r="AJ212" s="29">
        <f t="shared" si="922"/>
        <v>0</v>
      </c>
      <c r="AK212" s="29">
        <f t="shared" si="922"/>
        <v>0</v>
      </c>
      <c r="AL212" s="12"/>
      <c r="AM212" s="29">
        <f>SUM(AM209:AM211)</f>
        <v>94008.709999999992</v>
      </c>
      <c r="AN212" s="29">
        <f>SUM(AN209:AN211)</f>
        <v>0</v>
      </c>
      <c r="AO212" s="1"/>
      <c r="AP212" s="25">
        <f>ROUND(SUM(AC212:AF212)-AM212,2)</f>
        <v>0</v>
      </c>
      <c r="AQ212" s="25">
        <f>ROUND(SUM(AH212:AK212)-AN212,2)</f>
        <v>0</v>
      </c>
    </row>
    <row r="214" spans="2:46" x14ac:dyDescent="0.2">
      <c r="B214" s="30" t="s">
        <v>117</v>
      </c>
      <c r="C214" s="99">
        <v>0</v>
      </c>
      <c r="D214" s="99">
        <v>0</v>
      </c>
      <c r="E214" s="99">
        <v>0</v>
      </c>
      <c r="F214" s="99">
        <v>0</v>
      </c>
      <c r="G214" s="99">
        <v>0</v>
      </c>
      <c r="H214" s="99">
        <v>0</v>
      </c>
      <c r="I214" s="99">
        <v>0</v>
      </c>
      <c r="J214" s="99">
        <v>2703.6900000000005</v>
      </c>
      <c r="K214" s="99">
        <v>11208.99</v>
      </c>
      <c r="L214" s="99">
        <v>10466.24</v>
      </c>
      <c r="M214" s="99">
        <v>10466.24</v>
      </c>
      <c r="N214" s="13">
        <v>10500</v>
      </c>
      <c r="P214" s="13">
        <v>10500</v>
      </c>
      <c r="Q214" s="13">
        <v>10500</v>
      </c>
      <c r="R214" s="13">
        <f>+Q214+(Q214*$R$2)</f>
        <v>10815</v>
      </c>
      <c r="S214" s="13">
        <f>+R214</f>
        <v>10815</v>
      </c>
      <c r="T214" s="13">
        <f t="shared" ref="T214:AA214" si="923">+S214</f>
        <v>10815</v>
      </c>
      <c r="U214" s="13">
        <f t="shared" si="923"/>
        <v>10815</v>
      </c>
      <c r="V214" s="13">
        <f t="shared" si="923"/>
        <v>10815</v>
      </c>
      <c r="W214" s="13">
        <f t="shared" si="923"/>
        <v>10815</v>
      </c>
      <c r="X214" s="13">
        <f t="shared" si="923"/>
        <v>10815</v>
      </c>
      <c r="Y214" s="13">
        <f t="shared" si="923"/>
        <v>10815</v>
      </c>
      <c r="Z214" s="13">
        <f t="shared" si="923"/>
        <v>10815</v>
      </c>
      <c r="AA214" s="13">
        <f t="shared" si="923"/>
        <v>10815</v>
      </c>
      <c r="AB214" s="8"/>
      <c r="AC214" s="4">
        <f>SUM(C214:E214)</f>
        <v>0</v>
      </c>
      <c r="AD214" s="4">
        <f>SUM(F214:H214)</f>
        <v>0</v>
      </c>
      <c r="AE214" s="4">
        <f>SUM(I214:K214)</f>
        <v>13912.68</v>
      </c>
      <c r="AF214" s="4">
        <f>SUM(L214:N214)</f>
        <v>31432.48</v>
      </c>
      <c r="AG214" s="4"/>
      <c r="AH214" s="4">
        <f>SUM(P214:R214)</f>
        <v>31815</v>
      </c>
      <c r="AI214" s="4">
        <f>SUM(S214:U214)</f>
        <v>32445</v>
      </c>
      <c r="AJ214" s="4">
        <f>SUM(V214:X214)</f>
        <v>32445</v>
      </c>
      <c r="AK214" s="4">
        <f>SUM(Y214:AA214)</f>
        <v>32445</v>
      </c>
      <c r="AL214" s="4"/>
      <c r="AM214" s="4">
        <f>SUM(C214:N214)</f>
        <v>45345.159999999996</v>
      </c>
      <c r="AN214" s="4">
        <f>SUM(P214:AA214)</f>
        <v>129150</v>
      </c>
      <c r="AO214" s="1"/>
      <c r="AP214" s="25">
        <f>ROUND(SUM(AC214:AF214)-AM214,2)</f>
        <v>0</v>
      </c>
      <c r="AQ214" s="25">
        <f>ROUND(SUM(AH214:AK214)-AN214,2)</f>
        <v>0</v>
      </c>
      <c r="AT214" s="4">
        <v>200000</v>
      </c>
    </row>
    <row r="215" spans="2:46" x14ac:dyDescent="0.2">
      <c r="B215" s="30" t="s">
        <v>25</v>
      </c>
      <c r="C215" s="99">
        <v>0</v>
      </c>
      <c r="D215" s="99">
        <v>0</v>
      </c>
      <c r="E215" s="99">
        <v>0</v>
      </c>
      <c r="F215" s="99">
        <v>0</v>
      </c>
      <c r="G215" s="99">
        <v>0</v>
      </c>
      <c r="H215" s="99">
        <v>0</v>
      </c>
      <c r="I215" s="99">
        <v>0</v>
      </c>
      <c r="J215" s="99">
        <v>0</v>
      </c>
      <c r="K215" s="99">
        <v>0</v>
      </c>
      <c r="L215" s="99">
        <v>0</v>
      </c>
      <c r="M215" s="99">
        <v>0</v>
      </c>
      <c r="N215" s="13">
        <v>0</v>
      </c>
      <c r="P215" s="13">
        <v>0</v>
      </c>
      <c r="Q215" s="13">
        <f>+H329+I329</f>
        <v>12600.000000000002</v>
      </c>
      <c r="R215" s="13">
        <v>0</v>
      </c>
      <c r="S215" s="13">
        <f>+R215</f>
        <v>0</v>
      </c>
      <c r="T215" s="13">
        <f t="shared" ref="T215:AA215" si="924">+S215</f>
        <v>0</v>
      </c>
      <c r="U215" s="13">
        <f t="shared" si="924"/>
        <v>0</v>
      </c>
      <c r="V215" s="13">
        <f t="shared" si="924"/>
        <v>0</v>
      </c>
      <c r="W215" s="13">
        <f t="shared" si="924"/>
        <v>0</v>
      </c>
      <c r="X215" s="13">
        <f t="shared" si="924"/>
        <v>0</v>
      </c>
      <c r="Y215" s="13">
        <f t="shared" si="924"/>
        <v>0</v>
      </c>
      <c r="Z215" s="13">
        <f t="shared" si="924"/>
        <v>0</v>
      </c>
      <c r="AA215" s="13">
        <f t="shared" si="924"/>
        <v>0</v>
      </c>
      <c r="AB215" s="8"/>
      <c r="AC215" s="4">
        <f>SUM(C215:E215)</f>
        <v>0</v>
      </c>
      <c r="AD215" s="4">
        <f>SUM(F215:H215)</f>
        <v>0</v>
      </c>
      <c r="AE215" s="4">
        <f>SUM(I215:K215)</f>
        <v>0</v>
      </c>
      <c r="AF215" s="4">
        <f>SUM(L215:N215)</f>
        <v>0</v>
      </c>
      <c r="AG215" s="4"/>
      <c r="AH215" s="4">
        <f t="shared" ref="AH215:AH216" si="925">SUM(P215:R215)</f>
        <v>12600.000000000002</v>
      </c>
      <c r="AI215" s="4">
        <f t="shared" ref="AI215:AI216" si="926">SUM(S215:U215)</f>
        <v>0</v>
      </c>
      <c r="AJ215" s="4">
        <f t="shared" ref="AJ215:AJ216" si="927">SUM(V215:X215)</f>
        <v>0</v>
      </c>
      <c r="AK215" s="4">
        <f t="shared" ref="AK215:AK216" si="928">SUM(Y215:AA215)</f>
        <v>0</v>
      </c>
      <c r="AL215" s="4"/>
      <c r="AM215" s="4">
        <f t="shared" ref="AM215:AM216" si="929">SUM(C215:N215)</f>
        <v>0</v>
      </c>
      <c r="AN215" s="4">
        <f t="shared" ref="AN215:AN216" si="930">SUM(P215:AA215)</f>
        <v>12600.000000000002</v>
      </c>
      <c r="AO215" s="1"/>
      <c r="AP215" s="25">
        <f t="shared" ref="AP215:AP216" si="931">ROUND(SUM(AC215:AF215)-AM215,2)</f>
        <v>0</v>
      </c>
      <c r="AQ215" s="25">
        <f t="shared" ref="AQ215:AQ216" si="932">ROUND(SUM(AH215:AK215)-AN215,2)</f>
        <v>0</v>
      </c>
      <c r="AT215" s="4">
        <f>+AT214*1.075/12</f>
        <v>17916.666666666668</v>
      </c>
    </row>
    <row r="216" spans="2:46" x14ac:dyDescent="0.2">
      <c r="B216" s="30" t="s">
        <v>118</v>
      </c>
      <c r="C216" s="99">
        <v>0</v>
      </c>
      <c r="D216" s="99">
        <v>0</v>
      </c>
      <c r="E216" s="99">
        <v>0</v>
      </c>
      <c r="F216" s="99">
        <v>0</v>
      </c>
      <c r="G216" s="99">
        <v>0</v>
      </c>
      <c r="H216" s="99">
        <v>0</v>
      </c>
      <c r="I216" s="99">
        <v>0</v>
      </c>
      <c r="J216" s="99">
        <v>872.91</v>
      </c>
      <c r="K216" s="99">
        <v>5578.18</v>
      </c>
      <c r="L216" s="99">
        <v>5270.58</v>
      </c>
      <c r="M216" s="99">
        <v>5270.58</v>
      </c>
      <c r="N216" s="13">
        <v>5500</v>
      </c>
      <c r="P216" s="13">
        <v>5500</v>
      </c>
      <c r="Q216" s="13">
        <v>5500</v>
      </c>
      <c r="R216" s="13">
        <f>IFERROR(R214*(Q216/Q214),0)</f>
        <v>5665</v>
      </c>
      <c r="S216" s="13">
        <f>+R216</f>
        <v>5665</v>
      </c>
      <c r="T216" s="13">
        <f t="shared" ref="T216:AA216" si="933">+S216</f>
        <v>5665</v>
      </c>
      <c r="U216" s="13">
        <f t="shared" si="933"/>
        <v>5665</v>
      </c>
      <c r="V216" s="13">
        <f t="shared" si="933"/>
        <v>5665</v>
      </c>
      <c r="W216" s="13">
        <f t="shared" si="933"/>
        <v>5665</v>
      </c>
      <c r="X216" s="13">
        <f t="shared" si="933"/>
        <v>5665</v>
      </c>
      <c r="Y216" s="13">
        <f t="shared" si="933"/>
        <v>5665</v>
      </c>
      <c r="Z216" s="13">
        <f t="shared" si="933"/>
        <v>5665</v>
      </c>
      <c r="AA216" s="13">
        <f t="shared" si="933"/>
        <v>5665</v>
      </c>
      <c r="AB216" s="8"/>
      <c r="AC216" s="4">
        <f>SUM(C216:E216)</f>
        <v>0</v>
      </c>
      <c r="AD216" s="4">
        <f>SUM(F216:H216)</f>
        <v>0</v>
      </c>
      <c r="AE216" s="4">
        <f>SUM(I216:K216)</f>
        <v>6451.09</v>
      </c>
      <c r="AF216" s="4">
        <f>SUM(L216:N216)</f>
        <v>16041.16</v>
      </c>
      <c r="AG216" s="4"/>
      <c r="AH216" s="4">
        <f t="shared" si="925"/>
        <v>16665</v>
      </c>
      <c r="AI216" s="4">
        <f t="shared" si="926"/>
        <v>16995</v>
      </c>
      <c r="AJ216" s="4">
        <f t="shared" si="927"/>
        <v>16995</v>
      </c>
      <c r="AK216" s="4">
        <f t="shared" si="928"/>
        <v>16995</v>
      </c>
      <c r="AL216" s="4"/>
      <c r="AM216" s="4">
        <f t="shared" si="929"/>
        <v>22492.25</v>
      </c>
      <c r="AN216" s="4">
        <f t="shared" si="930"/>
        <v>67650</v>
      </c>
      <c r="AO216" s="1"/>
      <c r="AP216" s="25">
        <f t="shared" si="931"/>
        <v>0</v>
      </c>
      <c r="AQ216" s="25">
        <f t="shared" si="932"/>
        <v>0</v>
      </c>
      <c r="AT216" s="27">
        <f>+AT215*0.65</f>
        <v>11645.833333333334</v>
      </c>
    </row>
    <row r="217" spans="2:46" x14ac:dyDescent="0.2">
      <c r="B217" s="28" t="s">
        <v>1050</v>
      </c>
      <c r="C217" s="29">
        <f>SUM(C214:C216)</f>
        <v>0</v>
      </c>
      <c r="D217" s="29">
        <f t="shared" ref="D217" si="934">SUM(D214:D216)</f>
        <v>0</v>
      </c>
      <c r="E217" s="29">
        <f t="shared" ref="E217" si="935">SUM(E214:E216)</f>
        <v>0</v>
      </c>
      <c r="F217" s="29">
        <f t="shared" ref="F217" si="936">SUM(F214:F216)</f>
        <v>0</v>
      </c>
      <c r="G217" s="29">
        <f t="shared" ref="G217" si="937">SUM(G214:G216)</f>
        <v>0</v>
      </c>
      <c r="H217" s="29">
        <f t="shared" ref="H217" si="938">SUM(H214:H216)</f>
        <v>0</v>
      </c>
      <c r="I217" s="29">
        <f t="shared" ref="I217" si="939">SUM(I214:I216)</f>
        <v>0</v>
      </c>
      <c r="J217" s="29">
        <f t="shared" ref="J217" si="940">SUM(J214:J216)</f>
        <v>3576.6000000000004</v>
      </c>
      <c r="K217" s="29">
        <f t="shared" ref="K217" si="941">SUM(K214:K216)</f>
        <v>16787.169999999998</v>
      </c>
      <c r="L217" s="29">
        <f t="shared" ref="L217" si="942">SUM(L214:L216)</f>
        <v>15736.82</v>
      </c>
      <c r="M217" s="29">
        <f t="shared" ref="M217" si="943">SUM(M214:M216)</f>
        <v>15736.82</v>
      </c>
      <c r="N217" s="29">
        <f t="shared" ref="N217:AA217" si="944">SUM(N214:N216)</f>
        <v>16000</v>
      </c>
      <c r="P217" s="29">
        <f t="shared" si="944"/>
        <v>16000</v>
      </c>
      <c r="Q217" s="29">
        <f t="shared" si="944"/>
        <v>28600</v>
      </c>
      <c r="R217" s="29">
        <f t="shared" si="944"/>
        <v>16480</v>
      </c>
      <c r="S217" s="29">
        <f t="shared" si="944"/>
        <v>16480</v>
      </c>
      <c r="T217" s="29">
        <f t="shared" si="944"/>
        <v>16480</v>
      </c>
      <c r="U217" s="29">
        <f t="shared" si="944"/>
        <v>16480</v>
      </c>
      <c r="V217" s="29">
        <f t="shared" si="944"/>
        <v>16480</v>
      </c>
      <c r="W217" s="29">
        <f t="shared" si="944"/>
        <v>16480</v>
      </c>
      <c r="X217" s="29">
        <f t="shared" si="944"/>
        <v>16480</v>
      </c>
      <c r="Y217" s="29">
        <f t="shared" si="944"/>
        <v>16480</v>
      </c>
      <c r="Z217" s="29">
        <f t="shared" si="944"/>
        <v>16480</v>
      </c>
      <c r="AA217" s="29">
        <f t="shared" si="944"/>
        <v>16480</v>
      </c>
      <c r="AB217" s="8"/>
      <c r="AC217" s="29">
        <f t="shared" ref="AC217" si="945">SUM(AC214:AC216)</f>
        <v>0</v>
      </c>
      <c r="AD217" s="29">
        <f t="shared" ref="AD217" si="946">SUM(AD214:AD216)</f>
        <v>0</v>
      </c>
      <c r="AE217" s="29">
        <f t="shared" ref="AE217" si="947">SUM(AE214:AE216)</f>
        <v>20363.77</v>
      </c>
      <c r="AF217" s="29">
        <f t="shared" ref="AF217" si="948">SUM(AF214:AF216)</f>
        <v>47473.64</v>
      </c>
      <c r="AG217" s="12"/>
      <c r="AH217" s="29">
        <f>SUM(AH214:AH216)</f>
        <v>61080</v>
      </c>
      <c r="AI217" s="29">
        <f t="shared" ref="AI217:AK217" si="949">SUM(AI214:AI216)</f>
        <v>49440</v>
      </c>
      <c r="AJ217" s="29">
        <f t="shared" si="949"/>
        <v>49440</v>
      </c>
      <c r="AK217" s="29">
        <f t="shared" si="949"/>
        <v>49440</v>
      </c>
      <c r="AL217" s="12"/>
      <c r="AM217" s="29">
        <f>SUM(AM214:AM216)</f>
        <v>67837.41</v>
      </c>
      <c r="AN217" s="29">
        <f>SUM(AN214:AN216)</f>
        <v>209400</v>
      </c>
      <c r="AO217" s="1"/>
      <c r="AP217" s="25">
        <f>ROUND(SUM(AC217:AF217)-AM217,2)</f>
        <v>0</v>
      </c>
      <c r="AQ217" s="25">
        <f>ROUND(SUM(AH217:AK217)-AN217,2)</f>
        <v>0</v>
      </c>
      <c r="AT217" s="27">
        <f>+AT215*0.35</f>
        <v>6270.833333333333</v>
      </c>
    </row>
    <row r="219" spans="2:46" x14ac:dyDescent="0.2">
      <c r="B219" s="30" t="s">
        <v>117</v>
      </c>
      <c r="C219" s="99">
        <v>0</v>
      </c>
      <c r="D219" s="99">
        <v>0</v>
      </c>
      <c r="E219" s="99">
        <v>0</v>
      </c>
      <c r="F219" s="99">
        <v>0</v>
      </c>
      <c r="G219" s="99">
        <v>0</v>
      </c>
      <c r="H219" s="99">
        <v>0</v>
      </c>
      <c r="I219" s="99">
        <v>0</v>
      </c>
      <c r="J219" s="99">
        <v>0</v>
      </c>
      <c r="K219" s="99">
        <v>0</v>
      </c>
      <c r="L219" s="99">
        <v>0</v>
      </c>
      <c r="M219" s="99">
        <v>0</v>
      </c>
      <c r="N219" s="13">
        <v>0</v>
      </c>
      <c r="P219" s="13">
        <v>0</v>
      </c>
      <c r="Q219" s="13">
        <v>0</v>
      </c>
      <c r="R219" s="13">
        <f>+Q219+(Q219*$R$2)</f>
        <v>0</v>
      </c>
      <c r="S219" s="13">
        <f>+R219</f>
        <v>0</v>
      </c>
      <c r="T219" s="13">
        <f t="shared" ref="T219:AA219" si="950">+S219</f>
        <v>0</v>
      </c>
      <c r="U219" s="13">
        <f t="shared" si="950"/>
        <v>0</v>
      </c>
      <c r="V219" s="13">
        <f t="shared" si="950"/>
        <v>0</v>
      </c>
      <c r="W219" s="13">
        <f t="shared" si="950"/>
        <v>0</v>
      </c>
      <c r="X219" s="13">
        <f t="shared" si="950"/>
        <v>0</v>
      </c>
      <c r="Y219" s="13">
        <f t="shared" si="950"/>
        <v>0</v>
      </c>
      <c r="Z219" s="13">
        <f t="shared" si="950"/>
        <v>0</v>
      </c>
      <c r="AA219" s="13">
        <f t="shared" si="950"/>
        <v>0</v>
      </c>
      <c r="AB219" s="8"/>
      <c r="AC219" s="4">
        <f>SUM(C219:E219)</f>
        <v>0</v>
      </c>
      <c r="AD219" s="4">
        <f>SUM(F219:H219)</f>
        <v>0</v>
      </c>
      <c r="AE219" s="4">
        <f>SUM(I219:K219)</f>
        <v>0</v>
      </c>
      <c r="AF219" s="4">
        <f>SUM(L219:N219)</f>
        <v>0</v>
      </c>
      <c r="AG219" s="4"/>
      <c r="AH219" s="4">
        <f>SUM(P219:R219)</f>
        <v>0</v>
      </c>
      <c r="AI219" s="4">
        <f>SUM(S219:U219)</f>
        <v>0</v>
      </c>
      <c r="AJ219" s="4">
        <f>SUM(V219:X219)</f>
        <v>0</v>
      </c>
      <c r="AK219" s="4">
        <f>SUM(Y219:AA219)</f>
        <v>0</v>
      </c>
      <c r="AL219" s="4"/>
      <c r="AM219" s="4">
        <f>SUM(C219:N219)</f>
        <v>0</v>
      </c>
      <c r="AN219" s="4">
        <f>SUM(P219:AA219)</f>
        <v>0</v>
      </c>
      <c r="AO219" s="1"/>
      <c r="AP219" s="25">
        <f>ROUND(SUM(AC219:AF219)-AM219,2)</f>
        <v>0</v>
      </c>
      <c r="AQ219" s="25">
        <f>ROUND(SUM(AH219:AK219)-AN219,2)</f>
        <v>0</v>
      </c>
    </row>
    <row r="220" spans="2:46" x14ac:dyDescent="0.2">
      <c r="B220" s="30" t="s">
        <v>25</v>
      </c>
      <c r="C220" s="99">
        <v>0</v>
      </c>
      <c r="D220" s="99">
        <v>0</v>
      </c>
      <c r="E220" s="99">
        <v>0</v>
      </c>
      <c r="F220" s="99">
        <v>0</v>
      </c>
      <c r="G220" s="99">
        <v>0</v>
      </c>
      <c r="H220" s="99">
        <v>0</v>
      </c>
      <c r="I220" s="99">
        <v>0</v>
      </c>
      <c r="J220" s="99">
        <v>0</v>
      </c>
      <c r="K220" s="99">
        <v>0</v>
      </c>
      <c r="L220" s="99">
        <v>0</v>
      </c>
      <c r="M220" s="99">
        <v>0</v>
      </c>
      <c r="N220" s="13">
        <v>0</v>
      </c>
      <c r="P220" s="13">
        <v>0</v>
      </c>
      <c r="Q220" s="13">
        <v>0</v>
      </c>
      <c r="R220" s="13">
        <v>0</v>
      </c>
      <c r="S220" s="13">
        <f>+R220</f>
        <v>0</v>
      </c>
      <c r="T220" s="13">
        <f t="shared" ref="T220:AA220" si="951">+S220</f>
        <v>0</v>
      </c>
      <c r="U220" s="13">
        <f t="shared" si="951"/>
        <v>0</v>
      </c>
      <c r="V220" s="13">
        <f t="shared" si="951"/>
        <v>0</v>
      </c>
      <c r="W220" s="13">
        <f t="shared" si="951"/>
        <v>0</v>
      </c>
      <c r="X220" s="13">
        <f t="shared" si="951"/>
        <v>0</v>
      </c>
      <c r="Y220" s="13">
        <f t="shared" si="951"/>
        <v>0</v>
      </c>
      <c r="Z220" s="13">
        <f t="shared" si="951"/>
        <v>0</v>
      </c>
      <c r="AA220" s="13">
        <f t="shared" si="951"/>
        <v>0</v>
      </c>
      <c r="AB220" s="8"/>
      <c r="AC220" s="4">
        <f>SUM(C220:E220)</f>
        <v>0</v>
      </c>
      <c r="AD220" s="4">
        <f>SUM(F220:H220)</f>
        <v>0</v>
      </c>
      <c r="AE220" s="4">
        <f>SUM(I220:K220)</f>
        <v>0</v>
      </c>
      <c r="AF220" s="4">
        <f>SUM(L220:N220)</f>
        <v>0</v>
      </c>
      <c r="AG220" s="4"/>
      <c r="AH220" s="4">
        <f t="shared" ref="AH220:AH221" si="952">SUM(P220:R220)</f>
        <v>0</v>
      </c>
      <c r="AI220" s="4">
        <f t="shared" ref="AI220:AI221" si="953">SUM(S220:U220)</f>
        <v>0</v>
      </c>
      <c r="AJ220" s="4">
        <f t="shared" ref="AJ220:AJ221" si="954">SUM(V220:X220)</f>
        <v>0</v>
      </c>
      <c r="AK220" s="4">
        <f t="shared" ref="AK220:AK221" si="955">SUM(Y220:AA220)</f>
        <v>0</v>
      </c>
      <c r="AL220" s="4"/>
      <c r="AM220" s="4">
        <f t="shared" ref="AM220:AM221" si="956">SUM(C220:N220)</f>
        <v>0</v>
      </c>
      <c r="AN220" s="4">
        <f t="shared" ref="AN220:AN221" si="957">SUM(P220:AA220)</f>
        <v>0</v>
      </c>
      <c r="AO220" s="1"/>
      <c r="AP220" s="25">
        <f t="shared" ref="AP220:AP221" si="958">ROUND(SUM(AC220:AF220)-AM220,2)</f>
        <v>0</v>
      </c>
      <c r="AQ220" s="25">
        <f t="shared" ref="AQ220:AQ221" si="959">ROUND(SUM(AH220:AK220)-AN220,2)</f>
        <v>0</v>
      </c>
    </row>
    <row r="221" spans="2:46" x14ac:dyDescent="0.2">
      <c r="B221" s="30" t="s">
        <v>118</v>
      </c>
      <c r="C221" s="99">
        <v>0</v>
      </c>
      <c r="D221" s="99">
        <v>0</v>
      </c>
      <c r="E221" s="99">
        <v>0</v>
      </c>
      <c r="F221" s="99">
        <v>0</v>
      </c>
      <c r="G221" s="99">
        <v>0</v>
      </c>
      <c r="H221" s="99">
        <v>0</v>
      </c>
      <c r="I221" s="99">
        <v>0</v>
      </c>
      <c r="J221" s="99">
        <v>0</v>
      </c>
      <c r="K221" s="99">
        <v>0</v>
      </c>
      <c r="L221" s="99">
        <v>0</v>
      </c>
      <c r="M221" s="99">
        <v>0</v>
      </c>
      <c r="N221" s="13">
        <v>0</v>
      </c>
      <c r="P221" s="13">
        <v>0</v>
      </c>
      <c r="Q221" s="13">
        <v>0</v>
      </c>
      <c r="R221" s="13">
        <f>IFERROR(R219*(Q221/Q219),0)</f>
        <v>0</v>
      </c>
      <c r="S221" s="13">
        <f>+R221</f>
        <v>0</v>
      </c>
      <c r="T221" s="13">
        <f t="shared" ref="T221:AA221" si="960">+S221</f>
        <v>0</v>
      </c>
      <c r="U221" s="13">
        <f t="shared" si="960"/>
        <v>0</v>
      </c>
      <c r="V221" s="13">
        <f t="shared" si="960"/>
        <v>0</v>
      </c>
      <c r="W221" s="13">
        <f t="shared" si="960"/>
        <v>0</v>
      </c>
      <c r="X221" s="13">
        <f t="shared" si="960"/>
        <v>0</v>
      </c>
      <c r="Y221" s="13">
        <f t="shared" si="960"/>
        <v>0</v>
      </c>
      <c r="Z221" s="13">
        <f t="shared" si="960"/>
        <v>0</v>
      </c>
      <c r="AA221" s="13">
        <f t="shared" si="960"/>
        <v>0</v>
      </c>
      <c r="AB221" s="8"/>
      <c r="AC221" s="4">
        <f>SUM(C221:E221)</f>
        <v>0</v>
      </c>
      <c r="AD221" s="4">
        <f>SUM(F221:H221)</f>
        <v>0</v>
      </c>
      <c r="AE221" s="4">
        <f>SUM(I221:K221)</f>
        <v>0</v>
      </c>
      <c r="AF221" s="4">
        <f>SUM(L221:N221)</f>
        <v>0</v>
      </c>
      <c r="AG221" s="4"/>
      <c r="AH221" s="4">
        <f t="shared" si="952"/>
        <v>0</v>
      </c>
      <c r="AI221" s="4">
        <f t="shared" si="953"/>
        <v>0</v>
      </c>
      <c r="AJ221" s="4">
        <f t="shared" si="954"/>
        <v>0</v>
      </c>
      <c r="AK221" s="4">
        <f t="shared" si="955"/>
        <v>0</v>
      </c>
      <c r="AL221" s="4"/>
      <c r="AM221" s="4">
        <f t="shared" si="956"/>
        <v>0</v>
      </c>
      <c r="AN221" s="4">
        <f t="shared" si="957"/>
        <v>0</v>
      </c>
      <c r="AO221" s="1"/>
      <c r="AP221" s="25">
        <f t="shared" si="958"/>
        <v>0</v>
      </c>
      <c r="AQ221" s="25">
        <f t="shared" si="959"/>
        <v>0</v>
      </c>
    </row>
    <row r="222" spans="2:46" x14ac:dyDescent="0.2">
      <c r="B222" s="28" t="s">
        <v>122</v>
      </c>
      <c r="C222" s="29">
        <f>SUM(C219:C221)</f>
        <v>0</v>
      </c>
      <c r="D222" s="29">
        <f t="shared" ref="D222" si="961">SUM(D219:D221)</f>
        <v>0</v>
      </c>
      <c r="E222" s="29">
        <f t="shared" ref="E222" si="962">SUM(E219:E221)</f>
        <v>0</v>
      </c>
      <c r="F222" s="29">
        <f t="shared" ref="F222" si="963">SUM(F219:F221)</f>
        <v>0</v>
      </c>
      <c r="G222" s="29">
        <f t="shared" ref="G222" si="964">SUM(G219:G221)</f>
        <v>0</v>
      </c>
      <c r="H222" s="29">
        <f t="shared" ref="H222" si="965">SUM(H219:H221)</f>
        <v>0</v>
      </c>
      <c r="I222" s="29">
        <f t="shared" ref="I222" si="966">SUM(I219:I221)</f>
        <v>0</v>
      </c>
      <c r="J222" s="29">
        <f t="shared" ref="J222" si="967">SUM(J219:J221)</f>
        <v>0</v>
      </c>
      <c r="K222" s="29">
        <f t="shared" ref="K222" si="968">SUM(K219:K221)</f>
        <v>0</v>
      </c>
      <c r="L222" s="29">
        <f t="shared" ref="L222" si="969">SUM(L219:L221)</f>
        <v>0</v>
      </c>
      <c r="M222" s="29">
        <f t="shared" ref="M222" si="970">SUM(M219:M221)</f>
        <v>0</v>
      </c>
      <c r="N222" s="29">
        <f t="shared" ref="N222:AA222" si="971">SUM(N219:N221)</f>
        <v>0</v>
      </c>
      <c r="P222" s="29">
        <f t="shared" si="971"/>
        <v>0</v>
      </c>
      <c r="Q222" s="29">
        <f t="shared" si="971"/>
        <v>0</v>
      </c>
      <c r="R222" s="29">
        <f t="shared" si="971"/>
        <v>0</v>
      </c>
      <c r="S222" s="29">
        <f t="shared" si="971"/>
        <v>0</v>
      </c>
      <c r="T222" s="29">
        <f t="shared" si="971"/>
        <v>0</v>
      </c>
      <c r="U222" s="29">
        <f t="shared" si="971"/>
        <v>0</v>
      </c>
      <c r="V222" s="29">
        <f t="shared" si="971"/>
        <v>0</v>
      </c>
      <c r="W222" s="29">
        <f t="shared" si="971"/>
        <v>0</v>
      </c>
      <c r="X222" s="29">
        <f t="shared" si="971"/>
        <v>0</v>
      </c>
      <c r="Y222" s="29">
        <f t="shared" si="971"/>
        <v>0</v>
      </c>
      <c r="Z222" s="29">
        <f t="shared" si="971"/>
        <v>0</v>
      </c>
      <c r="AA222" s="29">
        <f t="shared" si="971"/>
        <v>0</v>
      </c>
      <c r="AB222" s="8"/>
      <c r="AC222" s="29">
        <f t="shared" ref="AC222" si="972">SUM(AC219:AC221)</f>
        <v>0</v>
      </c>
      <c r="AD222" s="29">
        <f t="shared" ref="AD222" si="973">SUM(AD219:AD221)</f>
        <v>0</v>
      </c>
      <c r="AE222" s="29">
        <f t="shared" ref="AE222" si="974">SUM(AE219:AE221)</f>
        <v>0</v>
      </c>
      <c r="AF222" s="29">
        <f t="shared" ref="AF222" si="975">SUM(AF219:AF221)</f>
        <v>0</v>
      </c>
      <c r="AG222" s="12"/>
      <c r="AH222" s="29">
        <f>SUM(AH219:AH221)</f>
        <v>0</v>
      </c>
      <c r="AI222" s="29">
        <f t="shared" ref="AI222:AK222" si="976">SUM(AI219:AI221)</f>
        <v>0</v>
      </c>
      <c r="AJ222" s="29">
        <f t="shared" si="976"/>
        <v>0</v>
      </c>
      <c r="AK222" s="29">
        <f t="shared" si="976"/>
        <v>0</v>
      </c>
      <c r="AL222" s="12"/>
      <c r="AM222" s="29">
        <f>SUM(AM219:AM221)</f>
        <v>0</v>
      </c>
      <c r="AN222" s="29">
        <f>SUM(AN219:AN221)</f>
        <v>0</v>
      </c>
      <c r="AO222" s="1"/>
      <c r="AP222" s="25">
        <f>ROUND(SUM(AC222:AF222)-AM222,2)</f>
        <v>0</v>
      </c>
      <c r="AQ222" s="25">
        <f>ROUND(SUM(AH222:AK222)-AN222,2)</f>
        <v>0</v>
      </c>
    </row>
    <row r="223" spans="2:46" x14ac:dyDescent="0.2">
      <c r="B223" s="28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8"/>
      <c r="AC223" s="29"/>
      <c r="AD223" s="29"/>
      <c r="AE223" s="29"/>
      <c r="AF223" s="29"/>
      <c r="AG223" s="12"/>
      <c r="AH223" s="12"/>
      <c r="AI223" s="12"/>
      <c r="AJ223" s="12"/>
      <c r="AK223" s="12"/>
      <c r="AL223" s="12"/>
      <c r="AM223" s="12"/>
      <c r="AN223" s="29"/>
      <c r="AO223" s="1"/>
      <c r="AP223" s="25"/>
      <c r="AQ223" s="25"/>
    </row>
    <row r="224" spans="2:46" x14ac:dyDescent="0.2">
      <c r="B224" s="30" t="s">
        <v>117</v>
      </c>
      <c r="C224" s="4">
        <f>+C194+C199+C204+C209+C214+C219</f>
        <v>13502.64</v>
      </c>
      <c r="D224" s="4">
        <f t="shared" ref="D224:N224" si="977">+D194+D199+D204+D209+D214+D219</f>
        <v>13502.64</v>
      </c>
      <c r="E224" s="4">
        <f t="shared" si="977"/>
        <v>25623.89</v>
      </c>
      <c r="F224" s="4">
        <f>+F194+F199+F204+F209+F214+F219</f>
        <v>22385.89</v>
      </c>
      <c r="G224" s="4">
        <f t="shared" si="977"/>
        <v>22630.720000000001</v>
      </c>
      <c r="H224" s="4">
        <f t="shared" si="977"/>
        <v>23905.73</v>
      </c>
      <c r="I224" s="4">
        <f t="shared" si="977"/>
        <v>30086.600000000002</v>
      </c>
      <c r="J224" s="4">
        <f t="shared" si="977"/>
        <v>32916.959999999999</v>
      </c>
      <c r="K224" s="4">
        <f t="shared" si="977"/>
        <v>20356.089999999997</v>
      </c>
      <c r="L224" s="4">
        <f t="shared" si="977"/>
        <v>19915.129999999997</v>
      </c>
      <c r="M224" s="4">
        <f t="shared" si="977"/>
        <v>20216.879999999997</v>
      </c>
      <c r="N224" s="4">
        <f t="shared" si="977"/>
        <v>20300</v>
      </c>
      <c r="P224" s="4">
        <f t="shared" ref="P224:AA224" si="978">+P194+P199+P204+P209+P214+P219</f>
        <v>20300</v>
      </c>
      <c r="Q224" s="4">
        <f t="shared" si="978"/>
        <v>20300</v>
      </c>
      <c r="R224" s="4">
        <f t="shared" si="978"/>
        <v>20909</v>
      </c>
      <c r="S224" s="4">
        <f t="shared" si="978"/>
        <v>20909</v>
      </c>
      <c r="T224" s="4">
        <f t="shared" si="978"/>
        <v>20909</v>
      </c>
      <c r="U224" s="4">
        <f t="shared" si="978"/>
        <v>20909</v>
      </c>
      <c r="V224" s="4">
        <f t="shared" si="978"/>
        <v>20909</v>
      </c>
      <c r="W224" s="4">
        <f t="shared" si="978"/>
        <v>20909</v>
      </c>
      <c r="X224" s="4">
        <f t="shared" si="978"/>
        <v>20909</v>
      </c>
      <c r="Y224" s="4">
        <f t="shared" si="978"/>
        <v>20909</v>
      </c>
      <c r="Z224" s="4">
        <f t="shared" si="978"/>
        <v>20909</v>
      </c>
      <c r="AA224" s="4">
        <f t="shared" si="978"/>
        <v>20909</v>
      </c>
      <c r="AB224" s="8"/>
      <c r="AC224" s="4">
        <f t="shared" ref="AC224:AF224" si="979">+AC194+AC199+AC204+AC209+AC214+AC219</f>
        <v>52629.17</v>
      </c>
      <c r="AD224" s="4">
        <f t="shared" si="979"/>
        <v>68922.34</v>
      </c>
      <c r="AE224" s="4">
        <f t="shared" si="979"/>
        <v>83359.649999999994</v>
      </c>
      <c r="AF224" s="4">
        <f t="shared" si="979"/>
        <v>60432.009999999995</v>
      </c>
      <c r="AG224" s="4"/>
      <c r="AH224" s="4">
        <f t="shared" ref="AH224:AK224" si="980">+AH194+AH199+AH204+AH209+AH214+AH219</f>
        <v>61509</v>
      </c>
      <c r="AI224" s="4">
        <f t="shared" si="980"/>
        <v>62727</v>
      </c>
      <c r="AJ224" s="4">
        <f t="shared" si="980"/>
        <v>62727</v>
      </c>
      <c r="AK224" s="4">
        <f t="shared" si="980"/>
        <v>62727</v>
      </c>
      <c r="AL224" s="4"/>
      <c r="AM224" s="4">
        <f t="shared" ref="AM224:AN224" si="981">+AM194+AM199+AM204+AM209+AM214+AM219</f>
        <v>265343.17</v>
      </c>
      <c r="AN224" s="4">
        <f t="shared" si="981"/>
        <v>249690</v>
      </c>
      <c r="AO224" s="1"/>
      <c r="AP224" s="25">
        <f t="shared" ref="AP224:AP227" si="982">ROUND(SUM(AC224:AF224)-AM224,2)</f>
        <v>0</v>
      </c>
      <c r="AQ224" s="25">
        <f t="shared" ref="AQ224:AQ227" si="983">ROUND(SUM(AH224:AK224)-AN224,2)</f>
        <v>0</v>
      </c>
    </row>
    <row r="225" spans="2:43" x14ac:dyDescent="0.2">
      <c r="B225" s="30" t="s">
        <v>25</v>
      </c>
      <c r="C225" s="4">
        <f t="shared" ref="C225:N225" si="984">+C195+C200+C205+C210+C215+C220</f>
        <v>0</v>
      </c>
      <c r="D225" s="4">
        <f t="shared" si="984"/>
        <v>0</v>
      </c>
      <c r="E225" s="4">
        <f t="shared" si="984"/>
        <v>0</v>
      </c>
      <c r="F225" s="4">
        <f>+F195+F200+F205+F210+F215+F220</f>
        <v>0</v>
      </c>
      <c r="G225" s="4">
        <f t="shared" si="984"/>
        <v>0</v>
      </c>
      <c r="H225" s="4">
        <f t="shared" si="984"/>
        <v>0</v>
      </c>
      <c r="I225" s="4">
        <f t="shared" si="984"/>
        <v>0</v>
      </c>
      <c r="J225" s="4">
        <f t="shared" si="984"/>
        <v>0</v>
      </c>
      <c r="K225" s="4">
        <f t="shared" si="984"/>
        <v>0</v>
      </c>
      <c r="L225" s="4">
        <f t="shared" si="984"/>
        <v>0</v>
      </c>
      <c r="M225" s="4">
        <f t="shared" si="984"/>
        <v>0</v>
      </c>
      <c r="N225" s="4">
        <f t="shared" si="984"/>
        <v>0</v>
      </c>
      <c r="P225" s="4">
        <f t="shared" ref="P225:AA225" si="985">+P195+P200+P205+P210+P215+P220</f>
        <v>0</v>
      </c>
      <c r="Q225" s="4">
        <f t="shared" si="985"/>
        <v>24837.75</v>
      </c>
      <c r="R225" s="4">
        <f t="shared" si="985"/>
        <v>0</v>
      </c>
      <c r="S225" s="4">
        <f t="shared" si="985"/>
        <v>0</v>
      </c>
      <c r="T225" s="4">
        <f t="shared" si="985"/>
        <v>0</v>
      </c>
      <c r="U225" s="4">
        <f t="shared" si="985"/>
        <v>0</v>
      </c>
      <c r="V225" s="4">
        <f t="shared" si="985"/>
        <v>0</v>
      </c>
      <c r="W225" s="4">
        <f t="shared" si="985"/>
        <v>0</v>
      </c>
      <c r="X225" s="4">
        <f t="shared" si="985"/>
        <v>0</v>
      </c>
      <c r="Y225" s="4">
        <f t="shared" si="985"/>
        <v>0</v>
      </c>
      <c r="Z225" s="4">
        <f t="shared" si="985"/>
        <v>0</v>
      </c>
      <c r="AA225" s="4">
        <f t="shared" si="985"/>
        <v>0</v>
      </c>
      <c r="AB225" s="8"/>
      <c r="AC225" s="4">
        <f t="shared" ref="AC225:AF225" si="986">+AC195+AC200+AC205+AC210+AC215+AC220</f>
        <v>0</v>
      </c>
      <c r="AD225" s="4">
        <f t="shared" si="986"/>
        <v>0</v>
      </c>
      <c r="AE225" s="4">
        <f t="shared" si="986"/>
        <v>0</v>
      </c>
      <c r="AF225" s="4">
        <f t="shared" si="986"/>
        <v>0</v>
      </c>
      <c r="AG225" s="4"/>
      <c r="AH225" s="4">
        <f t="shared" ref="AH225:AK225" si="987">+AH195+AH200+AH205+AH210+AH215+AH220</f>
        <v>24837.75</v>
      </c>
      <c r="AI225" s="4">
        <f t="shared" si="987"/>
        <v>0</v>
      </c>
      <c r="AJ225" s="4">
        <f t="shared" si="987"/>
        <v>0</v>
      </c>
      <c r="AK225" s="4">
        <f t="shared" si="987"/>
        <v>0</v>
      </c>
      <c r="AL225" s="4"/>
      <c r="AM225" s="4">
        <f t="shared" ref="AM225:AN225" si="988">+AM195+AM200+AM205+AM210+AM215+AM220</f>
        <v>0</v>
      </c>
      <c r="AN225" s="4">
        <f t="shared" si="988"/>
        <v>24837.75</v>
      </c>
      <c r="AO225" s="1"/>
      <c r="AP225" s="25">
        <f t="shared" si="982"/>
        <v>0</v>
      </c>
      <c r="AQ225" s="25">
        <f t="shared" si="983"/>
        <v>0</v>
      </c>
    </row>
    <row r="226" spans="2:43" x14ac:dyDescent="0.2">
      <c r="B226" s="30" t="s">
        <v>118</v>
      </c>
      <c r="C226" s="4">
        <f t="shared" ref="C226:N226" si="989">+C196+C201+C206+C211+C216+C221</f>
        <v>7606.28</v>
      </c>
      <c r="D226" s="4">
        <f t="shared" si="989"/>
        <v>7130.28</v>
      </c>
      <c r="E226" s="4">
        <f t="shared" si="989"/>
        <v>11533.5</v>
      </c>
      <c r="F226" s="4">
        <f>+F196+F201+F206+F211+F216+F221</f>
        <v>9023.48</v>
      </c>
      <c r="G226" s="4">
        <f t="shared" si="989"/>
        <v>6626.5</v>
      </c>
      <c r="H226" s="4">
        <f t="shared" si="989"/>
        <v>10646.990000000002</v>
      </c>
      <c r="I226" s="4">
        <f t="shared" si="989"/>
        <v>15312.8</v>
      </c>
      <c r="J226" s="4">
        <f t="shared" si="989"/>
        <v>16681.420000000002</v>
      </c>
      <c r="K226" s="4">
        <f t="shared" si="989"/>
        <v>12032.980000000001</v>
      </c>
      <c r="L226" s="4">
        <f t="shared" si="989"/>
        <v>11886.09</v>
      </c>
      <c r="M226" s="4">
        <f t="shared" si="989"/>
        <v>12046.84</v>
      </c>
      <c r="N226" s="4">
        <f t="shared" si="989"/>
        <v>12300</v>
      </c>
      <c r="P226" s="4">
        <f t="shared" ref="P226:AA226" si="990">+P196+P201+P206+P211+P216+P221</f>
        <v>12300</v>
      </c>
      <c r="Q226" s="4">
        <f t="shared" si="990"/>
        <v>12300</v>
      </c>
      <c r="R226" s="4">
        <f t="shared" si="990"/>
        <v>12669</v>
      </c>
      <c r="S226" s="4">
        <f t="shared" si="990"/>
        <v>12669</v>
      </c>
      <c r="T226" s="4">
        <f t="shared" si="990"/>
        <v>12669</v>
      </c>
      <c r="U226" s="4">
        <f t="shared" si="990"/>
        <v>12669</v>
      </c>
      <c r="V226" s="4">
        <f t="shared" si="990"/>
        <v>12669</v>
      </c>
      <c r="W226" s="4">
        <f t="shared" si="990"/>
        <v>12669</v>
      </c>
      <c r="X226" s="4">
        <f t="shared" si="990"/>
        <v>12669</v>
      </c>
      <c r="Y226" s="4">
        <f t="shared" si="990"/>
        <v>12669</v>
      </c>
      <c r="Z226" s="4">
        <f t="shared" si="990"/>
        <v>12669</v>
      </c>
      <c r="AA226" s="4">
        <f t="shared" si="990"/>
        <v>12669</v>
      </c>
      <c r="AB226" s="8"/>
      <c r="AC226" s="4">
        <f t="shared" ref="AC226:AF226" si="991">+AC196+AC201+AC206+AC211+AC216+AC221</f>
        <v>26270.059999999998</v>
      </c>
      <c r="AD226" s="4">
        <f t="shared" si="991"/>
        <v>26296.97</v>
      </c>
      <c r="AE226" s="4">
        <f t="shared" si="991"/>
        <v>44027.199999999997</v>
      </c>
      <c r="AF226" s="4">
        <f t="shared" si="991"/>
        <v>36232.93</v>
      </c>
      <c r="AG226" s="4"/>
      <c r="AH226" s="4">
        <f t="shared" ref="AH226:AK226" si="992">+AH196+AH201+AH206+AH211+AH216+AH221</f>
        <v>37269</v>
      </c>
      <c r="AI226" s="4">
        <f t="shared" si="992"/>
        <v>38007</v>
      </c>
      <c r="AJ226" s="4">
        <f t="shared" si="992"/>
        <v>38007</v>
      </c>
      <c r="AK226" s="4">
        <f t="shared" si="992"/>
        <v>38007</v>
      </c>
      <c r="AL226" s="4"/>
      <c r="AM226" s="4">
        <f t="shared" ref="AM226:AN226" si="993">+AM196+AM201+AM206+AM211+AM216+AM221</f>
        <v>132827.16</v>
      </c>
      <c r="AN226" s="4">
        <f t="shared" si="993"/>
        <v>151290</v>
      </c>
      <c r="AO226" s="1"/>
      <c r="AP226" s="25">
        <f t="shared" si="982"/>
        <v>0</v>
      </c>
      <c r="AQ226" s="25">
        <f t="shared" si="983"/>
        <v>0</v>
      </c>
    </row>
    <row r="227" spans="2:43" x14ac:dyDescent="0.2">
      <c r="B227" s="28" t="s">
        <v>131</v>
      </c>
      <c r="C227" s="32">
        <f>+C197+C202+C207+C212+C217+C222</f>
        <v>21108.92</v>
      </c>
      <c r="D227" s="32">
        <f t="shared" ref="D227:N227" si="994">+D197+D202+D207+D212+D217+D222</f>
        <v>20632.919999999998</v>
      </c>
      <c r="E227" s="32">
        <f t="shared" si="994"/>
        <v>37157.39</v>
      </c>
      <c r="F227" s="32">
        <f>+F197+F202+F207+F212+F217+F222</f>
        <v>31409.37</v>
      </c>
      <c r="G227" s="32">
        <f>+G197+G202+G207+G212+G217+G222</f>
        <v>29257.22</v>
      </c>
      <c r="H227" s="32">
        <f t="shared" si="994"/>
        <v>34552.720000000001</v>
      </c>
      <c r="I227" s="32">
        <f t="shared" si="994"/>
        <v>45399.4</v>
      </c>
      <c r="J227" s="32">
        <f t="shared" si="994"/>
        <v>49598.38</v>
      </c>
      <c r="K227" s="32">
        <f t="shared" si="994"/>
        <v>32389.07</v>
      </c>
      <c r="L227" s="32">
        <f t="shared" si="994"/>
        <v>31801.22</v>
      </c>
      <c r="M227" s="32">
        <f t="shared" si="994"/>
        <v>32263.72</v>
      </c>
      <c r="N227" s="32">
        <f t="shared" si="994"/>
        <v>32600</v>
      </c>
      <c r="P227" s="32">
        <f t="shared" ref="P227:AA227" si="995">+P197+P202+P207+P212+P217+P222</f>
        <v>32600</v>
      </c>
      <c r="Q227" s="32">
        <f t="shared" si="995"/>
        <v>57437.75</v>
      </c>
      <c r="R227" s="32">
        <f t="shared" si="995"/>
        <v>33578</v>
      </c>
      <c r="S227" s="32">
        <f t="shared" si="995"/>
        <v>33578</v>
      </c>
      <c r="T227" s="32">
        <f t="shared" si="995"/>
        <v>33578</v>
      </c>
      <c r="U227" s="32">
        <f t="shared" si="995"/>
        <v>33578</v>
      </c>
      <c r="V227" s="32">
        <f t="shared" si="995"/>
        <v>33578</v>
      </c>
      <c r="W227" s="32">
        <f t="shared" si="995"/>
        <v>33578</v>
      </c>
      <c r="X227" s="32">
        <f t="shared" si="995"/>
        <v>33578</v>
      </c>
      <c r="Y227" s="32">
        <f t="shared" si="995"/>
        <v>33578</v>
      </c>
      <c r="Z227" s="32">
        <f t="shared" si="995"/>
        <v>33578</v>
      </c>
      <c r="AA227" s="32">
        <f t="shared" si="995"/>
        <v>33578</v>
      </c>
      <c r="AB227" s="33"/>
      <c r="AC227" s="32">
        <f t="shared" ref="AC227:AF227" si="996">+AC197+AC202+AC207+AC212+AC217+AC222</f>
        <v>78899.23</v>
      </c>
      <c r="AD227" s="32">
        <f t="shared" si="996"/>
        <v>95219.31</v>
      </c>
      <c r="AE227" s="32">
        <f t="shared" si="996"/>
        <v>127386.85</v>
      </c>
      <c r="AF227" s="32">
        <f t="shared" si="996"/>
        <v>96664.94</v>
      </c>
      <c r="AG227" s="33"/>
      <c r="AH227" s="32">
        <f t="shared" ref="AH227:AK227" si="997">+AH197+AH202+AH207+AH212+AH217+AH222</f>
        <v>123615.75</v>
      </c>
      <c r="AI227" s="32">
        <f t="shared" si="997"/>
        <v>100734</v>
      </c>
      <c r="AJ227" s="32">
        <f t="shared" si="997"/>
        <v>100734</v>
      </c>
      <c r="AK227" s="32">
        <f t="shared" si="997"/>
        <v>100734</v>
      </c>
      <c r="AL227" s="33"/>
      <c r="AM227" s="32">
        <f t="shared" ref="AM227:AN227" si="998">+AM197+AM202+AM207+AM212+AM217+AM222</f>
        <v>398170.32999999996</v>
      </c>
      <c r="AN227" s="32">
        <f t="shared" si="998"/>
        <v>425817.75</v>
      </c>
      <c r="AP227" s="25">
        <f t="shared" si="982"/>
        <v>0</v>
      </c>
      <c r="AQ227" s="25">
        <f t="shared" si="983"/>
        <v>0</v>
      </c>
    </row>
    <row r="228" spans="2:43" x14ac:dyDescent="0.2">
      <c r="B228" s="28"/>
      <c r="C228" s="41" t="str">
        <f t="shared" ref="C228:E228" si="999">IF(ROUND(C227-SUM(C224:C226),2)=0,"ok","check")</f>
        <v>ok</v>
      </c>
      <c r="D228" s="41" t="str">
        <f t="shared" si="999"/>
        <v>ok</v>
      </c>
      <c r="E228" s="41" t="str">
        <f t="shared" si="999"/>
        <v>ok</v>
      </c>
      <c r="F228" s="41" t="str">
        <f>IF(ROUND(F227-SUM(F224:F226),2)=0,"ok","check")</f>
        <v>ok</v>
      </c>
      <c r="G228" s="41" t="str">
        <f t="shared" ref="G228:N228" si="1000">IF(ROUND(G227-SUM(G224:G226),2)=0,"ok","check")</f>
        <v>ok</v>
      </c>
      <c r="H228" s="41" t="str">
        <f t="shared" si="1000"/>
        <v>ok</v>
      </c>
      <c r="I228" s="41" t="str">
        <f t="shared" si="1000"/>
        <v>ok</v>
      </c>
      <c r="J228" s="41" t="str">
        <f t="shared" si="1000"/>
        <v>ok</v>
      </c>
      <c r="K228" s="41" t="str">
        <f t="shared" si="1000"/>
        <v>ok</v>
      </c>
      <c r="L228" s="41" t="str">
        <f t="shared" si="1000"/>
        <v>ok</v>
      </c>
      <c r="M228" s="41" t="str">
        <f t="shared" si="1000"/>
        <v>ok</v>
      </c>
      <c r="N228" s="41" t="str">
        <f t="shared" si="1000"/>
        <v>ok</v>
      </c>
      <c r="P228" s="41" t="str">
        <f t="shared" ref="P228:AA228" si="1001">IF(ROUND(P227-SUM(P224:P226),2)=0,"ok","check")</f>
        <v>ok</v>
      </c>
      <c r="Q228" s="41" t="str">
        <f t="shared" si="1001"/>
        <v>ok</v>
      </c>
      <c r="R228" s="41" t="str">
        <f t="shared" si="1001"/>
        <v>ok</v>
      </c>
      <c r="S228" s="41" t="str">
        <f t="shared" si="1001"/>
        <v>ok</v>
      </c>
      <c r="T228" s="41" t="str">
        <f t="shared" si="1001"/>
        <v>ok</v>
      </c>
      <c r="U228" s="41" t="str">
        <f t="shared" si="1001"/>
        <v>ok</v>
      </c>
      <c r="V228" s="41" t="str">
        <f t="shared" si="1001"/>
        <v>ok</v>
      </c>
      <c r="W228" s="41" t="str">
        <f t="shared" si="1001"/>
        <v>ok</v>
      </c>
      <c r="X228" s="41" t="str">
        <f t="shared" si="1001"/>
        <v>ok</v>
      </c>
      <c r="Y228" s="41" t="str">
        <f t="shared" si="1001"/>
        <v>ok</v>
      </c>
      <c r="Z228" s="41" t="str">
        <f t="shared" si="1001"/>
        <v>ok</v>
      </c>
      <c r="AA228" s="41" t="str">
        <f t="shared" si="1001"/>
        <v>ok</v>
      </c>
    </row>
    <row r="230" spans="2:43" x14ac:dyDescent="0.2">
      <c r="B230" s="170" t="s">
        <v>132</v>
      </c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71"/>
      <c r="AI230" s="171"/>
      <c r="AJ230" s="171"/>
      <c r="AK230" s="171"/>
      <c r="AL230" s="171"/>
      <c r="AM230" s="171"/>
      <c r="AN230" s="172"/>
    </row>
    <row r="232" spans="2:43" x14ac:dyDescent="0.2">
      <c r="B232" s="30" t="s">
        <v>117</v>
      </c>
      <c r="C232" s="99">
        <v>0</v>
      </c>
      <c r="D232" s="99">
        <v>0</v>
      </c>
      <c r="E232" s="99">
        <v>0</v>
      </c>
      <c r="F232" s="99">
        <v>0</v>
      </c>
      <c r="G232" s="99">
        <v>0</v>
      </c>
      <c r="H232" s="99">
        <v>0</v>
      </c>
      <c r="I232" s="99">
        <v>0</v>
      </c>
      <c r="J232" s="99">
        <v>0</v>
      </c>
      <c r="K232" s="99">
        <v>0</v>
      </c>
      <c r="L232" s="99">
        <v>0</v>
      </c>
      <c r="M232" s="99">
        <v>0</v>
      </c>
      <c r="N232" s="13">
        <v>0</v>
      </c>
      <c r="P232" s="13">
        <v>0</v>
      </c>
      <c r="Q232" s="13">
        <v>0</v>
      </c>
      <c r="R232" s="13">
        <f>+Q232+(Q232*$R$2)</f>
        <v>0</v>
      </c>
      <c r="S232" s="13">
        <f>+R232</f>
        <v>0</v>
      </c>
      <c r="T232" s="13">
        <f t="shared" ref="T232:AA232" si="1002">+S232</f>
        <v>0</v>
      </c>
      <c r="U232" s="13">
        <f t="shared" si="1002"/>
        <v>0</v>
      </c>
      <c r="V232" s="13">
        <f t="shared" si="1002"/>
        <v>0</v>
      </c>
      <c r="W232" s="13">
        <f t="shared" si="1002"/>
        <v>0</v>
      </c>
      <c r="X232" s="13">
        <f t="shared" si="1002"/>
        <v>0</v>
      </c>
      <c r="Y232" s="13">
        <f t="shared" si="1002"/>
        <v>0</v>
      </c>
      <c r="Z232" s="13">
        <f t="shared" si="1002"/>
        <v>0</v>
      </c>
      <c r="AA232" s="13">
        <f t="shared" si="1002"/>
        <v>0</v>
      </c>
      <c r="AB232" s="8"/>
      <c r="AC232" s="4">
        <f>SUM(C232:E232)</f>
        <v>0</v>
      </c>
      <c r="AD232" s="4">
        <f>SUM(F232:H232)</f>
        <v>0</v>
      </c>
      <c r="AE232" s="4">
        <f>SUM(I232:K232)</f>
        <v>0</v>
      </c>
      <c r="AF232" s="4">
        <f>SUM(L232:N232)</f>
        <v>0</v>
      </c>
      <c r="AG232" s="4"/>
      <c r="AH232" s="4">
        <f>SUM(P232:R232)</f>
        <v>0</v>
      </c>
      <c r="AI232" s="4">
        <f>SUM(S232:U232)</f>
        <v>0</v>
      </c>
      <c r="AJ232" s="4">
        <f>SUM(V232:X232)</f>
        <v>0</v>
      </c>
      <c r="AK232" s="4">
        <f>SUM(Y232:AA232)</f>
        <v>0</v>
      </c>
      <c r="AL232" s="4"/>
      <c r="AM232" s="4">
        <f>SUM(C232:N232)</f>
        <v>0</v>
      </c>
      <c r="AN232" s="4">
        <f>SUM(P232:AA232)</f>
        <v>0</v>
      </c>
      <c r="AO232" s="1"/>
      <c r="AP232" s="25">
        <f>ROUND(SUM(AC232:AF232)-AM232,2)</f>
        <v>0</v>
      </c>
      <c r="AQ232" s="25">
        <f>ROUND(SUM(AH232:AK232)-AN232,2)</f>
        <v>0</v>
      </c>
    </row>
    <row r="233" spans="2:43" x14ac:dyDescent="0.2">
      <c r="B233" s="30" t="s">
        <v>25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13">
        <v>0</v>
      </c>
      <c r="P233" s="13">
        <v>0</v>
      </c>
      <c r="Q233" s="13">
        <v>0</v>
      </c>
      <c r="R233" s="13">
        <v>0</v>
      </c>
      <c r="S233" s="13">
        <f>+R233</f>
        <v>0</v>
      </c>
      <c r="T233" s="13">
        <f t="shared" ref="T233:AA233" si="1003">+S233</f>
        <v>0</v>
      </c>
      <c r="U233" s="13">
        <f t="shared" si="1003"/>
        <v>0</v>
      </c>
      <c r="V233" s="13">
        <f t="shared" si="1003"/>
        <v>0</v>
      </c>
      <c r="W233" s="13">
        <f t="shared" si="1003"/>
        <v>0</v>
      </c>
      <c r="X233" s="13">
        <f t="shared" si="1003"/>
        <v>0</v>
      </c>
      <c r="Y233" s="13">
        <f t="shared" si="1003"/>
        <v>0</v>
      </c>
      <c r="Z233" s="13">
        <f t="shared" si="1003"/>
        <v>0</v>
      </c>
      <c r="AA233" s="13">
        <f t="shared" si="1003"/>
        <v>0</v>
      </c>
      <c r="AB233" s="8"/>
      <c r="AC233" s="4">
        <f>SUM(C233:E233)</f>
        <v>0</v>
      </c>
      <c r="AD233" s="4">
        <f>SUM(F233:H233)</f>
        <v>0</v>
      </c>
      <c r="AE233" s="4">
        <f>SUM(I233:K233)</f>
        <v>0</v>
      </c>
      <c r="AF233" s="4">
        <f>SUM(L233:N233)</f>
        <v>0</v>
      </c>
      <c r="AG233" s="4"/>
      <c r="AH233" s="4">
        <f t="shared" ref="AH233:AH234" si="1004">SUM(P233:R233)</f>
        <v>0</v>
      </c>
      <c r="AI233" s="4">
        <f t="shared" ref="AI233:AI234" si="1005">SUM(S233:U233)</f>
        <v>0</v>
      </c>
      <c r="AJ233" s="4">
        <f t="shared" ref="AJ233:AJ234" si="1006">SUM(V233:X233)</f>
        <v>0</v>
      </c>
      <c r="AK233" s="4">
        <f t="shared" ref="AK233:AK234" si="1007">SUM(Y233:AA233)</f>
        <v>0</v>
      </c>
      <c r="AL233" s="4"/>
      <c r="AM233" s="4">
        <f t="shared" ref="AM233:AM234" si="1008">SUM(C233:N233)</f>
        <v>0</v>
      </c>
      <c r="AN233" s="4">
        <f t="shared" ref="AN233:AN234" si="1009">SUM(P233:AA233)</f>
        <v>0</v>
      </c>
      <c r="AO233" s="1"/>
      <c r="AP233" s="25">
        <f t="shared" ref="AP233:AP234" si="1010">ROUND(SUM(AC233:AF233)-AM233,2)</f>
        <v>0</v>
      </c>
      <c r="AQ233" s="25">
        <f t="shared" ref="AQ233:AQ234" si="1011">ROUND(SUM(AH233:AK233)-AN233,2)</f>
        <v>0</v>
      </c>
    </row>
    <row r="234" spans="2:43" x14ac:dyDescent="0.2">
      <c r="B234" s="30" t="s">
        <v>118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13">
        <v>0</v>
      </c>
      <c r="P234" s="13">
        <v>0</v>
      </c>
      <c r="Q234" s="13">
        <v>0</v>
      </c>
      <c r="R234" s="13">
        <f>IFERROR(R232*(Q234/Q232),0)</f>
        <v>0</v>
      </c>
      <c r="S234" s="13">
        <f>+R234</f>
        <v>0</v>
      </c>
      <c r="T234" s="13">
        <f t="shared" ref="T234:AA234" si="1012">+S234</f>
        <v>0</v>
      </c>
      <c r="U234" s="13">
        <f t="shared" si="1012"/>
        <v>0</v>
      </c>
      <c r="V234" s="13">
        <f t="shared" si="1012"/>
        <v>0</v>
      </c>
      <c r="W234" s="13">
        <f t="shared" si="1012"/>
        <v>0</v>
      </c>
      <c r="X234" s="13">
        <f t="shared" si="1012"/>
        <v>0</v>
      </c>
      <c r="Y234" s="13">
        <f t="shared" si="1012"/>
        <v>0</v>
      </c>
      <c r="Z234" s="13">
        <f t="shared" si="1012"/>
        <v>0</v>
      </c>
      <c r="AA234" s="13">
        <f t="shared" si="1012"/>
        <v>0</v>
      </c>
      <c r="AB234" s="8"/>
      <c r="AC234" s="4">
        <f>SUM(C234:E234)</f>
        <v>0</v>
      </c>
      <c r="AD234" s="4">
        <f>SUM(F234:H234)</f>
        <v>0</v>
      </c>
      <c r="AE234" s="4">
        <f>SUM(I234:K234)</f>
        <v>0</v>
      </c>
      <c r="AF234" s="4">
        <f>SUM(L234:N234)</f>
        <v>0</v>
      </c>
      <c r="AG234" s="4"/>
      <c r="AH234" s="4">
        <f t="shared" si="1004"/>
        <v>0</v>
      </c>
      <c r="AI234" s="4">
        <f t="shared" si="1005"/>
        <v>0</v>
      </c>
      <c r="AJ234" s="4">
        <f t="shared" si="1006"/>
        <v>0</v>
      </c>
      <c r="AK234" s="4">
        <f t="shared" si="1007"/>
        <v>0</v>
      </c>
      <c r="AL234" s="4"/>
      <c r="AM234" s="4">
        <f t="shared" si="1008"/>
        <v>0</v>
      </c>
      <c r="AN234" s="4">
        <f t="shared" si="1009"/>
        <v>0</v>
      </c>
      <c r="AO234" s="1"/>
      <c r="AP234" s="25">
        <f t="shared" si="1010"/>
        <v>0</v>
      </c>
      <c r="AQ234" s="25">
        <f t="shared" si="1011"/>
        <v>0</v>
      </c>
    </row>
    <row r="235" spans="2:43" x14ac:dyDescent="0.2">
      <c r="B235" s="28" t="s">
        <v>122</v>
      </c>
      <c r="C235" s="29">
        <f>SUM(C232:C234)</f>
        <v>0</v>
      </c>
      <c r="D235" s="29">
        <f t="shared" ref="D235:N235" si="1013">SUM(D232:D234)</f>
        <v>0</v>
      </c>
      <c r="E235" s="29">
        <f t="shared" si="1013"/>
        <v>0</v>
      </c>
      <c r="F235" s="29">
        <f t="shared" si="1013"/>
        <v>0</v>
      </c>
      <c r="G235" s="29">
        <f t="shared" si="1013"/>
        <v>0</v>
      </c>
      <c r="H235" s="29">
        <f t="shared" si="1013"/>
        <v>0</v>
      </c>
      <c r="I235" s="29">
        <f t="shared" si="1013"/>
        <v>0</v>
      </c>
      <c r="J235" s="29">
        <f t="shared" si="1013"/>
        <v>0</v>
      </c>
      <c r="K235" s="29">
        <f t="shared" si="1013"/>
        <v>0</v>
      </c>
      <c r="L235" s="29">
        <f t="shared" si="1013"/>
        <v>0</v>
      </c>
      <c r="M235" s="29">
        <f t="shared" si="1013"/>
        <v>0</v>
      </c>
      <c r="N235" s="29">
        <f t="shared" si="1013"/>
        <v>0</v>
      </c>
      <c r="P235" s="29">
        <f t="shared" ref="P235:AA235" si="1014">SUM(P232:P234)</f>
        <v>0</v>
      </c>
      <c r="Q235" s="29">
        <f t="shared" si="1014"/>
        <v>0</v>
      </c>
      <c r="R235" s="29">
        <f t="shared" si="1014"/>
        <v>0</v>
      </c>
      <c r="S235" s="29">
        <f t="shared" si="1014"/>
        <v>0</v>
      </c>
      <c r="T235" s="29">
        <f t="shared" si="1014"/>
        <v>0</v>
      </c>
      <c r="U235" s="29">
        <f t="shared" si="1014"/>
        <v>0</v>
      </c>
      <c r="V235" s="29">
        <f t="shared" si="1014"/>
        <v>0</v>
      </c>
      <c r="W235" s="29">
        <f t="shared" si="1014"/>
        <v>0</v>
      </c>
      <c r="X235" s="29">
        <f t="shared" si="1014"/>
        <v>0</v>
      </c>
      <c r="Y235" s="29">
        <f t="shared" si="1014"/>
        <v>0</v>
      </c>
      <c r="Z235" s="29">
        <f t="shared" si="1014"/>
        <v>0</v>
      </c>
      <c r="AA235" s="29">
        <f t="shared" si="1014"/>
        <v>0</v>
      </c>
      <c r="AB235" s="8"/>
      <c r="AC235" s="29">
        <f t="shared" ref="AC235:AF235" si="1015">SUM(AC232:AC234)</f>
        <v>0</v>
      </c>
      <c r="AD235" s="29">
        <f t="shared" si="1015"/>
        <v>0</v>
      </c>
      <c r="AE235" s="29">
        <f t="shared" si="1015"/>
        <v>0</v>
      </c>
      <c r="AF235" s="29">
        <f t="shared" si="1015"/>
        <v>0</v>
      </c>
      <c r="AG235" s="12"/>
      <c r="AH235" s="29">
        <f>SUM(AH232:AH234)</f>
        <v>0</v>
      </c>
      <c r="AI235" s="29">
        <f t="shared" ref="AI235:AK235" si="1016">SUM(AI232:AI234)</f>
        <v>0</v>
      </c>
      <c r="AJ235" s="29">
        <f t="shared" si="1016"/>
        <v>0</v>
      </c>
      <c r="AK235" s="29">
        <f t="shared" si="1016"/>
        <v>0</v>
      </c>
      <c r="AL235" s="12"/>
      <c r="AM235" s="29">
        <f>SUM(AM232:AM234)</f>
        <v>0</v>
      </c>
      <c r="AN235" s="29">
        <f>SUM(AN232:AN234)</f>
        <v>0</v>
      </c>
      <c r="AO235" s="1"/>
      <c r="AP235" s="25">
        <f>ROUND(SUM(AC235:AF235)-AM235,2)</f>
        <v>0</v>
      </c>
      <c r="AQ235" s="25">
        <f>ROUND(SUM(AH235:AK235)-AN235,2)</f>
        <v>0</v>
      </c>
    </row>
    <row r="237" spans="2:43" x14ac:dyDescent="0.2">
      <c r="B237" s="30" t="s">
        <v>117</v>
      </c>
      <c r="C237" s="99">
        <v>0</v>
      </c>
      <c r="D237" s="99">
        <v>934.46</v>
      </c>
      <c r="E237" s="99">
        <v>0</v>
      </c>
      <c r="F237" s="99">
        <v>0</v>
      </c>
      <c r="G237" s="99">
        <v>0</v>
      </c>
      <c r="H237" s="99">
        <v>0</v>
      </c>
      <c r="I237" s="99">
        <v>0</v>
      </c>
      <c r="J237" s="99">
        <v>0</v>
      </c>
      <c r="K237" s="99">
        <v>0</v>
      </c>
      <c r="L237" s="99">
        <v>0</v>
      </c>
      <c r="M237" s="99">
        <v>0</v>
      </c>
      <c r="N237" s="13">
        <v>0</v>
      </c>
      <c r="P237" s="13">
        <v>0</v>
      </c>
      <c r="Q237" s="13">
        <v>0</v>
      </c>
      <c r="R237" s="13">
        <f>+Q237+(Q237*$R$2)</f>
        <v>0</v>
      </c>
      <c r="S237" s="13">
        <f>+R237</f>
        <v>0</v>
      </c>
      <c r="T237" s="13">
        <f t="shared" ref="T237:AA237" si="1017">+S237</f>
        <v>0</v>
      </c>
      <c r="U237" s="13">
        <f t="shared" si="1017"/>
        <v>0</v>
      </c>
      <c r="V237" s="13">
        <f t="shared" si="1017"/>
        <v>0</v>
      </c>
      <c r="W237" s="13">
        <f t="shared" si="1017"/>
        <v>0</v>
      </c>
      <c r="X237" s="13">
        <f t="shared" si="1017"/>
        <v>0</v>
      </c>
      <c r="Y237" s="13">
        <f t="shared" si="1017"/>
        <v>0</v>
      </c>
      <c r="Z237" s="13">
        <f t="shared" si="1017"/>
        <v>0</v>
      </c>
      <c r="AA237" s="13">
        <f t="shared" si="1017"/>
        <v>0</v>
      </c>
      <c r="AB237" s="8"/>
      <c r="AC237" s="4">
        <f>SUM(C237:E237)</f>
        <v>934.46</v>
      </c>
      <c r="AD237" s="4">
        <f>SUM(F237:H237)</f>
        <v>0</v>
      </c>
      <c r="AE237" s="4">
        <f>SUM(I237:K237)</f>
        <v>0</v>
      </c>
      <c r="AF237" s="4">
        <f>SUM(L237:N237)</f>
        <v>0</v>
      </c>
      <c r="AG237" s="4"/>
      <c r="AH237" s="4">
        <f>SUM(P237:R237)</f>
        <v>0</v>
      </c>
      <c r="AI237" s="4">
        <f>SUM(S237:U237)</f>
        <v>0</v>
      </c>
      <c r="AJ237" s="4">
        <f>SUM(V237:X237)</f>
        <v>0</v>
      </c>
      <c r="AK237" s="4">
        <f>SUM(Y237:AA237)</f>
        <v>0</v>
      </c>
      <c r="AL237" s="4"/>
      <c r="AM237" s="4">
        <f>SUM(C237:N237)</f>
        <v>934.46</v>
      </c>
      <c r="AN237" s="4">
        <f>SUM(P237:AA237)</f>
        <v>0</v>
      </c>
      <c r="AO237" s="1"/>
      <c r="AP237" s="25">
        <f>ROUND(SUM(AC237:AF237)-AM237,2)</f>
        <v>0</v>
      </c>
      <c r="AQ237" s="25">
        <f>ROUND(SUM(AH237:AK237)-AN237,2)</f>
        <v>0</v>
      </c>
    </row>
    <row r="238" spans="2:43" x14ac:dyDescent="0.2">
      <c r="B238" s="30" t="s">
        <v>25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13">
        <v>0</v>
      </c>
      <c r="P238" s="13">
        <v>0</v>
      </c>
      <c r="Q238" s="13">
        <v>0</v>
      </c>
      <c r="R238" s="13">
        <v>0</v>
      </c>
      <c r="S238" s="13">
        <f>+R238</f>
        <v>0</v>
      </c>
      <c r="T238" s="13">
        <f t="shared" ref="T238:AA238" si="1018">+S238</f>
        <v>0</v>
      </c>
      <c r="U238" s="13">
        <f t="shared" si="1018"/>
        <v>0</v>
      </c>
      <c r="V238" s="13">
        <f t="shared" si="1018"/>
        <v>0</v>
      </c>
      <c r="W238" s="13">
        <f t="shared" si="1018"/>
        <v>0</v>
      </c>
      <c r="X238" s="13">
        <f t="shared" si="1018"/>
        <v>0</v>
      </c>
      <c r="Y238" s="13">
        <f t="shared" si="1018"/>
        <v>0</v>
      </c>
      <c r="Z238" s="13">
        <f t="shared" si="1018"/>
        <v>0</v>
      </c>
      <c r="AA238" s="13">
        <f t="shared" si="1018"/>
        <v>0</v>
      </c>
      <c r="AB238" s="8"/>
      <c r="AC238" s="4">
        <f>SUM(C238:E238)</f>
        <v>0</v>
      </c>
      <c r="AD238" s="4">
        <f>SUM(F238:H238)</f>
        <v>0</v>
      </c>
      <c r="AE238" s="4">
        <f>SUM(I238:K238)</f>
        <v>0</v>
      </c>
      <c r="AF238" s="4">
        <f>SUM(L238:N238)</f>
        <v>0</v>
      </c>
      <c r="AG238" s="4"/>
      <c r="AH238" s="4">
        <f t="shared" ref="AH238:AH239" si="1019">SUM(P238:R238)</f>
        <v>0</v>
      </c>
      <c r="AI238" s="4">
        <f t="shared" ref="AI238:AI239" si="1020">SUM(S238:U238)</f>
        <v>0</v>
      </c>
      <c r="AJ238" s="4">
        <f t="shared" ref="AJ238:AJ239" si="1021">SUM(V238:X238)</f>
        <v>0</v>
      </c>
      <c r="AK238" s="4">
        <f t="shared" ref="AK238:AK239" si="1022">SUM(Y238:AA238)</f>
        <v>0</v>
      </c>
      <c r="AL238" s="4"/>
      <c r="AM238" s="4">
        <f t="shared" ref="AM238:AM239" si="1023">SUM(C238:N238)</f>
        <v>0</v>
      </c>
      <c r="AN238" s="4">
        <f t="shared" ref="AN238:AN239" si="1024">SUM(P238:AA238)</f>
        <v>0</v>
      </c>
      <c r="AO238" s="1"/>
      <c r="AP238" s="25">
        <f t="shared" ref="AP238:AP239" si="1025">ROUND(SUM(AC238:AF238)-AM238,2)</f>
        <v>0</v>
      </c>
      <c r="AQ238" s="25">
        <f t="shared" ref="AQ238:AQ239" si="1026">ROUND(SUM(AH238:AK238)-AN238,2)</f>
        <v>0</v>
      </c>
    </row>
    <row r="239" spans="2:43" x14ac:dyDescent="0.2">
      <c r="B239" s="30" t="s">
        <v>118</v>
      </c>
      <c r="C239" s="99">
        <v>0</v>
      </c>
      <c r="D239" s="99">
        <v>173.16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13">
        <v>0</v>
      </c>
      <c r="P239" s="13">
        <v>0</v>
      </c>
      <c r="Q239" s="13">
        <v>0</v>
      </c>
      <c r="R239" s="13">
        <f>IFERROR(R237*(Q239/Q237),0)</f>
        <v>0</v>
      </c>
      <c r="S239" s="13">
        <f>+R239</f>
        <v>0</v>
      </c>
      <c r="T239" s="13">
        <f t="shared" ref="T239:AA239" si="1027">+S239</f>
        <v>0</v>
      </c>
      <c r="U239" s="13">
        <f t="shared" si="1027"/>
        <v>0</v>
      </c>
      <c r="V239" s="13">
        <f t="shared" si="1027"/>
        <v>0</v>
      </c>
      <c r="W239" s="13">
        <f t="shared" si="1027"/>
        <v>0</v>
      </c>
      <c r="X239" s="13">
        <f t="shared" si="1027"/>
        <v>0</v>
      </c>
      <c r="Y239" s="13">
        <f t="shared" si="1027"/>
        <v>0</v>
      </c>
      <c r="Z239" s="13">
        <f t="shared" si="1027"/>
        <v>0</v>
      </c>
      <c r="AA239" s="13">
        <f t="shared" si="1027"/>
        <v>0</v>
      </c>
      <c r="AB239" s="8"/>
      <c r="AC239" s="4">
        <f>SUM(C239:E239)</f>
        <v>173.16</v>
      </c>
      <c r="AD239" s="4">
        <f>SUM(F239:H239)</f>
        <v>0</v>
      </c>
      <c r="AE239" s="4">
        <f>SUM(I239:K239)</f>
        <v>0</v>
      </c>
      <c r="AF239" s="4">
        <f>SUM(L239:N239)</f>
        <v>0</v>
      </c>
      <c r="AG239" s="4"/>
      <c r="AH239" s="4">
        <f t="shared" si="1019"/>
        <v>0</v>
      </c>
      <c r="AI239" s="4">
        <f t="shared" si="1020"/>
        <v>0</v>
      </c>
      <c r="AJ239" s="4">
        <f t="shared" si="1021"/>
        <v>0</v>
      </c>
      <c r="AK239" s="4">
        <f t="shared" si="1022"/>
        <v>0</v>
      </c>
      <c r="AL239" s="4"/>
      <c r="AM239" s="4">
        <f t="shared" si="1023"/>
        <v>173.16</v>
      </c>
      <c r="AN239" s="4">
        <f t="shared" si="1024"/>
        <v>0</v>
      </c>
      <c r="AO239" s="1"/>
      <c r="AP239" s="25">
        <f t="shared" si="1025"/>
        <v>0</v>
      </c>
      <c r="AQ239" s="25">
        <f t="shared" si="1026"/>
        <v>0</v>
      </c>
    </row>
    <row r="240" spans="2:43" x14ac:dyDescent="0.2">
      <c r="B240" s="28" t="s">
        <v>71</v>
      </c>
      <c r="C240" s="29">
        <f>SUM(C237:C239)</f>
        <v>0</v>
      </c>
      <c r="D240" s="29">
        <f t="shared" ref="D240" si="1028">SUM(D237:D239)</f>
        <v>1107.6200000000001</v>
      </c>
      <c r="E240" s="29">
        <f t="shared" ref="E240" si="1029">SUM(E237:E239)</f>
        <v>0</v>
      </c>
      <c r="F240" s="29">
        <f t="shared" ref="F240" si="1030">SUM(F237:F239)</f>
        <v>0</v>
      </c>
      <c r="G240" s="29">
        <f t="shared" ref="G240" si="1031">SUM(G237:G239)</f>
        <v>0</v>
      </c>
      <c r="H240" s="29">
        <f t="shared" ref="H240" si="1032">SUM(H237:H239)</f>
        <v>0</v>
      </c>
      <c r="I240" s="29">
        <f t="shared" ref="I240" si="1033">SUM(I237:I239)</f>
        <v>0</v>
      </c>
      <c r="J240" s="29">
        <f t="shared" ref="J240" si="1034">SUM(J237:J239)</f>
        <v>0</v>
      </c>
      <c r="K240" s="29">
        <f t="shared" ref="K240" si="1035">SUM(K237:K239)</f>
        <v>0</v>
      </c>
      <c r="L240" s="29">
        <f t="shared" ref="L240" si="1036">SUM(L237:L239)</f>
        <v>0</v>
      </c>
      <c r="M240" s="29">
        <f t="shared" ref="M240" si="1037">SUM(M237:M239)</f>
        <v>0</v>
      </c>
      <c r="N240" s="29">
        <f t="shared" ref="N240:AA240" si="1038">SUM(N237:N239)</f>
        <v>0</v>
      </c>
      <c r="P240" s="29">
        <f t="shared" si="1038"/>
        <v>0</v>
      </c>
      <c r="Q240" s="29">
        <f t="shared" si="1038"/>
        <v>0</v>
      </c>
      <c r="R240" s="29">
        <f t="shared" si="1038"/>
        <v>0</v>
      </c>
      <c r="S240" s="29">
        <f t="shared" si="1038"/>
        <v>0</v>
      </c>
      <c r="T240" s="29">
        <f t="shared" si="1038"/>
        <v>0</v>
      </c>
      <c r="U240" s="29">
        <f t="shared" si="1038"/>
        <v>0</v>
      </c>
      <c r="V240" s="29">
        <f t="shared" si="1038"/>
        <v>0</v>
      </c>
      <c r="W240" s="29">
        <f t="shared" si="1038"/>
        <v>0</v>
      </c>
      <c r="X240" s="29">
        <f t="shared" si="1038"/>
        <v>0</v>
      </c>
      <c r="Y240" s="29">
        <f t="shared" si="1038"/>
        <v>0</v>
      </c>
      <c r="Z240" s="29">
        <f t="shared" si="1038"/>
        <v>0</v>
      </c>
      <c r="AA240" s="29">
        <f t="shared" si="1038"/>
        <v>0</v>
      </c>
      <c r="AB240" s="8"/>
      <c r="AC240" s="29">
        <f t="shared" ref="AC240" si="1039">SUM(AC237:AC239)</f>
        <v>1107.6200000000001</v>
      </c>
      <c r="AD240" s="29">
        <f t="shared" ref="AD240" si="1040">SUM(AD237:AD239)</f>
        <v>0</v>
      </c>
      <c r="AE240" s="29">
        <f t="shared" ref="AE240" si="1041">SUM(AE237:AE239)</f>
        <v>0</v>
      </c>
      <c r="AF240" s="29">
        <f t="shared" ref="AF240" si="1042">SUM(AF237:AF239)</f>
        <v>0</v>
      </c>
      <c r="AG240" s="12"/>
      <c r="AH240" s="29">
        <f>SUM(AH237:AH239)</f>
        <v>0</v>
      </c>
      <c r="AI240" s="29">
        <f t="shared" ref="AI240:AK240" si="1043">SUM(AI237:AI239)</f>
        <v>0</v>
      </c>
      <c r="AJ240" s="29">
        <f t="shared" si="1043"/>
        <v>0</v>
      </c>
      <c r="AK240" s="29">
        <f t="shared" si="1043"/>
        <v>0</v>
      </c>
      <c r="AL240" s="12"/>
      <c r="AM240" s="29">
        <f>SUM(AM237:AM239)</f>
        <v>1107.6200000000001</v>
      </c>
      <c r="AN240" s="29">
        <f>SUM(AN237:AN239)</f>
        <v>0</v>
      </c>
      <c r="AO240" s="1"/>
      <c r="AP240" s="25">
        <f>ROUND(SUM(AC240:AF240)-AM240,2)</f>
        <v>0</v>
      </c>
      <c r="AQ240" s="25">
        <f>ROUND(SUM(AH240:AK240)-AN240,2)</f>
        <v>0</v>
      </c>
    </row>
    <row r="242" spans="2:43" x14ac:dyDescent="0.2">
      <c r="B242" s="30" t="s">
        <v>117</v>
      </c>
      <c r="C242" s="99">
        <v>5856.7</v>
      </c>
      <c r="D242" s="99">
        <v>5837.59</v>
      </c>
      <c r="E242" s="99">
        <v>5856.74</v>
      </c>
      <c r="F242" s="99">
        <v>5631.07</v>
      </c>
      <c r="G242" s="99">
        <v>5864.7</v>
      </c>
      <c r="H242" s="99">
        <v>5864.7</v>
      </c>
      <c r="I242" s="99">
        <v>8144.75</v>
      </c>
      <c r="J242" s="99">
        <v>5864.74</v>
      </c>
      <c r="K242" s="99">
        <v>5864.7</v>
      </c>
      <c r="L242" s="99">
        <v>5864.7</v>
      </c>
      <c r="M242" s="99">
        <v>0</v>
      </c>
      <c r="N242" s="13">
        <v>0</v>
      </c>
      <c r="P242" s="13">
        <v>0</v>
      </c>
      <c r="Q242" s="13">
        <v>0</v>
      </c>
      <c r="R242" s="13">
        <f>+Q242+(Q242*$R$2)</f>
        <v>0</v>
      </c>
      <c r="S242" s="13">
        <f>+R242</f>
        <v>0</v>
      </c>
      <c r="T242" s="13">
        <f t="shared" ref="T242:AA242" si="1044">+S242</f>
        <v>0</v>
      </c>
      <c r="U242" s="13">
        <f t="shared" si="1044"/>
        <v>0</v>
      </c>
      <c r="V242" s="13">
        <f t="shared" si="1044"/>
        <v>0</v>
      </c>
      <c r="W242" s="13">
        <f t="shared" si="1044"/>
        <v>0</v>
      </c>
      <c r="X242" s="13">
        <f t="shared" si="1044"/>
        <v>0</v>
      </c>
      <c r="Y242" s="13">
        <f t="shared" si="1044"/>
        <v>0</v>
      </c>
      <c r="Z242" s="13">
        <f t="shared" si="1044"/>
        <v>0</v>
      </c>
      <c r="AA242" s="13">
        <f t="shared" si="1044"/>
        <v>0</v>
      </c>
      <c r="AB242" s="8"/>
      <c r="AC242" s="4">
        <f>SUM(C242:E242)</f>
        <v>17551.03</v>
      </c>
      <c r="AD242" s="4">
        <f>SUM(F242:H242)</f>
        <v>17360.47</v>
      </c>
      <c r="AE242" s="4">
        <f>SUM(I242:K242)</f>
        <v>19874.189999999999</v>
      </c>
      <c r="AF242" s="4">
        <f>SUM(L242:N242)</f>
        <v>5864.7</v>
      </c>
      <c r="AG242" s="4"/>
      <c r="AH242" s="4">
        <f>SUM(P242:R242)</f>
        <v>0</v>
      </c>
      <c r="AI242" s="4">
        <f>SUM(S242:U242)</f>
        <v>0</v>
      </c>
      <c r="AJ242" s="4">
        <f>SUM(V242:X242)</f>
        <v>0</v>
      </c>
      <c r="AK242" s="4">
        <f>SUM(Y242:AA242)</f>
        <v>0</v>
      </c>
      <c r="AL242" s="4"/>
      <c r="AM242" s="4">
        <f>SUM(C242:N242)</f>
        <v>60650.389999999992</v>
      </c>
      <c r="AN242" s="4">
        <f>SUM(P242:AA242)</f>
        <v>0</v>
      </c>
      <c r="AO242" s="1"/>
      <c r="AP242" s="25">
        <f>ROUND(SUM(AC242:AF242)-AM242,2)</f>
        <v>0</v>
      </c>
      <c r="AQ242" s="25">
        <f>ROUND(SUM(AH242:AK242)-AN242,2)</f>
        <v>0</v>
      </c>
    </row>
    <row r="243" spans="2:43" x14ac:dyDescent="0.2">
      <c r="B243" s="30" t="s">
        <v>25</v>
      </c>
      <c r="C243" s="99">
        <v>0</v>
      </c>
      <c r="D243" s="99">
        <v>3152.76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13">
        <v>0</v>
      </c>
      <c r="P243" s="13">
        <v>0</v>
      </c>
      <c r="Q243" s="13">
        <v>0</v>
      </c>
      <c r="R243" s="13">
        <v>0</v>
      </c>
      <c r="S243" s="13">
        <f>+R243</f>
        <v>0</v>
      </c>
      <c r="T243" s="13">
        <f t="shared" ref="T243:AA243" si="1045">+S243</f>
        <v>0</v>
      </c>
      <c r="U243" s="13">
        <f t="shared" si="1045"/>
        <v>0</v>
      </c>
      <c r="V243" s="13">
        <f t="shared" si="1045"/>
        <v>0</v>
      </c>
      <c r="W243" s="13">
        <f t="shared" si="1045"/>
        <v>0</v>
      </c>
      <c r="X243" s="13">
        <f t="shared" si="1045"/>
        <v>0</v>
      </c>
      <c r="Y243" s="13">
        <f t="shared" si="1045"/>
        <v>0</v>
      </c>
      <c r="Z243" s="13">
        <f t="shared" si="1045"/>
        <v>0</v>
      </c>
      <c r="AA243" s="13">
        <f t="shared" si="1045"/>
        <v>0</v>
      </c>
      <c r="AB243" s="8"/>
      <c r="AC243" s="4">
        <f>SUM(C243:E243)</f>
        <v>3152.76</v>
      </c>
      <c r="AD243" s="4">
        <f>SUM(F243:H243)</f>
        <v>0</v>
      </c>
      <c r="AE243" s="4">
        <f>SUM(I243:K243)</f>
        <v>0</v>
      </c>
      <c r="AF243" s="4">
        <f>SUM(L243:N243)</f>
        <v>0</v>
      </c>
      <c r="AG243" s="4"/>
      <c r="AH243" s="4">
        <f t="shared" ref="AH243:AH244" si="1046">SUM(P243:R243)</f>
        <v>0</v>
      </c>
      <c r="AI243" s="4">
        <f t="shared" ref="AI243:AI244" si="1047">SUM(S243:U243)</f>
        <v>0</v>
      </c>
      <c r="AJ243" s="4">
        <f t="shared" ref="AJ243:AJ244" si="1048">SUM(V243:X243)</f>
        <v>0</v>
      </c>
      <c r="AK243" s="4">
        <f t="shared" ref="AK243:AK244" si="1049">SUM(Y243:AA243)</f>
        <v>0</v>
      </c>
      <c r="AL243" s="4"/>
      <c r="AM243" s="4">
        <f t="shared" ref="AM243:AM244" si="1050">SUM(C243:N243)</f>
        <v>3152.76</v>
      </c>
      <c r="AN243" s="4">
        <f t="shared" ref="AN243:AN244" si="1051">SUM(P243:AA243)</f>
        <v>0</v>
      </c>
      <c r="AO243" s="1"/>
      <c r="AP243" s="25">
        <f t="shared" ref="AP243:AP244" si="1052">ROUND(SUM(AC243:AF243)-AM243,2)</f>
        <v>0</v>
      </c>
      <c r="AQ243" s="25">
        <f t="shared" ref="AQ243:AQ244" si="1053">ROUND(SUM(AH243:AK243)-AN243,2)</f>
        <v>0</v>
      </c>
    </row>
    <row r="244" spans="2:43" x14ac:dyDescent="0.2">
      <c r="B244" s="30" t="s">
        <v>118</v>
      </c>
      <c r="C244" s="99">
        <v>1139.8800000000001</v>
      </c>
      <c r="D244" s="99">
        <v>1614.37</v>
      </c>
      <c r="E244" s="99">
        <v>1005.96</v>
      </c>
      <c r="F244" s="99">
        <v>1231.6299999999999</v>
      </c>
      <c r="G244" s="99">
        <v>998</v>
      </c>
      <c r="H244" s="99">
        <v>998</v>
      </c>
      <c r="I244" s="99">
        <v>1885.21</v>
      </c>
      <c r="J244" s="99">
        <v>997.96</v>
      </c>
      <c r="K244" s="99">
        <v>998</v>
      </c>
      <c r="L244" s="99">
        <v>998</v>
      </c>
      <c r="M244" s="99">
        <v>0</v>
      </c>
      <c r="N244" s="13">
        <v>0</v>
      </c>
      <c r="P244" s="13">
        <v>0</v>
      </c>
      <c r="Q244" s="13">
        <v>0</v>
      </c>
      <c r="R244" s="13">
        <f>IFERROR(R242*(Q244/Q242),0)</f>
        <v>0</v>
      </c>
      <c r="S244" s="13">
        <f>+R244</f>
        <v>0</v>
      </c>
      <c r="T244" s="13">
        <f t="shared" ref="T244:AA244" si="1054">+S244</f>
        <v>0</v>
      </c>
      <c r="U244" s="13">
        <f t="shared" si="1054"/>
        <v>0</v>
      </c>
      <c r="V244" s="13">
        <f t="shared" si="1054"/>
        <v>0</v>
      </c>
      <c r="W244" s="13">
        <f t="shared" si="1054"/>
        <v>0</v>
      </c>
      <c r="X244" s="13">
        <f t="shared" si="1054"/>
        <v>0</v>
      </c>
      <c r="Y244" s="13">
        <f t="shared" si="1054"/>
        <v>0</v>
      </c>
      <c r="Z244" s="13">
        <f t="shared" si="1054"/>
        <v>0</v>
      </c>
      <c r="AA244" s="13">
        <f t="shared" si="1054"/>
        <v>0</v>
      </c>
      <c r="AB244" s="8"/>
      <c r="AC244" s="4">
        <f>SUM(C244:E244)</f>
        <v>3760.21</v>
      </c>
      <c r="AD244" s="4">
        <f>SUM(F244:H244)</f>
        <v>3227.63</v>
      </c>
      <c r="AE244" s="4">
        <f>SUM(I244:K244)</f>
        <v>3881.17</v>
      </c>
      <c r="AF244" s="4">
        <f>SUM(L244:N244)</f>
        <v>998</v>
      </c>
      <c r="AG244" s="4"/>
      <c r="AH244" s="4">
        <f t="shared" si="1046"/>
        <v>0</v>
      </c>
      <c r="AI244" s="4">
        <f t="shared" si="1047"/>
        <v>0</v>
      </c>
      <c r="AJ244" s="4">
        <f t="shared" si="1048"/>
        <v>0</v>
      </c>
      <c r="AK244" s="4">
        <f t="shared" si="1049"/>
        <v>0</v>
      </c>
      <c r="AL244" s="4"/>
      <c r="AM244" s="4">
        <f t="shared" si="1050"/>
        <v>11867.009999999998</v>
      </c>
      <c r="AN244" s="4">
        <f t="shared" si="1051"/>
        <v>0</v>
      </c>
      <c r="AO244" s="1"/>
      <c r="AP244" s="25">
        <f t="shared" si="1052"/>
        <v>0</v>
      </c>
      <c r="AQ244" s="25">
        <f t="shared" si="1053"/>
        <v>0</v>
      </c>
    </row>
    <row r="245" spans="2:43" x14ac:dyDescent="0.2">
      <c r="B245" s="28" t="s">
        <v>5</v>
      </c>
      <c r="C245" s="29">
        <f>SUM(C242:C244)</f>
        <v>6996.58</v>
      </c>
      <c r="D245" s="29">
        <f t="shared" ref="D245" si="1055">SUM(D242:D244)</f>
        <v>10604.720000000001</v>
      </c>
      <c r="E245" s="29">
        <f t="shared" ref="E245" si="1056">SUM(E242:E244)</f>
        <v>6862.7</v>
      </c>
      <c r="F245" s="29">
        <f t="shared" ref="F245" si="1057">SUM(F242:F244)</f>
        <v>6862.7</v>
      </c>
      <c r="G245" s="29">
        <f t="shared" ref="G245" si="1058">SUM(G242:G244)</f>
        <v>6862.7</v>
      </c>
      <c r="H245" s="29">
        <f t="shared" ref="H245" si="1059">SUM(H242:H244)</f>
        <v>6862.7</v>
      </c>
      <c r="I245" s="29">
        <f t="shared" ref="I245" si="1060">SUM(I242:I244)</f>
        <v>10029.959999999999</v>
      </c>
      <c r="J245" s="29">
        <f t="shared" ref="J245" si="1061">SUM(J242:J244)</f>
        <v>6862.7</v>
      </c>
      <c r="K245" s="29">
        <f t="shared" ref="K245" si="1062">SUM(K242:K244)</f>
        <v>6862.7</v>
      </c>
      <c r="L245" s="29">
        <f t="shared" ref="L245" si="1063">SUM(L242:L244)</f>
        <v>6862.7</v>
      </c>
      <c r="M245" s="29">
        <f t="shared" ref="M245" si="1064">SUM(M242:M244)</f>
        <v>0</v>
      </c>
      <c r="N245" s="29">
        <f t="shared" ref="N245:AA245" si="1065">SUM(N242:N244)</f>
        <v>0</v>
      </c>
      <c r="P245" s="29">
        <f t="shared" si="1065"/>
        <v>0</v>
      </c>
      <c r="Q245" s="29">
        <f t="shared" si="1065"/>
        <v>0</v>
      </c>
      <c r="R245" s="29">
        <f t="shared" si="1065"/>
        <v>0</v>
      </c>
      <c r="S245" s="29">
        <f t="shared" si="1065"/>
        <v>0</v>
      </c>
      <c r="T245" s="29">
        <f t="shared" si="1065"/>
        <v>0</v>
      </c>
      <c r="U245" s="29">
        <f t="shared" si="1065"/>
        <v>0</v>
      </c>
      <c r="V245" s="29">
        <f t="shared" si="1065"/>
        <v>0</v>
      </c>
      <c r="W245" s="29">
        <f t="shared" si="1065"/>
        <v>0</v>
      </c>
      <c r="X245" s="29">
        <f t="shared" si="1065"/>
        <v>0</v>
      </c>
      <c r="Y245" s="29">
        <f t="shared" si="1065"/>
        <v>0</v>
      </c>
      <c r="Z245" s="29">
        <f t="shared" si="1065"/>
        <v>0</v>
      </c>
      <c r="AA245" s="29">
        <f t="shared" si="1065"/>
        <v>0</v>
      </c>
      <c r="AB245" s="8"/>
      <c r="AC245" s="29">
        <f t="shared" ref="AC245" si="1066">SUM(AC242:AC244)</f>
        <v>24464</v>
      </c>
      <c r="AD245" s="29">
        <f t="shared" ref="AD245" si="1067">SUM(AD242:AD244)</f>
        <v>20588.100000000002</v>
      </c>
      <c r="AE245" s="29">
        <f t="shared" ref="AE245" si="1068">SUM(AE242:AE244)</f>
        <v>23755.360000000001</v>
      </c>
      <c r="AF245" s="29">
        <f t="shared" ref="AF245" si="1069">SUM(AF242:AF244)</f>
        <v>6862.7</v>
      </c>
      <c r="AG245" s="12"/>
      <c r="AH245" s="29">
        <f>SUM(AH242:AH244)</f>
        <v>0</v>
      </c>
      <c r="AI245" s="29">
        <f t="shared" ref="AI245:AK245" si="1070">SUM(AI242:AI244)</f>
        <v>0</v>
      </c>
      <c r="AJ245" s="29">
        <f t="shared" si="1070"/>
        <v>0</v>
      </c>
      <c r="AK245" s="29">
        <f t="shared" si="1070"/>
        <v>0</v>
      </c>
      <c r="AL245" s="12"/>
      <c r="AM245" s="29">
        <f>SUM(AM242:AM244)</f>
        <v>75670.159999999989</v>
      </c>
      <c r="AN245" s="29">
        <f>SUM(AN242:AN244)</f>
        <v>0</v>
      </c>
      <c r="AO245" s="1"/>
      <c r="AP245" s="25">
        <f>ROUND(SUM(AC245:AF245)-AM245,2)</f>
        <v>0</v>
      </c>
      <c r="AQ245" s="25">
        <f>ROUND(SUM(AH245:AK245)-AN245,2)</f>
        <v>0</v>
      </c>
    </row>
    <row r="247" spans="2:43" x14ac:dyDescent="0.2">
      <c r="B247" s="30" t="s">
        <v>117</v>
      </c>
      <c r="C247" s="99">
        <f>26078.16</f>
        <v>26078.16</v>
      </c>
      <c r="D247" s="99">
        <v>23558.799999999999</v>
      </c>
      <c r="E247" s="99">
        <v>23705.840000000004</v>
      </c>
      <c r="F247" s="99">
        <v>25217.190000000002</v>
      </c>
      <c r="G247" s="99">
        <v>25822.240000000005</v>
      </c>
      <c r="H247" s="99">
        <v>25822.280000000006</v>
      </c>
      <c r="I247" s="99">
        <v>25824.3</v>
      </c>
      <c r="J247" s="99">
        <v>25826.360000000008</v>
      </c>
      <c r="K247" s="99">
        <v>25826.360000000008</v>
      </c>
      <c r="L247" s="99">
        <v>25826.360000000008</v>
      </c>
      <c r="M247" s="99">
        <v>25812.080000000002</v>
      </c>
      <c r="N247" s="13">
        <v>26000</v>
      </c>
      <c r="P247" s="13">
        <v>26000</v>
      </c>
      <c r="Q247" s="13">
        <v>26000</v>
      </c>
      <c r="R247" s="13">
        <v>26000</v>
      </c>
      <c r="S247" s="13">
        <v>26000</v>
      </c>
      <c r="T247" s="13">
        <v>26000</v>
      </c>
      <c r="U247" s="13">
        <v>26000</v>
      </c>
      <c r="V247" s="13">
        <v>26000</v>
      </c>
      <c r="W247" s="13">
        <v>26000</v>
      </c>
      <c r="X247" s="13">
        <v>26000</v>
      </c>
      <c r="Y247" s="13">
        <v>26000</v>
      </c>
      <c r="Z247" s="13">
        <v>26000</v>
      </c>
      <c r="AA247" s="13">
        <v>26000</v>
      </c>
      <c r="AB247" s="8"/>
      <c r="AC247" s="4">
        <f>SUM(C247:E247)</f>
        <v>73342.8</v>
      </c>
      <c r="AD247" s="4">
        <f>SUM(F247:H247)</f>
        <v>76861.710000000021</v>
      </c>
      <c r="AE247" s="4">
        <f>SUM(I247:K247)</f>
        <v>77477.020000000019</v>
      </c>
      <c r="AF247" s="4">
        <f>SUM(L247:N247)</f>
        <v>77638.44</v>
      </c>
      <c r="AG247" s="4"/>
      <c r="AH247" s="4">
        <f>SUM(P247:R247)</f>
        <v>78000</v>
      </c>
      <c r="AI247" s="4">
        <f>SUM(S247:U247)</f>
        <v>78000</v>
      </c>
      <c r="AJ247" s="4">
        <f>SUM(V247:X247)</f>
        <v>78000</v>
      </c>
      <c r="AK247" s="4">
        <f>SUM(Y247:AA247)</f>
        <v>78000</v>
      </c>
      <c r="AL247" s="4"/>
      <c r="AM247" s="4">
        <f>SUM(C247:N247)</f>
        <v>305319.97000000003</v>
      </c>
      <c r="AN247" s="4">
        <f>SUM(P247:AA247)</f>
        <v>312000</v>
      </c>
      <c r="AO247" s="1"/>
      <c r="AP247" s="25">
        <f>ROUND(SUM(AC247:AF247)-AM247,2)</f>
        <v>0</v>
      </c>
      <c r="AQ247" s="25">
        <f>ROUND(SUM(AH247:AK247)-AN247,2)</f>
        <v>0</v>
      </c>
    </row>
    <row r="248" spans="2:43" x14ac:dyDescent="0.2">
      <c r="B248" s="30" t="s">
        <v>25</v>
      </c>
      <c r="C248" s="99">
        <v>0</v>
      </c>
      <c r="D248" s="99">
        <v>22616.46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13">
        <v>0</v>
      </c>
      <c r="P248" s="13">
        <v>0</v>
      </c>
      <c r="Q248" s="13">
        <f>+H333+I333</f>
        <v>151200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8"/>
      <c r="AC248" s="4">
        <f>SUM(C248:E248)</f>
        <v>22616.46</v>
      </c>
      <c r="AD248" s="4">
        <f>SUM(F248:H248)</f>
        <v>0</v>
      </c>
      <c r="AE248" s="4">
        <f>SUM(I248:K248)</f>
        <v>0</v>
      </c>
      <c r="AF248" s="4">
        <f>SUM(L248:N248)</f>
        <v>0</v>
      </c>
      <c r="AG248" s="4"/>
      <c r="AH248" s="4">
        <f t="shared" ref="AH248:AH249" si="1071">SUM(P248:R248)</f>
        <v>151200</v>
      </c>
      <c r="AI248" s="4">
        <f t="shared" ref="AI248:AI249" si="1072">SUM(S248:U248)</f>
        <v>0</v>
      </c>
      <c r="AJ248" s="4">
        <f t="shared" ref="AJ248:AJ249" si="1073">SUM(V248:X248)</f>
        <v>0</v>
      </c>
      <c r="AK248" s="4">
        <f t="shared" ref="AK248:AK249" si="1074">SUM(Y248:AA248)</f>
        <v>0</v>
      </c>
      <c r="AL248" s="4"/>
      <c r="AM248" s="4">
        <f t="shared" ref="AM248:AM249" si="1075">SUM(C248:N248)</f>
        <v>22616.46</v>
      </c>
      <c r="AN248" s="4">
        <f t="shared" ref="AN248:AN249" si="1076">SUM(P248:AA248)</f>
        <v>151200</v>
      </c>
      <c r="AO248" s="1"/>
      <c r="AP248" s="25">
        <f t="shared" ref="AP248:AP249" si="1077">ROUND(SUM(AC248:AF248)-AM248,2)</f>
        <v>0</v>
      </c>
      <c r="AQ248" s="25">
        <f t="shared" ref="AQ248:AQ249" si="1078">ROUND(SUM(AH248:AK248)-AN248,2)</f>
        <v>0</v>
      </c>
    </row>
    <row r="249" spans="2:43" x14ac:dyDescent="0.2">
      <c r="B249" s="30" t="s">
        <v>118</v>
      </c>
      <c r="C249" s="99">
        <v>17860.919999999998</v>
      </c>
      <c r="D249" s="99">
        <v>36899.29</v>
      </c>
      <c r="E249" s="99">
        <v>16343.470000000003</v>
      </c>
      <c r="F249" s="99">
        <v>13315.74</v>
      </c>
      <c r="G249" s="99">
        <v>11751.28</v>
      </c>
      <c r="H249" s="99">
        <v>11751.24</v>
      </c>
      <c r="I249" s="99">
        <v>11749.22</v>
      </c>
      <c r="J249" s="99">
        <v>11747.159999999998</v>
      </c>
      <c r="K249" s="99">
        <v>11747.159999999998</v>
      </c>
      <c r="L249" s="99">
        <v>11747.159999999998</v>
      </c>
      <c r="M249" s="99">
        <v>11735.92</v>
      </c>
      <c r="N249" s="13">
        <v>11800</v>
      </c>
      <c r="P249" s="13">
        <v>11800</v>
      </c>
      <c r="Q249" s="13">
        <v>11800</v>
      </c>
      <c r="R249" s="13">
        <v>11800</v>
      </c>
      <c r="S249" s="13">
        <v>11800</v>
      </c>
      <c r="T249" s="13">
        <v>11800</v>
      </c>
      <c r="U249" s="13">
        <v>11800</v>
      </c>
      <c r="V249" s="13">
        <v>11800</v>
      </c>
      <c r="W249" s="13">
        <v>11800</v>
      </c>
      <c r="X249" s="13">
        <v>11800</v>
      </c>
      <c r="Y249" s="13">
        <v>11800</v>
      </c>
      <c r="Z249" s="13">
        <v>11800</v>
      </c>
      <c r="AA249" s="13">
        <v>11800</v>
      </c>
      <c r="AB249" s="8"/>
      <c r="AC249" s="4">
        <f>SUM(C249:E249)</f>
        <v>71103.680000000008</v>
      </c>
      <c r="AD249" s="4">
        <f>SUM(F249:H249)</f>
        <v>36818.26</v>
      </c>
      <c r="AE249" s="4">
        <f>SUM(I249:K249)</f>
        <v>35243.539999999994</v>
      </c>
      <c r="AF249" s="4">
        <f>SUM(L249:N249)</f>
        <v>35283.08</v>
      </c>
      <c r="AG249" s="4"/>
      <c r="AH249" s="4">
        <f t="shared" si="1071"/>
        <v>35400</v>
      </c>
      <c r="AI249" s="4">
        <f t="shared" si="1072"/>
        <v>35400</v>
      </c>
      <c r="AJ249" s="4">
        <f t="shared" si="1073"/>
        <v>35400</v>
      </c>
      <c r="AK249" s="4">
        <f t="shared" si="1074"/>
        <v>35400</v>
      </c>
      <c r="AL249" s="4"/>
      <c r="AM249" s="4">
        <f t="shared" si="1075"/>
        <v>178448.56000000003</v>
      </c>
      <c r="AN249" s="4">
        <f t="shared" si="1076"/>
        <v>141600</v>
      </c>
      <c r="AO249" s="1"/>
      <c r="AP249" s="25">
        <f t="shared" si="1077"/>
        <v>0</v>
      </c>
      <c r="AQ249" s="25">
        <f t="shared" si="1078"/>
        <v>0</v>
      </c>
    </row>
    <row r="250" spans="2:43" x14ac:dyDescent="0.2">
      <c r="B250" s="28" t="s">
        <v>70</v>
      </c>
      <c r="C250" s="29">
        <f>SUM(C247:C249)</f>
        <v>43939.08</v>
      </c>
      <c r="D250" s="29">
        <f t="shared" ref="D250" si="1079">SUM(D247:D249)</f>
        <v>83074.549999999988</v>
      </c>
      <c r="E250" s="29">
        <f t="shared" ref="E250" si="1080">SUM(E247:E249)</f>
        <v>40049.310000000005</v>
      </c>
      <c r="F250" s="29">
        <f t="shared" ref="F250" si="1081">SUM(F247:F249)</f>
        <v>38532.93</v>
      </c>
      <c r="G250" s="29">
        <f t="shared" ref="G250" si="1082">SUM(G247:G249)</f>
        <v>37573.520000000004</v>
      </c>
      <c r="H250" s="29">
        <f t="shared" ref="H250" si="1083">SUM(H247:H249)</f>
        <v>37573.520000000004</v>
      </c>
      <c r="I250" s="29">
        <f t="shared" ref="I250" si="1084">SUM(I247:I249)</f>
        <v>37573.519999999997</v>
      </c>
      <c r="J250" s="29">
        <f t="shared" ref="J250" si="1085">SUM(J247:J249)</f>
        <v>37573.520000000004</v>
      </c>
      <c r="K250" s="29">
        <f t="shared" ref="K250" si="1086">SUM(K247:K249)</f>
        <v>37573.520000000004</v>
      </c>
      <c r="L250" s="29">
        <f t="shared" ref="L250" si="1087">SUM(L247:L249)</f>
        <v>37573.520000000004</v>
      </c>
      <c r="M250" s="29">
        <f t="shared" ref="M250" si="1088">SUM(M247:M249)</f>
        <v>37548</v>
      </c>
      <c r="N250" s="29">
        <f t="shared" ref="N250:AA250" si="1089">SUM(N247:N249)</f>
        <v>37800</v>
      </c>
      <c r="P250" s="29">
        <f t="shared" si="1089"/>
        <v>37800</v>
      </c>
      <c r="Q250" s="29">
        <f t="shared" si="1089"/>
        <v>189000</v>
      </c>
      <c r="R250" s="29">
        <f t="shared" si="1089"/>
        <v>37800</v>
      </c>
      <c r="S250" s="29">
        <f t="shared" si="1089"/>
        <v>37800</v>
      </c>
      <c r="T250" s="29">
        <f t="shared" si="1089"/>
        <v>37800</v>
      </c>
      <c r="U250" s="29">
        <f t="shared" si="1089"/>
        <v>37800</v>
      </c>
      <c r="V250" s="29">
        <f t="shared" si="1089"/>
        <v>37800</v>
      </c>
      <c r="W250" s="29">
        <f t="shared" si="1089"/>
        <v>37800</v>
      </c>
      <c r="X250" s="29">
        <f t="shared" si="1089"/>
        <v>37800</v>
      </c>
      <c r="Y250" s="29">
        <f t="shared" si="1089"/>
        <v>37800</v>
      </c>
      <c r="Z250" s="29">
        <f t="shared" si="1089"/>
        <v>37800</v>
      </c>
      <c r="AA250" s="29">
        <f t="shared" si="1089"/>
        <v>37800</v>
      </c>
      <c r="AB250" s="8"/>
      <c r="AC250" s="29">
        <f t="shared" ref="AC250" si="1090">SUM(AC247:AC249)</f>
        <v>167062.94</v>
      </c>
      <c r="AD250" s="29">
        <f t="shared" ref="AD250" si="1091">SUM(AD247:AD249)</f>
        <v>113679.97000000003</v>
      </c>
      <c r="AE250" s="29">
        <f t="shared" ref="AE250" si="1092">SUM(AE247:AE249)</f>
        <v>112720.56000000001</v>
      </c>
      <c r="AF250" s="29">
        <f t="shared" ref="AF250" si="1093">SUM(AF247:AF249)</f>
        <v>112921.52</v>
      </c>
      <c r="AG250" s="12"/>
      <c r="AH250" s="29">
        <f>SUM(AH247:AH249)</f>
        <v>264600</v>
      </c>
      <c r="AI250" s="29">
        <f t="shared" ref="AI250:AK250" si="1094">SUM(AI247:AI249)</f>
        <v>113400</v>
      </c>
      <c r="AJ250" s="29">
        <f t="shared" si="1094"/>
        <v>113400</v>
      </c>
      <c r="AK250" s="29">
        <f t="shared" si="1094"/>
        <v>113400</v>
      </c>
      <c r="AL250" s="12"/>
      <c r="AM250" s="29">
        <f>SUM(AM247:AM249)</f>
        <v>506384.99000000011</v>
      </c>
      <c r="AN250" s="29">
        <f>SUM(AN247:AN249)</f>
        <v>604800</v>
      </c>
      <c r="AO250" s="1"/>
      <c r="AP250" s="25">
        <f>ROUND(SUM(AC250:AF250)-AM250,2)</f>
        <v>0</v>
      </c>
      <c r="AQ250" s="25">
        <f>ROUND(SUM(AH250:AK250)-AN250,2)</f>
        <v>0</v>
      </c>
    </row>
    <row r="251" spans="2:43" x14ac:dyDescent="0.2">
      <c r="D251" s="27"/>
      <c r="E251" s="27"/>
    </row>
    <row r="252" spans="2:43" x14ac:dyDescent="0.2">
      <c r="B252" s="30" t="s">
        <v>117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13">
        <v>0</v>
      </c>
      <c r="P252" s="13">
        <v>0</v>
      </c>
      <c r="Q252" s="13">
        <v>0</v>
      </c>
      <c r="R252" s="13">
        <f>+Q252+(Q252*$R$2)</f>
        <v>0</v>
      </c>
      <c r="S252" s="13">
        <f>+R252</f>
        <v>0</v>
      </c>
      <c r="T252" s="13">
        <f t="shared" ref="T252:AA252" si="1095">+S252</f>
        <v>0</v>
      </c>
      <c r="U252" s="13">
        <f t="shared" si="1095"/>
        <v>0</v>
      </c>
      <c r="V252" s="13">
        <f t="shared" si="1095"/>
        <v>0</v>
      </c>
      <c r="W252" s="13">
        <f t="shared" si="1095"/>
        <v>0</v>
      </c>
      <c r="X252" s="13">
        <f t="shared" si="1095"/>
        <v>0</v>
      </c>
      <c r="Y252" s="13">
        <f t="shared" si="1095"/>
        <v>0</v>
      </c>
      <c r="Z252" s="13">
        <f t="shared" si="1095"/>
        <v>0</v>
      </c>
      <c r="AA252" s="13">
        <f t="shared" si="1095"/>
        <v>0</v>
      </c>
      <c r="AB252" s="8"/>
      <c r="AC252" s="4">
        <f>SUM(C252:E252)</f>
        <v>0</v>
      </c>
      <c r="AD252" s="4">
        <f>SUM(F252:H252)</f>
        <v>0</v>
      </c>
      <c r="AE252" s="4">
        <f>SUM(I252:K252)</f>
        <v>0</v>
      </c>
      <c r="AF252" s="4">
        <f>SUM(L252:N252)</f>
        <v>0</v>
      </c>
      <c r="AG252" s="4"/>
      <c r="AH252" s="4">
        <f>SUM(P252:R252)</f>
        <v>0</v>
      </c>
      <c r="AI252" s="4">
        <f>SUM(S252:U252)</f>
        <v>0</v>
      </c>
      <c r="AJ252" s="4">
        <f>SUM(V252:X252)</f>
        <v>0</v>
      </c>
      <c r="AK252" s="4">
        <f>SUM(Y252:AA252)</f>
        <v>0</v>
      </c>
      <c r="AL252" s="4"/>
      <c r="AM252" s="4">
        <f>SUM(C252:N252)</f>
        <v>0</v>
      </c>
      <c r="AN252" s="4">
        <f>SUM(P252:AA252)</f>
        <v>0</v>
      </c>
      <c r="AO252" s="1"/>
      <c r="AP252" s="25">
        <f>ROUND(SUM(AC252:AF252)-AM252,2)</f>
        <v>0</v>
      </c>
      <c r="AQ252" s="25">
        <f>ROUND(SUM(AH252:AK252)-AN252,2)</f>
        <v>0</v>
      </c>
    </row>
    <row r="253" spans="2:43" x14ac:dyDescent="0.2">
      <c r="B253" s="30" t="s">
        <v>25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13">
        <v>0</v>
      </c>
      <c r="P253" s="13">
        <v>0</v>
      </c>
      <c r="Q253" s="13">
        <v>0</v>
      </c>
      <c r="R253" s="13">
        <v>0</v>
      </c>
      <c r="S253" s="13">
        <f>+R253</f>
        <v>0</v>
      </c>
      <c r="T253" s="13">
        <f t="shared" ref="T253:AA253" si="1096">+S253</f>
        <v>0</v>
      </c>
      <c r="U253" s="13">
        <f t="shared" si="1096"/>
        <v>0</v>
      </c>
      <c r="V253" s="13">
        <f t="shared" si="1096"/>
        <v>0</v>
      </c>
      <c r="W253" s="13">
        <f t="shared" si="1096"/>
        <v>0</v>
      </c>
      <c r="X253" s="13">
        <f t="shared" si="1096"/>
        <v>0</v>
      </c>
      <c r="Y253" s="13">
        <f t="shared" si="1096"/>
        <v>0</v>
      </c>
      <c r="Z253" s="13">
        <f t="shared" si="1096"/>
        <v>0</v>
      </c>
      <c r="AA253" s="13">
        <f t="shared" si="1096"/>
        <v>0</v>
      </c>
      <c r="AB253" s="8"/>
      <c r="AC253" s="4">
        <f>SUM(C253:E253)</f>
        <v>0</v>
      </c>
      <c r="AD253" s="4">
        <f>SUM(F253:H253)</f>
        <v>0</v>
      </c>
      <c r="AE253" s="4">
        <f>SUM(I253:K253)</f>
        <v>0</v>
      </c>
      <c r="AF253" s="4">
        <f>SUM(L253:N253)</f>
        <v>0</v>
      </c>
      <c r="AG253" s="4"/>
      <c r="AH253" s="4">
        <f t="shared" ref="AH253:AH254" si="1097">SUM(P253:R253)</f>
        <v>0</v>
      </c>
      <c r="AI253" s="4">
        <f t="shared" ref="AI253:AI254" si="1098">SUM(S253:U253)</f>
        <v>0</v>
      </c>
      <c r="AJ253" s="4">
        <f t="shared" ref="AJ253:AJ254" si="1099">SUM(V253:X253)</f>
        <v>0</v>
      </c>
      <c r="AK253" s="4">
        <f t="shared" ref="AK253:AK254" si="1100">SUM(Y253:AA253)</f>
        <v>0</v>
      </c>
      <c r="AL253" s="4"/>
      <c r="AM253" s="4">
        <f t="shared" ref="AM253:AM254" si="1101">SUM(C253:N253)</f>
        <v>0</v>
      </c>
      <c r="AN253" s="4">
        <f t="shared" ref="AN253:AN254" si="1102">SUM(P253:AA253)</f>
        <v>0</v>
      </c>
      <c r="AO253" s="1"/>
      <c r="AP253" s="25">
        <f t="shared" ref="AP253:AP254" si="1103">ROUND(SUM(AC253:AF253)-AM253,2)</f>
        <v>0</v>
      </c>
      <c r="AQ253" s="25">
        <f t="shared" ref="AQ253:AQ254" si="1104">ROUND(SUM(AH253:AK253)-AN253,2)</f>
        <v>0</v>
      </c>
    </row>
    <row r="254" spans="2:43" x14ac:dyDescent="0.2">
      <c r="B254" s="30" t="s">
        <v>118</v>
      </c>
      <c r="C254" s="99">
        <v>0</v>
      </c>
      <c r="D254" s="99">
        <v>0</v>
      </c>
      <c r="E254" s="99">
        <v>0</v>
      </c>
      <c r="F254" s="99">
        <v>1072.97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13">
        <v>0</v>
      </c>
      <c r="P254" s="13">
        <v>0</v>
      </c>
      <c r="Q254" s="13">
        <v>0</v>
      </c>
      <c r="R254" s="13">
        <f>IFERROR(R252*(Q254/Q252),0)</f>
        <v>0</v>
      </c>
      <c r="S254" s="13">
        <f>+R254</f>
        <v>0</v>
      </c>
      <c r="T254" s="13">
        <f t="shared" ref="T254:AA254" si="1105">+S254</f>
        <v>0</v>
      </c>
      <c r="U254" s="13">
        <f t="shared" si="1105"/>
        <v>0</v>
      </c>
      <c r="V254" s="13">
        <f t="shared" si="1105"/>
        <v>0</v>
      </c>
      <c r="W254" s="13">
        <f t="shared" si="1105"/>
        <v>0</v>
      </c>
      <c r="X254" s="13">
        <f t="shared" si="1105"/>
        <v>0</v>
      </c>
      <c r="Y254" s="13">
        <f t="shared" si="1105"/>
        <v>0</v>
      </c>
      <c r="Z254" s="13">
        <f t="shared" si="1105"/>
        <v>0</v>
      </c>
      <c r="AA254" s="13">
        <f t="shared" si="1105"/>
        <v>0</v>
      </c>
      <c r="AB254" s="8"/>
      <c r="AC254" s="4">
        <f>SUM(C254:E254)</f>
        <v>0</v>
      </c>
      <c r="AD254" s="4">
        <f>SUM(F254:H254)</f>
        <v>1072.97</v>
      </c>
      <c r="AE254" s="4">
        <f>SUM(I254:K254)</f>
        <v>0</v>
      </c>
      <c r="AF254" s="4">
        <f>SUM(L254:N254)</f>
        <v>0</v>
      </c>
      <c r="AG254" s="4"/>
      <c r="AH254" s="4">
        <f t="shared" si="1097"/>
        <v>0</v>
      </c>
      <c r="AI254" s="4">
        <f t="shared" si="1098"/>
        <v>0</v>
      </c>
      <c r="AJ254" s="4">
        <f t="shared" si="1099"/>
        <v>0</v>
      </c>
      <c r="AK254" s="4">
        <f t="shared" si="1100"/>
        <v>0</v>
      </c>
      <c r="AL254" s="4"/>
      <c r="AM254" s="4">
        <f t="shared" si="1101"/>
        <v>1072.97</v>
      </c>
      <c r="AN254" s="4">
        <f t="shared" si="1102"/>
        <v>0</v>
      </c>
      <c r="AO254" s="1"/>
      <c r="AP254" s="25">
        <f t="shared" si="1103"/>
        <v>0</v>
      </c>
      <c r="AQ254" s="25">
        <f t="shared" si="1104"/>
        <v>0</v>
      </c>
    </row>
    <row r="255" spans="2:43" x14ac:dyDescent="0.2">
      <c r="B255" s="28" t="s">
        <v>122</v>
      </c>
      <c r="C255" s="29">
        <f>SUM(C252:C254)</f>
        <v>0</v>
      </c>
      <c r="D255" s="29">
        <f t="shared" ref="D255" si="1106">SUM(D252:D254)</f>
        <v>0</v>
      </c>
      <c r="E255" s="29">
        <f t="shared" ref="E255" si="1107">SUM(E252:E254)</f>
        <v>0</v>
      </c>
      <c r="F255" s="29">
        <f t="shared" ref="F255" si="1108">SUM(F252:F254)</f>
        <v>1072.97</v>
      </c>
      <c r="G255" s="29">
        <f t="shared" ref="G255" si="1109">SUM(G252:G254)</f>
        <v>0</v>
      </c>
      <c r="H255" s="29">
        <f t="shared" ref="H255" si="1110">SUM(H252:H254)</f>
        <v>0</v>
      </c>
      <c r="I255" s="29">
        <f t="shared" ref="I255" si="1111">SUM(I252:I254)</f>
        <v>0</v>
      </c>
      <c r="J255" s="29">
        <f t="shared" ref="J255" si="1112">SUM(J252:J254)</f>
        <v>0</v>
      </c>
      <c r="K255" s="29">
        <f t="shared" ref="K255" si="1113">SUM(K252:K254)</f>
        <v>0</v>
      </c>
      <c r="L255" s="29">
        <f t="shared" ref="L255" si="1114">SUM(L252:L254)</f>
        <v>0</v>
      </c>
      <c r="M255" s="29">
        <f t="shared" ref="M255" si="1115">SUM(M252:M254)</f>
        <v>0</v>
      </c>
      <c r="N255" s="29">
        <f t="shared" ref="N255:AA255" si="1116">SUM(N252:N254)</f>
        <v>0</v>
      </c>
      <c r="P255" s="29">
        <f t="shared" si="1116"/>
        <v>0</v>
      </c>
      <c r="Q255" s="29">
        <f t="shared" si="1116"/>
        <v>0</v>
      </c>
      <c r="R255" s="29">
        <f t="shared" si="1116"/>
        <v>0</v>
      </c>
      <c r="S255" s="29">
        <f t="shared" si="1116"/>
        <v>0</v>
      </c>
      <c r="T255" s="29">
        <f t="shared" si="1116"/>
        <v>0</v>
      </c>
      <c r="U255" s="29">
        <f t="shared" si="1116"/>
        <v>0</v>
      </c>
      <c r="V255" s="29">
        <f t="shared" si="1116"/>
        <v>0</v>
      </c>
      <c r="W255" s="29">
        <f t="shared" si="1116"/>
        <v>0</v>
      </c>
      <c r="X255" s="29">
        <f t="shared" si="1116"/>
        <v>0</v>
      </c>
      <c r="Y255" s="29">
        <f t="shared" si="1116"/>
        <v>0</v>
      </c>
      <c r="Z255" s="29">
        <f t="shared" si="1116"/>
        <v>0</v>
      </c>
      <c r="AA255" s="29">
        <f t="shared" si="1116"/>
        <v>0</v>
      </c>
      <c r="AB255" s="8"/>
      <c r="AC255" s="29">
        <f t="shared" ref="AC255" si="1117">SUM(AC252:AC254)</f>
        <v>0</v>
      </c>
      <c r="AD255" s="29">
        <f t="shared" ref="AD255" si="1118">SUM(AD252:AD254)</f>
        <v>1072.97</v>
      </c>
      <c r="AE255" s="29">
        <f t="shared" ref="AE255" si="1119">SUM(AE252:AE254)</f>
        <v>0</v>
      </c>
      <c r="AF255" s="29">
        <f t="shared" ref="AF255" si="1120">SUM(AF252:AF254)</f>
        <v>0</v>
      </c>
      <c r="AG255" s="12"/>
      <c r="AH255" s="29">
        <f>SUM(AH252:AH254)</f>
        <v>0</v>
      </c>
      <c r="AI255" s="29">
        <f t="shared" ref="AI255:AK255" si="1121">SUM(AI252:AI254)</f>
        <v>0</v>
      </c>
      <c r="AJ255" s="29">
        <f t="shared" si="1121"/>
        <v>0</v>
      </c>
      <c r="AK255" s="29">
        <f t="shared" si="1121"/>
        <v>0</v>
      </c>
      <c r="AL255" s="12"/>
      <c r="AM255" s="29">
        <f>SUM(AM252:AM254)</f>
        <v>1072.97</v>
      </c>
      <c r="AN255" s="29">
        <f>SUM(AN252:AN254)</f>
        <v>0</v>
      </c>
      <c r="AO255" s="1"/>
      <c r="AP255" s="25">
        <f>ROUND(SUM(AC255:AF255)-AM255,2)</f>
        <v>0</v>
      </c>
      <c r="AQ255" s="25">
        <f>ROUND(SUM(AH255:AK255)-AN255,2)</f>
        <v>0</v>
      </c>
    </row>
    <row r="257" spans="2:43" x14ac:dyDescent="0.2">
      <c r="B257" s="30" t="s">
        <v>117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13">
        <v>0</v>
      </c>
      <c r="P257" s="13">
        <v>0</v>
      </c>
      <c r="Q257" s="13">
        <v>0</v>
      </c>
      <c r="R257" s="13">
        <f>+Q257+(Q257*$R$2)</f>
        <v>0</v>
      </c>
      <c r="S257" s="13">
        <f>+R257</f>
        <v>0</v>
      </c>
      <c r="T257" s="13">
        <f t="shared" ref="T257:AA257" si="1122">+S257</f>
        <v>0</v>
      </c>
      <c r="U257" s="13">
        <f t="shared" si="1122"/>
        <v>0</v>
      </c>
      <c r="V257" s="13">
        <f t="shared" si="1122"/>
        <v>0</v>
      </c>
      <c r="W257" s="13">
        <f t="shared" si="1122"/>
        <v>0</v>
      </c>
      <c r="X257" s="13">
        <f t="shared" si="1122"/>
        <v>0</v>
      </c>
      <c r="Y257" s="13">
        <f t="shared" si="1122"/>
        <v>0</v>
      </c>
      <c r="Z257" s="13">
        <f t="shared" si="1122"/>
        <v>0</v>
      </c>
      <c r="AA257" s="13">
        <f t="shared" si="1122"/>
        <v>0</v>
      </c>
      <c r="AB257" s="8"/>
      <c r="AC257" s="4">
        <f>SUM(C257:E257)</f>
        <v>0</v>
      </c>
      <c r="AD257" s="4">
        <f>SUM(F257:H257)</f>
        <v>0</v>
      </c>
      <c r="AE257" s="4">
        <f>SUM(I257:K257)</f>
        <v>0</v>
      </c>
      <c r="AF257" s="4">
        <f>SUM(L257:N257)</f>
        <v>0</v>
      </c>
      <c r="AG257" s="4"/>
      <c r="AH257" s="4">
        <f>SUM(P257:R257)</f>
        <v>0</v>
      </c>
      <c r="AI257" s="4">
        <f>SUM(S257:U257)</f>
        <v>0</v>
      </c>
      <c r="AJ257" s="4">
        <f>SUM(V257:X257)</f>
        <v>0</v>
      </c>
      <c r="AK257" s="4">
        <f>SUM(Y257:AA257)</f>
        <v>0</v>
      </c>
      <c r="AL257" s="4"/>
      <c r="AM257" s="4">
        <f>SUM(C257:N257)</f>
        <v>0</v>
      </c>
      <c r="AN257" s="4">
        <f>SUM(P257:AA257)</f>
        <v>0</v>
      </c>
      <c r="AO257" s="1"/>
      <c r="AP257" s="25">
        <f>ROUND(SUM(AC257:AF257)-AM257,2)</f>
        <v>0</v>
      </c>
      <c r="AQ257" s="25">
        <f>ROUND(SUM(AH257:AK257)-AN257,2)</f>
        <v>0</v>
      </c>
    </row>
    <row r="258" spans="2:43" x14ac:dyDescent="0.2">
      <c r="B258" s="30" t="s">
        <v>25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13">
        <v>0</v>
      </c>
      <c r="P258" s="13">
        <v>0</v>
      </c>
      <c r="Q258" s="13">
        <v>0</v>
      </c>
      <c r="R258" s="13">
        <v>0</v>
      </c>
      <c r="S258" s="13">
        <f>+R258</f>
        <v>0</v>
      </c>
      <c r="T258" s="13">
        <f t="shared" ref="T258:AA258" si="1123">+S258</f>
        <v>0</v>
      </c>
      <c r="U258" s="13">
        <f t="shared" si="1123"/>
        <v>0</v>
      </c>
      <c r="V258" s="13">
        <f t="shared" si="1123"/>
        <v>0</v>
      </c>
      <c r="W258" s="13">
        <f t="shared" si="1123"/>
        <v>0</v>
      </c>
      <c r="X258" s="13">
        <f t="shared" si="1123"/>
        <v>0</v>
      </c>
      <c r="Y258" s="13">
        <f t="shared" si="1123"/>
        <v>0</v>
      </c>
      <c r="Z258" s="13">
        <f t="shared" si="1123"/>
        <v>0</v>
      </c>
      <c r="AA258" s="13">
        <f t="shared" si="1123"/>
        <v>0</v>
      </c>
      <c r="AB258" s="8"/>
      <c r="AC258" s="4">
        <f>SUM(C258:E258)</f>
        <v>0</v>
      </c>
      <c r="AD258" s="4">
        <f>SUM(F258:H258)</f>
        <v>0</v>
      </c>
      <c r="AE258" s="4">
        <f>SUM(I258:K258)</f>
        <v>0</v>
      </c>
      <c r="AF258" s="4">
        <f>SUM(L258:N258)</f>
        <v>0</v>
      </c>
      <c r="AG258" s="4"/>
      <c r="AH258" s="4">
        <f t="shared" ref="AH258:AH259" si="1124">SUM(P258:R258)</f>
        <v>0</v>
      </c>
      <c r="AI258" s="4">
        <f t="shared" ref="AI258:AI259" si="1125">SUM(S258:U258)</f>
        <v>0</v>
      </c>
      <c r="AJ258" s="4">
        <f t="shared" ref="AJ258:AJ259" si="1126">SUM(V258:X258)</f>
        <v>0</v>
      </c>
      <c r="AK258" s="4">
        <f t="shared" ref="AK258:AK259" si="1127">SUM(Y258:AA258)</f>
        <v>0</v>
      </c>
      <c r="AL258" s="4"/>
      <c r="AM258" s="4">
        <f t="shared" ref="AM258:AM259" si="1128">SUM(C258:N258)</f>
        <v>0</v>
      </c>
      <c r="AN258" s="4">
        <f t="shared" ref="AN258:AN259" si="1129">SUM(P258:AA258)</f>
        <v>0</v>
      </c>
      <c r="AO258" s="1"/>
      <c r="AP258" s="25">
        <f t="shared" ref="AP258:AP259" si="1130">ROUND(SUM(AC258:AF258)-AM258,2)</f>
        <v>0</v>
      </c>
      <c r="AQ258" s="25">
        <f t="shared" ref="AQ258:AQ259" si="1131">ROUND(SUM(AH258:AK258)-AN258,2)</f>
        <v>0</v>
      </c>
    </row>
    <row r="259" spans="2:43" x14ac:dyDescent="0.2">
      <c r="B259" s="30" t="s">
        <v>118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13">
        <v>0</v>
      </c>
      <c r="P259" s="13">
        <v>0</v>
      </c>
      <c r="Q259" s="13">
        <v>0</v>
      </c>
      <c r="R259" s="13">
        <f>IFERROR(R257*(Q259/Q257),0)</f>
        <v>0</v>
      </c>
      <c r="S259" s="13">
        <f>+R259</f>
        <v>0</v>
      </c>
      <c r="T259" s="13">
        <f t="shared" ref="T259:AA259" si="1132">+S259</f>
        <v>0</v>
      </c>
      <c r="U259" s="13">
        <f t="shared" si="1132"/>
        <v>0</v>
      </c>
      <c r="V259" s="13">
        <f t="shared" si="1132"/>
        <v>0</v>
      </c>
      <c r="W259" s="13">
        <f t="shared" si="1132"/>
        <v>0</v>
      </c>
      <c r="X259" s="13">
        <f t="shared" si="1132"/>
        <v>0</v>
      </c>
      <c r="Y259" s="13">
        <f t="shared" si="1132"/>
        <v>0</v>
      </c>
      <c r="Z259" s="13">
        <f t="shared" si="1132"/>
        <v>0</v>
      </c>
      <c r="AA259" s="13">
        <f t="shared" si="1132"/>
        <v>0</v>
      </c>
      <c r="AB259" s="8"/>
      <c r="AC259" s="4">
        <f>SUM(C259:E259)</f>
        <v>0</v>
      </c>
      <c r="AD259" s="4">
        <f>SUM(F259:H259)</f>
        <v>0</v>
      </c>
      <c r="AE259" s="4">
        <f>SUM(I259:K259)</f>
        <v>0</v>
      </c>
      <c r="AF259" s="4">
        <f>SUM(L259:N259)</f>
        <v>0</v>
      </c>
      <c r="AG259" s="4"/>
      <c r="AH259" s="4">
        <f t="shared" si="1124"/>
        <v>0</v>
      </c>
      <c r="AI259" s="4">
        <f t="shared" si="1125"/>
        <v>0</v>
      </c>
      <c r="AJ259" s="4">
        <f t="shared" si="1126"/>
        <v>0</v>
      </c>
      <c r="AK259" s="4">
        <f t="shared" si="1127"/>
        <v>0</v>
      </c>
      <c r="AL259" s="4"/>
      <c r="AM259" s="4">
        <f t="shared" si="1128"/>
        <v>0</v>
      </c>
      <c r="AN259" s="4">
        <f t="shared" si="1129"/>
        <v>0</v>
      </c>
      <c r="AO259" s="1"/>
      <c r="AP259" s="25">
        <f t="shared" si="1130"/>
        <v>0</v>
      </c>
      <c r="AQ259" s="25">
        <f t="shared" si="1131"/>
        <v>0</v>
      </c>
    </row>
    <row r="260" spans="2:43" x14ac:dyDescent="0.2">
      <c r="B260" s="28" t="s">
        <v>122</v>
      </c>
      <c r="C260" s="29">
        <f>SUM(C257:C259)</f>
        <v>0</v>
      </c>
      <c r="D260" s="29">
        <f t="shared" ref="D260" si="1133">SUM(D257:D259)</f>
        <v>0</v>
      </c>
      <c r="E260" s="29">
        <f t="shared" ref="E260" si="1134">SUM(E257:E259)</f>
        <v>0</v>
      </c>
      <c r="F260" s="29">
        <f t="shared" ref="F260" si="1135">SUM(F257:F259)</f>
        <v>0</v>
      </c>
      <c r="G260" s="29">
        <f t="shared" ref="G260" si="1136">SUM(G257:G259)</f>
        <v>0</v>
      </c>
      <c r="H260" s="29">
        <f t="shared" ref="H260" si="1137">SUM(H257:H259)</f>
        <v>0</v>
      </c>
      <c r="I260" s="29">
        <f t="shared" ref="I260" si="1138">SUM(I257:I259)</f>
        <v>0</v>
      </c>
      <c r="J260" s="29">
        <f t="shared" ref="J260" si="1139">SUM(J257:J259)</f>
        <v>0</v>
      </c>
      <c r="K260" s="29">
        <f t="shared" ref="K260" si="1140">SUM(K257:K259)</f>
        <v>0</v>
      </c>
      <c r="L260" s="29">
        <f t="shared" ref="L260" si="1141">SUM(L257:L259)</f>
        <v>0</v>
      </c>
      <c r="M260" s="29">
        <f t="shared" ref="M260" si="1142">SUM(M257:M259)</f>
        <v>0</v>
      </c>
      <c r="N260" s="29">
        <f t="shared" ref="N260:AA260" si="1143">SUM(N257:N259)</f>
        <v>0</v>
      </c>
      <c r="P260" s="29">
        <f t="shared" si="1143"/>
        <v>0</v>
      </c>
      <c r="Q260" s="29">
        <f t="shared" si="1143"/>
        <v>0</v>
      </c>
      <c r="R260" s="29">
        <f t="shared" si="1143"/>
        <v>0</v>
      </c>
      <c r="S260" s="29">
        <f t="shared" si="1143"/>
        <v>0</v>
      </c>
      <c r="T260" s="29">
        <f t="shared" si="1143"/>
        <v>0</v>
      </c>
      <c r="U260" s="29">
        <f t="shared" si="1143"/>
        <v>0</v>
      </c>
      <c r="V260" s="29">
        <f t="shared" si="1143"/>
        <v>0</v>
      </c>
      <c r="W260" s="29">
        <f t="shared" si="1143"/>
        <v>0</v>
      </c>
      <c r="X260" s="29">
        <f t="shared" si="1143"/>
        <v>0</v>
      </c>
      <c r="Y260" s="29">
        <f t="shared" si="1143"/>
        <v>0</v>
      </c>
      <c r="Z260" s="29">
        <f t="shared" si="1143"/>
        <v>0</v>
      </c>
      <c r="AA260" s="29">
        <f t="shared" si="1143"/>
        <v>0</v>
      </c>
      <c r="AB260" s="8"/>
      <c r="AC260" s="29">
        <f t="shared" ref="AC260" si="1144">SUM(AC257:AC259)</f>
        <v>0</v>
      </c>
      <c r="AD260" s="29">
        <f t="shared" ref="AD260" si="1145">SUM(AD257:AD259)</f>
        <v>0</v>
      </c>
      <c r="AE260" s="29">
        <f t="shared" ref="AE260" si="1146">SUM(AE257:AE259)</f>
        <v>0</v>
      </c>
      <c r="AF260" s="29">
        <f t="shared" ref="AF260" si="1147">SUM(AF257:AF259)</f>
        <v>0</v>
      </c>
      <c r="AG260" s="12"/>
      <c r="AH260" s="29">
        <f>SUM(AH257:AH259)</f>
        <v>0</v>
      </c>
      <c r="AI260" s="29">
        <f t="shared" ref="AI260:AK260" si="1148">SUM(AI257:AI259)</f>
        <v>0</v>
      </c>
      <c r="AJ260" s="29">
        <f t="shared" si="1148"/>
        <v>0</v>
      </c>
      <c r="AK260" s="29">
        <f t="shared" si="1148"/>
        <v>0</v>
      </c>
      <c r="AL260" s="12"/>
      <c r="AM260" s="29">
        <f>SUM(AM257:AM259)</f>
        <v>0</v>
      </c>
      <c r="AN260" s="29">
        <f>SUM(AN257:AN259)</f>
        <v>0</v>
      </c>
      <c r="AO260" s="1"/>
      <c r="AP260" s="25">
        <f>ROUND(SUM(AC260:AF260)-AM260,2)</f>
        <v>0</v>
      </c>
      <c r="AQ260" s="25">
        <f>ROUND(SUM(AH260:AK260)-AN260,2)</f>
        <v>0</v>
      </c>
    </row>
    <row r="262" spans="2:43" x14ac:dyDescent="0.2">
      <c r="B262" s="30" t="s">
        <v>117</v>
      </c>
      <c r="C262" s="99">
        <v>0</v>
      </c>
      <c r="D262" s="99">
        <v>0</v>
      </c>
      <c r="E262" s="99">
        <v>0</v>
      </c>
      <c r="F262" s="99">
        <v>0</v>
      </c>
      <c r="G262" s="99">
        <v>0</v>
      </c>
      <c r="H262" s="99">
        <v>0</v>
      </c>
      <c r="I262" s="99">
        <v>0</v>
      </c>
      <c r="J262" s="99">
        <v>0</v>
      </c>
      <c r="K262" s="99">
        <v>0</v>
      </c>
      <c r="L262" s="99">
        <v>0</v>
      </c>
      <c r="M262" s="99">
        <v>0</v>
      </c>
      <c r="N262" s="13">
        <v>0</v>
      </c>
      <c r="P262" s="13">
        <v>0</v>
      </c>
      <c r="Q262" s="13">
        <v>0</v>
      </c>
      <c r="R262" s="13">
        <f>+Q262+(Q262*$R$2)</f>
        <v>0</v>
      </c>
      <c r="S262" s="13">
        <f>+R262</f>
        <v>0</v>
      </c>
      <c r="T262" s="13">
        <f t="shared" ref="T262:AA262" si="1149">+S262</f>
        <v>0</v>
      </c>
      <c r="U262" s="13">
        <f t="shared" si="1149"/>
        <v>0</v>
      </c>
      <c r="V262" s="13">
        <f t="shared" si="1149"/>
        <v>0</v>
      </c>
      <c r="W262" s="13">
        <f t="shared" si="1149"/>
        <v>0</v>
      </c>
      <c r="X262" s="13">
        <f t="shared" si="1149"/>
        <v>0</v>
      </c>
      <c r="Y262" s="13">
        <f t="shared" si="1149"/>
        <v>0</v>
      </c>
      <c r="Z262" s="13">
        <f t="shared" si="1149"/>
        <v>0</v>
      </c>
      <c r="AA262" s="13">
        <f t="shared" si="1149"/>
        <v>0</v>
      </c>
      <c r="AB262" s="8"/>
      <c r="AC262" s="4">
        <f>SUM(C262:E262)</f>
        <v>0</v>
      </c>
      <c r="AD262" s="4">
        <f>SUM(F262:H262)</f>
        <v>0</v>
      </c>
      <c r="AE262" s="4">
        <f>SUM(I262:K262)</f>
        <v>0</v>
      </c>
      <c r="AF262" s="4">
        <f>SUM(L262:N262)</f>
        <v>0</v>
      </c>
      <c r="AG262" s="4"/>
      <c r="AH262" s="4">
        <f>SUM(P262:R262)</f>
        <v>0</v>
      </c>
      <c r="AI262" s="4">
        <f>SUM(S262:U262)</f>
        <v>0</v>
      </c>
      <c r="AJ262" s="4">
        <f>SUM(V262:X262)</f>
        <v>0</v>
      </c>
      <c r="AK262" s="4">
        <f>SUM(Y262:AA262)</f>
        <v>0</v>
      </c>
      <c r="AL262" s="4"/>
      <c r="AM262" s="4">
        <f>SUM(C262:N262)</f>
        <v>0</v>
      </c>
      <c r="AN262" s="4">
        <f>SUM(P262:AA262)</f>
        <v>0</v>
      </c>
      <c r="AO262" s="1"/>
      <c r="AP262" s="25">
        <f>ROUND(SUM(AC262:AF262)-AM262,2)</f>
        <v>0</v>
      </c>
      <c r="AQ262" s="25">
        <f>ROUND(SUM(AH262:AK262)-AN262,2)</f>
        <v>0</v>
      </c>
    </row>
    <row r="263" spans="2:43" x14ac:dyDescent="0.2">
      <c r="B263" s="30" t="s">
        <v>25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13">
        <v>0</v>
      </c>
      <c r="P263" s="13">
        <v>0</v>
      </c>
      <c r="Q263" s="13">
        <v>0</v>
      </c>
      <c r="R263" s="13">
        <v>0</v>
      </c>
      <c r="S263" s="13">
        <f>+R263</f>
        <v>0</v>
      </c>
      <c r="T263" s="13">
        <f t="shared" ref="T263:AA263" si="1150">+S263</f>
        <v>0</v>
      </c>
      <c r="U263" s="13">
        <f t="shared" si="1150"/>
        <v>0</v>
      </c>
      <c r="V263" s="13">
        <f t="shared" si="1150"/>
        <v>0</v>
      </c>
      <c r="W263" s="13">
        <f t="shared" si="1150"/>
        <v>0</v>
      </c>
      <c r="X263" s="13">
        <f t="shared" si="1150"/>
        <v>0</v>
      </c>
      <c r="Y263" s="13">
        <f t="shared" si="1150"/>
        <v>0</v>
      </c>
      <c r="Z263" s="13">
        <f t="shared" si="1150"/>
        <v>0</v>
      </c>
      <c r="AA263" s="13">
        <f t="shared" si="1150"/>
        <v>0</v>
      </c>
      <c r="AB263" s="8"/>
      <c r="AC263" s="4">
        <f>SUM(C263:E263)</f>
        <v>0</v>
      </c>
      <c r="AD263" s="4">
        <f>SUM(F263:H263)</f>
        <v>0</v>
      </c>
      <c r="AE263" s="4">
        <f>SUM(I263:K263)</f>
        <v>0</v>
      </c>
      <c r="AF263" s="4">
        <f>SUM(L263:N263)</f>
        <v>0</v>
      </c>
      <c r="AG263" s="4"/>
      <c r="AH263" s="4">
        <f t="shared" ref="AH263:AH264" si="1151">SUM(P263:R263)</f>
        <v>0</v>
      </c>
      <c r="AI263" s="4">
        <f t="shared" ref="AI263:AI264" si="1152">SUM(S263:U263)</f>
        <v>0</v>
      </c>
      <c r="AJ263" s="4">
        <f t="shared" ref="AJ263:AJ264" si="1153">SUM(V263:X263)</f>
        <v>0</v>
      </c>
      <c r="AK263" s="4">
        <f t="shared" ref="AK263:AK264" si="1154">SUM(Y263:AA263)</f>
        <v>0</v>
      </c>
      <c r="AL263" s="4"/>
      <c r="AM263" s="4">
        <f t="shared" ref="AM263:AM264" si="1155">SUM(C263:N263)</f>
        <v>0</v>
      </c>
      <c r="AN263" s="4">
        <f t="shared" ref="AN263:AN264" si="1156">SUM(P263:AA263)</f>
        <v>0</v>
      </c>
      <c r="AO263" s="1"/>
      <c r="AP263" s="25">
        <f t="shared" ref="AP263:AP264" si="1157">ROUND(SUM(AC263:AF263)-AM263,2)</f>
        <v>0</v>
      </c>
      <c r="AQ263" s="25">
        <f t="shared" ref="AQ263:AQ264" si="1158">ROUND(SUM(AH263:AK263)-AN263,2)</f>
        <v>0</v>
      </c>
    </row>
    <row r="264" spans="2:43" x14ac:dyDescent="0.2">
      <c r="B264" s="30" t="s">
        <v>118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13">
        <v>0</v>
      </c>
      <c r="P264" s="13">
        <v>0</v>
      </c>
      <c r="Q264" s="13">
        <v>0</v>
      </c>
      <c r="R264" s="13">
        <f>IFERROR(R262*(Q264/Q262),0)</f>
        <v>0</v>
      </c>
      <c r="S264" s="13">
        <f>+R264</f>
        <v>0</v>
      </c>
      <c r="T264" s="13">
        <f t="shared" ref="T264:AA264" si="1159">+S264</f>
        <v>0</v>
      </c>
      <c r="U264" s="13">
        <f t="shared" si="1159"/>
        <v>0</v>
      </c>
      <c r="V264" s="13">
        <f t="shared" si="1159"/>
        <v>0</v>
      </c>
      <c r="W264" s="13">
        <f t="shared" si="1159"/>
        <v>0</v>
      </c>
      <c r="X264" s="13">
        <f t="shared" si="1159"/>
        <v>0</v>
      </c>
      <c r="Y264" s="13">
        <f t="shared" si="1159"/>
        <v>0</v>
      </c>
      <c r="Z264" s="13">
        <f t="shared" si="1159"/>
        <v>0</v>
      </c>
      <c r="AA264" s="13">
        <f t="shared" si="1159"/>
        <v>0</v>
      </c>
      <c r="AB264" s="8"/>
      <c r="AC264" s="4">
        <f>SUM(C264:E264)</f>
        <v>0</v>
      </c>
      <c r="AD264" s="4">
        <f>SUM(F264:H264)</f>
        <v>0</v>
      </c>
      <c r="AE264" s="4">
        <f>SUM(I264:K264)</f>
        <v>0</v>
      </c>
      <c r="AF264" s="4">
        <f>SUM(L264:N264)</f>
        <v>0</v>
      </c>
      <c r="AG264" s="4"/>
      <c r="AH264" s="4">
        <f t="shared" si="1151"/>
        <v>0</v>
      </c>
      <c r="AI264" s="4">
        <f t="shared" si="1152"/>
        <v>0</v>
      </c>
      <c r="AJ264" s="4">
        <f t="shared" si="1153"/>
        <v>0</v>
      </c>
      <c r="AK264" s="4">
        <f t="shared" si="1154"/>
        <v>0</v>
      </c>
      <c r="AL264" s="4"/>
      <c r="AM264" s="4">
        <f t="shared" si="1155"/>
        <v>0</v>
      </c>
      <c r="AN264" s="4">
        <f t="shared" si="1156"/>
        <v>0</v>
      </c>
      <c r="AO264" s="1"/>
      <c r="AP264" s="25">
        <f t="shared" si="1157"/>
        <v>0</v>
      </c>
      <c r="AQ264" s="25">
        <f t="shared" si="1158"/>
        <v>0</v>
      </c>
    </row>
    <row r="265" spans="2:43" x14ac:dyDescent="0.2">
      <c r="B265" s="28" t="s">
        <v>122</v>
      </c>
      <c r="C265" s="29">
        <f>SUM(C262:C264)</f>
        <v>0</v>
      </c>
      <c r="D265" s="29">
        <f t="shared" ref="D265" si="1160">SUM(D262:D264)</f>
        <v>0</v>
      </c>
      <c r="E265" s="29">
        <f t="shared" ref="E265" si="1161">SUM(E262:E264)</f>
        <v>0</v>
      </c>
      <c r="F265" s="29">
        <f t="shared" ref="F265" si="1162">SUM(F262:F264)</f>
        <v>0</v>
      </c>
      <c r="G265" s="29">
        <f t="shared" ref="G265" si="1163">SUM(G262:G264)</f>
        <v>0</v>
      </c>
      <c r="H265" s="29">
        <f t="shared" ref="H265" si="1164">SUM(H262:H264)</f>
        <v>0</v>
      </c>
      <c r="I265" s="29">
        <f t="shared" ref="I265" si="1165">SUM(I262:I264)</f>
        <v>0</v>
      </c>
      <c r="J265" s="29">
        <f t="shared" ref="J265" si="1166">SUM(J262:J264)</f>
        <v>0</v>
      </c>
      <c r="K265" s="29">
        <f t="shared" ref="K265" si="1167">SUM(K262:K264)</f>
        <v>0</v>
      </c>
      <c r="L265" s="29">
        <f t="shared" ref="L265" si="1168">SUM(L262:L264)</f>
        <v>0</v>
      </c>
      <c r="M265" s="29">
        <f t="shared" ref="M265" si="1169">SUM(M262:M264)</f>
        <v>0</v>
      </c>
      <c r="N265" s="29">
        <f t="shared" ref="N265:AA265" si="1170">SUM(N262:N264)</f>
        <v>0</v>
      </c>
      <c r="P265" s="29">
        <f t="shared" si="1170"/>
        <v>0</v>
      </c>
      <c r="Q265" s="29">
        <f t="shared" si="1170"/>
        <v>0</v>
      </c>
      <c r="R265" s="29">
        <f t="shared" si="1170"/>
        <v>0</v>
      </c>
      <c r="S265" s="29">
        <f t="shared" si="1170"/>
        <v>0</v>
      </c>
      <c r="T265" s="29">
        <f t="shared" si="1170"/>
        <v>0</v>
      </c>
      <c r="U265" s="29">
        <f t="shared" si="1170"/>
        <v>0</v>
      </c>
      <c r="V265" s="29">
        <f t="shared" si="1170"/>
        <v>0</v>
      </c>
      <c r="W265" s="29">
        <f t="shared" si="1170"/>
        <v>0</v>
      </c>
      <c r="X265" s="29">
        <f t="shared" si="1170"/>
        <v>0</v>
      </c>
      <c r="Y265" s="29">
        <f t="shared" si="1170"/>
        <v>0</v>
      </c>
      <c r="Z265" s="29">
        <f t="shared" si="1170"/>
        <v>0</v>
      </c>
      <c r="AA265" s="29">
        <f t="shared" si="1170"/>
        <v>0</v>
      </c>
      <c r="AB265" s="8"/>
      <c r="AC265" s="29">
        <f t="shared" ref="AC265" si="1171">SUM(AC262:AC264)</f>
        <v>0</v>
      </c>
      <c r="AD265" s="29">
        <f t="shared" ref="AD265" si="1172">SUM(AD262:AD264)</f>
        <v>0</v>
      </c>
      <c r="AE265" s="29">
        <f t="shared" ref="AE265" si="1173">SUM(AE262:AE264)</f>
        <v>0</v>
      </c>
      <c r="AF265" s="29">
        <f t="shared" ref="AF265" si="1174">SUM(AF262:AF264)</f>
        <v>0</v>
      </c>
      <c r="AG265" s="12"/>
      <c r="AH265" s="29">
        <f>SUM(AH262:AH264)</f>
        <v>0</v>
      </c>
      <c r="AI265" s="29">
        <f t="shared" ref="AI265:AK265" si="1175">SUM(AI262:AI264)</f>
        <v>0</v>
      </c>
      <c r="AJ265" s="29">
        <f t="shared" si="1175"/>
        <v>0</v>
      </c>
      <c r="AK265" s="29">
        <f t="shared" si="1175"/>
        <v>0</v>
      </c>
      <c r="AL265" s="12"/>
      <c r="AM265" s="29">
        <f>SUM(AM262:AM264)</f>
        <v>0</v>
      </c>
      <c r="AN265" s="29">
        <f>SUM(AN262:AN264)</f>
        <v>0</v>
      </c>
      <c r="AO265" s="1"/>
      <c r="AP265" s="25">
        <f>ROUND(SUM(AC265:AF265)-AM265,2)</f>
        <v>0</v>
      </c>
      <c r="AQ265" s="25">
        <f>ROUND(SUM(AH265:AK265)-AN265,2)</f>
        <v>0</v>
      </c>
    </row>
    <row r="267" spans="2:43" x14ac:dyDescent="0.2">
      <c r="B267" s="30" t="s">
        <v>117</v>
      </c>
      <c r="C267" s="99">
        <v>0</v>
      </c>
      <c r="D267" s="99">
        <v>0</v>
      </c>
      <c r="E267" s="99">
        <v>0</v>
      </c>
      <c r="F267" s="99">
        <v>0</v>
      </c>
      <c r="G267" s="99">
        <v>0</v>
      </c>
      <c r="H267" s="99">
        <v>0</v>
      </c>
      <c r="I267" s="99">
        <v>0</v>
      </c>
      <c r="J267" s="99">
        <v>0</v>
      </c>
      <c r="K267" s="99">
        <v>0</v>
      </c>
      <c r="L267" s="99">
        <v>0</v>
      </c>
      <c r="M267" s="99">
        <v>0</v>
      </c>
      <c r="N267" s="13">
        <v>0</v>
      </c>
      <c r="P267" s="13">
        <v>0</v>
      </c>
      <c r="Q267" s="13">
        <v>0</v>
      </c>
      <c r="R267" s="13">
        <f>+Q267+(Q267*$R$2)</f>
        <v>0</v>
      </c>
      <c r="S267" s="13">
        <f>+R267</f>
        <v>0</v>
      </c>
      <c r="T267" s="13">
        <f t="shared" ref="T267:AA267" si="1176">+S267</f>
        <v>0</v>
      </c>
      <c r="U267" s="13">
        <f t="shared" si="1176"/>
        <v>0</v>
      </c>
      <c r="V267" s="13">
        <f t="shared" si="1176"/>
        <v>0</v>
      </c>
      <c r="W267" s="13">
        <f t="shared" si="1176"/>
        <v>0</v>
      </c>
      <c r="X267" s="13">
        <f t="shared" si="1176"/>
        <v>0</v>
      </c>
      <c r="Y267" s="13">
        <f t="shared" si="1176"/>
        <v>0</v>
      </c>
      <c r="Z267" s="13">
        <f t="shared" si="1176"/>
        <v>0</v>
      </c>
      <c r="AA267" s="13">
        <f t="shared" si="1176"/>
        <v>0</v>
      </c>
      <c r="AB267" s="8"/>
      <c r="AC267" s="4">
        <f>SUM(C267:E267)</f>
        <v>0</v>
      </c>
      <c r="AD267" s="4">
        <f>SUM(F267:H267)</f>
        <v>0</v>
      </c>
      <c r="AE267" s="4">
        <f>SUM(I267:K267)</f>
        <v>0</v>
      </c>
      <c r="AF267" s="4">
        <f>SUM(L267:N267)</f>
        <v>0</v>
      </c>
      <c r="AG267" s="4"/>
      <c r="AH267" s="4">
        <f>SUM(P267:R267)</f>
        <v>0</v>
      </c>
      <c r="AI267" s="4">
        <f>SUM(S267:U267)</f>
        <v>0</v>
      </c>
      <c r="AJ267" s="4">
        <f>SUM(V267:X267)</f>
        <v>0</v>
      </c>
      <c r="AK267" s="4">
        <f>SUM(Y267:AA267)</f>
        <v>0</v>
      </c>
      <c r="AL267" s="4"/>
      <c r="AM267" s="4">
        <f>SUM(C267:N267)</f>
        <v>0</v>
      </c>
      <c r="AN267" s="4">
        <f>SUM(P267:AA267)</f>
        <v>0</v>
      </c>
      <c r="AO267" s="1"/>
      <c r="AP267" s="25">
        <f>ROUND(SUM(AC267:AF267)-AM267,2)</f>
        <v>0</v>
      </c>
      <c r="AQ267" s="25">
        <f>ROUND(SUM(AH267:AK267)-AN267,2)</f>
        <v>0</v>
      </c>
    </row>
    <row r="268" spans="2:43" x14ac:dyDescent="0.2">
      <c r="B268" s="30" t="s">
        <v>25</v>
      </c>
      <c r="C268" s="99">
        <v>0</v>
      </c>
      <c r="D268" s="99">
        <v>0</v>
      </c>
      <c r="E268" s="99">
        <v>0</v>
      </c>
      <c r="F268" s="99">
        <v>0</v>
      </c>
      <c r="G268" s="99">
        <v>0</v>
      </c>
      <c r="H268" s="99">
        <v>0</v>
      </c>
      <c r="I268" s="99">
        <v>0</v>
      </c>
      <c r="J268" s="99">
        <v>0</v>
      </c>
      <c r="K268" s="99">
        <v>0</v>
      </c>
      <c r="L268" s="99">
        <v>0</v>
      </c>
      <c r="M268" s="99">
        <v>0</v>
      </c>
      <c r="N268" s="13">
        <v>0</v>
      </c>
      <c r="P268" s="13">
        <v>0</v>
      </c>
      <c r="Q268" s="13">
        <v>0</v>
      </c>
      <c r="R268" s="13">
        <v>0</v>
      </c>
      <c r="S268" s="13">
        <f>+R268</f>
        <v>0</v>
      </c>
      <c r="T268" s="13">
        <f t="shared" ref="T268:AA268" si="1177">+S268</f>
        <v>0</v>
      </c>
      <c r="U268" s="13">
        <f t="shared" si="1177"/>
        <v>0</v>
      </c>
      <c r="V268" s="13">
        <f t="shared" si="1177"/>
        <v>0</v>
      </c>
      <c r="W268" s="13">
        <f t="shared" si="1177"/>
        <v>0</v>
      </c>
      <c r="X268" s="13">
        <f t="shared" si="1177"/>
        <v>0</v>
      </c>
      <c r="Y268" s="13">
        <f t="shared" si="1177"/>
        <v>0</v>
      </c>
      <c r="Z268" s="13">
        <f t="shared" si="1177"/>
        <v>0</v>
      </c>
      <c r="AA268" s="13">
        <f t="shared" si="1177"/>
        <v>0</v>
      </c>
      <c r="AB268" s="8"/>
      <c r="AC268" s="4">
        <f>SUM(C268:E268)</f>
        <v>0</v>
      </c>
      <c r="AD268" s="4">
        <f>SUM(F268:H268)</f>
        <v>0</v>
      </c>
      <c r="AE268" s="4">
        <f>SUM(I268:K268)</f>
        <v>0</v>
      </c>
      <c r="AF268" s="4">
        <f>SUM(L268:N268)</f>
        <v>0</v>
      </c>
      <c r="AG268" s="4"/>
      <c r="AH268" s="4">
        <f t="shared" ref="AH268:AH269" si="1178">SUM(P268:R268)</f>
        <v>0</v>
      </c>
      <c r="AI268" s="4">
        <f t="shared" ref="AI268:AI269" si="1179">SUM(S268:U268)</f>
        <v>0</v>
      </c>
      <c r="AJ268" s="4">
        <f t="shared" ref="AJ268:AJ269" si="1180">SUM(V268:X268)</f>
        <v>0</v>
      </c>
      <c r="AK268" s="4">
        <f t="shared" ref="AK268:AK269" si="1181">SUM(Y268:AA268)</f>
        <v>0</v>
      </c>
      <c r="AL268" s="4"/>
      <c r="AM268" s="4">
        <f t="shared" ref="AM268:AM269" si="1182">SUM(C268:N268)</f>
        <v>0</v>
      </c>
      <c r="AN268" s="4">
        <f t="shared" ref="AN268:AN269" si="1183">SUM(P268:AA268)</f>
        <v>0</v>
      </c>
      <c r="AO268" s="1"/>
      <c r="AP268" s="25">
        <f t="shared" ref="AP268:AP269" si="1184">ROUND(SUM(AC268:AF268)-AM268,2)</f>
        <v>0</v>
      </c>
      <c r="AQ268" s="25">
        <f t="shared" ref="AQ268:AQ269" si="1185">ROUND(SUM(AH268:AK268)-AN268,2)</f>
        <v>0</v>
      </c>
    </row>
    <row r="269" spans="2:43" x14ac:dyDescent="0.2">
      <c r="B269" s="30" t="s">
        <v>118</v>
      </c>
      <c r="C269" s="99">
        <v>0</v>
      </c>
      <c r="D269" s="99">
        <v>0</v>
      </c>
      <c r="E269" s="99">
        <v>0</v>
      </c>
      <c r="F269" s="99">
        <v>0</v>
      </c>
      <c r="G269" s="99">
        <v>0</v>
      </c>
      <c r="H269" s="99">
        <v>0</v>
      </c>
      <c r="I269" s="99">
        <v>0</v>
      </c>
      <c r="J269" s="99">
        <v>0</v>
      </c>
      <c r="K269" s="99">
        <v>0</v>
      </c>
      <c r="L269" s="99">
        <v>0</v>
      </c>
      <c r="M269" s="99">
        <v>0</v>
      </c>
      <c r="N269" s="13">
        <v>0</v>
      </c>
      <c r="P269" s="13">
        <v>0</v>
      </c>
      <c r="Q269" s="13">
        <v>0</v>
      </c>
      <c r="R269" s="13">
        <f>IFERROR(R267*(Q269/Q267),0)</f>
        <v>0</v>
      </c>
      <c r="S269" s="13">
        <f>+R269</f>
        <v>0</v>
      </c>
      <c r="T269" s="13">
        <f t="shared" ref="T269:AA269" si="1186">+S269</f>
        <v>0</v>
      </c>
      <c r="U269" s="13">
        <f t="shared" si="1186"/>
        <v>0</v>
      </c>
      <c r="V269" s="13">
        <f t="shared" si="1186"/>
        <v>0</v>
      </c>
      <c r="W269" s="13">
        <f t="shared" si="1186"/>
        <v>0</v>
      </c>
      <c r="X269" s="13">
        <f t="shared" si="1186"/>
        <v>0</v>
      </c>
      <c r="Y269" s="13">
        <f t="shared" si="1186"/>
        <v>0</v>
      </c>
      <c r="Z269" s="13">
        <f t="shared" si="1186"/>
        <v>0</v>
      </c>
      <c r="AA269" s="13">
        <f t="shared" si="1186"/>
        <v>0</v>
      </c>
      <c r="AB269" s="8"/>
      <c r="AC269" s="4">
        <f>SUM(C269:E269)</f>
        <v>0</v>
      </c>
      <c r="AD269" s="4">
        <f>SUM(F269:H269)</f>
        <v>0</v>
      </c>
      <c r="AE269" s="4">
        <f>SUM(I269:K269)</f>
        <v>0</v>
      </c>
      <c r="AF269" s="4">
        <f>SUM(L269:N269)</f>
        <v>0</v>
      </c>
      <c r="AG269" s="4"/>
      <c r="AH269" s="4">
        <f t="shared" si="1178"/>
        <v>0</v>
      </c>
      <c r="AI269" s="4">
        <f t="shared" si="1179"/>
        <v>0</v>
      </c>
      <c r="AJ269" s="4">
        <f t="shared" si="1180"/>
        <v>0</v>
      </c>
      <c r="AK269" s="4">
        <f t="shared" si="1181"/>
        <v>0</v>
      </c>
      <c r="AL269" s="4"/>
      <c r="AM269" s="4">
        <f t="shared" si="1182"/>
        <v>0</v>
      </c>
      <c r="AN269" s="4">
        <f t="shared" si="1183"/>
        <v>0</v>
      </c>
      <c r="AO269" s="1"/>
      <c r="AP269" s="25">
        <f t="shared" si="1184"/>
        <v>0</v>
      </c>
      <c r="AQ269" s="25">
        <f t="shared" si="1185"/>
        <v>0</v>
      </c>
    </row>
    <row r="270" spans="2:43" x14ac:dyDescent="0.2">
      <c r="B270" s="28" t="s">
        <v>122</v>
      </c>
      <c r="C270" s="29">
        <f>SUM(C267:C269)</f>
        <v>0</v>
      </c>
      <c r="D270" s="29">
        <f t="shared" ref="D270" si="1187">SUM(D267:D269)</f>
        <v>0</v>
      </c>
      <c r="E270" s="29">
        <f t="shared" ref="E270" si="1188">SUM(E267:E269)</f>
        <v>0</v>
      </c>
      <c r="F270" s="29">
        <f t="shared" ref="F270" si="1189">SUM(F267:F269)</f>
        <v>0</v>
      </c>
      <c r="G270" s="29">
        <f t="shared" ref="G270" si="1190">SUM(G267:G269)</f>
        <v>0</v>
      </c>
      <c r="H270" s="29">
        <f t="shared" ref="H270" si="1191">SUM(H267:H269)</f>
        <v>0</v>
      </c>
      <c r="I270" s="29">
        <f t="shared" ref="I270" si="1192">SUM(I267:I269)</f>
        <v>0</v>
      </c>
      <c r="J270" s="29">
        <f t="shared" ref="J270" si="1193">SUM(J267:J269)</f>
        <v>0</v>
      </c>
      <c r="K270" s="29">
        <f t="shared" ref="K270" si="1194">SUM(K267:K269)</f>
        <v>0</v>
      </c>
      <c r="L270" s="29">
        <f t="shared" ref="L270" si="1195">SUM(L267:L269)</f>
        <v>0</v>
      </c>
      <c r="M270" s="29">
        <f t="shared" ref="M270" si="1196">SUM(M267:M269)</f>
        <v>0</v>
      </c>
      <c r="N270" s="29">
        <f t="shared" ref="N270:AA270" si="1197">SUM(N267:N269)</f>
        <v>0</v>
      </c>
      <c r="P270" s="29">
        <f t="shared" si="1197"/>
        <v>0</v>
      </c>
      <c r="Q270" s="29">
        <f t="shared" si="1197"/>
        <v>0</v>
      </c>
      <c r="R270" s="29">
        <f t="shared" si="1197"/>
        <v>0</v>
      </c>
      <c r="S270" s="29">
        <f t="shared" si="1197"/>
        <v>0</v>
      </c>
      <c r="T270" s="29">
        <f t="shared" si="1197"/>
        <v>0</v>
      </c>
      <c r="U270" s="29">
        <f t="shared" si="1197"/>
        <v>0</v>
      </c>
      <c r="V270" s="29">
        <f t="shared" si="1197"/>
        <v>0</v>
      </c>
      <c r="W270" s="29">
        <f t="shared" si="1197"/>
        <v>0</v>
      </c>
      <c r="X270" s="29">
        <f t="shared" si="1197"/>
        <v>0</v>
      </c>
      <c r="Y270" s="29">
        <f t="shared" si="1197"/>
        <v>0</v>
      </c>
      <c r="Z270" s="29">
        <f t="shared" si="1197"/>
        <v>0</v>
      </c>
      <c r="AA270" s="29">
        <f t="shared" si="1197"/>
        <v>0</v>
      </c>
      <c r="AB270" s="8"/>
      <c r="AC270" s="29">
        <f t="shared" ref="AC270" si="1198">SUM(AC267:AC269)</f>
        <v>0</v>
      </c>
      <c r="AD270" s="29">
        <f t="shared" ref="AD270" si="1199">SUM(AD267:AD269)</f>
        <v>0</v>
      </c>
      <c r="AE270" s="29">
        <f t="shared" ref="AE270" si="1200">SUM(AE267:AE269)</f>
        <v>0</v>
      </c>
      <c r="AF270" s="29">
        <f t="shared" ref="AF270" si="1201">SUM(AF267:AF269)</f>
        <v>0</v>
      </c>
      <c r="AG270" s="12"/>
      <c r="AH270" s="29">
        <f>SUM(AH267:AH269)</f>
        <v>0</v>
      </c>
      <c r="AI270" s="29">
        <f t="shared" ref="AI270:AK270" si="1202">SUM(AI267:AI269)</f>
        <v>0</v>
      </c>
      <c r="AJ270" s="29">
        <f t="shared" si="1202"/>
        <v>0</v>
      </c>
      <c r="AK270" s="29">
        <f t="shared" si="1202"/>
        <v>0</v>
      </c>
      <c r="AL270" s="12"/>
      <c r="AM270" s="29">
        <f>SUM(AM267:AM269)</f>
        <v>0</v>
      </c>
      <c r="AN270" s="29">
        <f>SUM(AN267:AN269)</f>
        <v>0</v>
      </c>
      <c r="AO270" s="1"/>
      <c r="AP270" s="25">
        <f>ROUND(SUM(AC270:AF270)-AM270,2)</f>
        <v>0</v>
      </c>
      <c r="AQ270" s="25">
        <f>ROUND(SUM(AH270:AK270)-AN270,2)</f>
        <v>0</v>
      </c>
    </row>
    <row r="272" spans="2:43" x14ac:dyDescent="0.2">
      <c r="B272" s="30" t="s">
        <v>117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13">
        <v>0</v>
      </c>
      <c r="P272" s="13">
        <v>0</v>
      </c>
      <c r="Q272" s="13">
        <v>0</v>
      </c>
      <c r="R272" s="13">
        <f>+Q272+(Q272*$R$2)</f>
        <v>0</v>
      </c>
      <c r="S272" s="13">
        <f>+R272</f>
        <v>0</v>
      </c>
      <c r="T272" s="13">
        <f t="shared" ref="T272:AA272" si="1203">+S272</f>
        <v>0</v>
      </c>
      <c r="U272" s="13">
        <f t="shared" si="1203"/>
        <v>0</v>
      </c>
      <c r="V272" s="13">
        <f t="shared" si="1203"/>
        <v>0</v>
      </c>
      <c r="W272" s="13">
        <f t="shared" si="1203"/>
        <v>0</v>
      </c>
      <c r="X272" s="13">
        <f t="shared" si="1203"/>
        <v>0</v>
      </c>
      <c r="Y272" s="13">
        <f t="shared" si="1203"/>
        <v>0</v>
      </c>
      <c r="Z272" s="13">
        <f t="shared" si="1203"/>
        <v>0</v>
      </c>
      <c r="AA272" s="13">
        <f t="shared" si="1203"/>
        <v>0</v>
      </c>
      <c r="AB272" s="8"/>
      <c r="AC272" s="4">
        <f>SUM(C272:E272)</f>
        <v>0</v>
      </c>
      <c r="AD272" s="4">
        <f>SUM(F272:H272)</f>
        <v>0</v>
      </c>
      <c r="AE272" s="4">
        <f>SUM(I272:K272)</f>
        <v>0</v>
      </c>
      <c r="AF272" s="4">
        <f>SUM(L272:N272)</f>
        <v>0</v>
      </c>
      <c r="AG272" s="4"/>
      <c r="AH272" s="4">
        <f>SUM(P272:R272)</f>
        <v>0</v>
      </c>
      <c r="AI272" s="4">
        <f>SUM(S272:U272)</f>
        <v>0</v>
      </c>
      <c r="AJ272" s="4">
        <f>SUM(V272:X272)</f>
        <v>0</v>
      </c>
      <c r="AK272" s="4">
        <f>SUM(Y272:AA272)</f>
        <v>0</v>
      </c>
      <c r="AL272" s="4"/>
      <c r="AM272" s="4">
        <f>SUM(C272:N272)</f>
        <v>0</v>
      </c>
      <c r="AN272" s="4">
        <f>SUM(P272:AA272)</f>
        <v>0</v>
      </c>
      <c r="AO272" s="1"/>
      <c r="AP272" s="25">
        <f>ROUND(SUM(AC272:AF272)-AM272,2)</f>
        <v>0</v>
      </c>
      <c r="AQ272" s="25">
        <f>ROUND(SUM(AH272:AK272)-AN272,2)</f>
        <v>0</v>
      </c>
    </row>
    <row r="273" spans="2:43" x14ac:dyDescent="0.2">
      <c r="B273" s="30" t="s">
        <v>25</v>
      </c>
      <c r="C273" s="99">
        <v>0</v>
      </c>
      <c r="D273" s="99">
        <v>0</v>
      </c>
      <c r="E273" s="99">
        <v>0</v>
      </c>
      <c r="F273" s="99">
        <v>0</v>
      </c>
      <c r="G273" s="99">
        <v>0</v>
      </c>
      <c r="H273" s="99">
        <v>0</v>
      </c>
      <c r="I273" s="99">
        <v>0</v>
      </c>
      <c r="J273" s="99">
        <v>0</v>
      </c>
      <c r="K273" s="99">
        <v>0</v>
      </c>
      <c r="L273" s="99">
        <v>0</v>
      </c>
      <c r="M273" s="99">
        <v>0</v>
      </c>
      <c r="N273" s="13">
        <v>0</v>
      </c>
      <c r="P273" s="13">
        <v>0</v>
      </c>
      <c r="Q273" s="13">
        <v>0</v>
      </c>
      <c r="R273" s="13">
        <v>0</v>
      </c>
      <c r="S273" s="13">
        <f>+R273</f>
        <v>0</v>
      </c>
      <c r="T273" s="13">
        <f t="shared" ref="T273:AA273" si="1204">+S273</f>
        <v>0</v>
      </c>
      <c r="U273" s="13">
        <f t="shared" si="1204"/>
        <v>0</v>
      </c>
      <c r="V273" s="13">
        <f t="shared" si="1204"/>
        <v>0</v>
      </c>
      <c r="W273" s="13">
        <f t="shared" si="1204"/>
        <v>0</v>
      </c>
      <c r="X273" s="13">
        <f t="shared" si="1204"/>
        <v>0</v>
      </c>
      <c r="Y273" s="13">
        <f t="shared" si="1204"/>
        <v>0</v>
      </c>
      <c r="Z273" s="13">
        <f t="shared" si="1204"/>
        <v>0</v>
      </c>
      <c r="AA273" s="13">
        <f t="shared" si="1204"/>
        <v>0</v>
      </c>
      <c r="AB273" s="8"/>
      <c r="AC273" s="4">
        <f>SUM(C273:E273)</f>
        <v>0</v>
      </c>
      <c r="AD273" s="4">
        <f>SUM(F273:H273)</f>
        <v>0</v>
      </c>
      <c r="AE273" s="4">
        <f>SUM(I273:K273)</f>
        <v>0</v>
      </c>
      <c r="AF273" s="4">
        <f>SUM(L273:N273)</f>
        <v>0</v>
      </c>
      <c r="AG273" s="4"/>
      <c r="AH273" s="4">
        <f t="shared" ref="AH273:AH274" si="1205">SUM(P273:R273)</f>
        <v>0</v>
      </c>
      <c r="AI273" s="4">
        <f t="shared" ref="AI273:AI274" si="1206">SUM(S273:U273)</f>
        <v>0</v>
      </c>
      <c r="AJ273" s="4">
        <f t="shared" ref="AJ273:AJ274" si="1207">SUM(V273:X273)</f>
        <v>0</v>
      </c>
      <c r="AK273" s="4">
        <f t="shared" ref="AK273:AK274" si="1208">SUM(Y273:AA273)</f>
        <v>0</v>
      </c>
      <c r="AL273" s="4"/>
      <c r="AM273" s="4">
        <f t="shared" ref="AM273:AM274" si="1209">SUM(C273:N273)</f>
        <v>0</v>
      </c>
      <c r="AN273" s="4">
        <f t="shared" ref="AN273:AN274" si="1210">SUM(P273:AA273)</f>
        <v>0</v>
      </c>
      <c r="AO273" s="1"/>
      <c r="AP273" s="25">
        <f t="shared" ref="AP273:AP274" si="1211">ROUND(SUM(AC273:AF273)-AM273,2)</f>
        <v>0</v>
      </c>
      <c r="AQ273" s="25">
        <f t="shared" ref="AQ273:AQ274" si="1212">ROUND(SUM(AH273:AK273)-AN273,2)</f>
        <v>0</v>
      </c>
    </row>
    <row r="274" spans="2:43" x14ac:dyDescent="0.2">
      <c r="B274" s="30" t="s">
        <v>118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13">
        <v>0</v>
      </c>
      <c r="P274" s="13">
        <v>0</v>
      </c>
      <c r="Q274" s="13">
        <v>0</v>
      </c>
      <c r="R274" s="13">
        <f>IFERROR(R272*(Q274/Q272),0)</f>
        <v>0</v>
      </c>
      <c r="S274" s="13">
        <f>+R274</f>
        <v>0</v>
      </c>
      <c r="T274" s="13">
        <f t="shared" ref="T274:AA274" si="1213">+S274</f>
        <v>0</v>
      </c>
      <c r="U274" s="13">
        <f t="shared" si="1213"/>
        <v>0</v>
      </c>
      <c r="V274" s="13">
        <f t="shared" si="1213"/>
        <v>0</v>
      </c>
      <c r="W274" s="13">
        <f t="shared" si="1213"/>
        <v>0</v>
      </c>
      <c r="X274" s="13">
        <f t="shared" si="1213"/>
        <v>0</v>
      </c>
      <c r="Y274" s="13">
        <f t="shared" si="1213"/>
        <v>0</v>
      </c>
      <c r="Z274" s="13">
        <f t="shared" si="1213"/>
        <v>0</v>
      </c>
      <c r="AA274" s="13">
        <f t="shared" si="1213"/>
        <v>0</v>
      </c>
      <c r="AB274" s="8"/>
      <c r="AC274" s="4">
        <f>SUM(C274:E274)</f>
        <v>0</v>
      </c>
      <c r="AD274" s="4">
        <f>SUM(F274:H274)</f>
        <v>0</v>
      </c>
      <c r="AE274" s="4">
        <f>SUM(I274:K274)</f>
        <v>0</v>
      </c>
      <c r="AF274" s="4">
        <f>SUM(L274:N274)</f>
        <v>0</v>
      </c>
      <c r="AG274" s="4"/>
      <c r="AH274" s="4">
        <f t="shared" si="1205"/>
        <v>0</v>
      </c>
      <c r="AI274" s="4">
        <f t="shared" si="1206"/>
        <v>0</v>
      </c>
      <c r="AJ274" s="4">
        <f t="shared" si="1207"/>
        <v>0</v>
      </c>
      <c r="AK274" s="4">
        <f t="shared" si="1208"/>
        <v>0</v>
      </c>
      <c r="AL274" s="4"/>
      <c r="AM274" s="4">
        <f t="shared" si="1209"/>
        <v>0</v>
      </c>
      <c r="AN274" s="4">
        <f t="shared" si="1210"/>
        <v>0</v>
      </c>
      <c r="AO274" s="1"/>
      <c r="AP274" s="25">
        <f t="shared" si="1211"/>
        <v>0</v>
      </c>
      <c r="AQ274" s="25">
        <f t="shared" si="1212"/>
        <v>0</v>
      </c>
    </row>
    <row r="275" spans="2:43" x14ac:dyDescent="0.2">
      <c r="B275" s="28" t="s">
        <v>122</v>
      </c>
      <c r="C275" s="29">
        <f>SUM(C272:C274)</f>
        <v>0</v>
      </c>
      <c r="D275" s="29">
        <f t="shared" ref="D275" si="1214">SUM(D272:D274)</f>
        <v>0</v>
      </c>
      <c r="E275" s="29">
        <f t="shared" ref="E275" si="1215">SUM(E272:E274)</f>
        <v>0</v>
      </c>
      <c r="F275" s="29">
        <f t="shared" ref="F275" si="1216">SUM(F272:F274)</f>
        <v>0</v>
      </c>
      <c r="G275" s="29">
        <f t="shared" ref="G275" si="1217">SUM(G272:G274)</f>
        <v>0</v>
      </c>
      <c r="H275" s="29">
        <f t="shared" ref="H275" si="1218">SUM(H272:H274)</f>
        <v>0</v>
      </c>
      <c r="I275" s="29">
        <f t="shared" ref="I275" si="1219">SUM(I272:I274)</f>
        <v>0</v>
      </c>
      <c r="J275" s="29">
        <f t="shared" ref="J275" si="1220">SUM(J272:J274)</f>
        <v>0</v>
      </c>
      <c r="K275" s="29">
        <f t="shared" ref="K275" si="1221">SUM(K272:K274)</f>
        <v>0</v>
      </c>
      <c r="L275" s="29">
        <f t="shared" ref="L275" si="1222">SUM(L272:L274)</f>
        <v>0</v>
      </c>
      <c r="M275" s="29">
        <f t="shared" ref="M275" si="1223">SUM(M272:M274)</f>
        <v>0</v>
      </c>
      <c r="N275" s="29">
        <f t="shared" ref="N275:AA275" si="1224">SUM(N272:N274)</f>
        <v>0</v>
      </c>
      <c r="P275" s="29">
        <f t="shared" si="1224"/>
        <v>0</v>
      </c>
      <c r="Q275" s="29">
        <f t="shared" si="1224"/>
        <v>0</v>
      </c>
      <c r="R275" s="29">
        <f t="shared" si="1224"/>
        <v>0</v>
      </c>
      <c r="S275" s="29">
        <f t="shared" si="1224"/>
        <v>0</v>
      </c>
      <c r="T275" s="29">
        <f t="shared" si="1224"/>
        <v>0</v>
      </c>
      <c r="U275" s="29">
        <f t="shared" si="1224"/>
        <v>0</v>
      </c>
      <c r="V275" s="29">
        <f t="shared" si="1224"/>
        <v>0</v>
      </c>
      <c r="W275" s="29">
        <f t="shared" si="1224"/>
        <v>0</v>
      </c>
      <c r="X275" s="29">
        <f t="shared" si="1224"/>
        <v>0</v>
      </c>
      <c r="Y275" s="29">
        <f t="shared" si="1224"/>
        <v>0</v>
      </c>
      <c r="Z275" s="29">
        <f t="shared" si="1224"/>
        <v>0</v>
      </c>
      <c r="AA275" s="29">
        <f t="shared" si="1224"/>
        <v>0</v>
      </c>
      <c r="AB275" s="8"/>
      <c r="AC275" s="29">
        <f t="shared" ref="AC275" si="1225">SUM(AC272:AC274)</f>
        <v>0</v>
      </c>
      <c r="AD275" s="29">
        <f t="shared" ref="AD275" si="1226">SUM(AD272:AD274)</f>
        <v>0</v>
      </c>
      <c r="AE275" s="29">
        <f t="shared" ref="AE275" si="1227">SUM(AE272:AE274)</f>
        <v>0</v>
      </c>
      <c r="AF275" s="29">
        <f t="shared" ref="AF275" si="1228">SUM(AF272:AF274)</f>
        <v>0</v>
      </c>
      <c r="AG275" s="12"/>
      <c r="AH275" s="29">
        <f>SUM(AH272:AH274)</f>
        <v>0</v>
      </c>
      <c r="AI275" s="29">
        <f t="shared" ref="AI275:AK275" si="1229">SUM(AI272:AI274)</f>
        <v>0</v>
      </c>
      <c r="AJ275" s="29">
        <f t="shared" si="1229"/>
        <v>0</v>
      </c>
      <c r="AK275" s="29">
        <f t="shared" si="1229"/>
        <v>0</v>
      </c>
      <c r="AL275" s="12"/>
      <c r="AM275" s="29">
        <f>SUM(AM272:AM274)</f>
        <v>0</v>
      </c>
      <c r="AN275" s="29">
        <f>SUM(AN272:AN274)</f>
        <v>0</v>
      </c>
      <c r="AO275" s="1"/>
      <c r="AP275" s="25">
        <f>ROUND(SUM(AC275:AF275)-AM275,2)</f>
        <v>0</v>
      </c>
      <c r="AQ275" s="25">
        <f>ROUND(SUM(AH275:AK275)-AN275,2)</f>
        <v>0</v>
      </c>
    </row>
    <row r="276" spans="2:43" x14ac:dyDescent="0.2"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8"/>
      <c r="AC276" s="29"/>
      <c r="AD276" s="29"/>
      <c r="AE276" s="29"/>
      <c r="AF276" s="29"/>
      <c r="AG276" s="12"/>
      <c r="AH276" s="12"/>
      <c r="AI276" s="12"/>
      <c r="AJ276" s="12"/>
      <c r="AK276" s="12"/>
      <c r="AL276" s="12"/>
      <c r="AM276" s="12"/>
      <c r="AN276" s="29"/>
      <c r="AO276" s="1"/>
      <c r="AP276" s="25"/>
      <c r="AQ276" s="25"/>
    </row>
    <row r="277" spans="2:43" x14ac:dyDescent="0.2">
      <c r="B277" s="30" t="s">
        <v>117</v>
      </c>
      <c r="C277" s="4">
        <f>+C232+C237+C242+C247+C252+C257+C262+C267+C272</f>
        <v>31934.86</v>
      </c>
      <c r="D277" s="4">
        <f t="shared" ref="D277:N277" si="1230">+D232+D237+D242+D247+D252+D257+D262+D267+D272</f>
        <v>30330.85</v>
      </c>
      <c r="E277" s="4">
        <f t="shared" si="1230"/>
        <v>29562.58</v>
      </c>
      <c r="F277" s="4">
        <f t="shared" si="1230"/>
        <v>30848.260000000002</v>
      </c>
      <c r="G277" s="4">
        <f t="shared" si="1230"/>
        <v>31686.940000000006</v>
      </c>
      <c r="H277" s="4">
        <f t="shared" si="1230"/>
        <v>31686.980000000007</v>
      </c>
      <c r="I277" s="4">
        <f t="shared" si="1230"/>
        <v>33969.050000000003</v>
      </c>
      <c r="J277" s="4">
        <f t="shared" si="1230"/>
        <v>31691.100000000006</v>
      </c>
      <c r="K277" s="4">
        <f t="shared" si="1230"/>
        <v>31691.060000000009</v>
      </c>
      <c r="L277" s="4">
        <f t="shared" si="1230"/>
        <v>31691.060000000009</v>
      </c>
      <c r="M277" s="4">
        <f t="shared" si="1230"/>
        <v>25812.080000000002</v>
      </c>
      <c r="N277" s="4">
        <f t="shared" si="1230"/>
        <v>26000</v>
      </c>
      <c r="P277" s="4">
        <f t="shared" ref="P277:AA277" si="1231">+P232+P237+P242+P247+P252+P257+P262+P267+P272</f>
        <v>26000</v>
      </c>
      <c r="Q277" s="4">
        <f t="shared" si="1231"/>
        <v>26000</v>
      </c>
      <c r="R277" s="4">
        <f t="shared" si="1231"/>
        <v>26000</v>
      </c>
      <c r="S277" s="4">
        <f t="shared" si="1231"/>
        <v>26000</v>
      </c>
      <c r="T277" s="4">
        <f t="shared" si="1231"/>
        <v>26000</v>
      </c>
      <c r="U277" s="4">
        <f t="shared" si="1231"/>
        <v>26000</v>
      </c>
      <c r="V277" s="4">
        <f t="shared" si="1231"/>
        <v>26000</v>
      </c>
      <c r="W277" s="4">
        <f t="shared" si="1231"/>
        <v>26000</v>
      </c>
      <c r="X277" s="4">
        <f t="shared" si="1231"/>
        <v>26000</v>
      </c>
      <c r="Y277" s="4">
        <f t="shared" si="1231"/>
        <v>26000</v>
      </c>
      <c r="Z277" s="4">
        <f t="shared" si="1231"/>
        <v>26000</v>
      </c>
      <c r="AA277" s="4">
        <f t="shared" si="1231"/>
        <v>26000</v>
      </c>
      <c r="AB277" s="8"/>
      <c r="AC277" s="4">
        <f t="shared" ref="AC277:AF277" si="1232">+AC232+AC237+AC242+AC247+AC252+AC257+AC262+AC267+AC272</f>
        <v>91828.290000000008</v>
      </c>
      <c r="AD277" s="4">
        <f t="shared" si="1232"/>
        <v>94222.180000000022</v>
      </c>
      <c r="AE277" s="4">
        <f t="shared" si="1232"/>
        <v>97351.210000000021</v>
      </c>
      <c r="AF277" s="4">
        <f t="shared" si="1232"/>
        <v>83503.14</v>
      </c>
      <c r="AG277" s="4"/>
      <c r="AH277" s="4">
        <f t="shared" ref="AH277:AK277" si="1233">+AH232+AH237+AH242+AH247+AH252+AH257+AH262+AH267+AH272</f>
        <v>78000</v>
      </c>
      <c r="AI277" s="4">
        <f t="shared" si="1233"/>
        <v>78000</v>
      </c>
      <c r="AJ277" s="4">
        <f t="shared" si="1233"/>
        <v>78000</v>
      </c>
      <c r="AK277" s="4">
        <f t="shared" si="1233"/>
        <v>78000</v>
      </c>
      <c r="AL277" s="4"/>
      <c r="AM277" s="4">
        <f t="shared" ref="AM277:AN277" si="1234">+AM232+AM237+AM242+AM247+AM252+AM257+AM262+AM267+AM272</f>
        <v>366904.82</v>
      </c>
      <c r="AN277" s="4">
        <f t="shared" si="1234"/>
        <v>312000</v>
      </c>
      <c r="AO277" s="1"/>
      <c r="AP277" s="25">
        <f t="shared" ref="AP277:AP280" si="1235">ROUND(SUM(AC277:AF277)-AM277,2)</f>
        <v>0</v>
      </c>
      <c r="AQ277" s="25">
        <f t="shared" ref="AQ277:AQ280" si="1236">ROUND(SUM(AH277:AK277)-AN277,2)</f>
        <v>0</v>
      </c>
    </row>
    <row r="278" spans="2:43" x14ac:dyDescent="0.2">
      <c r="B278" s="30" t="s">
        <v>25</v>
      </c>
      <c r="C278" s="4">
        <f t="shared" ref="C278:N278" si="1237">+C233+C238+C243+C248+C253+C258+C263+C268+C273</f>
        <v>0</v>
      </c>
      <c r="D278" s="4">
        <f t="shared" si="1237"/>
        <v>25769.22</v>
      </c>
      <c r="E278" s="4">
        <f t="shared" si="1237"/>
        <v>0</v>
      </c>
      <c r="F278" s="4">
        <f t="shared" si="1237"/>
        <v>0</v>
      </c>
      <c r="G278" s="4">
        <f t="shared" si="1237"/>
        <v>0</v>
      </c>
      <c r="H278" s="4">
        <f t="shared" si="1237"/>
        <v>0</v>
      </c>
      <c r="I278" s="4">
        <f t="shared" si="1237"/>
        <v>0</v>
      </c>
      <c r="J278" s="4">
        <f t="shared" si="1237"/>
        <v>0</v>
      </c>
      <c r="K278" s="4">
        <f t="shared" si="1237"/>
        <v>0</v>
      </c>
      <c r="L278" s="4">
        <f t="shared" si="1237"/>
        <v>0</v>
      </c>
      <c r="M278" s="4">
        <f t="shared" si="1237"/>
        <v>0</v>
      </c>
      <c r="N278" s="4">
        <f t="shared" si="1237"/>
        <v>0</v>
      </c>
      <c r="P278" s="4">
        <f t="shared" ref="P278:AA278" si="1238">+P233+P238+P243+P248+P253+P258+P263+P268+P273</f>
        <v>0</v>
      </c>
      <c r="Q278" s="4">
        <f t="shared" si="1238"/>
        <v>151200</v>
      </c>
      <c r="R278" s="4">
        <f t="shared" si="1238"/>
        <v>0</v>
      </c>
      <c r="S278" s="4">
        <f t="shared" si="1238"/>
        <v>0</v>
      </c>
      <c r="T278" s="4">
        <f t="shared" si="1238"/>
        <v>0</v>
      </c>
      <c r="U278" s="4">
        <f t="shared" si="1238"/>
        <v>0</v>
      </c>
      <c r="V278" s="4">
        <f t="shared" si="1238"/>
        <v>0</v>
      </c>
      <c r="W278" s="4">
        <f t="shared" si="1238"/>
        <v>0</v>
      </c>
      <c r="X278" s="4">
        <f t="shared" si="1238"/>
        <v>0</v>
      </c>
      <c r="Y278" s="4">
        <f t="shared" si="1238"/>
        <v>0</v>
      </c>
      <c r="Z278" s="4">
        <f t="shared" si="1238"/>
        <v>0</v>
      </c>
      <c r="AA278" s="4">
        <f t="shared" si="1238"/>
        <v>0</v>
      </c>
      <c r="AB278" s="8"/>
      <c r="AC278" s="4">
        <f t="shared" ref="AC278:AF278" si="1239">+AC233+AC238+AC243+AC248+AC253+AC258+AC263+AC268+AC273</f>
        <v>25769.22</v>
      </c>
      <c r="AD278" s="4">
        <f t="shared" si="1239"/>
        <v>0</v>
      </c>
      <c r="AE278" s="4">
        <f t="shared" si="1239"/>
        <v>0</v>
      </c>
      <c r="AF278" s="4">
        <f t="shared" si="1239"/>
        <v>0</v>
      </c>
      <c r="AG278" s="4"/>
      <c r="AH278" s="4">
        <f t="shared" ref="AH278:AK278" si="1240">+AH233+AH238+AH243+AH248+AH253+AH258+AH263+AH268+AH273</f>
        <v>151200</v>
      </c>
      <c r="AI278" s="4">
        <f t="shared" si="1240"/>
        <v>0</v>
      </c>
      <c r="AJ278" s="4">
        <f t="shared" si="1240"/>
        <v>0</v>
      </c>
      <c r="AK278" s="4">
        <f t="shared" si="1240"/>
        <v>0</v>
      </c>
      <c r="AL278" s="4"/>
      <c r="AM278" s="4">
        <f t="shared" ref="AM278:AN278" si="1241">+AM233+AM238+AM243+AM248+AM253+AM258+AM263+AM268+AM273</f>
        <v>25769.22</v>
      </c>
      <c r="AN278" s="4">
        <f t="shared" si="1241"/>
        <v>151200</v>
      </c>
      <c r="AO278" s="1"/>
      <c r="AP278" s="25">
        <f t="shared" si="1235"/>
        <v>0</v>
      </c>
      <c r="AQ278" s="25">
        <f t="shared" si="1236"/>
        <v>0</v>
      </c>
    </row>
    <row r="279" spans="2:43" x14ac:dyDescent="0.2">
      <c r="B279" s="30" t="s">
        <v>118</v>
      </c>
      <c r="C279" s="4">
        <f t="shared" ref="C279:N279" si="1242">+C234+C239+C244+C249+C254+C259+C264+C269+C274</f>
        <v>19000.8</v>
      </c>
      <c r="D279" s="4">
        <f t="shared" si="1242"/>
        <v>38686.82</v>
      </c>
      <c r="E279" s="4">
        <f t="shared" si="1242"/>
        <v>17349.430000000004</v>
      </c>
      <c r="F279" s="4">
        <f t="shared" si="1242"/>
        <v>15620.339999999998</v>
      </c>
      <c r="G279" s="4">
        <f t="shared" si="1242"/>
        <v>12749.28</v>
      </c>
      <c r="H279" s="4">
        <f t="shared" si="1242"/>
        <v>12749.24</v>
      </c>
      <c r="I279" s="4">
        <f t="shared" si="1242"/>
        <v>13634.43</v>
      </c>
      <c r="J279" s="4">
        <f t="shared" si="1242"/>
        <v>12745.119999999999</v>
      </c>
      <c r="K279" s="4">
        <f t="shared" si="1242"/>
        <v>12745.159999999998</v>
      </c>
      <c r="L279" s="4">
        <f t="shared" si="1242"/>
        <v>12745.159999999998</v>
      </c>
      <c r="M279" s="4">
        <f t="shared" si="1242"/>
        <v>11735.92</v>
      </c>
      <c r="N279" s="4">
        <f t="shared" si="1242"/>
        <v>11800</v>
      </c>
      <c r="P279" s="4">
        <f t="shared" ref="P279:AA279" si="1243">+P234+P239+P244+P249+P254+P259+P264+P269+P274</f>
        <v>11800</v>
      </c>
      <c r="Q279" s="4">
        <f t="shared" si="1243"/>
        <v>11800</v>
      </c>
      <c r="R279" s="4">
        <f t="shared" si="1243"/>
        <v>11800</v>
      </c>
      <c r="S279" s="4">
        <f t="shared" si="1243"/>
        <v>11800</v>
      </c>
      <c r="T279" s="4">
        <f t="shared" si="1243"/>
        <v>11800</v>
      </c>
      <c r="U279" s="4">
        <f t="shared" si="1243"/>
        <v>11800</v>
      </c>
      <c r="V279" s="4">
        <f t="shared" si="1243"/>
        <v>11800</v>
      </c>
      <c r="W279" s="4">
        <f t="shared" si="1243"/>
        <v>11800</v>
      </c>
      <c r="X279" s="4">
        <f t="shared" si="1243"/>
        <v>11800</v>
      </c>
      <c r="Y279" s="4">
        <f t="shared" si="1243"/>
        <v>11800</v>
      </c>
      <c r="Z279" s="4">
        <f t="shared" si="1243"/>
        <v>11800</v>
      </c>
      <c r="AA279" s="4">
        <f t="shared" si="1243"/>
        <v>11800</v>
      </c>
      <c r="AB279" s="8"/>
      <c r="AC279" s="4">
        <f t="shared" ref="AC279:AF279" si="1244">+AC234+AC239+AC244+AC249+AC254+AC259+AC264+AC269+AC274</f>
        <v>75037.05</v>
      </c>
      <c r="AD279" s="4">
        <f t="shared" si="1244"/>
        <v>41118.86</v>
      </c>
      <c r="AE279" s="4">
        <f t="shared" si="1244"/>
        <v>39124.709999999992</v>
      </c>
      <c r="AF279" s="4">
        <f t="shared" si="1244"/>
        <v>36281.08</v>
      </c>
      <c r="AG279" s="4"/>
      <c r="AH279" s="4">
        <f t="shared" ref="AH279:AK279" si="1245">+AH234+AH239+AH244+AH249+AH254+AH259+AH264+AH269+AH274</f>
        <v>35400</v>
      </c>
      <c r="AI279" s="4">
        <f t="shared" si="1245"/>
        <v>35400</v>
      </c>
      <c r="AJ279" s="4">
        <f t="shared" si="1245"/>
        <v>35400</v>
      </c>
      <c r="AK279" s="4">
        <f t="shared" si="1245"/>
        <v>35400</v>
      </c>
      <c r="AL279" s="4"/>
      <c r="AM279" s="4">
        <f t="shared" ref="AM279:AN279" si="1246">+AM234+AM239+AM244+AM249+AM254+AM259+AM264+AM269+AM274</f>
        <v>191561.70000000004</v>
      </c>
      <c r="AN279" s="4">
        <f t="shared" si="1246"/>
        <v>141600</v>
      </c>
      <c r="AO279" s="1"/>
      <c r="AP279" s="25">
        <f t="shared" si="1235"/>
        <v>0</v>
      </c>
      <c r="AQ279" s="25">
        <f t="shared" si="1236"/>
        <v>0</v>
      </c>
    </row>
    <row r="280" spans="2:43" x14ac:dyDescent="0.2">
      <c r="B280" s="28" t="s">
        <v>133</v>
      </c>
      <c r="C280" s="32">
        <f>+C235+C240+C245+C250+C255+C260+C265+C270+C275</f>
        <v>50935.66</v>
      </c>
      <c r="D280" s="32">
        <f t="shared" ref="D280:N280" si="1247">+D235+D240+D245+D250+D255+D260+D265+D270+D275</f>
        <v>94786.889999999985</v>
      </c>
      <c r="E280" s="32">
        <f t="shared" si="1247"/>
        <v>46912.01</v>
      </c>
      <c r="F280" s="32">
        <f t="shared" si="1247"/>
        <v>46468.6</v>
      </c>
      <c r="G280" s="32">
        <f t="shared" si="1247"/>
        <v>44436.22</v>
      </c>
      <c r="H280" s="32">
        <f t="shared" si="1247"/>
        <v>44436.22</v>
      </c>
      <c r="I280" s="32">
        <f t="shared" si="1247"/>
        <v>47603.479999999996</v>
      </c>
      <c r="J280" s="32">
        <f t="shared" si="1247"/>
        <v>44436.22</v>
      </c>
      <c r="K280" s="32">
        <f t="shared" si="1247"/>
        <v>44436.22</v>
      </c>
      <c r="L280" s="32">
        <f t="shared" si="1247"/>
        <v>44436.22</v>
      </c>
      <c r="M280" s="32">
        <f t="shared" si="1247"/>
        <v>37548</v>
      </c>
      <c r="N280" s="32">
        <f t="shared" si="1247"/>
        <v>37800</v>
      </c>
      <c r="P280" s="32">
        <f t="shared" ref="P280:AA280" si="1248">+P235+P240+P245+P250+P255+P260+P265+P270+P275</f>
        <v>37800</v>
      </c>
      <c r="Q280" s="32">
        <f t="shared" si="1248"/>
        <v>189000</v>
      </c>
      <c r="R280" s="32">
        <f t="shared" si="1248"/>
        <v>37800</v>
      </c>
      <c r="S280" s="32">
        <f t="shared" si="1248"/>
        <v>37800</v>
      </c>
      <c r="T280" s="32">
        <f t="shared" si="1248"/>
        <v>37800</v>
      </c>
      <c r="U280" s="32">
        <f t="shared" si="1248"/>
        <v>37800</v>
      </c>
      <c r="V280" s="32">
        <f t="shared" si="1248"/>
        <v>37800</v>
      </c>
      <c r="W280" s="32">
        <f t="shared" si="1248"/>
        <v>37800</v>
      </c>
      <c r="X280" s="32">
        <f t="shared" si="1248"/>
        <v>37800</v>
      </c>
      <c r="Y280" s="32">
        <f t="shared" si="1248"/>
        <v>37800</v>
      </c>
      <c r="Z280" s="32">
        <f t="shared" si="1248"/>
        <v>37800</v>
      </c>
      <c r="AA280" s="32">
        <f t="shared" si="1248"/>
        <v>37800</v>
      </c>
      <c r="AB280" s="33"/>
      <c r="AC280" s="32">
        <f t="shared" ref="AC280:AF280" si="1249">+AC235+AC240+AC245+AC250+AC255+AC260+AC265+AC270+AC275</f>
        <v>192634.56</v>
      </c>
      <c r="AD280" s="32">
        <f t="shared" si="1249"/>
        <v>135341.04000000004</v>
      </c>
      <c r="AE280" s="32">
        <f t="shared" si="1249"/>
        <v>136475.92000000001</v>
      </c>
      <c r="AF280" s="32">
        <f t="shared" si="1249"/>
        <v>119784.22</v>
      </c>
      <c r="AG280" s="33"/>
      <c r="AH280" s="32">
        <f t="shared" ref="AH280:AK280" si="1250">+AH235+AH240+AH245+AH250+AH255+AH260+AH265+AH270+AH275</f>
        <v>264600</v>
      </c>
      <c r="AI280" s="32">
        <f t="shared" si="1250"/>
        <v>113400</v>
      </c>
      <c r="AJ280" s="32">
        <f t="shared" si="1250"/>
        <v>113400</v>
      </c>
      <c r="AK280" s="32">
        <f t="shared" si="1250"/>
        <v>113400</v>
      </c>
      <c r="AL280" s="33"/>
      <c r="AM280" s="32">
        <f t="shared" ref="AM280:AN280" si="1251">+AM235+AM240+AM245+AM250+AM255+AM260+AM265+AM270+AM275</f>
        <v>584235.74000000011</v>
      </c>
      <c r="AN280" s="32">
        <f t="shared" si="1251"/>
        <v>604800</v>
      </c>
      <c r="AP280" s="25">
        <f t="shared" si="1235"/>
        <v>0</v>
      </c>
      <c r="AQ280" s="25">
        <f t="shared" si="1236"/>
        <v>0</v>
      </c>
    </row>
    <row r="281" spans="2:43" x14ac:dyDescent="0.2">
      <c r="B281" s="28"/>
      <c r="C281" s="41" t="str">
        <f t="shared" ref="C281:D281" si="1252">IF(ROUND(C280-SUM(C277:C279),2)=0,"ok","check")</f>
        <v>ok</v>
      </c>
      <c r="D281" s="41" t="str">
        <f t="shared" si="1252"/>
        <v>ok</v>
      </c>
      <c r="E281" s="41" t="str">
        <f>IF(ROUND(E280-SUM(E277:E279),2)=0,"ok","check")</f>
        <v>ok</v>
      </c>
      <c r="F281" s="41" t="str">
        <f t="shared" ref="F281:N281" si="1253">IF(ROUND(F280-SUM(F277:F279),2)=0,"ok","check")</f>
        <v>ok</v>
      </c>
      <c r="G281" s="41" t="str">
        <f t="shared" si="1253"/>
        <v>ok</v>
      </c>
      <c r="H281" s="41" t="str">
        <f t="shared" si="1253"/>
        <v>ok</v>
      </c>
      <c r="I281" s="41" t="str">
        <f t="shared" si="1253"/>
        <v>ok</v>
      </c>
      <c r="J281" s="41" t="str">
        <f t="shared" si="1253"/>
        <v>ok</v>
      </c>
      <c r="K281" s="41" t="str">
        <f t="shared" si="1253"/>
        <v>ok</v>
      </c>
      <c r="L281" s="41" t="str">
        <f t="shared" si="1253"/>
        <v>ok</v>
      </c>
      <c r="M281" s="41" t="str">
        <f t="shared" si="1253"/>
        <v>ok</v>
      </c>
      <c r="N281" s="41" t="str">
        <f t="shared" si="1253"/>
        <v>ok</v>
      </c>
      <c r="O281" s="41"/>
      <c r="P281" s="41" t="str">
        <f t="shared" ref="P281:AA281" si="1254">IF(ROUND(P280-SUM(P277:P279),2)=0,"ok","check")</f>
        <v>ok</v>
      </c>
      <c r="Q281" s="41" t="str">
        <f t="shared" si="1254"/>
        <v>ok</v>
      </c>
      <c r="R281" s="41" t="str">
        <f t="shared" si="1254"/>
        <v>ok</v>
      </c>
      <c r="S281" s="41" t="str">
        <f t="shared" si="1254"/>
        <v>ok</v>
      </c>
      <c r="T281" s="41" t="str">
        <f t="shared" si="1254"/>
        <v>ok</v>
      </c>
      <c r="U281" s="41" t="str">
        <f t="shared" si="1254"/>
        <v>ok</v>
      </c>
      <c r="V281" s="41" t="str">
        <f t="shared" si="1254"/>
        <v>ok</v>
      </c>
      <c r="W281" s="41" t="str">
        <f t="shared" si="1254"/>
        <v>ok</v>
      </c>
      <c r="X281" s="41" t="str">
        <f t="shared" si="1254"/>
        <v>ok</v>
      </c>
      <c r="Y281" s="41" t="str">
        <f t="shared" si="1254"/>
        <v>ok</v>
      </c>
      <c r="Z281" s="41" t="str">
        <f t="shared" si="1254"/>
        <v>ok</v>
      </c>
      <c r="AA281" s="41" t="str">
        <f t="shared" si="1254"/>
        <v>ok</v>
      </c>
    </row>
    <row r="283" spans="2:43" x14ac:dyDescent="0.2">
      <c r="B283" s="173" t="s">
        <v>134</v>
      </c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174"/>
      <c r="AF283" s="174"/>
      <c r="AG283" s="174"/>
      <c r="AH283" s="174"/>
      <c r="AI283" s="174"/>
      <c r="AJ283" s="174"/>
      <c r="AK283" s="174"/>
      <c r="AL283" s="174"/>
      <c r="AM283" s="174"/>
      <c r="AN283" s="175"/>
    </row>
    <row r="286" spans="2:43" x14ac:dyDescent="0.2">
      <c r="B286" s="30" t="s">
        <v>117</v>
      </c>
      <c r="C286" s="5">
        <f>+C77+C120+C153+C186+C224+C277</f>
        <v>152539.76</v>
      </c>
      <c r="D286" s="5">
        <f t="shared" ref="D286:N286" si="1255">+D77+D120+D153+D186+D224+D277</f>
        <v>147381.51999999999</v>
      </c>
      <c r="E286" s="5">
        <f t="shared" si="1255"/>
        <v>148126.71000000002</v>
      </c>
      <c r="F286" s="5">
        <f t="shared" si="1255"/>
        <v>151397.03</v>
      </c>
      <c r="G286" s="5">
        <f t="shared" si="1255"/>
        <v>161772.12000000002</v>
      </c>
      <c r="H286" s="5">
        <f t="shared" si="1255"/>
        <v>163047.13</v>
      </c>
      <c r="I286" s="5">
        <f t="shared" si="1255"/>
        <v>171354.83000000002</v>
      </c>
      <c r="J286" s="5">
        <f t="shared" si="1255"/>
        <v>166610.30000000002</v>
      </c>
      <c r="K286" s="5">
        <f t="shared" si="1255"/>
        <v>149248.40000000002</v>
      </c>
      <c r="L286" s="5">
        <f t="shared" si="1255"/>
        <v>150193.78</v>
      </c>
      <c r="M286" s="5">
        <f t="shared" si="1255"/>
        <v>144248.97000000003</v>
      </c>
      <c r="N286" s="5">
        <f t="shared" si="1255"/>
        <v>142500</v>
      </c>
      <c r="O286" s="5"/>
      <c r="P286" s="5">
        <f>+P77+P120+P153+P186+P224+P277</f>
        <v>142500</v>
      </c>
      <c r="Q286" s="5">
        <f t="shared" ref="Q286:AA286" si="1256">+Q77+Q120+Q153+Q186+Q224+Q277</f>
        <v>142500</v>
      </c>
      <c r="R286" s="5">
        <f t="shared" si="1256"/>
        <v>145995</v>
      </c>
      <c r="S286" s="5">
        <f t="shared" si="1256"/>
        <v>145995</v>
      </c>
      <c r="T286" s="5">
        <f t="shared" si="1256"/>
        <v>145995</v>
      </c>
      <c r="U286" s="5">
        <f t="shared" si="1256"/>
        <v>145995</v>
      </c>
      <c r="V286" s="5">
        <f t="shared" si="1256"/>
        <v>145995</v>
      </c>
      <c r="W286" s="5">
        <f t="shared" si="1256"/>
        <v>145995</v>
      </c>
      <c r="X286" s="5">
        <f t="shared" si="1256"/>
        <v>145995</v>
      </c>
      <c r="Y286" s="5">
        <f t="shared" si="1256"/>
        <v>145995</v>
      </c>
      <c r="Z286" s="5">
        <f t="shared" si="1256"/>
        <v>145995</v>
      </c>
      <c r="AA286" s="5">
        <f t="shared" si="1256"/>
        <v>145995</v>
      </c>
      <c r="AB286" s="34"/>
      <c r="AC286" s="5">
        <f t="shared" ref="AC286:AF286" si="1257">+AC77+AC120+AC153+AC186+AC224+AC277</f>
        <v>448047.99</v>
      </c>
      <c r="AD286" s="5">
        <f t="shared" si="1257"/>
        <v>476216.28</v>
      </c>
      <c r="AE286" s="5">
        <f t="shared" si="1257"/>
        <v>487213.53000000009</v>
      </c>
      <c r="AF286" s="5">
        <f t="shared" si="1257"/>
        <v>436942.75000000006</v>
      </c>
      <c r="AG286" s="5"/>
      <c r="AH286" s="5">
        <f t="shared" ref="AH286:AK286" si="1258">+AH77+AH120+AH153+AH186+AH224+AH277</f>
        <v>430995</v>
      </c>
      <c r="AI286" s="5">
        <f t="shared" si="1258"/>
        <v>437985</v>
      </c>
      <c r="AJ286" s="5">
        <f t="shared" si="1258"/>
        <v>437985</v>
      </c>
      <c r="AK286" s="5">
        <f t="shared" si="1258"/>
        <v>437985</v>
      </c>
      <c r="AL286" s="5"/>
      <c r="AM286" s="5">
        <f t="shared" ref="AM286:AN286" si="1259">+AM77+AM120+AM153+AM186+AM224+AM277</f>
        <v>1848420.55</v>
      </c>
      <c r="AN286" s="5">
        <f t="shared" si="1259"/>
        <v>1744950</v>
      </c>
      <c r="AO286" s="1"/>
      <c r="AP286" s="25">
        <f t="shared" ref="AP286:AP289" si="1260">ROUND(SUM(AC286:AF286)-AM286,2)</f>
        <v>0</v>
      </c>
      <c r="AQ286" s="25">
        <f t="shared" ref="AQ286:AQ289" si="1261">ROUND(SUM(AH286:AK286)-AN286,2)</f>
        <v>0</v>
      </c>
    </row>
    <row r="287" spans="2:43" x14ac:dyDescent="0.2">
      <c r="B287" s="30" t="s">
        <v>25</v>
      </c>
      <c r="C287" s="5">
        <f t="shared" ref="C287:N287" si="1262">+C78+C121+C154+C187+C225+C278</f>
        <v>0</v>
      </c>
      <c r="D287" s="5">
        <f t="shared" si="1262"/>
        <v>115406.84</v>
      </c>
      <c r="E287" s="5">
        <f t="shared" si="1262"/>
        <v>0</v>
      </c>
      <c r="F287" s="5">
        <f t="shared" si="1262"/>
        <v>7766.0799999999981</v>
      </c>
      <c r="G287" s="5">
        <f t="shared" si="1262"/>
        <v>7000</v>
      </c>
      <c r="H287" s="5">
        <f t="shared" si="1262"/>
        <v>7000</v>
      </c>
      <c r="I287" s="5">
        <f t="shared" si="1262"/>
        <v>0</v>
      </c>
      <c r="J287" s="5">
        <f t="shared" si="1262"/>
        <v>0</v>
      </c>
      <c r="K287" s="5">
        <f t="shared" si="1262"/>
        <v>0</v>
      </c>
      <c r="L287" s="5">
        <f t="shared" si="1262"/>
        <v>0</v>
      </c>
      <c r="M287" s="5">
        <f t="shared" si="1262"/>
        <v>0</v>
      </c>
      <c r="N287" s="5">
        <f t="shared" si="1262"/>
        <v>14700</v>
      </c>
      <c r="O287" s="5"/>
      <c r="P287" s="5">
        <f t="shared" ref="P287:AA287" si="1263">+P78+P121+P154+P187+P225+P278</f>
        <v>4900</v>
      </c>
      <c r="Q287" s="5">
        <f t="shared" si="1263"/>
        <v>418720.28674000001</v>
      </c>
      <c r="R287" s="5">
        <f t="shared" si="1263"/>
        <v>4900</v>
      </c>
      <c r="S287" s="5">
        <f t="shared" si="1263"/>
        <v>4900</v>
      </c>
      <c r="T287" s="5">
        <f t="shared" si="1263"/>
        <v>4900</v>
      </c>
      <c r="U287" s="5">
        <f t="shared" si="1263"/>
        <v>4900</v>
      </c>
      <c r="V287" s="5">
        <f t="shared" si="1263"/>
        <v>4900</v>
      </c>
      <c r="W287" s="5">
        <f t="shared" si="1263"/>
        <v>4900</v>
      </c>
      <c r="X287" s="5">
        <f t="shared" si="1263"/>
        <v>4900</v>
      </c>
      <c r="Y287" s="5">
        <f t="shared" si="1263"/>
        <v>4900</v>
      </c>
      <c r="Z287" s="5">
        <f t="shared" si="1263"/>
        <v>4900</v>
      </c>
      <c r="AA287" s="5">
        <f t="shared" si="1263"/>
        <v>4900</v>
      </c>
      <c r="AB287" s="34"/>
      <c r="AC287" s="5">
        <f t="shared" ref="AC287:AF287" si="1264">+AC78+AC121+AC154+AC187+AC225+AC278</f>
        <v>115406.84</v>
      </c>
      <c r="AD287" s="5">
        <f t="shared" si="1264"/>
        <v>21766.079999999998</v>
      </c>
      <c r="AE287" s="5">
        <f t="shared" si="1264"/>
        <v>0</v>
      </c>
      <c r="AF287" s="5">
        <f t="shared" si="1264"/>
        <v>14700</v>
      </c>
      <c r="AG287" s="5"/>
      <c r="AH287" s="5">
        <f t="shared" ref="AH287:AK287" si="1265">+AH78+AH121+AH154+AH187+AH225+AH278</f>
        <v>428520.28674000001</v>
      </c>
      <c r="AI287" s="5">
        <f t="shared" si="1265"/>
        <v>14700</v>
      </c>
      <c r="AJ287" s="5">
        <f t="shared" si="1265"/>
        <v>14700</v>
      </c>
      <c r="AK287" s="5">
        <f t="shared" si="1265"/>
        <v>14700</v>
      </c>
      <c r="AL287" s="5"/>
      <c r="AM287" s="5">
        <f t="shared" ref="AM287:AN287" si="1266">+AM78+AM121+AM154+AM187+AM225+AM278</f>
        <v>151872.91999999998</v>
      </c>
      <c r="AN287" s="5">
        <f t="shared" si="1266"/>
        <v>472620.28674000001</v>
      </c>
      <c r="AO287" s="1"/>
      <c r="AP287" s="25">
        <f t="shared" si="1260"/>
        <v>0</v>
      </c>
      <c r="AQ287" s="25">
        <f t="shared" si="1261"/>
        <v>0</v>
      </c>
    </row>
    <row r="288" spans="2:43" x14ac:dyDescent="0.2">
      <c r="B288" s="30" t="s">
        <v>118</v>
      </c>
      <c r="C288" s="5">
        <f t="shared" ref="C288:N288" si="1267">+C79+C122+C155+C188+C226+C279</f>
        <v>84529.689999999988</v>
      </c>
      <c r="D288" s="5">
        <f t="shared" si="1267"/>
        <v>169583.91</v>
      </c>
      <c r="E288" s="5">
        <f t="shared" si="1267"/>
        <v>80658.850000000006</v>
      </c>
      <c r="F288" s="5">
        <f t="shared" si="1267"/>
        <v>82593.289999999994</v>
      </c>
      <c r="G288" s="5">
        <f t="shared" si="1267"/>
        <v>80882.51999999999</v>
      </c>
      <c r="H288" s="5">
        <f t="shared" si="1267"/>
        <v>84662.52</v>
      </c>
      <c r="I288" s="5">
        <f t="shared" si="1267"/>
        <v>86163.32</v>
      </c>
      <c r="J288" s="5">
        <f t="shared" si="1267"/>
        <v>83002.17</v>
      </c>
      <c r="K288" s="5">
        <f t="shared" si="1267"/>
        <v>73710.559999999998</v>
      </c>
      <c r="L288" s="5">
        <f t="shared" si="1267"/>
        <v>70666.759999999995</v>
      </c>
      <c r="M288" s="5">
        <f t="shared" si="1267"/>
        <v>66294.64</v>
      </c>
      <c r="N288" s="5">
        <f t="shared" si="1267"/>
        <v>77310</v>
      </c>
      <c r="O288" s="5"/>
      <c r="P288" s="5">
        <f t="shared" ref="P288:AA288" si="1268">+P79+P122+P155+P188+P226+P279</f>
        <v>77310</v>
      </c>
      <c r="Q288" s="5">
        <f t="shared" si="1268"/>
        <v>77310</v>
      </c>
      <c r="R288" s="5">
        <f t="shared" si="1268"/>
        <v>79275.3</v>
      </c>
      <c r="S288" s="5">
        <f t="shared" si="1268"/>
        <v>79275.3</v>
      </c>
      <c r="T288" s="5">
        <f t="shared" si="1268"/>
        <v>79275.3</v>
      </c>
      <c r="U288" s="5">
        <f t="shared" si="1268"/>
        <v>79275.3</v>
      </c>
      <c r="V288" s="5">
        <f t="shared" si="1268"/>
        <v>79275.3</v>
      </c>
      <c r="W288" s="5">
        <f t="shared" si="1268"/>
        <v>79275.3</v>
      </c>
      <c r="X288" s="5">
        <f t="shared" si="1268"/>
        <v>79275.3</v>
      </c>
      <c r="Y288" s="5">
        <f t="shared" si="1268"/>
        <v>79275.3</v>
      </c>
      <c r="Z288" s="5">
        <f t="shared" si="1268"/>
        <v>79275.3</v>
      </c>
      <c r="AA288" s="5">
        <f t="shared" si="1268"/>
        <v>79275.3</v>
      </c>
      <c r="AB288" s="34"/>
      <c r="AC288" s="5">
        <f t="shared" ref="AC288:AF288" si="1269">+AC79+AC122+AC155+AC188+AC226+AC279</f>
        <v>334772.45</v>
      </c>
      <c r="AD288" s="5">
        <f t="shared" si="1269"/>
        <v>248138.33000000002</v>
      </c>
      <c r="AE288" s="5">
        <f t="shared" si="1269"/>
        <v>242876.04999999996</v>
      </c>
      <c r="AF288" s="5">
        <f t="shared" si="1269"/>
        <v>214271.39999999997</v>
      </c>
      <c r="AG288" s="5"/>
      <c r="AH288" s="5">
        <f t="shared" ref="AH288:AK288" si="1270">+AH79+AH122+AH155+AH188+AH226+AH279</f>
        <v>233895.3</v>
      </c>
      <c r="AI288" s="5">
        <f t="shared" si="1270"/>
        <v>237825.9</v>
      </c>
      <c r="AJ288" s="5">
        <f t="shared" si="1270"/>
        <v>237825.9</v>
      </c>
      <c r="AK288" s="5">
        <f t="shared" si="1270"/>
        <v>237825.9</v>
      </c>
      <c r="AL288" s="5"/>
      <c r="AM288" s="5">
        <f t="shared" ref="AM288:AN288" si="1271">+AM79+AM122+AM155+AM188+AM226+AM279</f>
        <v>1040058.23</v>
      </c>
      <c r="AN288" s="5">
        <f t="shared" si="1271"/>
        <v>947373</v>
      </c>
      <c r="AO288" s="1"/>
      <c r="AP288" s="25">
        <f t="shared" si="1260"/>
        <v>0</v>
      </c>
      <c r="AQ288" s="25">
        <f t="shared" si="1261"/>
        <v>0</v>
      </c>
    </row>
    <row r="289" spans="2:43" x14ac:dyDescent="0.2">
      <c r="B289" s="28" t="s">
        <v>40</v>
      </c>
      <c r="C289" s="32">
        <f>SUM(C286:C288)</f>
        <v>237069.45</v>
      </c>
      <c r="D289" s="32">
        <f t="shared" ref="D289" si="1272">SUM(D286:D288)</f>
        <v>432372.27</v>
      </c>
      <c r="E289" s="32">
        <f t="shared" ref="E289" si="1273">SUM(E286:E288)</f>
        <v>228785.56000000003</v>
      </c>
      <c r="F289" s="32">
        <f t="shared" ref="F289" si="1274">SUM(F286:F288)</f>
        <v>241756.39999999997</v>
      </c>
      <c r="G289" s="32">
        <f t="shared" ref="G289" si="1275">SUM(G286:G288)</f>
        <v>249654.64</v>
      </c>
      <c r="H289" s="32">
        <f t="shared" ref="H289" si="1276">SUM(H286:H288)</f>
        <v>254709.65000000002</v>
      </c>
      <c r="I289" s="32">
        <f t="shared" ref="I289" si="1277">SUM(I286:I288)</f>
        <v>257518.15000000002</v>
      </c>
      <c r="J289" s="32">
        <f t="shared" ref="J289" si="1278">SUM(J286:J288)</f>
        <v>249612.47000000003</v>
      </c>
      <c r="K289" s="32">
        <f t="shared" ref="K289" si="1279">SUM(K286:K288)</f>
        <v>222958.96000000002</v>
      </c>
      <c r="L289" s="32">
        <f t="shared" ref="L289" si="1280">SUM(L286:L288)</f>
        <v>220860.53999999998</v>
      </c>
      <c r="M289" s="32">
        <f t="shared" ref="M289" si="1281">SUM(M286:M288)</f>
        <v>210543.61000000004</v>
      </c>
      <c r="N289" s="32">
        <f t="shared" ref="N289:AA289" si="1282">SUM(N286:N288)</f>
        <v>234510</v>
      </c>
      <c r="O289" s="32"/>
      <c r="P289" s="32">
        <f t="shared" si="1282"/>
        <v>224710</v>
      </c>
      <c r="Q289" s="32">
        <f t="shared" si="1282"/>
        <v>638530.28674000001</v>
      </c>
      <c r="R289" s="32">
        <f t="shared" si="1282"/>
        <v>230170.3</v>
      </c>
      <c r="S289" s="32">
        <f t="shared" si="1282"/>
        <v>230170.3</v>
      </c>
      <c r="T289" s="32">
        <f t="shared" si="1282"/>
        <v>230170.3</v>
      </c>
      <c r="U289" s="32">
        <f t="shared" si="1282"/>
        <v>230170.3</v>
      </c>
      <c r="V289" s="32">
        <f t="shared" si="1282"/>
        <v>230170.3</v>
      </c>
      <c r="W289" s="32">
        <f t="shared" si="1282"/>
        <v>230170.3</v>
      </c>
      <c r="X289" s="32">
        <f t="shared" si="1282"/>
        <v>230170.3</v>
      </c>
      <c r="Y289" s="32">
        <f t="shared" si="1282"/>
        <v>230170.3</v>
      </c>
      <c r="Z289" s="32">
        <f t="shared" si="1282"/>
        <v>230170.3</v>
      </c>
      <c r="AA289" s="32">
        <f t="shared" si="1282"/>
        <v>230170.3</v>
      </c>
      <c r="AB289" s="34"/>
      <c r="AC289" s="32">
        <f t="shared" ref="AC289:AF289" si="1283">SUM(AC286:AC288)</f>
        <v>898227.28</v>
      </c>
      <c r="AD289" s="32">
        <f t="shared" si="1283"/>
        <v>746120.69000000006</v>
      </c>
      <c r="AE289" s="32">
        <f t="shared" si="1283"/>
        <v>730089.58000000007</v>
      </c>
      <c r="AF289" s="32">
        <f t="shared" si="1283"/>
        <v>665914.15</v>
      </c>
      <c r="AG289" s="34"/>
      <c r="AH289" s="32">
        <f t="shared" ref="AH289:AK289" si="1284">SUM(AH286:AH288)</f>
        <v>1093410.5867399999</v>
      </c>
      <c r="AI289" s="32">
        <f t="shared" si="1284"/>
        <v>690510.9</v>
      </c>
      <c r="AJ289" s="32">
        <f t="shared" si="1284"/>
        <v>690510.9</v>
      </c>
      <c r="AK289" s="32">
        <f t="shared" si="1284"/>
        <v>690510.9</v>
      </c>
      <c r="AL289" s="34"/>
      <c r="AM289" s="32">
        <f t="shared" ref="AM289:AN289" si="1285">SUM(AM286:AM288)</f>
        <v>3040351.7</v>
      </c>
      <c r="AN289" s="32">
        <f t="shared" si="1285"/>
        <v>3164943.2867399999</v>
      </c>
      <c r="AO289" s="1"/>
      <c r="AP289" s="25">
        <f t="shared" si="1260"/>
        <v>0</v>
      </c>
      <c r="AQ289" s="25">
        <f t="shared" si="1261"/>
        <v>0</v>
      </c>
    </row>
    <row r="291" spans="2:43" x14ac:dyDescent="0.2">
      <c r="B291" s="30" t="s">
        <v>135</v>
      </c>
      <c r="C291" s="31">
        <f>SUM(C286:C287)/C289</f>
        <v>0.64343912722621999</v>
      </c>
      <c r="D291" s="31">
        <f t="shared" ref="D291:N291" si="1286">SUM(D286:D287)/D289</f>
        <v>0.60778264063974308</v>
      </c>
      <c r="E291" s="31">
        <f t="shared" si="1286"/>
        <v>0.64744781095450255</v>
      </c>
      <c r="F291" s="31">
        <f t="shared" si="1286"/>
        <v>0.65836151597227621</v>
      </c>
      <c r="G291" s="31">
        <f t="shared" si="1286"/>
        <v>0.67602236433498697</v>
      </c>
      <c r="H291" s="31">
        <f t="shared" si="1286"/>
        <v>0.6676116511486706</v>
      </c>
      <c r="I291" s="31">
        <f t="shared" si="1286"/>
        <v>0.66540874885906098</v>
      </c>
      <c r="J291" s="31">
        <f t="shared" si="1286"/>
        <v>0.66747586769202671</v>
      </c>
      <c r="K291" s="31">
        <f t="shared" si="1286"/>
        <v>0.66939852966662572</v>
      </c>
      <c r="L291" s="31">
        <f t="shared" si="1286"/>
        <v>0.68003899655411515</v>
      </c>
      <c r="M291" s="31">
        <f t="shared" si="1286"/>
        <v>0.68512632608512791</v>
      </c>
      <c r="N291" s="31">
        <f t="shared" si="1286"/>
        <v>0.67033388768069591</v>
      </c>
      <c r="O291" s="31"/>
      <c r="P291" s="31">
        <f t="shared" ref="P291:AA291" si="1287">SUM(P286:P287)/P289</f>
        <v>0.65595656624093279</v>
      </c>
      <c r="Q291" s="31">
        <f t="shared" si="1287"/>
        <v>0.87892508530064528</v>
      </c>
      <c r="R291" s="31">
        <f t="shared" si="1287"/>
        <v>0.6555798033021637</v>
      </c>
      <c r="S291" s="31">
        <f t="shared" si="1287"/>
        <v>0.6555798033021637</v>
      </c>
      <c r="T291" s="31">
        <f t="shared" si="1287"/>
        <v>0.6555798033021637</v>
      </c>
      <c r="U291" s="31">
        <f t="shared" si="1287"/>
        <v>0.6555798033021637</v>
      </c>
      <c r="V291" s="31">
        <f t="shared" si="1287"/>
        <v>0.6555798033021637</v>
      </c>
      <c r="W291" s="31">
        <f t="shared" si="1287"/>
        <v>0.6555798033021637</v>
      </c>
      <c r="X291" s="31">
        <f t="shared" si="1287"/>
        <v>0.6555798033021637</v>
      </c>
      <c r="Y291" s="31">
        <f t="shared" si="1287"/>
        <v>0.6555798033021637</v>
      </c>
      <c r="Z291" s="31">
        <f t="shared" si="1287"/>
        <v>0.6555798033021637</v>
      </c>
      <c r="AA291" s="31">
        <f t="shared" si="1287"/>
        <v>0.6555798033021637</v>
      </c>
      <c r="AB291" s="8"/>
      <c r="AC291" s="31">
        <f t="shared" ref="AC291:AF291" si="1288">SUM(AC286:AC287)/AC289</f>
        <v>0.62729650117061675</v>
      </c>
      <c r="AD291" s="31">
        <f t="shared" si="1288"/>
        <v>0.66742869709188735</v>
      </c>
      <c r="AE291" s="31">
        <f t="shared" si="1288"/>
        <v>0.66733390442307094</v>
      </c>
      <c r="AF291" s="31">
        <f t="shared" si="1288"/>
        <v>0.67822969372253172</v>
      </c>
      <c r="AG291" s="4"/>
      <c r="AH291" s="31">
        <f t="shared" ref="AH291:AK291" si="1289">SUM(AH286:AH287)/AH289</f>
        <v>0.78608648678136728</v>
      </c>
      <c r="AI291" s="31">
        <f t="shared" si="1289"/>
        <v>0.65557980330216359</v>
      </c>
      <c r="AJ291" s="31">
        <f t="shared" si="1289"/>
        <v>0.65557980330216359</v>
      </c>
      <c r="AK291" s="31">
        <f t="shared" si="1289"/>
        <v>0.65557980330216359</v>
      </c>
      <c r="AL291" s="4"/>
      <c r="AM291" s="31">
        <f t="shared" ref="AM291:AN291" si="1290">SUM(AM286:AM287)/AM289</f>
        <v>0.65791515830224501</v>
      </c>
      <c r="AN291" s="31">
        <f t="shared" si="1290"/>
        <v>0.70066667419629292</v>
      </c>
      <c r="AO291" s="1"/>
      <c r="AP291" s="25"/>
      <c r="AQ291" s="25"/>
    </row>
    <row r="292" spans="2:43" x14ac:dyDescent="0.2">
      <c r="B292" s="30" t="s">
        <v>187</v>
      </c>
      <c r="C292" s="31">
        <f>+C288/C289</f>
        <v>0.35656087277377996</v>
      </c>
      <c r="D292" s="31">
        <f t="shared" ref="D292:N292" si="1291">+D288/D289</f>
        <v>0.39221735936025681</v>
      </c>
      <c r="E292" s="31">
        <f t="shared" si="1291"/>
        <v>0.35255218904549745</v>
      </c>
      <c r="F292" s="31">
        <f t="shared" si="1291"/>
        <v>0.34163848402772379</v>
      </c>
      <c r="G292" s="31">
        <f t="shared" si="1291"/>
        <v>0.32397763566501303</v>
      </c>
      <c r="H292" s="31">
        <f t="shared" si="1291"/>
        <v>0.33238834885132934</v>
      </c>
      <c r="I292" s="31">
        <f t="shared" si="1291"/>
        <v>0.33459125114093902</v>
      </c>
      <c r="J292" s="31">
        <f t="shared" si="1291"/>
        <v>0.33252413230797317</v>
      </c>
      <c r="K292" s="31">
        <f t="shared" si="1291"/>
        <v>0.33060147033337434</v>
      </c>
      <c r="L292" s="31">
        <f t="shared" si="1291"/>
        <v>0.31996100344588491</v>
      </c>
      <c r="M292" s="31">
        <f t="shared" si="1291"/>
        <v>0.31487367391487203</v>
      </c>
      <c r="N292" s="31">
        <f t="shared" si="1291"/>
        <v>0.32966611231930409</v>
      </c>
      <c r="O292" s="31"/>
      <c r="P292" s="31">
        <f t="shared" ref="P292:AA292" si="1292">+P288/P289</f>
        <v>0.34404343375906726</v>
      </c>
      <c r="Q292" s="31">
        <f t="shared" si="1292"/>
        <v>0.1210749146993547</v>
      </c>
      <c r="R292" s="31">
        <f t="shared" si="1292"/>
        <v>0.34442019669783636</v>
      </c>
      <c r="S292" s="31">
        <f t="shared" si="1292"/>
        <v>0.34442019669783636</v>
      </c>
      <c r="T292" s="31">
        <f t="shared" si="1292"/>
        <v>0.34442019669783636</v>
      </c>
      <c r="U292" s="31">
        <f t="shared" si="1292"/>
        <v>0.34442019669783636</v>
      </c>
      <c r="V292" s="31">
        <f t="shared" si="1292"/>
        <v>0.34442019669783636</v>
      </c>
      <c r="W292" s="31">
        <f t="shared" si="1292"/>
        <v>0.34442019669783636</v>
      </c>
      <c r="X292" s="31">
        <f t="shared" si="1292"/>
        <v>0.34442019669783636</v>
      </c>
      <c r="Y292" s="31">
        <f t="shared" si="1292"/>
        <v>0.34442019669783636</v>
      </c>
      <c r="Z292" s="31">
        <f t="shared" si="1292"/>
        <v>0.34442019669783636</v>
      </c>
      <c r="AA292" s="31">
        <f t="shared" si="1292"/>
        <v>0.34442019669783636</v>
      </c>
      <c r="AB292" s="8"/>
      <c r="AC292" s="31">
        <f t="shared" ref="AC292:AF292" si="1293">+AC288/AC289</f>
        <v>0.37270349882938314</v>
      </c>
      <c r="AD292" s="31">
        <f t="shared" si="1293"/>
        <v>0.3325713029081126</v>
      </c>
      <c r="AE292" s="31">
        <f t="shared" si="1293"/>
        <v>0.332666095576929</v>
      </c>
      <c r="AF292" s="31">
        <f t="shared" si="1293"/>
        <v>0.32177030627746828</v>
      </c>
      <c r="AG292" s="4"/>
      <c r="AH292" s="31">
        <f t="shared" ref="AH292:AK292" si="1294">+AH288/AH289</f>
        <v>0.21391351321863278</v>
      </c>
      <c r="AI292" s="31">
        <f t="shared" si="1294"/>
        <v>0.3444201966978363</v>
      </c>
      <c r="AJ292" s="31">
        <f t="shared" si="1294"/>
        <v>0.3444201966978363</v>
      </c>
      <c r="AK292" s="31">
        <f t="shared" si="1294"/>
        <v>0.3444201966978363</v>
      </c>
      <c r="AL292" s="4"/>
      <c r="AM292" s="31">
        <f t="shared" ref="AM292:AN292" si="1295">+AM288/AM289</f>
        <v>0.34208484169775488</v>
      </c>
      <c r="AN292" s="31">
        <f t="shared" si="1295"/>
        <v>0.29933332580370708</v>
      </c>
      <c r="AO292" s="1"/>
      <c r="AP292" s="25"/>
      <c r="AQ292" s="25"/>
    </row>
    <row r="294" spans="2:43" x14ac:dyDescent="0.2">
      <c r="C294" s="27">
        <f>+C77+C78+C120+C121+C154+C155+C186+C187+C224+C225+C277+C278</f>
        <v>152539.76</v>
      </c>
      <c r="D294" s="27">
        <f>+D77+D78+D120+D121+D154+D155+D186+D187+D224+D225+D277+D278</f>
        <v>262788.36000000004</v>
      </c>
      <c r="E294" s="27">
        <f t="shared" ref="E294:H294" si="1296">+E77+E78+E120+E121+E154+E155+E186+E187+E224+E225+E277+E278</f>
        <v>148126.71000000002</v>
      </c>
      <c r="F294" s="27">
        <f t="shared" si="1296"/>
        <v>159163.11000000002</v>
      </c>
      <c r="G294" s="27">
        <f t="shared" si="1296"/>
        <v>168772.12</v>
      </c>
      <c r="H294" s="27">
        <f t="shared" si="1296"/>
        <v>170047.13</v>
      </c>
      <c r="I294" s="27">
        <f t="shared" ref="I294:J294" si="1297">+I77+I78+I120+I121+I154+I155+I186+I187+I224+I225+I277+I278</f>
        <v>171354.83000000002</v>
      </c>
      <c r="J294" s="27">
        <f t="shared" si="1297"/>
        <v>166610.30000000002</v>
      </c>
      <c r="K294" s="27">
        <f t="shared" ref="K294:L294" si="1298">+K77+K78+K120+K121+K154+K155+K186+K187+K224+K225+K277+K278</f>
        <v>149248.40000000002</v>
      </c>
      <c r="L294" s="27">
        <f t="shared" si="1298"/>
        <v>150193.78</v>
      </c>
      <c r="M294" s="27">
        <f t="shared" ref="M294" si="1299">+M77+M78+M120+M121+M154+M155+M186+M187+M224+M225+M277+M278</f>
        <v>144248.97000000003</v>
      </c>
    </row>
    <row r="295" spans="2:43" x14ac:dyDescent="0.2">
      <c r="C295" s="13">
        <v>-152539.76</v>
      </c>
      <c r="D295" s="13">
        <v>-262788.36</v>
      </c>
      <c r="E295" s="13">
        <v>-148126.71000000002</v>
      </c>
      <c r="F295" s="13">
        <v>-159163.10999999999</v>
      </c>
      <c r="G295" s="13">
        <v>-168772.12</v>
      </c>
      <c r="H295" s="13">
        <v>-170047.13</v>
      </c>
      <c r="I295" s="13">
        <v>-171354.83000000002</v>
      </c>
      <c r="J295" s="13">
        <v>-166610.29999999999</v>
      </c>
      <c r="K295" s="13">
        <v>-149248.40000000002</v>
      </c>
      <c r="L295" s="13">
        <v>-150193.78</v>
      </c>
      <c r="M295" s="13">
        <v>-144248.96999999997</v>
      </c>
    </row>
    <row r="296" spans="2:43" x14ac:dyDescent="0.2">
      <c r="C296" s="4">
        <f>+C294+C295</f>
        <v>0</v>
      </c>
      <c r="D296" s="4">
        <f>+D294+D295</f>
        <v>0</v>
      </c>
      <c r="E296" s="4">
        <f t="shared" ref="E296:H296" si="1300">+E294+E295</f>
        <v>0</v>
      </c>
      <c r="F296" s="4">
        <f t="shared" si="1300"/>
        <v>0</v>
      </c>
      <c r="G296" s="4">
        <f t="shared" si="1300"/>
        <v>0</v>
      </c>
      <c r="H296" s="4">
        <f t="shared" si="1300"/>
        <v>0</v>
      </c>
      <c r="I296" s="4">
        <f t="shared" ref="I296:J296" si="1301">+I294+I295</f>
        <v>0</v>
      </c>
      <c r="J296" s="4">
        <f t="shared" si="1301"/>
        <v>0</v>
      </c>
      <c r="K296" s="4">
        <f t="shared" ref="K296:L296" si="1302">+K294+K295</f>
        <v>0</v>
      </c>
      <c r="L296" s="4">
        <f t="shared" si="1302"/>
        <v>0</v>
      </c>
      <c r="M296" s="4">
        <f t="shared" ref="M296" si="1303">+M294+M295</f>
        <v>0</v>
      </c>
    </row>
    <row r="297" spans="2:43" x14ac:dyDescent="0.2">
      <c r="C297" s="27"/>
      <c r="D297" s="27"/>
    </row>
    <row r="298" spans="2:43" x14ac:dyDescent="0.2">
      <c r="C298" s="27">
        <f>+C79+C122+C155+C188+C226+C279</f>
        <v>84529.689999999988</v>
      </c>
      <c r="D298" s="27">
        <f>+D79+D122+D155+D188+D226+D279</f>
        <v>169583.91</v>
      </c>
      <c r="E298" s="27">
        <f t="shared" ref="E298:H298" si="1304">+E79+E122+E155+E188+E226+E279</f>
        <v>80658.850000000006</v>
      </c>
      <c r="F298" s="27">
        <f t="shared" si="1304"/>
        <v>82593.289999999994</v>
      </c>
      <c r="G298" s="27">
        <f t="shared" si="1304"/>
        <v>80882.51999999999</v>
      </c>
      <c r="H298" s="27">
        <f t="shared" si="1304"/>
        <v>84662.52</v>
      </c>
      <c r="I298" s="27">
        <f t="shared" ref="I298:J298" si="1305">+I79+I122+I155+I188+I226+I279</f>
        <v>86163.32</v>
      </c>
      <c r="J298" s="27">
        <f t="shared" si="1305"/>
        <v>83002.17</v>
      </c>
      <c r="K298" s="27">
        <f t="shared" ref="K298:L298" si="1306">+K79+K122+K155+K188+K226+K279</f>
        <v>73710.559999999998</v>
      </c>
      <c r="L298" s="27">
        <f t="shared" si="1306"/>
        <v>70666.759999999995</v>
      </c>
      <c r="M298" s="27">
        <f t="shared" ref="M298" si="1307">+M79+M122+M155+M188+M226+M279</f>
        <v>66294.64</v>
      </c>
    </row>
    <row r="299" spans="2:43" x14ac:dyDescent="0.2">
      <c r="C299" s="13">
        <v>-84529.69</v>
      </c>
      <c r="D299" s="13">
        <v>-169583.91</v>
      </c>
      <c r="E299" s="13">
        <v>-80658.850000000006</v>
      </c>
      <c r="F299" s="13">
        <v>-82593.290000000008</v>
      </c>
      <c r="G299" s="13">
        <v>-80882.52</v>
      </c>
      <c r="H299" s="13">
        <v>-84662.51999999999</v>
      </c>
      <c r="I299" s="13">
        <v>-86163.32</v>
      </c>
      <c r="J299" s="13">
        <v>-83002.170000000013</v>
      </c>
      <c r="K299" s="13">
        <v>-73710.559999999998</v>
      </c>
      <c r="L299" s="13">
        <v>-70666.760000000009</v>
      </c>
      <c r="M299" s="13">
        <v>-66294.64</v>
      </c>
    </row>
    <row r="300" spans="2:43" x14ac:dyDescent="0.2">
      <c r="C300" s="4">
        <f>+C298+C299</f>
        <v>0</v>
      </c>
      <c r="D300" s="4">
        <f>+D298+D299</f>
        <v>0</v>
      </c>
      <c r="E300" s="4">
        <f t="shared" ref="E300" si="1308">+E298+E299</f>
        <v>0</v>
      </c>
      <c r="F300" s="4">
        <f t="shared" ref="F300" si="1309">+F298+F299</f>
        <v>0</v>
      </c>
      <c r="G300" s="4">
        <f t="shared" ref="G300" si="1310">+G298+G299</f>
        <v>0</v>
      </c>
      <c r="H300" s="4">
        <f t="shared" ref="H300:I300" si="1311">+H298+H299</f>
        <v>0</v>
      </c>
      <c r="I300" s="4">
        <f t="shared" si="1311"/>
        <v>0</v>
      </c>
      <c r="J300" s="4">
        <f t="shared" ref="J300:K300" si="1312">+J298+J299</f>
        <v>0</v>
      </c>
      <c r="K300" s="4">
        <f t="shared" si="1312"/>
        <v>0</v>
      </c>
      <c r="L300" s="4">
        <f t="shared" ref="L300:M300" si="1313">+L298+L299</f>
        <v>0</v>
      </c>
      <c r="M300" s="4">
        <f t="shared" si="1313"/>
        <v>0</v>
      </c>
    </row>
    <row r="303" spans="2:43" x14ac:dyDescent="0.2">
      <c r="B303" s="26" t="s">
        <v>531</v>
      </c>
    </row>
    <row r="306" spans="2:9" x14ac:dyDescent="0.2">
      <c r="B306" s="28" t="s">
        <v>1349</v>
      </c>
      <c r="C306" s="10" t="s">
        <v>1350</v>
      </c>
      <c r="D306" s="10" t="s">
        <v>1351</v>
      </c>
      <c r="E306" s="10" t="s">
        <v>1352</v>
      </c>
      <c r="F306" s="153">
        <v>1</v>
      </c>
      <c r="G306" s="156">
        <v>0.7</v>
      </c>
      <c r="I306" s="11" t="s">
        <v>1353</v>
      </c>
    </row>
    <row r="307" spans="2:9" x14ac:dyDescent="0.2">
      <c r="B307" s="28"/>
    </row>
    <row r="308" spans="2:9" x14ac:dyDescent="0.2">
      <c r="B308" s="30" t="s">
        <v>80</v>
      </c>
      <c r="C308" s="151">
        <v>2023</v>
      </c>
      <c r="D308" s="27">
        <v>107961.08</v>
      </c>
      <c r="E308" s="152">
        <v>0.1</v>
      </c>
      <c r="F308" s="27">
        <f>+D308*E308</f>
        <v>10796.108</v>
      </c>
      <c r="G308" s="157">
        <f>+$G$306</f>
        <v>0.7</v>
      </c>
      <c r="H308" s="27">
        <f>+F308*G308</f>
        <v>7557.2755999999999</v>
      </c>
      <c r="I308" s="27">
        <f>+H308*0.08</f>
        <v>604.58204799999999</v>
      </c>
    </row>
    <row r="309" spans="2:9" x14ac:dyDescent="0.2">
      <c r="B309" s="30" t="s">
        <v>79</v>
      </c>
      <c r="C309" s="151">
        <v>2023</v>
      </c>
      <c r="D309" s="27">
        <v>160159.42000000001</v>
      </c>
      <c r="E309" s="152">
        <v>0.1</v>
      </c>
      <c r="F309" s="27">
        <f>+D309*E309</f>
        <v>16015.942000000003</v>
      </c>
      <c r="G309" s="157">
        <f t="shared" ref="G309:G314" si="1314">+$G$306</f>
        <v>0.7</v>
      </c>
      <c r="H309" s="27">
        <f t="shared" ref="H309:H314" si="1315">+F309*G309</f>
        <v>11211.1594</v>
      </c>
      <c r="I309" s="27">
        <f>+H309*0.08</f>
        <v>896.89275200000009</v>
      </c>
    </row>
    <row r="310" spans="2:9" x14ac:dyDescent="0.2">
      <c r="B310" s="30" t="s">
        <v>78</v>
      </c>
      <c r="C310" s="151">
        <v>2023</v>
      </c>
      <c r="D310" s="27">
        <v>200000</v>
      </c>
      <c r="E310" s="152">
        <v>0.15</v>
      </c>
      <c r="F310" s="27">
        <f>+D310*E310</f>
        <v>30000</v>
      </c>
      <c r="G310" s="157">
        <f t="shared" si="1314"/>
        <v>0.7</v>
      </c>
      <c r="H310" s="27">
        <f t="shared" si="1315"/>
        <v>21000</v>
      </c>
      <c r="I310" s="27">
        <f>+H310*0.08</f>
        <v>1680</v>
      </c>
    </row>
    <row r="311" spans="2:9" x14ac:dyDescent="0.2">
      <c r="B311" s="30" t="s">
        <v>77</v>
      </c>
      <c r="C311" s="151">
        <v>2023</v>
      </c>
      <c r="D311" s="27">
        <v>178499.92</v>
      </c>
      <c r="E311" s="152">
        <v>0.1</v>
      </c>
      <c r="F311" s="27">
        <f t="shared" ref="F311:F314" si="1316">+D311*E311</f>
        <v>17849.992000000002</v>
      </c>
      <c r="G311" s="157">
        <f t="shared" si="1314"/>
        <v>0.7</v>
      </c>
      <c r="H311" s="27">
        <f t="shared" si="1315"/>
        <v>12494.994400000001</v>
      </c>
      <c r="I311" s="27">
        <f t="shared" ref="I311:I314" si="1317">+H311*0.08</f>
        <v>999.59955200000013</v>
      </c>
    </row>
    <row r="312" spans="2:9" x14ac:dyDescent="0.2">
      <c r="B312" s="30" t="s">
        <v>76</v>
      </c>
      <c r="C312" s="151">
        <v>2023</v>
      </c>
      <c r="D312" s="27">
        <v>262500.08</v>
      </c>
      <c r="E312" s="152">
        <v>0.25</v>
      </c>
      <c r="F312" s="27">
        <f t="shared" si="1316"/>
        <v>65625.02</v>
      </c>
      <c r="G312" s="157">
        <f t="shared" si="1314"/>
        <v>0.7</v>
      </c>
      <c r="H312" s="27">
        <f t="shared" si="1315"/>
        <v>45937.514000000003</v>
      </c>
      <c r="I312" s="27">
        <f t="shared" si="1317"/>
        <v>3675.0011200000004</v>
      </c>
    </row>
    <row r="313" spans="2:9" x14ac:dyDescent="0.2">
      <c r="B313" s="30" t="s">
        <v>75</v>
      </c>
      <c r="C313" s="151">
        <v>2023</v>
      </c>
      <c r="D313" s="27">
        <v>204000.16</v>
      </c>
      <c r="E313" s="152">
        <v>0.25</v>
      </c>
      <c r="F313" s="27">
        <f t="shared" si="1316"/>
        <v>51000.04</v>
      </c>
      <c r="G313" s="157">
        <f t="shared" si="1314"/>
        <v>0.7</v>
      </c>
      <c r="H313" s="27">
        <f t="shared" si="1315"/>
        <v>35700.027999999998</v>
      </c>
      <c r="I313" s="27">
        <f t="shared" si="1317"/>
        <v>2856.0022399999998</v>
      </c>
    </row>
    <row r="314" spans="2:9" x14ac:dyDescent="0.2">
      <c r="B314" s="30" t="s">
        <v>108</v>
      </c>
      <c r="C314" s="151">
        <v>2024</v>
      </c>
      <c r="D314" s="27">
        <v>200000</v>
      </c>
      <c r="E314" s="152">
        <v>0.2</v>
      </c>
      <c r="F314" s="27">
        <f t="shared" si="1316"/>
        <v>40000</v>
      </c>
      <c r="G314" s="157">
        <f t="shared" si="1314"/>
        <v>0.7</v>
      </c>
      <c r="H314" s="27">
        <f t="shared" si="1315"/>
        <v>28000</v>
      </c>
      <c r="I314" s="27">
        <f t="shared" si="1317"/>
        <v>2240</v>
      </c>
    </row>
    <row r="315" spans="2:9" x14ac:dyDescent="0.2">
      <c r="C315" s="151"/>
      <c r="D315" s="27"/>
      <c r="E315" s="152"/>
      <c r="F315" s="27"/>
      <c r="H315" s="27"/>
      <c r="I315" s="27"/>
    </row>
    <row r="316" spans="2:9" x14ac:dyDescent="0.2">
      <c r="B316" s="28" t="s">
        <v>121</v>
      </c>
      <c r="C316" s="154"/>
      <c r="D316" s="29"/>
      <c r="E316" s="155"/>
      <c r="F316" s="29">
        <f>SUM(F308:F314)</f>
        <v>231287.10200000001</v>
      </c>
      <c r="H316" s="29">
        <f>SUM(H308:H314)</f>
        <v>161900.97140000001</v>
      </c>
      <c r="I316" s="29">
        <f>SUM(I308:I314)</f>
        <v>12952.077712</v>
      </c>
    </row>
    <row r="317" spans="2:9" x14ac:dyDescent="0.2">
      <c r="C317" s="151"/>
      <c r="D317" s="27"/>
      <c r="E317" s="152"/>
      <c r="F317" s="27"/>
      <c r="H317" s="27"/>
      <c r="I317" s="27"/>
    </row>
    <row r="318" spans="2:9" x14ac:dyDescent="0.2">
      <c r="B318" s="30" t="s">
        <v>74</v>
      </c>
      <c r="C318" s="151">
        <v>2023</v>
      </c>
      <c r="D318" s="27">
        <v>62400</v>
      </c>
      <c r="E318" s="152">
        <v>0.1</v>
      </c>
      <c r="F318" s="27">
        <f t="shared" ref="F318:F320" si="1318">+D318*E318</f>
        <v>6240</v>
      </c>
      <c r="G318" s="157">
        <f t="shared" ref="G318:G320" si="1319">+$G$306</f>
        <v>0.7</v>
      </c>
      <c r="H318" s="27">
        <f t="shared" ref="H318:H320" si="1320">+F318*G318</f>
        <v>4368</v>
      </c>
      <c r="I318" s="27">
        <f t="shared" ref="I318:I320" si="1321">+H318*0.08</f>
        <v>349.44</v>
      </c>
    </row>
    <row r="319" spans="2:9" x14ac:dyDescent="0.2">
      <c r="B319" s="30" t="s">
        <v>73</v>
      </c>
      <c r="C319" s="151">
        <v>2023</v>
      </c>
      <c r="D319" s="27">
        <v>139500</v>
      </c>
      <c r="E319" s="152">
        <v>0</v>
      </c>
      <c r="F319" s="27">
        <f t="shared" si="1318"/>
        <v>0</v>
      </c>
      <c r="G319" s="157">
        <f t="shared" si="1319"/>
        <v>0.7</v>
      </c>
      <c r="H319" s="27">
        <f t="shared" si="1320"/>
        <v>0</v>
      </c>
      <c r="I319" s="27">
        <f t="shared" si="1321"/>
        <v>0</v>
      </c>
    </row>
    <row r="320" spans="2:9" x14ac:dyDescent="0.2">
      <c r="B320" s="30" t="s">
        <v>72</v>
      </c>
      <c r="C320" s="151">
        <v>2023</v>
      </c>
      <c r="D320" s="27">
        <v>220000.18</v>
      </c>
      <c r="E320" s="152">
        <v>0.35</v>
      </c>
      <c r="F320" s="27">
        <f t="shared" si="1318"/>
        <v>77000.062999999995</v>
      </c>
      <c r="G320" s="157">
        <f t="shared" si="1319"/>
        <v>0.7</v>
      </c>
      <c r="H320" s="27">
        <f t="shared" si="1320"/>
        <v>53900.044099999992</v>
      </c>
      <c r="I320" s="27">
        <f t="shared" si="1321"/>
        <v>4312.0035279999993</v>
      </c>
    </row>
    <row r="321" spans="2:11" x14ac:dyDescent="0.2">
      <c r="C321" s="151"/>
      <c r="D321" s="27"/>
      <c r="E321" s="152"/>
      <c r="F321" s="27"/>
      <c r="H321" s="27"/>
      <c r="I321" s="27"/>
    </row>
    <row r="322" spans="2:11" x14ac:dyDescent="0.2">
      <c r="B322" s="28" t="s">
        <v>124</v>
      </c>
      <c r="C322" s="154"/>
      <c r="D322" s="29"/>
      <c r="E322" s="155"/>
      <c r="F322" s="29">
        <f>SUM(F318:F320)</f>
        <v>83240.062999999995</v>
      </c>
      <c r="H322" s="29">
        <f>SUM(H318:H320)</f>
        <v>58268.044099999992</v>
      </c>
      <c r="I322" s="29">
        <f>SUM(I318:I320)</f>
        <v>4661.4435279999989</v>
      </c>
    </row>
    <row r="323" spans="2:11" x14ac:dyDescent="0.2">
      <c r="C323" s="151"/>
      <c r="D323" s="27"/>
      <c r="E323" s="152"/>
      <c r="F323" s="27"/>
      <c r="H323" s="27"/>
      <c r="I323" s="27"/>
    </row>
    <row r="324" spans="2:11" x14ac:dyDescent="0.2">
      <c r="B324" s="30" t="s">
        <v>1345</v>
      </c>
      <c r="C324" s="151">
        <v>2025</v>
      </c>
      <c r="D324" s="27">
        <v>175000.08</v>
      </c>
      <c r="E324" s="152">
        <v>0</v>
      </c>
      <c r="F324" s="27">
        <f t="shared" ref="F324" si="1322">+D324*E324</f>
        <v>0</v>
      </c>
      <c r="G324" s="157">
        <f t="shared" ref="G324" si="1323">+$G$306</f>
        <v>0.7</v>
      </c>
      <c r="H324" s="27">
        <f t="shared" ref="H324" si="1324">+F324*G324</f>
        <v>0</v>
      </c>
      <c r="I324" s="27">
        <f t="shared" ref="I324" si="1325">+H324*0.08</f>
        <v>0</v>
      </c>
    </row>
    <row r="325" spans="2:11" x14ac:dyDescent="0.2">
      <c r="C325" s="151"/>
      <c r="D325" s="27"/>
      <c r="E325" s="152"/>
      <c r="F325" s="27"/>
      <c r="H325" s="27"/>
      <c r="I325" s="27"/>
    </row>
    <row r="326" spans="2:11" x14ac:dyDescent="0.2">
      <c r="B326" s="28" t="s">
        <v>1346</v>
      </c>
      <c r="C326" s="154"/>
      <c r="D326" s="29"/>
      <c r="E326" s="155"/>
      <c r="F326" s="29">
        <f>SUM(F324)</f>
        <v>0</v>
      </c>
      <c r="H326" s="29">
        <f t="shared" ref="H326:I326" si="1326">SUM(H324)</f>
        <v>0</v>
      </c>
      <c r="I326" s="29">
        <f t="shared" si="1326"/>
        <v>0</v>
      </c>
    </row>
    <row r="327" spans="2:11" x14ac:dyDescent="0.2">
      <c r="C327" s="151"/>
      <c r="D327" s="27"/>
      <c r="E327" s="152"/>
      <c r="F327" s="27"/>
      <c r="H327" s="27"/>
      <c r="I327" s="27"/>
    </row>
    <row r="328" spans="2:11" x14ac:dyDescent="0.2">
      <c r="B328" s="30" t="s">
        <v>1347</v>
      </c>
      <c r="C328" s="151">
        <v>2025</v>
      </c>
      <c r="D328" s="27">
        <v>185000</v>
      </c>
      <c r="E328" s="152">
        <v>0.15</v>
      </c>
      <c r="F328" s="27">
        <f t="shared" ref="F328:F329" si="1327">+D328*E328</f>
        <v>27750</v>
      </c>
      <c r="G328" s="157">
        <f t="shared" ref="G328:G329" si="1328">+$G$306</f>
        <v>0.7</v>
      </c>
      <c r="H328" s="27">
        <f>(+F328*G328)/12*7</f>
        <v>11331.25</v>
      </c>
      <c r="I328" s="27">
        <f t="shared" ref="I328:I329" si="1329">+H328*0.08</f>
        <v>906.5</v>
      </c>
      <c r="K328" s="26" t="s">
        <v>1354</v>
      </c>
    </row>
    <row r="329" spans="2:11" x14ac:dyDescent="0.2">
      <c r="B329" s="30" t="s">
        <v>1348</v>
      </c>
      <c r="C329" s="151">
        <v>2025</v>
      </c>
      <c r="D329" s="27">
        <v>200000</v>
      </c>
      <c r="E329" s="152">
        <v>0.2</v>
      </c>
      <c r="F329" s="27">
        <f t="shared" si="1327"/>
        <v>40000</v>
      </c>
      <c r="G329" s="157">
        <f t="shared" si="1328"/>
        <v>0.7</v>
      </c>
      <c r="H329" s="27">
        <f>(+F329*G329)/12*5</f>
        <v>11666.666666666668</v>
      </c>
      <c r="I329" s="27">
        <f t="shared" si="1329"/>
        <v>933.33333333333348</v>
      </c>
      <c r="K329" s="26" t="s">
        <v>1355</v>
      </c>
    </row>
    <row r="330" spans="2:11" x14ac:dyDescent="0.2">
      <c r="C330" s="151"/>
      <c r="D330" s="27"/>
      <c r="E330" s="152"/>
      <c r="F330" s="27"/>
      <c r="H330" s="27"/>
      <c r="I330" s="27"/>
    </row>
    <row r="331" spans="2:11" x14ac:dyDescent="0.2">
      <c r="B331" s="28" t="s">
        <v>131</v>
      </c>
      <c r="C331" s="154"/>
      <c r="D331" s="29"/>
      <c r="E331" s="155"/>
      <c r="F331" s="29">
        <f>SUM(F328:F329)</f>
        <v>67750</v>
      </c>
      <c r="H331" s="29">
        <f>SUM(H328:H329)</f>
        <v>22997.916666666668</v>
      </c>
      <c r="I331" s="29">
        <f>SUM(I328:I329)</f>
        <v>1839.8333333333335</v>
      </c>
    </row>
    <row r="332" spans="2:11" x14ac:dyDescent="0.2">
      <c r="C332" s="151"/>
      <c r="D332" s="27"/>
      <c r="E332" s="152"/>
      <c r="F332" s="27"/>
      <c r="H332" s="27"/>
      <c r="I332" s="27"/>
    </row>
    <row r="333" spans="2:11" x14ac:dyDescent="0.2">
      <c r="B333" s="30" t="s">
        <v>70</v>
      </c>
      <c r="C333" s="151">
        <v>2023</v>
      </c>
      <c r="D333" s="27">
        <v>500000</v>
      </c>
      <c r="E333" s="152">
        <v>0.4</v>
      </c>
      <c r="F333" s="27">
        <f t="shared" ref="F333" si="1330">+D333*E333</f>
        <v>200000</v>
      </c>
      <c r="G333" s="157">
        <f t="shared" ref="G333" si="1331">+$G$306</f>
        <v>0.7</v>
      </c>
      <c r="H333" s="27">
        <f t="shared" ref="H333" si="1332">+F333*G333</f>
        <v>140000</v>
      </c>
      <c r="I333" s="27">
        <f t="shared" ref="I333" si="1333">+H333*0.08</f>
        <v>11200</v>
      </c>
    </row>
    <row r="334" spans="2:11" x14ac:dyDescent="0.2">
      <c r="C334" s="151"/>
      <c r="D334" s="27"/>
      <c r="E334" s="152"/>
      <c r="F334" s="27"/>
      <c r="H334" s="27"/>
      <c r="I334" s="27"/>
    </row>
    <row r="335" spans="2:11" x14ac:dyDescent="0.2">
      <c r="B335" s="28" t="s">
        <v>133</v>
      </c>
      <c r="C335" s="154"/>
      <c r="D335" s="29"/>
      <c r="E335" s="155"/>
      <c r="F335" s="29">
        <v>200000</v>
      </c>
      <c r="H335" s="29">
        <v>140000</v>
      </c>
      <c r="I335" s="29">
        <v>11200</v>
      </c>
    </row>
    <row r="336" spans="2:11" x14ac:dyDescent="0.2">
      <c r="B336" s="28"/>
      <c r="C336" s="154"/>
      <c r="D336" s="29"/>
      <c r="E336" s="155"/>
      <c r="F336" s="29"/>
      <c r="H336" s="29"/>
      <c r="I336" s="29"/>
    </row>
    <row r="337" spans="2:11" x14ac:dyDescent="0.2">
      <c r="B337" s="30" t="s">
        <v>1356</v>
      </c>
      <c r="D337" s="27">
        <v>222528</v>
      </c>
      <c r="E337" s="152">
        <v>0.2</v>
      </c>
      <c r="F337" s="27">
        <f t="shared" ref="F337" si="1334">+D337*E337</f>
        <v>44505.600000000006</v>
      </c>
      <c r="G337" s="157">
        <f>+$G$306</f>
        <v>0.7</v>
      </c>
      <c r="H337" s="27">
        <f>+F337*G337</f>
        <v>31153.920000000002</v>
      </c>
      <c r="I337" s="27"/>
      <c r="K337" s="26" t="s">
        <v>1357</v>
      </c>
    </row>
    <row r="338" spans="2:11" x14ac:dyDescent="0.2">
      <c r="C338" s="151"/>
      <c r="D338" s="27"/>
      <c r="E338" s="152"/>
      <c r="F338" s="27"/>
      <c r="H338" s="27"/>
      <c r="I338" s="27"/>
    </row>
    <row r="339" spans="2:11" x14ac:dyDescent="0.2">
      <c r="B339" s="28" t="s">
        <v>152</v>
      </c>
      <c r="C339" s="154"/>
      <c r="D339" s="29"/>
      <c r="E339" s="155"/>
      <c r="F339" s="29">
        <f>+F316+F322+F326+F331+F335+F337</f>
        <v>626782.76500000001</v>
      </c>
      <c r="H339" s="29">
        <f>+H316+H322+H326+H331+H335+H337</f>
        <v>414320.85216666665</v>
      </c>
      <c r="I339" s="29">
        <f>+I316+I322+I326+I331+I335+I337</f>
        <v>30653.35457333333</v>
      </c>
    </row>
  </sheetData>
  <mergeCells count="7">
    <mergeCell ref="B159:AN159"/>
    <mergeCell ref="B192:AN192"/>
    <mergeCell ref="B230:AN230"/>
    <mergeCell ref="B283:AN283"/>
    <mergeCell ref="B5:AN5"/>
    <mergeCell ref="B83:AN83"/>
    <mergeCell ref="B126:AN12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E0FA-0A69-4229-9833-E1B6D29BA342}">
  <dimension ref="A1:AQ124"/>
  <sheetViews>
    <sheetView workbookViewId="0">
      <pane xSplit="2" ySplit="3" topLeftCell="T97" activePane="bottomRight" state="frozen"/>
      <selection pane="topRight" activeCell="B1" sqref="B1"/>
      <selection pane="bottomLeft" activeCell="A3" sqref="A3"/>
      <selection pane="bottomRight" activeCell="AN120" sqref="AN120"/>
    </sheetView>
  </sheetViews>
  <sheetFormatPr baseColWidth="10" defaultColWidth="9.1640625" defaultRowHeight="14" x14ac:dyDescent="0.2"/>
  <cols>
    <col min="1" max="1" width="2.6640625" style="26" customWidth="1"/>
    <col min="2" max="2" width="30.6640625" style="26" customWidth="1"/>
    <col min="3" max="14" width="9.6640625" style="26" customWidth="1"/>
    <col min="15" max="15" width="2.6640625" style="26" customWidth="1"/>
    <col min="16" max="27" width="9.6640625" style="26" customWidth="1"/>
    <col min="28" max="28" width="2.6640625" style="26" customWidth="1"/>
    <col min="29" max="32" width="10.6640625" style="26" customWidth="1"/>
    <col min="33" max="33" width="2.6640625" style="26" customWidth="1"/>
    <col min="34" max="37" width="10.6640625" style="26" customWidth="1"/>
    <col min="38" max="38" width="2.6640625" style="26" customWidth="1"/>
    <col min="39" max="40" width="10.6640625" style="26" customWidth="1"/>
    <col min="41" max="41" width="2.6640625" style="26" customWidth="1"/>
    <col min="42" max="16384" width="9.1640625" style="26"/>
  </cols>
  <sheetData>
    <row r="1" spans="1:41" ht="16" x14ac:dyDescent="0.2">
      <c r="A1" s="15" t="s">
        <v>144</v>
      </c>
    </row>
    <row r="3" spans="1:41" x14ac:dyDescent="0.2"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O3" s="9"/>
      <c r="P3" s="9">
        <f>EDATE(N3,1)</f>
        <v>46023</v>
      </c>
      <c r="Q3" s="9">
        <f>EDATE(P3,1)</f>
        <v>46054</v>
      </c>
      <c r="R3" s="9">
        <f t="shared" ref="R3:AA3" si="1">EDATE(Q3,1)</f>
        <v>46082</v>
      </c>
      <c r="S3" s="9">
        <f t="shared" si="1"/>
        <v>46113</v>
      </c>
      <c r="T3" s="9">
        <f t="shared" si="1"/>
        <v>46143</v>
      </c>
      <c r="U3" s="9">
        <f t="shared" si="1"/>
        <v>46174</v>
      </c>
      <c r="V3" s="9">
        <f t="shared" si="1"/>
        <v>46204</v>
      </c>
      <c r="W3" s="9">
        <f t="shared" si="1"/>
        <v>46235</v>
      </c>
      <c r="X3" s="9">
        <f t="shared" si="1"/>
        <v>46266</v>
      </c>
      <c r="Y3" s="9">
        <f t="shared" si="1"/>
        <v>46296</v>
      </c>
      <c r="Z3" s="9">
        <f t="shared" si="1"/>
        <v>46327</v>
      </c>
      <c r="AA3" s="9">
        <f t="shared" si="1"/>
        <v>46357</v>
      </c>
      <c r="AB3" s="8"/>
      <c r="AC3" s="10" t="s">
        <v>1200</v>
      </c>
      <c r="AD3" s="10" t="s">
        <v>1201</v>
      </c>
      <c r="AE3" s="10" t="s">
        <v>1202</v>
      </c>
      <c r="AF3" s="10" t="s">
        <v>1203</v>
      </c>
      <c r="AG3" s="10"/>
      <c r="AH3" s="10" t="s">
        <v>1204</v>
      </c>
      <c r="AI3" s="10" t="s">
        <v>1205</v>
      </c>
      <c r="AJ3" s="10" t="s">
        <v>1206</v>
      </c>
      <c r="AK3" s="10" t="s">
        <v>1207</v>
      </c>
      <c r="AL3" s="10"/>
      <c r="AM3" s="11">
        <v>2025</v>
      </c>
      <c r="AN3" s="11">
        <v>2026</v>
      </c>
      <c r="AO3" s="1"/>
    </row>
    <row r="4" spans="1:41" x14ac:dyDescent="0.2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8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1"/>
      <c r="AO4" s="1"/>
    </row>
    <row r="5" spans="1:41" x14ac:dyDescent="0.2">
      <c r="B5" s="176" t="s">
        <v>119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8"/>
      <c r="AO5" s="1"/>
    </row>
    <row r="6" spans="1:41" x14ac:dyDescent="0.2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8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1"/>
      <c r="AO6" s="1"/>
    </row>
    <row r="7" spans="1:41" x14ac:dyDescent="0.2">
      <c r="B7" s="30" t="str">
        <f>+'2 Employees'!B10</f>
        <v>Burnham, Katie</v>
      </c>
      <c r="C7" s="27">
        <f>IF('2 Employees'!C10&gt;0,1,0)</f>
        <v>1</v>
      </c>
      <c r="D7" s="27">
        <f>IF('2 Employees'!D10&gt;0,1,0)</f>
        <v>1</v>
      </c>
      <c r="E7" s="27">
        <f>IF('2 Employees'!E10&gt;0,1,0)</f>
        <v>1</v>
      </c>
      <c r="F7" s="27">
        <f>IF('2 Employees'!F10&gt;0,1,0)</f>
        <v>0</v>
      </c>
      <c r="G7" s="27">
        <f>IF('2 Employees'!G10&gt;0,1,0)</f>
        <v>0</v>
      </c>
      <c r="H7" s="27">
        <f>IF('2 Employees'!H10&gt;0,1,0)</f>
        <v>0</v>
      </c>
      <c r="I7" s="27">
        <f>IF('2 Employees'!I10&gt;0,1,0)</f>
        <v>0</v>
      </c>
      <c r="J7" s="27">
        <f>IF('2 Employees'!J10&gt;0,1,0)</f>
        <v>0</v>
      </c>
      <c r="K7" s="27">
        <f>IF('2 Employees'!K10&gt;0,1,0)</f>
        <v>0</v>
      </c>
      <c r="L7" s="27">
        <f>IF('2 Employees'!L10&gt;0,1,0)</f>
        <v>0</v>
      </c>
      <c r="M7" s="27">
        <f>IF('2 Employees'!M10&gt;0,1,0)</f>
        <v>0</v>
      </c>
      <c r="N7" s="27">
        <f>IF('2 Employees'!N10&gt;0,1,0)</f>
        <v>0</v>
      </c>
      <c r="O7" s="27"/>
      <c r="P7" s="27">
        <f>IF('2 Employees'!P10&gt;0,1,0)</f>
        <v>0</v>
      </c>
      <c r="Q7" s="27">
        <f>IF('2 Employees'!Q10&gt;0,1,0)</f>
        <v>0</v>
      </c>
      <c r="R7" s="27">
        <f>IF('2 Employees'!R10&gt;0,1,0)</f>
        <v>0</v>
      </c>
      <c r="S7" s="27">
        <f>IF('2 Employees'!S10&gt;0,1,0)</f>
        <v>0</v>
      </c>
      <c r="T7" s="27">
        <f>IF('2 Employees'!T10&gt;0,1,0)</f>
        <v>0</v>
      </c>
      <c r="U7" s="27">
        <f>IF('2 Employees'!U10&gt;0,1,0)</f>
        <v>0</v>
      </c>
      <c r="V7" s="27">
        <f>IF('2 Employees'!V10&gt;0,1,0)</f>
        <v>0</v>
      </c>
      <c r="W7" s="27">
        <f>IF('2 Employees'!W10&gt;0,1,0)</f>
        <v>0</v>
      </c>
      <c r="X7" s="27">
        <f>IF('2 Employees'!X10&gt;0,1,0)</f>
        <v>0</v>
      </c>
      <c r="Y7" s="27">
        <f>IF('2 Employees'!Y10&gt;0,1,0)</f>
        <v>0</v>
      </c>
      <c r="Z7" s="27">
        <f>IF('2 Employees'!Z10&gt;0,1,0)</f>
        <v>0</v>
      </c>
      <c r="AA7" s="27">
        <f>IF('2 Employees'!AA10&gt;0,1,0)</f>
        <v>0</v>
      </c>
      <c r="AC7" s="27">
        <f>+E7</f>
        <v>1</v>
      </c>
      <c r="AD7" s="27">
        <f>+H7</f>
        <v>0</v>
      </c>
      <c r="AE7" s="27">
        <f>+K7</f>
        <v>0</v>
      </c>
      <c r="AF7" s="27">
        <f>+N7</f>
        <v>0</v>
      </c>
      <c r="AH7" s="27">
        <f>+R7</f>
        <v>0</v>
      </c>
      <c r="AI7" s="27">
        <f>+U7</f>
        <v>0</v>
      </c>
      <c r="AJ7" s="27">
        <f>+X7</f>
        <v>0</v>
      </c>
      <c r="AK7" s="27">
        <f>+AA7</f>
        <v>0</v>
      </c>
      <c r="AM7" s="27">
        <f>+N7</f>
        <v>0</v>
      </c>
      <c r="AN7" s="27">
        <f>+AA7</f>
        <v>0</v>
      </c>
    </row>
    <row r="8" spans="1:41" x14ac:dyDescent="0.2">
      <c r="B8" s="30" t="str">
        <f>+'2 Employees'!B15</f>
        <v>Carr, Kayleigh</v>
      </c>
      <c r="C8" s="27">
        <f>IF('2 Employees'!C15&gt;0,1,0)</f>
        <v>1</v>
      </c>
      <c r="D8" s="27">
        <f>IF('2 Employees'!D15&gt;0,1,0)</f>
        <v>1</v>
      </c>
      <c r="E8" s="27">
        <f>IF('2 Employees'!E15&gt;0,1,0)</f>
        <v>1</v>
      </c>
      <c r="F8" s="27">
        <f>IF('2 Employees'!F15&gt;0,1,0)</f>
        <v>1</v>
      </c>
      <c r="G8" s="27">
        <f>IF('2 Employees'!G15&gt;0,1,0)</f>
        <v>1</v>
      </c>
      <c r="H8" s="27">
        <f>IF('2 Employees'!H15&gt;0,1,0)</f>
        <v>1</v>
      </c>
      <c r="I8" s="27">
        <f>IF('2 Employees'!I15&gt;0,1,0)</f>
        <v>1</v>
      </c>
      <c r="J8" s="27">
        <f>IF('2 Employees'!J15&gt;0,1,0)</f>
        <v>1</v>
      </c>
      <c r="K8" s="27">
        <f>IF('2 Employees'!K15&gt;0,1,0)</f>
        <v>1</v>
      </c>
      <c r="L8" s="27">
        <f>IF('2 Employees'!L15&gt;0,1,0)</f>
        <v>1</v>
      </c>
      <c r="M8" s="27">
        <f>IF('2 Employees'!M15&gt;0,1,0)</f>
        <v>1</v>
      </c>
      <c r="N8" s="27">
        <f>IF('2 Employees'!N15&gt;0,1,0)</f>
        <v>1</v>
      </c>
      <c r="O8" s="27"/>
      <c r="P8" s="27">
        <f>IF('2 Employees'!P15&gt;0,1,0)</f>
        <v>1</v>
      </c>
      <c r="Q8" s="27">
        <f>IF('2 Employees'!Q15&gt;0,1,0)</f>
        <v>1</v>
      </c>
      <c r="R8" s="27">
        <f>IF('2 Employees'!R15&gt;0,1,0)</f>
        <v>1</v>
      </c>
      <c r="S8" s="27">
        <f>IF('2 Employees'!S15&gt;0,1,0)</f>
        <v>1</v>
      </c>
      <c r="T8" s="27">
        <f>IF('2 Employees'!T15&gt;0,1,0)</f>
        <v>1</v>
      </c>
      <c r="U8" s="27">
        <f>IF('2 Employees'!U15&gt;0,1,0)</f>
        <v>1</v>
      </c>
      <c r="V8" s="27">
        <f>IF('2 Employees'!V15&gt;0,1,0)</f>
        <v>1</v>
      </c>
      <c r="W8" s="27">
        <f>IF('2 Employees'!W15&gt;0,1,0)</f>
        <v>1</v>
      </c>
      <c r="X8" s="27">
        <f>IF('2 Employees'!X15&gt;0,1,0)</f>
        <v>1</v>
      </c>
      <c r="Y8" s="27">
        <f>IF('2 Employees'!Y15&gt;0,1,0)</f>
        <v>1</v>
      </c>
      <c r="Z8" s="27">
        <f>IF('2 Employees'!Z15&gt;0,1,0)</f>
        <v>1</v>
      </c>
      <c r="AA8" s="27">
        <f>IF('2 Employees'!AA15&gt;0,1,0)</f>
        <v>1</v>
      </c>
      <c r="AC8" s="27">
        <f t="shared" ref="AC8:AC20" si="2">+E8</f>
        <v>1</v>
      </c>
      <c r="AD8" s="27">
        <f t="shared" ref="AD8:AD20" si="3">+H8</f>
        <v>1</v>
      </c>
      <c r="AE8" s="27">
        <f t="shared" ref="AE8:AE20" si="4">+K8</f>
        <v>1</v>
      </c>
      <c r="AF8" s="27">
        <f t="shared" ref="AF8:AF20" si="5">+N8</f>
        <v>1</v>
      </c>
      <c r="AH8" s="27">
        <f t="shared" ref="AH8:AH20" si="6">+R8</f>
        <v>1</v>
      </c>
      <c r="AI8" s="27">
        <f t="shared" ref="AI8:AI20" si="7">+U8</f>
        <v>1</v>
      </c>
      <c r="AJ8" s="27">
        <f t="shared" ref="AJ8:AJ20" si="8">+X8</f>
        <v>1</v>
      </c>
      <c r="AK8" s="27">
        <f t="shared" ref="AK8:AK20" si="9">+AA8</f>
        <v>1</v>
      </c>
      <c r="AM8" s="27">
        <f t="shared" ref="AM8:AM20" si="10">+N8</f>
        <v>1</v>
      </c>
      <c r="AN8" s="27">
        <f t="shared" ref="AN8:AN20" si="11">+AA8</f>
        <v>1</v>
      </c>
    </row>
    <row r="9" spans="1:41" x14ac:dyDescent="0.2">
      <c r="B9" s="30" t="str">
        <f>+'2 Employees'!B20</f>
        <v>Der, Raymond</v>
      </c>
      <c r="C9" s="27">
        <f>IF('2 Employees'!C20&gt;0,1,0)</f>
        <v>1</v>
      </c>
      <c r="D9" s="27">
        <f>IF('2 Employees'!D20&gt;0,1,0)</f>
        <v>1</v>
      </c>
      <c r="E9" s="27">
        <f>IF('2 Employees'!E20&gt;0,1,0)</f>
        <v>1</v>
      </c>
      <c r="F9" s="27">
        <f>IF('2 Employees'!F20&gt;0,1,0)</f>
        <v>1</v>
      </c>
      <c r="G9" s="27">
        <f>IF('2 Employees'!G20&gt;0,1,0)</f>
        <v>1</v>
      </c>
      <c r="H9" s="27">
        <f>IF('2 Employees'!H20&gt;0,1,0)</f>
        <v>1</v>
      </c>
      <c r="I9" s="27">
        <f>IF('2 Employees'!I20&gt;0,1,0)</f>
        <v>1</v>
      </c>
      <c r="J9" s="27">
        <f>IF('2 Employees'!J20&gt;0,1,0)</f>
        <v>1</v>
      </c>
      <c r="K9" s="27">
        <f>IF('2 Employees'!K20&gt;0,1,0)</f>
        <v>1</v>
      </c>
      <c r="L9" s="27">
        <f>IF('2 Employees'!L20&gt;0,1,0)</f>
        <v>1</v>
      </c>
      <c r="M9" s="27">
        <f>IF('2 Employees'!M20&gt;0,1,0)</f>
        <v>1</v>
      </c>
      <c r="N9" s="27">
        <f>IF('2 Employees'!N20&gt;0,1,0)</f>
        <v>1</v>
      </c>
      <c r="O9" s="27"/>
      <c r="P9" s="27">
        <f>IF('2 Employees'!P20&gt;0,1,0)</f>
        <v>1</v>
      </c>
      <c r="Q9" s="27">
        <f>IF('2 Employees'!Q20&gt;0,1,0)</f>
        <v>1</v>
      </c>
      <c r="R9" s="27">
        <f>IF('2 Employees'!R20&gt;0,1,0)</f>
        <v>1</v>
      </c>
      <c r="S9" s="27">
        <f>IF('2 Employees'!S20&gt;0,1,0)</f>
        <v>1</v>
      </c>
      <c r="T9" s="27">
        <f>IF('2 Employees'!T20&gt;0,1,0)</f>
        <v>1</v>
      </c>
      <c r="U9" s="27">
        <f>IF('2 Employees'!U20&gt;0,1,0)</f>
        <v>1</v>
      </c>
      <c r="V9" s="27">
        <f>IF('2 Employees'!V20&gt;0,1,0)</f>
        <v>1</v>
      </c>
      <c r="W9" s="27">
        <f>IF('2 Employees'!W20&gt;0,1,0)</f>
        <v>1</v>
      </c>
      <c r="X9" s="27">
        <f>IF('2 Employees'!X20&gt;0,1,0)</f>
        <v>1</v>
      </c>
      <c r="Y9" s="27">
        <f>IF('2 Employees'!Y20&gt;0,1,0)</f>
        <v>1</v>
      </c>
      <c r="Z9" s="27">
        <f>IF('2 Employees'!Z20&gt;0,1,0)</f>
        <v>1</v>
      </c>
      <c r="AA9" s="27">
        <f>IF('2 Employees'!AA20&gt;0,1,0)</f>
        <v>1</v>
      </c>
      <c r="AC9" s="27">
        <f t="shared" si="2"/>
        <v>1</v>
      </c>
      <c r="AD9" s="27">
        <f t="shared" si="3"/>
        <v>1</v>
      </c>
      <c r="AE9" s="27">
        <f t="shared" si="4"/>
        <v>1</v>
      </c>
      <c r="AF9" s="27">
        <f t="shared" si="5"/>
        <v>1</v>
      </c>
      <c r="AH9" s="27">
        <f t="shared" si="6"/>
        <v>1</v>
      </c>
      <c r="AI9" s="27">
        <f t="shared" si="7"/>
        <v>1</v>
      </c>
      <c r="AJ9" s="27">
        <f t="shared" si="8"/>
        <v>1</v>
      </c>
      <c r="AK9" s="27">
        <f t="shared" si="9"/>
        <v>1</v>
      </c>
      <c r="AM9" s="27">
        <f t="shared" si="10"/>
        <v>1</v>
      </c>
      <c r="AN9" s="27">
        <f t="shared" si="11"/>
        <v>1</v>
      </c>
    </row>
    <row r="10" spans="1:41" x14ac:dyDescent="0.2">
      <c r="B10" s="30" t="str">
        <f>+'2 Employees'!B25</f>
        <v>Hartman, Michael</v>
      </c>
      <c r="C10" s="27">
        <f>IF('2 Employees'!C25&gt;0,1,0)</f>
        <v>1</v>
      </c>
      <c r="D10" s="27">
        <f>IF('2 Employees'!D25&gt;0,1,0)</f>
        <v>1</v>
      </c>
      <c r="E10" s="27">
        <f>IF('2 Employees'!E25&gt;0,1,0)</f>
        <v>1</v>
      </c>
      <c r="F10" s="27">
        <f>IF('2 Employees'!F25&gt;0,1,0)</f>
        <v>1</v>
      </c>
      <c r="G10" s="27">
        <f>IF('2 Employees'!G25&gt;0,1,0)</f>
        <v>1</v>
      </c>
      <c r="H10" s="27">
        <f>IF('2 Employees'!H25&gt;0,1,0)</f>
        <v>1</v>
      </c>
      <c r="I10" s="27">
        <f>IF('2 Employees'!I25&gt;0,1,0)</f>
        <v>1</v>
      </c>
      <c r="J10" s="27">
        <f>IF('2 Employees'!J25&gt;0,1,0)</f>
        <v>1</v>
      </c>
      <c r="K10" s="27">
        <f>IF('2 Employees'!K25&gt;0,1,0)</f>
        <v>1</v>
      </c>
      <c r="L10" s="27">
        <f>IF('2 Employees'!L25&gt;0,1,0)</f>
        <v>1</v>
      </c>
      <c r="M10" s="27">
        <f>IF('2 Employees'!M25&gt;0,1,0)</f>
        <v>1</v>
      </c>
      <c r="N10" s="27">
        <f>IF('2 Employees'!N25&gt;0,1,0)</f>
        <v>1</v>
      </c>
      <c r="O10" s="27"/>
      <c r="P10" s="27">
        <f>IF('2 Employees'!P25&gt;0,1,0)</f>
        <v>1</v>
      </c>
      <c r="Q10" s="27">
        <f>IF('2 Employees'!Q25&gt;0,1,0)</f>
        <v>1</v>
      </c>
      <c r="R10" s="27">
        <f>IF('2 Employees'!R25&gt;0,1,0)</f>
        <v>1</v>
      </c>
      <c r="S10" s="27">
        <f>IF('2 Employees'!S25&gt;0,1,0)</f>
        <v>1</v>
      </c>
      <c r="T10" s="27">
        <f>IF('2 Employees'!T25&gt;0,1,0)</f>
        <v>1</v>
      </c>
      <c r="U10" s="27">
        <f>IF('2 Employees'!U25&gt;0,1,0)</f>
        <v>1</v>
      </c>
      <c r="V10" s="27">
        <f>IF('2 Employees'!V25&gt;0,1,0)</f>
        <v>1</v>
      </c>
      <c r="W10" s="27">
        <f>IF('2 Employees'!W25&gt;0,1,0)</f>
        <v>1</v>
      </c>
      <c r="X10" s="27">
        <f>IF('2 Employees'!X25&gt;0,1,0)</f>
        <v>1</v>
      </c>
      <c r="Y10" s="27">
        <f>IF('2 Employees'!Y25&gt;0,1,0)</f>
        <v>1</v>
      </c>
      <c r="Z10" s="27">
        <f>IF('2 Employees'!Z25&gt;0,1,0)</f>
        <v>1</v>
      </c>
      <c r="AA10" s="27">
        <f>IF('2 Employees'!AA25&gt;0,1,0)</f>
        <v>1</v>
      </c>
      <c r="AC10" s="27">
        <f t="shared" si="2"/>
        <v>1</v>
      </c>
      <c r="AD10" s="27">
        <f t="shared" si="3"/>
        <v>1</v>
      </c>
      <c r="AE10" s="27">
        <f t="shared" si="4"/>
        <v>1</v>
      </c>
      <c r="AF10" s="27">
        <f t="shared" si="5"/>
        <v>1</v>
      </c>
      <c r="AH10" s="27">
        <f t="shared" si="6"/>
        <v>1</v>
      </c>
      <c r="AI10" s="27">
        <f t="shared" si="7"/>
        <v>1</v>
      </c>
      <c r="AJ10" s="27">
        <f t="shared" si="8"/>
        <v>1</v>
      </c>
      <c r="AK10" s="27">
        <f t="shared" si="9"/>
        <v>1</v>
      </c>
      <c r="AM10" s="27">
        <f t="shared" si="10"/>
        <v>1</v>
      </c>
      <c r="AN10" s="27">
        <f t="shared" si="11"/>
        <v>1</v>
      </c>
    </row>
    <row r="11" spans="1:41" x14ac:dyDescent="0.2">
      <c r="B11" s="30" t="str">
        <f>+'2 Employees'!B30</f>
        <v>Hawley-Craig, Brenna</v>
      </c>
      <c r="C11" s="27">
        <f>IF('2 Employees'!C30&gt;0,1,0)</f>
        <v>1</v>
      </c>
      <c r="D11" s="27">
        <f>IF('2 Employees'!D30&gt;0,1,0)</f>
        <v>1</v>
      </c>
      <c r="E11" s="27">
        <f>IF('2 Employees'!E30&gt;0,1,0)</f>
        <v>1</v>
      </c>
      <c r="F11" s="27">
        <f>IF('2 Employees'!F30&gt;0,1,0)</f>
        <v>1</v>
      </c>
      <c r="G11" s="27">
        <f>IF('2 Employees'!G30&gt;0,1,0)</f>
        <v>1</v>
      </c>
      <c r="H11" s="27">
        <f>IF('2 Employees'!H30&gt;0,1,0)</f>
        <v>1</v>
      </c>
      <c r="I11" s="27">
        <f>IF('2 Employees'!I30&gt;0,1,0)</f>
        <v>1</v>
      </c>
      <c r="J11" s="27">
        <f>IF('2 Employees'!J30&gt;0,1,0)</f>
        <v>1</v>
      </c>
      <c r="K11" s="27">
        <f>IF('2 Employees'!K30&gt;0,1,0)</f>
        <v>1</v>
      </c>
      <c r="L11" s="27">
        <f>IF('2 Employees'!L30&gt;0,1,0)</f>
        <v>1</v>
      </c>
      <c r="M11" s="27">
        <f>IF('2 Employees'!M30&gt;0,1,0)</f>
        <v>1</v>
      </c>
      <c r="N11" s="27">
        <f>IF('2 Employees'!N30&gt;0,1,0)</f>
        <v>1</v>
      </c>
      <c r="O11" s="27"/>
      <c r="P11" s="27">
        <f>IF('2 Employees'!P30&gt;0,1,0)</f>
        <v>1</v>
      </c>
      <c r="Q11" s="27">
        <f>IF('2 Employees'!Q30&gt;0,1,0)</f>
        <v>1</v>
      </c>
      <c r="R11" s="27">
        <f>IF('2 Employees'!R30&gt;0,1,0)</f>
        <v>1</v>
      </c>
      <c r="S11" s="27">
        <f>IF('2 Employees'!S30&gt;0,1,0)</f>
        <v>1</v>
      </c>
      <c r="T11" s="27">
        <f>IF('2 Employees'!T30&gt;0,1,0)</f>
        <v>1</v>
      </c>
      <c r="U11" s="27">
        <f>IF('2 Employees'!U30&gt;0,1,0)</f>
        <v>1</v>
      </c>
      <c r="V11" s="27">
        <f>IF('2 Employees'!V30&gt;0,1,0)</f>
        <v>1</v>
      </c>
      <c r="W11" s="27">
        <f>IF('2 Employees'!W30&gt;0,1,0)</f>
        <v>1</v>
      </c>
      <c r="X11" s="27">
        <f>IF('2 Employees'!X30&gt;0,1,0)</f>
        <v>1</v>
      </c>
      <c r="Y11" s="27">
        <f>IF('2 Employees'!Y30&gt;0,1,0)</f>
        <v>1</v>
      </c>
      <c r="Z11" s="27">
        <f>IF('2 Employees'!Z30&gt;0,1,0)</f>
        <v>1</v>
      </c>
      <c r="AA11" s="27">
        <f>IF('2 Employees'!AA30&gt;0,1,0)</f>
        <v>1</v>
      </c>
      <c r="AC11" s="27">
        <f t="shared" si="2"/>
        <v>1</v>
      </c>
      <c r="AD11" s="27">
        <f t="shared" si="3"/>
        <v>1</v>
      </c>
      <c r="AE11" s="27">
        <f t="shared" si="4"/>
        <v>1</v>
      </c>
      <c r="AF11" s="27">
        <f t="shared" si="5"/>
        <v>1</v>
      </c>
      <c r="AH11" s="27">
        <f t="shared" si="6"/>
        <v>1</v>
      </c>
      <c r="AI11" s="27">
        <f t="shared" si="7"/>
        <v>1</v>
      </c>
      <c r="AJ11" s="27">
        <f t="shared" si="8"/>
        <v>1</v>
      </c>
      <c r="AK11" s="27">
        <f t="shared" si="9"/>
        <v>1</v>
      </c>
      <c r="AM11" s="27">
        <f t="shared" si="10"/>
        <v>1</v>
      </c>
      <c r="AN11" s="27">
        <f t="shared" si="11"/>
        <v>1</v>
      </c>
    </row>
    <row r="12" spans="1:41" x14ac:dyDescent="0.2">
      <c r="B12" s="30" t="str">
        <f>+'2 Employees'!B35</f>
        <v>Kumar, Sahil</v>
      </c>
      <c r="C12" s="27">
        <f>IF('2 Employees'!C35&gt;0,1,0)</f>
        <v>1</v>
      </c>
      <c r="D12" s="27">
        <f>IF('2 Employees'!D35&gt;0,1,0)</f>
        <v>1</v>
      </c>
      <c r="E12" s="27">
        <f>IF('2 Employees'!E35&gt;0,1,0)</f>
        <v>1</v>
      </c>
      <c r="F12" s="27">
        <f>IF('2 Employees'!F35&gt;0,1,0)</f>
        <v>1</v>
      </c>
      <c r="G12" s="27">
        <f>IF('2 Employees'!G35&gt;0,1,0)</f>
        <v>1</v>
      </c>
      <c r="H12" s="27">
        <f>IF('2 Employees'!H35&gt;0,1,0)</f>
        <v>1</v>
      </c>
      <c r="I12" s="27">
        <f>IF('2 Employees'!I35&gt;0,1,0)</f>
        <v>1</v>
      </c>
      <c r="J12" s="27">
        <f>IF('2 Employees'!J35&gt;0,1,0)</f>
        <v>1</v>
      </c>
      <c r="K12" s="27">
        <f>IF('2 Employees'!K35&gt;0,1,0)</f>
        <v>1</v>
      </c>
      <c r="L12" s="27">
        <f>IF('2 Employees'!L35&gt;0,1,0)</f>
        <v>1</v>
      </c>
      <c r="M12" s="27">
        <f>IF('2 Employees'!M35&gt;0,1,0)</f>
        <v>1</v>
      </c>
      <c r="N12" s="27">
        <f>IF('2 Employees'!N35&gt;0,1,0)</f>
        <v>1</v>
      </c>
      <c r="O12" s="27"/>
      <c r="P12" s="27">
        <f>IF('2 Employees'!P35&gt;0,1,0)</f>
        <v>1</v>
      </c>
      <c r="Q12" s="27">
        <f>IF('2 Employees'!Q35&gt;0,1,0)</f>
        <v>1</v>
      </c>
      <c r="R12" s="27">
        <f>IF('2 Employees'!R35&gt;0,1,0)</f>
        <v>1</v>
      </c>
      <c r="S12" s="27">
        <f>IF('2 Employees'!S35&gt;0,1,0)</f>
        <v>1</v>
      </c>
      <c r="T12" s="27">
        <f>IF('2 Employees'!T35&gt;0,1,0)</f>
        <v>1</v>
      </c>
      <c r="U12" s="27">
        <f>IF('2 Employees'!U35&gt;0,1,0)</f>
        <v>1</v>
      </c>
      <c r="V12" s="27">
        <f>IF('2 Employees'!V35&gt;0,1,0)</f>
        <v>1</v>
      </c>
      <c r="W12" s="27">
        <f>IF('2 Employees'!W35&gt;0,1,0)</f>
        <v>1</v>
      </c>
      <c r="X12" s="27">
        <f>IF('2 Employees'!X35&gt;0,1,0)</f>
        <v>1</v>
      </c>
      <c r="Y12" s="27">
        <f>IF('2 Employees'!Y35&gt;0,1,0)</f>
        <v>1</v>
      </c>
      <c r="Z12" s="27">
        <f>IF('2 Employees'!Z35&gt;0,1,0)</f>
        <v>1</v>
      </c>
      <c r="AA12" s="27">
        <f>IF('2 Employees'!AA35&gt;0,1,0)</f>
        <v>1</v>
      </c>
      <c r="AC12" s="27">
        <f t="shared" si="2"/>
        <v>1</v>
      </c>
      <c r="AD12" s="27">
        <f t="shared" si="3"/>
        <v>1</v>
      </c>
      <c r="AE12" s="27">
        <f t="shared" si="4"/>
        <v>1</v>
      </c>
      <c r="AF12" s="27">
        <f t="shared" si="5"/>
        <v>1</v>
      </c>
      <c r="AH12" s="27">
        <f t="shared" si="6"/>
        <v>1</v>
      </c>
      <c r="AI12" s="27">
        <f t="shared" si="7"/>
        <v>1</v>
      </c>
      <c r="AJ12" s="27">
        <f t="shared" si="8"/>
        <v>1</v>
      </c>
      <c r="AK12" s="27">
        <f t="shared" si="9"/>
        <v>1</v>
      </c>
      <c r="AM12" s="27">
        <f t="shared" si="10"/>
        <v>1</v>
      </c>
      <c r="AN12" s="27">
        <f t="shared" si="11"/>
        <v>1</v>
      </c>
    </row>
    <row r="13" spans="1:41" x14ac:dyDescent="0.2">
      <c r="B13" s="30" t="str">
        <f>+'2 Employees'!B40</f>
        <v>Patel, Nikhal</v>
      </c>
      <c r="C13" s="27">
        <f>IF('2 Employees'!C40&gt;0,1,0)</f>
        <v>1</v>
      </c>
      <c r="D13" s="27">
        <f>IF('2 Employees'!D40&gt;0,1,0)</f>
        <v>1</v>
      </c>
      <c r="E13" s="27">
        <f>IF('2 Employees'!E40&gt;0,1,0)</f>
        <v>1</v>
      </c>
      <c r="F13" s="27">
        <f>IF('2 Employees'!F40&gt;0,1,0)</f>
        <v>0</v>
      </c>
      <c r="G13" s="27">
        <f>IF('2 Employees'!G40&gt;0,1,0)</f>
        <v>0</v>
      </c>
      <c r="H13" s="27">
        <f>IF('2 Employees'!H40&gt;0,1,0)</f>
        <v>0</v>
      </c>
      <c r="I13" s="27">
        <f>IF('2 Employees'!I40&gt;0,1,0)</f>
        <v>0</v>
      </c>
      <c r="J13" s="27">
        <f>IF('2 Employees'!J40&gt;0,1,0)</f>
        <v>0</v>
      </c>
      <c r="K13" s="27">
        <f>IF('2 Employees'!K40&gt;0,1,0)</f>
        <v>0</v>
      </c>
      <c r="L13" s="27">
        <f>IF('2 Employees'!L40&gt;0,1,0)</f>
        <v>0</v>
      </c>
      <c r="M13" s="27">
        <f>IF('2 Employees'!M40&gt;0,1,0)</f>
        <v>0</v>
      </c>
      <c r="N13" s="27">
        <f>IF('2 Employees'!N40&gt;0,1,0)</f>
        <v>0</v>
      </c>
      <c r="O13" s="27"/>
      <c r="P13" s="27">
        <f>IF('2 Employees'!P40&gt;0,1,0)</f>
        <v>0</v>
      </c>
      <c r="Q13" s="27">
        <f>IF('2 Employees'!Q40&gt;0,1,0)</f>
        <v>0</v>
      </c>
      <c r="R13" s="27">
        <f>IF('2 Employees'!R40&gt;0,1,0)</f>
        <v>0</v>
      </c>
      <c r="S13" s="27">
        <f>IF('2 Employees'!S40&gt;0,1,0)</f>
        <v>0</v>
      </c>
      <c r="T13" s="27">
        <f>IF('2 Employees'!T40&gt;0,1,0)</f>
        <v>0</v>
      </c>
      <c r="U13" s="27">
        <f>IF('2 Employees'!U40&gt;0,1,0)</f>
        <v>0</v>
      </c>
      <c r="V13" s="27">
        <f>IF('2 Employees'!V40&gt;0,1,0)</f>
        <v>0</v>
      </c>
      <c r="W13" s="27">
        <f>IF('2 Employees'!W40&gt;0,1,0)</f>
        <v>0</v>
      </c>
      <c r="X13" s="27">
        <f>IF('2 Employees'!X40&gt;0,1,0)</f>
        <v>0</v>
      </c>
      <c r="Y13" s="27">
        <f>IF('2 Employees'!Y40&gt;0,1,0)</f>
        <v>0</v>
      </c>
      <c r="Z13" s="27">
        <f>IF('2 Employees'!Z40&gt;0,1,0)</f>
        <v>0</v>
      </c>
      <c r="AA13" s="27">
        <f>IF('2 Employees'!AA40&gt;0,1,0)</f>
        <v>0</v>
      </c>
      <c r="AC13" s="27">
        <f t="shared" si="2"/>
        <v>1</v>
      </c>
      <c r="AD13" s="27">
        <f t="shared" si="3"/>
        <v>0</v>
      </c>
      <c r="AE13" s="27">
        <f t="shared" si="4"/>
        <v>0</v>
      </c>
      <c r="AF13" s="27">
        <f t="shared" si="5"/>
        <v>0</v>
      </c>
      <c r="AH13" s="27">
        <f t="shared" si="6"/>
        <v>0</v>
      </c>
      <c r="AI13" s="27">
        <f t="shared" si="7"/>
        <v>0</v>
      </c>
      <c r="AJ13" s="27">
        <f t="shared" si="8"/>
        <v>0</v>
      </c>
      <c r="AK13" s="27">
        <f t="shared" si="9"/>
        <v>0</v>
      </c>
      <c r="AM13" s="27">
        <f t="shared" si="10"/>
        <v>0</v>
      </c>
      <c r="AN13" s="27">
        <f t="shared" si="11"/>
        <v>0</v>
      </c>
    </row>
    <row r="14" spans="1:41" x14ac:dyDescent="0.2">
      <c r="B14" s="30" t="str">
        <f>+'2 Employees'!B45</f>
        <v>Shah, Kash</v>
      </c>
      <c r="C14" s="27">
        <f>IF('2 Employees'!C45&gt;0,1,0)</f>
        <v>1</v>
      </c>
      <c r="D14" s="27">
        <f>IF('2 Employees'!D45&gt;0,1,0)</f>
        <v>1</v>
      </c>
      <c r="E14" s="27">
        <f>IF('2 Employees'!E45&gt;0,1,0)</f>
        <v>1</v>
      </c>
      <c r="F14" s="27">
        <f>IF('2 Employees'!F45&gt;0,1,0)</f>
        <v>1</v>
      </c>
      <c r="G14" s="27">
        <f>IF('2 Employees'!G45&gt;0,1,0)</f>
        <v>1</v>
      </c>
      <c r="H14" s="27">
        <f>IF('2 Employees'!H45&gt;0,1,0)</f>
        <v>1</v>
      </c>
      <c r="I14" s="27">
        <f>IF('2 Employees'!I45&gt;0,1,0)</f>
        <v>1</v>
      </c>
      <c r="J14" s="27">
        <f>IF('2 Employees'!J45&gt;0,1,0)</f>
        <v>1</v>
      </c>
      <c r="K14" s="27">
        <f>IF('2 Employees'!K45&gt;0,1,0)</f>
        <v>1</v>
      </c>
      <c r="L14" s="27">
        <f>IF('2 Employees'!L45&gt;0,1,0)</f>
        <v>1</v>
      </c>
      <c r="M14" s="27">
        <f>IF('2 Employees'!M45&gt;0,1,0)</f>
        <v>1</v>
      </c>
      <c r="N14" s="27">
        <f>IF('2 Employees'!N45&gt;0,1,0)</f>
        <v>1</v>
      </c>
      <c r="O14" s="27"/>
      <c r="P14" s="27">
        <f>IF('2 Employees'!P45&gt;0,1,0)</f>
        <v>1</v>
      </c>
      <c r="Q14" s="27">
        <f>IF('2 Employees'!Q45&gt;0,1,0)</f>
        <v>1</v>
      </c>
      <c r="R14" s="27">
        <f>IF('2 Employees'!R45&gt;0,1,0)</f>
        <v>1</v>
      </c>
      <c r="S14" s="27">
        <f>IF('2 Employees'!S45&gt;0,1,0)</f>
        <v>1</v>
      </c>
      <c r="T14" s="27">
        <f>IF('2 Employees'!T45&gt;0,1,0)</f>
        <v>1</v>
      </c>
      <c r="U14" s="27">
        <f>IF('2 Employees'!U45&gt;0,1,0)</f>
        <v>1</v>
      </c>
      <c r="V14" s="27">
        <f>IF('2 Employees'!V45&gt;0,1,0)</f>
        <v>1</v>
      </c>
      <c r="W14" s="27">
        <f>IF('2 Employees'!W45&gt;0,1,0)</f>
        <v>1</v>
      </c>
      <c r="X14" s="27">
        <f>IF('2 Employees'!X45&gt;0,1,0)</f>
        <v>1</v>
      </c>
      <c r="Y14" s="27">
        <f>IF('2 Employees'!Y45&gt;0,1,0)</f>
        <v>1</v>
      </c>
      <c r="Z14" s="27">
        <f>IF('2 Employees'!Z45&gt;0,1,0)</f>
        <v>1</v>
      </c>
      <c r="AA14" s="27">
        <f>IF('2 Employees'!AA45&gt;0,1,0)</f>
        <v>1</v>
      </c>
      <c r="AC14" s="27">
        <f t="shared" si="2"/>
        <v>1</v>
      </c>
      <c r="AD14" s="27">
        <f t="shared" si="3"/>
        <v>1</v>
      </c>
      <c r="AE14" s="27">
        <f t="shared" si="4"/>
        <v>1</v>
      </c>
      <c r="AF14" s="27">
        <f t="shared" si="5"/>
        <v>1</v>
      </c>
      <c r="AH14" s="27">
        <f t="shared" si="6"/>
        <v>1</v>
      </c>
      <c r="AI14" s="27">
        <f t="shared" si="7"/>
        <v>1</v>
      </c>
      <c r="AJ14" s="27">
        <f t="shared" si="8"/>
        <v>1</v>
      </c>
      <c r="AK14" s="27">
        <f t="shared" si="9"/>
        <v>1</v>
      </c>
      <c r="AM14" s="27">
        <f t="shared" si="10"/>
        <v>1</v>
      </c>
      <c r="AN14" s="27">
        <f t="shared" si="11"/>
        <v>1</v>
      </c>
    </row>
    <row r="15" spans="1:41" x14ac:dyDescent="0.2">
      <c r="B15" s="30" t="str">
        <f>+'2 Employees'!B50</f>
        <v>Tran, Max</v>
      </c>
      <c r="C15" s="27">
        <f>IF('2 Employees'!C50&gt;0,1,0)</f>
        <v>1</v>
      </c>
      <c r="D15" s="27">
        <f>IF('2 Employees'!D50&gt;0,1,0)</f>
        <v>1</v>
      </c>
      <c r="E15" s="27">
        <f>IF('2 Employees'!E50&gt;0,1,0)</f>
        <v>1</v>
      </c>
      <c r="F15" s="27">
        <f>IF('2 Employees'!F50&gt;0,1,0)</f>
        <v>1</v>
      </c>
      <c r="G15" s="27">
        <f>IF('2 Employees'!G50&gt;0,1,0)</f>
        <v>1</v>
      </c>
      <c r="H15" s="27">
        <f>IF('2 Employees'!H50&gt;0,1,0)</f>
        <v>1</v>
      </c>
      <c r="I15" s="27">
        <f>IF('2 Employees'!I50&gt;0,1,0)</f>
        <v>1</v>
      </c>
      <c r="J15" s="27">
        <f>IF('2 Employees'!J50&gt;0,1,0)</f>
        <v>1</v>
      </c>
      <c r="K15" s="27">
        <f>IF('2 Employees'!K50&gt;0,1,0)</f>
        <v>1</v>
      </c>
      <c r="L15" s="27">
        <f>IF('2 Employees'!L50&gt;0,1,0)</f>
        <v>1</v>
      </c>
      <c r="M15" s="27">
        <f>IF('2 Employees'!M50&gt;0,1,0)</f>
        <v>1</v>
      </c>
      <c r="N15" s="27">
        <f>IF('2 Employees'!N50&gt;0,1,0)</f>
        <v>1</v>
      </c>
      <c r="O15" s="27"/>
      <c r="P15" s="27">
        <f>IF('2 Employees'!P50&gt;0,1,0)</f>
        <v>1</v>
      </c>
      <c r="Q15" s="27">
        <f>IF('2 Employees'!Q50&gt;0,1,0)</f>
        <v>1</v>
      </c>
      <c r="R15" s="27">
        <f>IF('2 Employees'!R50&gt;0,1,0)</f>
        <v>1</v>
      </c>
      <c r="S15" s="27">
        <f>IF('2 Employees'!S50&gt;0,1,0)</f>
        <v>1</v>
      </c>
      <c r="T15" s="27">
        <f>IF('2 Employees'!T50&gt;0,1,0)</f>
        <v>1</v>
      </c>
      <c r="U15" s="27">
        <f>IF('2 Employees'!U50&gt;0,1,0)</f>
        <v>1</v>
      </c>
      <c r="V15" s="27">
        <f>IF('2 Employees'!V50&gt;0,1,0)</f>
        <v>1</v>
      </c>
      <c r="W15" s="27">
        <f>IF('2 Employees'!W50&gt;0,1,0)</f>
        <v>1</v>
      </c>
      <c r="X15" s="27">
        <f>IF('2 Employees'!X50&gt;0,1,0)</f>
        <v>1</v>
      </c>
      <c r="Y15" s="27">
        <f>IF('2 Employees'!Y50&gt;0,1,0)</f>
        <v>1</v>
      </c>
      <c r="Z15" s="27">
        <f>IF('2 Employees'!Z50&gt;0,1,0)</f>
        <v>1</v>
      </c>
      <c r="AA15" s="27">
        <f>IF('2 Employees'!AA50&gt;0,1,0)</f>
        <v>1</v>
      </c>
      <c r="AC15" s="27">
        <f t="shared" si="2"/>
        <v>1</v>
      </c>
      <c r="AD15" s="27">
        <f t="shared" si="3"/>
        <v>1</v>
      </c>
      <c r="AE15" s="27">
        <f t="shared" si="4"/>
        <v>1</v>
      </c>
      <c r="AF15" s="27">
        <f t="shared" si="5"/>
        <v>1</v>
      </c>
      <c r="AH15" s="27">
        <f t="shared" si="6"/>
        <v>1</v>
      </c>
      <c r="AI15" s="27">
        <f t="shared" si="7"/>
        <v>1</v>
      </c>
      <c r="AJ15" s="27">
        <f t="shared" si="8"/>
        <v>1</v>
      </c>
      <c r="AK15" s="27">
        <f t="shared" si="9"/>
        <v>1</v>
      </c>
      <c r="AM15" s="27">
        <f t="shared" si="10"/>
        <v>1</v>
      </c>
      <c r="AN15" s="27">
        <f t="shared" si="11"/>
        <v>1</v>
      </c>
    </row>
    <row r="16" spans="1:41" x14ac:dyDescent="0.2">
      <c r="B16" s="30" t="str">
        <f>+'2 Employees'!B55</f>
        <v>Employee, New</v>
      </c>
      <c r="C16" s="27">
        <f>IF('2 Employees'!C55&gt;0,1,0)</f>
        <v>0</v>
      </c>
      <c r="D16" s="27">
        <f>IF('2 Employees'!D55&gt;0,1,0)</f>
        <v>0</v>
      </c>
      <c r="E16" s="27">
        <f>IF('2 Employees'!E55&gt;0,1,0)</f>
        <v>0</v>
      </c>
      <c r="F16" s="27">
        <f>IF('2 Employees'!F55&gt;0,1,0)</f>
        <v>0</v>
      </c>
      <c r="G16" s="27">
        <f>IF('2 Employees'!G55&gt;0,1,0)</f>
        <v>0</v>
      </c>
      <c r="H16" s="27">
        <f>IF('2 Employees'!H55&gt;0,1,0)</f>
        <v>0</v>
      </c>
      <c r="I16" s="27">
        <f>IF('2 Employees'!I55&gt;0,1,0)</f>
        <v>0</v>
      </c>
      <c r="J16" s="27">
        <f>IF('2 Employees'!J55&gt;0,1,0)</f>
        <v>0</v>
      </c>
      <c r="K16" s="27">
        <f>IF('2 Employees'!K55&gt;0,1,0)</f>
        <v>0</v>
      </c>
      <c r="L16" s="27">
        <f>IF('2 Employees'!L55&gt;0,1,0)</f>
        <v>0</v>
      </c>
      <c r="M16" s="27">
        <f>IF('2 Employees'!M55&gt;0,1,0)</f>
        <v>0</v>
      </c>
      <c r="N16" s="27">
        <f>IF('2 Employees'!N55&gt;0,1,0)</f>
        <v>0</v>
      </c>
      <c r="O16" s="27"/>
      <c r="P16" s="27">
        <f>IF('2 Employees'!P55&gt;0,1,0)</f>
        <v>0</v>
      </c>
      <c r="Q16" s="27">
        <f>IF('2 Employees'!Q55&gt;0,1,0)</f>
        <v>0</v>
      </c>
      <c r="R16" s="27">
        <f>IF('2 Employees'!R55&gt;0,1,0)</f>
        <v>0</v>
      </c>
      <c r="S16" s="27">
        <f>IF('2 Employees'!S55&gt;0,1,0)</f>
        <v>0</v>
      </c>
      <c r="T16" s="27">
        <f>IF('2 Employees'!T55&gt;0,1,0)</f>
        <v>0</v>
      </c>
      <c r="U16" s="27">
        <f>IF('2 Employees'!U55&gt;0,1,0)</f>
        <v>0</v>
      </c>
      <c r="V16" s="27">
        <f>IF('2 Employees'!V55&gt;0,1,0)</f>
        <v>0</v>
      </c>
      <c r="W16" s="27">
        <f>IF('2 Employees'!W55&gt;0,1,0)</f>
        <v>0</v>
      </c>
      <c r="X16" s="27">
        <f>IF('2 Employees'!X55&gt;0,1,0)</f>
        <v>0</v>
      </c>
      <c r="Y16" s="27">
        <f>IF('2 Employees'!Y55&gt;0,1,0)</f>
        <v>0</v>
      </c>
      <c r="Z16" s="27">
        <f>IF('2 Employees'!Z55&gt;0,1,0)</f>
        <v>0</v>
      </c>
      <c r="AA16" s="27">
        <f>IF('2 Employees'!AA55&gt;0,1,0)</f>
        <v>0</v>
      </c>
      <c r="AC16" s="27">
        <f t="shared" si="2"/>
        <v>0</v>
      </c>
      <c r="AD16" s="27">
        <f t="shared" si="3"/>
        <v>0</v>
      </c>
      <c r="AE16" s="27">
        <f t="shared" si="4"/>
        <v>0</v>
      </c>
      <c r="AF16" s="27">
        <f t="shared" si="5"/>
        <v>0</v>
      </c>
      <c r="AH16" s="27">
        <f t="shared" si="6"/>
        <v>0</v>
      </c>
      <c r="AI16" s="27">
        <f t="shared" si="7"/>
        <v>0</v>
      </c>
      <c r="AJ16" s="27">
        <f t="shared" si="8"/>
        <v>0</v>
      </c>
      <c r="AK16" s="27">
        <f t="shared" si="9"/>
        <v>0</v>
      </c>
      <c r="AM16" s="27">
        <f t="shared" si="10"/>
        <v>0</v>
      </c>
      <c r="AN16" s="27">
        <f t="shared" si="11"/>
        <v>0</v>
      </c>
    </row>
    <row r="17" spans="2:40" x14ac:dyDescent="0.2">
      <c r="B17" s="30" t="str">
        <f>+'2 Employees'!B60</f>
        <v>Employee, New</v>
      </c>
      <c r="C17" s="27">
        <f>IF('2 Employees'!C60&gt;0,1,0)</f>
        <v>0</v>
      </c>
      <c r="D17" s="27">
        <f>IF('2 Employees'!D60&gt;0,1,0)</f>
        <v>0</v>
      </c>
      <c r="E17" s="27">
        <f>IF('2 Employees'!E60&gt;0,1,0)</f>
        <v>0</v>
      </c>
      <c r="F17" s="27">
        <f>IF('2 Employees'!F60&gt;0,1,0)</f>
        <v>0</v>
      </c>
      <c r="G17" s="27">
        <f>IF('2 Employees'!G60&gt;0,1,0)</f>
        <v>0</v>
      </c>
      <c r="H17" s="27">
        <f>IF('2 Employees'!H60&gt;0,1,0)</f>
        <v>0</v>
      </c>
      <c r="I17" s="27">
        <f>IF('2 Employees'!I60&gt;0,1,0)</f>
        <v>0</v>
      </c>
      <c r="J17" s="27">
        <f>IF('2 Employees'!J60&gt;0,1,0)</f>
        <v>0</v>
      </c>
      <c r="K17" s="27">
        <f>IF('2 Employees'!K60&gt;0,1,0)</f>
        <v>0</v>
      </c>
      <c r="L17" s="27">
        <f>IF('2 Employees'!L60&gt;0,1,0)</f>
        <v>0</v>
      </c>
      <c r="M17" s="27">
        <f>IF('2 Employees'!M60&gt;0,1,0)</f>
        <v>0</v>
      </c>
      <c r="N17" s="27">
        <f>IF('2 Employees'!N60&gt;0,1,0)</f>
        <v>0</v>
      </c>
      <c r="O17" s="27"/>
      <c r="P17" s="27">
        <f>IF('2 Employees'!P60&gt;0,1,0)</f>
        <v>0</v>
      </c>
      <c r="Q17" s="27">
        <f>IF('2 Employees'!Q60&gt;0,1,0)</f>
        <v>0</v>
      </c>
      <c r="R17" s="27">
        <f>IF('2 Employees'!R60&gt;0,1,0)</f>
        <v>0</v>
      </c>
      <c r="S17" s="27">
        <f>IF('2 Employees'!S60&gt;0,1,0)</f>
        <v>0</v>
      </c>
      <c r="T17" s="27">
        <f>IF('2 Employees'!T60&gt;0,1,0)</f>
        <v>0</v>
      </c>
      <c r="U17" s="27">
        <f>IF('2 Employees'!U60&gt;0,1,0)</f>
        <v>0</v>
      </c>
      <c r="V17" s="27">
        <f>IF('2 Employees'!V60&gt;0,1,0)</f>
        <v>0</v>
      </c>
      <c r="W17" s="27">
        <f>IF('2 Employees'!W60&gt;0,1,0)</f>
        <v>0</v>
      </c>
      <c r="X17" s="27">
        <f>IF('2 Employees'!X60&gt;0,1,0)</f>
        <v>0</v>
      </c>
      <c r="Y17" s="27">
        <f>IF('2 Employees'!Y60&gt;0,1,0)</f>
        <v>0</v>
      </c>
      <c r="Z17" s="27">
        <f>IF('2 Employees'!Z60&gt;0,1,0)</f>
        <v>0</v>
      </c>
      <c r="AA17" s="27">
        <f>IF('2 Employees'!AA60&gt;0,1,0)</f>
        <v>0</v>
      </c>
      <c r="AC17" s="27">
        <f t="shared" si="2"/>
        <v>0</v>
      </c>
      <c r="AD17" s="27">
        <f t="shared" si="3"/>
        <v>0</v>
      </c>
      <c r="AE17" s="27">
        <f t="shared" si="4"/>
        <v>0</v>
      </c>
      <c r="AF17" s="27">
        <f t="shared" si="5"/>
        <v>0</v>
      </c>
      <c r="AH17" s="27">
        <f t="shared" si="6"/>
        <v>0</v>
      </c>
      <c r="AI17" s="27">
        <f t="shared" si="7"/>
        <v>0</v>
      </c>
      <c r="AJ17" s="27">
        <f t="shared" si="8"/>
        <v>0</v>
      </c>
      <c r="AK17" s="27">
        <f t="shared" si="9"/>
        <v>0</v>
      </c>
      <c r="AM17" s="27">
        <f t="shared" si="10"/>
        <v>0</v>
      </c>
      <c r="AN17" s="27">
        <f t="shared" si="11"/>
        <v>0</v>
      </c>
    </row>
    <row r="18" spans="2:40" x14ac:dyDescent="0.2">
      <c r="B18" s="30" t="str">
        <f>+'2 Employees'!B65</f>
        <v>Employee, New</v>
      </c>
      <c r="C18" s="27">
        <f>IF('2 Employees'!C65&gt;0,1,0)</f>
        <v>0</v>
      </c>
      <c r="D18" s="27">
        <f>IF('2 Employees'!D65&gt;0,1,0)</f>
        <v>0</v>
      </c>
      <c r="E18" s="27">
        <f>IF('2 Employees'!E65&gt;0,1,0)</f>
        <v>0</v>
      </c>
      <c r="F18" s="27">
        <f>IF('2 Employees'!F65&gt;0,1,0)</f>
        <v>0</v>
      </c>
      <c r="G18" s="27">
        <f>IF('2 Employees'!G65&gt;0,1,0)</f>
        <v>0</v>
      </c>
      <c r="H18" s="27">
        <f>IF('2 Employees'!H65&gt;0,1,0)</f>
        <v>0</v>
      </c>
      <c r="I18" s="27">
        <f>IF('2 Employees'!I65&gt;0,1,0)</f>
        <v>0</v>
      </c>
      <c r="J18" s="27">
        <f>IF('2 Employees'!J65&gt;0,1,0)</f>
        <v>0</v>
      </c>
      <c r="K18" s="27">
        <f>IF('2 Employees'!K65&gt;0,1,0)</f>
        <v>0</v>
      </c>
      <c r="L18" s="27">
        <f>IF('2 Employees'!L65&gt;0,1,0)</f>
        <v>0</v>
      </c>
      <c r="M18" s="27">
        <f>IF('2 Employees'!M65&gt;0,1,0)</f>
        <v>0</v>
      </c>
      <c r="N18" s="27">
        <f>IF('2 Employees'!N65&gt;0,1,0)</f>
        <v>0</v>
      </c>
      <c r="O18" s="27"/>
      <c r="P18" s="27">
        <f>IF('2 Employees'!P65&gt;0,1,0)</f>
        <v>0</v>
      </c>
      <c r="Q18" s="27">
        <f>IF('2 Employees'!Q65&gt;0,1,0)</f>
        <v>0</v>
      </c>
      <c r="R18" s="27">
        <f>IF('2 Employees'!R65&gt;0,1,0)</f>
        <v>0</v>
      </c>
      <c r="S18" s="27">
        <f>IF('2 Employees'!S65&gt;0,1,0)</f>
        <v>0</v>
      </c>
      <c r="T18" s="27">
        <f>IF('2 Employees'!T65&gt;0,1,0)</f>
        <v>0</v>
      </c>
      <c r="U18" s="27">
        <f>IF('2 Employees'!U65&gt;0,1,0)</f>
        <v>0</v>
      </c>
      <c r="V18" s="27">
        <f>IF('2 Employees'!V65&gt;0,1,0)</f>
        <v>0</v>
      </c>
      <c r="W18" s="27">
        <f>IF('2 Employees'!W65&gt;0,1,0)</f>
        <v>0</v>
      </c>
      <c r="X18" s="27">
        <f>IF('2 Employees'!X65&gt;0,1,0)</f>
        <v>0</v>
      </c>
      <c r="Y18" s="27">
        <f>IF('2 Employees'!Y65&gt;0,1,0)</f>
        <v>0</v>
      </c>
      <c r="Z18" s="27">
        <f>IF('2 Employees'!Z65&gt;0,1,0)</f>
        <v>0</v>
      </c>
      <c r="AA18" s="27">
        <f>IF('2 Employees'!AA65&gt;0,1,0)</f>
        <v>0</v>
      </c>
      <c r="AC18" s="27">
        <f t="shared" si="2"/>
        <v>0</v>
      </c>
      <c r="AD18" s="27">
        <f t="shared" si="3"/>
        <v>0</v>
      </c>
      <c r="AE18" s="27">
        <f t="shared" si="4"/>
        <v>0</v>
      </c>
      <c r="AF18" s="27">
        <f t="shared" si="5"/>
        <v>0</v>
      </c>
      <c r="AH18" s="27">
        <f t="shared" si="6"/>
        <v>0</v>
      </c>
      <c r="AI18" s="27">
        <f t="shared" si="7"/>
        <v>0</v>
      </c>
      <c r="AJ18" s="27">
        <f t="shared" si="8"/>
        <v>0</v>
      </c>
      <c r="AK18" s="27">
        <f t="shared" si="9"/>
        <v>0</v>
      </c>
      <c r="AM18" s="27">
        <f t="shared" si="10"/>
        <v>0</v>
      </c>
      <c r="AN18" s="27">
        <f t="shared" si="11"/>
        <v>0</v>
      </c>
    </row>
    <row r="19" spans="2:40" x14ac:dyDescent="0.2">
      <c r="B19" s="30" t="str">
        <f>+'2 Employees'!B70</f>
        <v>Employee, New</v>
      </c>
      <c r="C19" s="27">
        <f>IF('2 Employees'!C70&gt;0,1,0)</f>
        <v>0</v>
      </c>
      <c r="D19" s="27">
        <f>IF('2 Employees'!D70&gt;0,1,0)</f>
        <v>0</v>
      </c>
      <c r="E19" s="27">
        <f>IF('2 Employees'!E70&gt;0,1,0)</f>
        <v>0</v>
      </c>
      <c r="F19" s="27">
        <f>IF('2 Employees'!F70&gt;0,1,0)</f>
        <v>0</v>
      </c>
      <c r="G19" s="27">
        <f>IF('2 Employees'!G70&gt;0,1,0)</f>
        <v>0</v>
      </c>
      <c r="H19" s="27">
        <f>IF('2 Employees'!H70&gt;0,1,0)</f>
        <v>0</v>
      </c>
      <c r="I19" s="27">
        <f>IF('2 Employees'!I70&gt;0,1,0)</f>
        <v>0</v>
      </c>
      <c r="J19" s="27">
        <f>IF('2 Employees'!J70&gt;0,1,0)</f>
        <v>0</v>
      </c>
      <c r="K19" s="27">
        <f>IF('2 Employees'!K70&gt;0,1,0)</f>
        <v>0</v>
      </c>
      <c r="L19" s="27">
        <f>IF('2 Employees'!L70&gt;0,1,0)</f>
        <v>0</v>
      </c>
      <c r="M19" s="27">
        <f>IF('2 Employees'!M70&gt;0,1,0)</f>
        <v>0</v>
      </c>
      <c r="N19" s="27">
        <f>IF('2 Employees'!N70&gt;0,1,0)</f>
        <v>0</v>
      </c>
      <c r="O19" s="27"/>
      <c r="P19" s="27">
        <f>IF('2 Employees'!P70&gt;0,1,0)</f>
        <v>0</v>
      </c>
      <c r="Q19" s="27">
        <f>IF('2 Employees'!Q70&gt;0,1,0)</f>
        <v>0</v>
      </c>
      <c r="R19" s="27">
        <f>IF('2 Employees'!R70&gt;0,1,0)</f>
        <v>0</v>
      </c>
      <c r="S19" s="27">
        <f>IF('2 Employees'!S70&gt;0,1,0)</f>
        <v>0</v>
      </c>
      <c r="T19" s="27">
        <f>IF('2 Employees'!T70&gt;0,1,0)</f>
        <v>0</v>
      </c>
      <c r="U19" s="27">
        <f>IF('2 Employees'!U70&gt;0,1,0)</f>
        <v>0</v>
      </c>
      <c r="V19" s="27">
        <f>IF('2 Employees'!V70&gt;0,1,0)</f>
        <v>0</v>
      </c>
      <c r="W19" s="27">
        <f>IF('2 Employees'!W70&gt;0,1,0)</f>
        <v>0</v>
      </c>
      <c r="X19" s="27">
        <f>IF('2 Employees'!X70&gt;0,1,0)</f>
        <v>0</v>
      </c>
      <c r="Y19" s="27">
        <f>IF('2 Employees'!Y70&gt;0,1,0)</f>
        <v>0</v>
      </c>
      <c r="Z19" s="27">
        <f>IF('2 Employees'!Z70&gt;0,1,0)</f>
        <v>0</v>
      </c>
      <c r="AA19" s="27">
        <f>IF('2 Employees'!AA70&gt;0,1,0)</f>
        <v>0</v>
      </c>
      <c r="AC19" s="27">
        <f t="shared" si="2"/>
        <v>0</v>
      </c>
      <c r="AD19" s="27">
        <f t="shared" si="3"/>
        <v>0</v>
      </c>
      <c r="AE19" s="27">
        <f t="shared" si="4"/>
        <v>0</v>
      </c>
      <c r="AF19" s="27">
        <f t="shared" si="5"/>
        <v>0</v>
      </c>
      <c r="AH19" s="27">
        <f t="shared" si="6"/>
        <v>0</v>
      </c>
      <c r="AI19" s="27">
        <f t="shared" si="7"/>
        <v>0</v>
      </c>
      <c r="AJ19" s="27">
        <f t="shared" si="8"/>
        <v>0</v>
      </c>
      <c r="AK19" s="27">
        <f t="shared" si="9"/>
        <v>0</v>
      </c>
      <c r="AM19" s="27">
        <f t="shared" si="10"/>
        <v>0</v>
      </c>
      <c r="AN19" s="27">
        <f t="shared" si="11"/>
        <v>0</v>
      </c>
    </row>
    <row r="20" spans="2:40" x14ac:dyDescent="0.2">
      <c r="B20" s="30" t="str">
        <f>+'2 Employees'!B75</f>
        <v>Employee, New</v>
      </c>
      <c r="C20" s="27">
        <f>IF('2 Employees'!C75&gt;0,1,0)</f>
        <v>0</v>
      </c>
      <c r="D20" s="27">
        <f>IF('2 Employees'!D75&gt;0,1,0)</f>
        <v>0</v>
      </c>
      <c r="E20" s="27">
        <f>IF('2 Employees'!E75&gt;0,1,0)</f>
        <v>0</v>
      </c>
      <c r="F20" s="27">
        <f>IF('2 Employees'!F75&gt;0,1,0)</f>
        <v>0</v>
      </c>
      <c r="G20" s="27">
        <f>IF('2 Employees'!G75&gt;0,1,0)</f>
        <v>0</v>
      </c>
      <c r="H20" s="27">
        <f>IF('2 Employees'!H75&gt;0,1,0)</f>
        <v>0</v>
      </c>
      <c r="I20" s="27">
        <f>IF('2 Employees'!I75&gt;0,1,0)</f>
        <v>0</v>
      </c>
      <c r="J20" s="27">
        <f>IF('2 Employees'!J75&gt;0,1,0)</f>
        <v>0</v>
      </c>
      <c r="K20" s="27">
        <f>IF('2 Employees'!K75&gt;0,1,0)</f>
        <v>0</v>
      </c>
      <c r="L20" s="27">
        <f>IF('2 Employees'!L75&gt;0,1,0)</f>
        <v>0</v>
      </c>
      <c r="M20" s="27">
        <f>IF('2 Employees'!M75&gt;0,1,0)</f>
        <v>0</v>
      </c>
      <c r="N20" s="27">
        <f>IF('2 Employees'!N75&gt;0,1,0)</f>
        <v>0</v>
      </c>
      <c r="O20" s="27"/>
      <c r="P20" s="27">
        <f>IF('2 Employees'!P75&gt;0,1,0)</f>
        <v>0</v>
      </c>
      <c r="Q20" s="27">
        <f>IF('2 Employees'!Q75&gt;0,1,0)</f>
        <v>0</v>
      </c>
      <c r="R20" s="27">
        <f>IF('2 Employees'!R75&gt;0,1,0)</f>
        <v>0</v>
      </c>
      <c r="S20" s="27">
        <f>IF('2 Employees'!S75&gt;0,1,0)</f>
        <v>0</v>
      </c>
      <c r="T20" s="27">
        <f>IF('2 Employees'!T75&gt;0,1,0)</f>
        <v>0</v>
      </c>
      <c r="U20" s="27">
        <f>IF('2 Employees'!U75&gt;0,1,0)</f>
        <v>0</v>
      </c>
      <c r="V20" s="27">
        <f>IF('2 Employees'!V75&gt;0,1,0)</f>
        <v>0</v>
      </c>
      <c r="W20" s="27">
        <f>IF('2 Employees'!W75&gt;0,1,0)</f>
        <v>0</v>
      </c>
      <c r="X20" s="27">
        <f>IF('2 Employees'!X75&gt;0,1,0)</f>
        <v>0</v>
      </c>
      <c r="Y20" s="27">
        <f>IF('2 Employees'!Y75&gt;0,1,0)</f>
        <v>0</v>
      </c>
      <c r="Z20" s="27">
        <f>IF('2 Employees'!Z75&gt;0,1,0)</f>
        <v>0</v>
      </c>
      <c r="AA20" s="27">
        <f>IF('2 Employees'!AA75&gt;0,1,0)</f>
        <v>0</v>
      </c>
      <c r="AC20" s="27">
        <f t="shared" si="2"/>
        <v>0</v>
      </c>
      <c r="AD20" s="27">
        <f t="shared" si="3"/>
        <v>0</v>
      </c>
      <c r="AE20" s="27">
        <f t="shared" si="4"/>
        <v>0</v>
      </c>
      <c r="AF20" s="27">
        <f t="shared" si="5"/>
        <v>0</v>
      </c>
      <c r="AH20" s="27">
        <f t="shared" si="6"/>
        <v>0</v>
      </c>
      <c r="AI20" s="27">
        <f t="shared" si="7"/>
        <v>0</v>
      </c>
      <c r="AJ20" s="27">
        <f t="shared" si="8"/>
        <v>0</v>
      </c>
      <c r="AK20" s="27">
        <f t="shared" si="9"/>
        <v>0</v>
      </c>
      <c r="AM20" s="27">
        <f t="shared" si="10"/>
        <v>0</v>
      </c>
      <c r="AN20" s="27">
        <f t="shared" si="11"/>
        <v>0</v>
      </c>
    </row>
    <row r="21" spans="2:40" x14ac:dyDescent="0.2">
      <c r="B21" s="30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C21" s="27"/>
      <c r="AD21" s="27"/>
      <c r="AE21" s="27"/>
      <c r="AF21" s="27"/>
      <c r="AH21" s="27"/>
      <c r="AI21" s="27"/>
      <c r="AJ21" s="27"/>
      <c r="AK21" s="27"/>
      <c r="AM21" s="27"/>
      <c r="AN21" s="27"/>
    </row>
    <row r="22" spans="2:40" x14ac:dyDescent="0.2">
      <c r="B22" s="28" t="s">
        <v>145</v>
      </c>
      <c r="C22" s="29">
        <f>SUM(C7:C21)</f>
        <v>9</v>
      </c>
      <c r="D22" s="29">
        <f t="shared" ref="D22:N22" si="12">SUM(D7:D21)</f>
        <v>9</v>
      </c>
      <c r="E22" s="29">
        <f t="shared" si="12"/>
        <v>9</v>
      </c>
      <c r="F22" s="29">
        <f t="shared" si="12"/>
        <v>7</v>
      </c>
      <c r="G22" s="29">
        <f t="shared" si="12"/>
        <v>7</v>
      </c>
      <c r="H22" s="29">
        <f t="shared" si="12"/>
        <v>7</v>
      </c>
      <c r="I22" s="29">
        <f t="shared" si="12"/>
        <v>7</v>
      </c>
      <c r="J22" s="29">
        <f t="shared" si="12"/>
        <v>7</v>
      </c>
      <c r="K22" s="29">
        <f t="shared" si="12"/>
        <v>7</v>
      </c>
      <c r="L22" s="29">
        <f t="shared" si="12"/>
        <v>7</v>
      </c>
      <c r="M22" s="29">
        <f t="shared" si="12"/>
        <v>7</v>
      </c>
      <c r="N22" s="29">
        <f t="shared" si="12"/>
        <v>7</v>
      </c>
      <c r="O22" s="29"/>
      <c r="P22" s="29">
        <f>SUM(P7:P21)</f>
        <v>7</v>
      </c>
      <c r="Q22" s="29">
        <f t="shared" ref="Q22:AA22" si="13">SUM(Q7:Q21)</f>
        <v>7</v>
      </c>
      <c r="R22" s="29">
        <f t="shared" si="13"/>
        <v>7</v>
      </c>
      <c r="S22" s="29">
        <f t="shared" si="13"/>
        <v>7</v>
      </c>
      <c r="T22" s="29">
        <f t="shared" si="13"/>
        <v>7</v>
      </c>
      <c r="U22" s="29">
        <f t="shared" si="13"/>
        <v>7</v>
      </c>
      <c r="V22" s="29">
        <f t="shared" si="13"/>
        <v>7</v>
      </c>
      <c r="W22" s="29">
        <f t="shared" si="13"/>
        <v>7</v>
      </c>
      <c r="X22" s="29">
        <f t="shared" si="13"/>
        <v>7</v>
      </c>
      <c r="Y22" s="29">
        <f t="shared" si="13"/>
        <v>7</v>
      </c>
      <c r="Z22" s="29">
        <f t="shared" si="13"/>
        <v>7</v>
      </c>
      <c r="AA22" s="29">
        <f t="shared" si="13"/>
        <v>7</v>
      </c>
      <c r="AC22" s="29">
        <f t="shared" ref="AC22:AF22" si="14">SUM(AC7:AC21)</f>
        <v>9</v>
      </c>
      <c r="AD22" s="29">
        <f t="shared" si="14"/>
        <v>7</v>
      </c>
      <c r="AE22" s="29">
        <f t="shared" si="14"/>
        <v>7</v>
      </c>
      <c r="AF22" s="29">
        <f t="shared" si="14"/>
        <v>7</v>
      </c>
      <c r="AH22" s="29">
        <f t="shared" ref="AH22:AK22" si="15">SUM(AH7:AH21)</f>
        <v>7</v>
      </c>
      <c r="AI22" s="29">
        <f t="shared" si="15"/>
        <v>7</v>
      </c>
      <c r="AJ22" s="29">
        <f t="shared" si="15"/>
        <v>7</v>
      </c>
      <c r="AK22" s="29">
        <f t="shared" si="15"/>
        <v>7</v>
      </c>
      <c r="AM22" s="29">
        <f t="shared" ref="AM22:AN22" si="16">SUM(AM7:AM21)</f>
        <v>7</v>
      </c>
      <c r="AN22" s="29">
        <f t="shared" si="16"/>
        <v>7</v>
      </c>
    </row>
    <row r="23" spans="2:40" x14ac:dyDescent="0.2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2:40" x14ac:dyDescent="0.2"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2:40" x14ac:dyDescent="0.2">
      <c r="B25" s="176" t="s">
        <v>123</v>
      </c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8"/>
    </row>
    <row r="26" spans="2:40" x14ac:dyDescent="0.2"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2:40" x14ac:dyDescent="0.2">
      <c r="B27" s="30" t="str">
        <f>+'2 Employees'!B88</f>
        <v>Boosinger, Haley</v>
      </c>
      <c r="C27" s="27">
        <f>IF('2 Employees'!C88&gt;0,1,0)</f>
        <v>1</v>
      </c>
      <c r="D27" s="27">
        <f>IF('2 Employees'!D88&gt;0,1,0)</f>
        <v>1</v>
      </c>
      <c r="E27" s="27">
        <f>IF('2 Employees'!E88&gt;0,1,0)</f>
        <v>1</v>
      </c>
      <c r="F27" s="27">
        <f>IF('2 Employees'!F88&gt;0,1,0)</f>
        <v>1</v>
      </c>
      <c r="G27" s="27">
        <f>IF('2 Employees'!G88&gt;0,1,0)</f>
        <v>1</v>
      </c>
      <c r="H27" s="27">
        <f>IF('2 Employees'!H88&gt;0,1,0)</f>
        <v>1</v>
      </c>
      <c r="I27" s="27">
        <f>IF('2 Employees'!I88&gt;0,1,0)</f>
        <v>1</v>
      </c>
      <c r="J27" s="27">
        <f>IF('2 Employees'!J88&gt;0,1,0)</f>
        <v>1</v>
      </c>
      <c r="K27" s="27">
        <f>IF('2 Employees'!K88&gt;0,1,0)</f>
        <v>1</v>
      </c>
      <c r="L27" s="27">
        <f>IF('2 Employees'!L88&gt;0,1,0)</f>
        <v>1</v>
      </c>
      <c r="M27" s="27">
        <f>IF('2 Employees'!M88&gt;0,1,0)</f>
        <v>1</v>
      </c>
      <c r="N27" s="27">
        <f>IF('2 Employees'!N88&gt;0,1,0)</f>
        <v>1</v>
      </c>
      <c r="O27" s="27"/>
      <c r="P27" s="27">
        <f>IF('2 Employees'!P88&gt;0,1,0)</f>
        <v>1</v>
      </c>
      <c r="Q27" s="27">
        <f>IF('2 Employees'!Q88&gt;0,1,0)</f>
        <v>1</v>
      </c>
      <c r="R27" s="27">
        <f>IF('2 Employees'!R88&gt;0,1,0)</f>
        <v>1</v>
      </c>
      <c r="S27" s="27">
        <f>IF('2 Employees'!S88&gt;0,1,0)</f>
        <v>1</v>
      </c>
      <c r="T27" s="27">
        <f>IF('2 Employees'!T88&gt;0,1,0)</f>
        <v>1</v>
      </c>
      <c r="U27" s="27">
        <f>IF('2 Employees'!U88&gt;0,1,0)</f>
        <v>1</v>
      </c>
      <c r="V27" s="27">
        <f>IF('2 Employees'!V88&gt;0,1,0)</f>
        <v>1</v>
      </c>
      <c r="W27" s="27">
        <f>IF('2 Employees'!W88&gt;0,1,0)</f>
        <v>1</v>
      </c>
      <c r="X27" s="27">
        <f>IF('2 Employees'!X88&gt;0,1,0)</f>
        <v>1</v>
      </c>
      <c r="Y27" s="27">
        <f>IF('2 Employees'!Y88&gt;0,1,0)</f>
        <v>1</v>
      </c>
      <c r="Z27" s="27">
        <f>IF('2 Employees'!Z88&gt;0,1,0)</f>
        <v>1</v>
      </c>
      <c r="AA27" s="27">
        <f>IF('2 Employees'!AA88&gt;0,1,0)</f>
        <v>1</v>
      </c>
      <c r="AC27" s="27">
        <f t="shared" ref="AC27:AC33" si="17">+E27</f>
        <v>1</v>
      </c>
      <c r="AD27" s="27">
        <f t="shared" ref="AD27:AD33" si="18">+H27</f>
        <v>1</v>
      </c>
      <c r="AE27" s="27">
        <f t="shared" ref="AE27:AE33" si="19">+K27</f>
        <v>1</v>
      </c>
      <c r="AF27" s="27">
        <f t="shared" ref="AF27:AF33" si="20">+N27</f>
        <v>1</v>
      </c>
      <c r="AH27" s="27">
        <f t="shared" ref="AH27:AH33" si="21">+R27</f>
        <v>1</v>
      </c>
      <c r="AI27" s="27">
        <f t="shared" ref="AI27:AI33" si="22">+U27</f>
        <v>1</v>
      </c>
      <c r="AJ27" s="27">
        <f t="shared" ref="AJ27:AJ33" si="23">+X27</f>
        <v>1</v>
      </c>
      <c r="AK27" s="27">
        <f t="shared" ref="AK27:AK33" si="24">+AA27</f>
        <v>1</v>
      </c>
      <c r="AM27" s="27">
        <f t="shared" ref="AM27:AM33" si="25">+N27</f>
        <v>1</v>
      </c>
      <c r="AN27" s="27">
        <f t="shared" ref="AN27:AN33" si="26">+AA27</f>
        <v>1</v>
      </c>
    </row>
    <row r="28" spans="2:40" x14ac:dyDescent="0.2">
      <c r="B28" s="30" t="str">
        <f>+'2 Employees'!B93</f>
        <v>Boosinger, Tom</v>
      </c>
      <c r="C28" s="27">
        <f>IF('2 Employees'!C93&gt;0,1,0)</f>
        <v>1</v>
      </c>
      <c r="D28" s="27">
        <f>IF('2 Employees'!D93&gt;0,1,0)</f>
        <v>1</v>
      </c>
      <c r="E28" s="27">
        <f>IF('2 Employees'!E93&gt;0,1,0)</f>
        <v>1</v>
      </c>
      <c r="F28" s="27">
        <f>IF('2 Employees'!F93&gt;0,1,0)</f>
        <v>1</v>
      </c>
      <c r="G28" s="27">
        <f>IF('2 Employees'!G93&gt;0,1,0)</f>
        <v>1</v>
      </c>
      <c r="H28" s="27">
        <f>IF('2 Employees'!H93&gt;0,1,0)</f>
        <v>1</v>
      </c>
      <c r="I28" s="27">
        <f>IF('2 Employees'!I93&gt;0,1,0)</f>
        <v>1</v>
      </c>
      <c r="J28" s="27">
        <f>IF('2 Employees'!J93&gt;0,1,0)</f>
        <v>1</v>
      </c>
      <c r="K28" s="27">
        <f>IF('2 Employees'!K93&gt;0,1,0)</f>
        <v>1</v>
      </c>
      <c r="L28" s="27">
        <f>IF('2 Employees'!L93&gt;0,1,0)</f>
        <v>1</v>
      </c>
      <c r="M28" s="27">
        <f>IF('2 Employees'!M93&gt;0,1,0)</f>
        <v>1</v>
      </c>
      <c r="N28" s="27">
        <f>IF('2 Employees'!N93&gt;0,1,0)</f>
        <v>1</v>
      </c>
      <c r="O28" s="27"/>
      <c r="P28" s="27">
        <f>IF('2 Employees'!P93&gt;0,1,0)</f>
        <v>1</v>
      </c>
      <c r="Q28" s="27">
        <f>IF('2 Employees'!Q93&gt;0,1,0)</f>
        <v>1</v>
      </c>
      <c r="R28" s="27">
        <f>IF('2 Employees'!R93&gt;0,1,0)</f>
        <v>1</v>
      </c>
      <c r="S28" s="27">
        <f>IF('2 Employees'!S93&gt;0,1,0)</f>
        <v>1</v>
      </c>
      <c r="T28" s="27">
        <f>IF('2 Employees'!T93&gt;0,1,0)</f>
        <v>1</v>
      </c>
      <c r="U28" s="27">
        <f>IF('2 Employees'!U93&gt;0,1,0)</f>
        <v>1</v>
      </c>
      <c r="V28" s="27">
        <f>IF('2 Employees'!V93&gt;0,1,0)</f>
        <v>1</v>
      </c>
      <c r="W28" s="27">
        <f>IF('2 Employees'!W93&gt;0,1,0)</f>
        <v>1</v>
      </c>
      <c r="X28" s="27">
        <f>IF('2 Employees'!X93&gt;0,1,0)</f>
        <v>1</v>
      </c>
      <c r="Y28" s="27">
        <f>IF('2 Employees'!Y93&gt;0,1,0)</f>
        <v>1</v>
      </c>
      <c r="Z28" s="27">
        <f>IF('2 Employees'!Z93&gt;0,1,0)</f>
        <v>1</v>
      </c>
      <c r="AA28" s="27">
        <f>IF('2 Employees'!AA93&gt;0,1,0)</f>
        <v>1</v>
      </c>
      <c r="AC28" s="27">
        <f t="shared" si="17"/>
        <v>1</v>
      </c>
      <c r="AD28" s="27">
        <f t="shared" si="18"/>
        <v>1</v>
      </c>
      <c r="AE28" s="27">
        <f t="shared" si="19"/>
        <v>1</v>
      </c>
      <c r="AF28" s="27">
        <f t="shared" si="20"/>
        <v>1</v>
      </c>
      <c r="AH28" s="27">
        <f t="shared" si="21"/>
        <v>1</v>
      </c>
      <c r="AI28" s="27">
        <f t="shared" si="22"/>
        <v>1</v>
      </c>
      <c r="AJ28" s="27">
        <f t="shared" si="23"/>
        <v>1</v>
      </c>
      <c r="AK28" s="27">
        <f t="shared" si="24"/>
        <v>1</v>
      </c>
      <c r="AM28" s="27">
        <f t="shared" si="25"/>
        <v>1</v>
      </c>
      <c r="AN28" s="27">
        <f t="shared" si="26"/>
        <v>1</v>
      </c>
    </row>
    <row r="29" spans="2:40" x14ac:dyDescent="0.2">
      <c r="B29" s="30" t="str">
        <f>+'2 Employees'!B98</f>
        <v>Cubela, Bojan</v>
      </c>
      <c r="C29" s="27">
        <f>IF('2 Employees'!C98&gt;0,1,0)</f>
        <v>1</v>
      </c>
      <c r="D29" s="27">
        <f>IF('2 Employees'!D98&gt;0,1,0)</f>
        <v>1</v>
      </c>
      <c r="E29" s="27">
        <f>IF('2 Employees'!E98&gt;0,1,0)</f>
        <v>1</v>
      </c>
      <c r="F29" s="27">
        <f>IF('2 Employees'!F98&gt;0,1,0)</f>
        <v>1</v>
      </c>
      <c r="G29" s="27">
        <f>IF('2 Employees'!G98&gt;0,1,0)</f>
        <v>1</v>
      </c>
      <c r="H29" s="27">
        <f>IF('2 Employees'!H98&gt;0,1,0)</f>
        <v>1</v>
      </c>
      <c r="I29" s="27">
        <f>IF('2 Employees'!I98&gt;0,1,0)</f>
        <v>1</v>
      </c>
      <c r="J29" s="27">
        <f>IF('2 Employees'!J98&gt;0,1,0)</f>
        <v>1</v>
      </c>
      <c r="K29" s="27">
        <f>IF('2 Employees'!K98&gt;0,1,0)</f>
        <v>1</v>
      </c>
      <c r="L29" s="27">
        <f>IF('2 Employees'!L98&gt;0,1,0)</f>
        <v>1</v>
      </c>
      <c r="M29" s="27">
        <f>IF('2 Employees'!M98&gt;0,1,0)</f>
        <v>1</v>
      </c>
      <c r="N29" s="27">
        <f>IF('2 Employees'!N98&gt;0,1,0)</f>
        <v>1</v>
      </c>
      <c r="O29" s="27"/>
      <c r="P29" s="27">
        <f>IF('2 Employees'!P98&gt;0,1,0)</f>
        <v>1</v>
      </c>
      <c r="Q29" s="27">
        <f>IF('2 Employees'!Q98&gt;0,1,0)</f>
        <v>1</v>
      </c>
      <c r="R29" s="27">
        <f>IF('2 Employees'!R98&gt;0,1,0)</f>
        <v>1</v>
      </c>
      <c r="S29" s="27">
        <f>IF('2 Employees'!S98&gt;0,1,0)</f>
        <v>1</v>
      </c>
      <c r="T29" s="27">
        <f>IF('2 Employees'!T98&gt;0,1,0)</f>
        <v>1</v>
      </c>
      <c r="U29" s="27">
        <f>IF('2 Employees'!U98&gt;0,1,0)</f>
        <v>1</v>
      </c>
      <c r="V29" s="27">
        <f>IF('2 Employees'!V98&gt;0,1,0)</f>
        <v>1</v>
      </c>
      <c r="W29" s="27">
        <f>IF('2 Employees'!W98&gt;0,1,0)</f>
        <v>1</v>
      </c>
      <c r="X29" s="27">
        <f>IF('2 Employees'!X98&gt;0,1,0)</f>
        <v>1</v>
      </c>
      <c r="Y29" s="27">
        <f>IF('2 Employees'!Y98&gt;0,1,0)</f>
        <v>1</v>
      </c>
      <c r="Z29" s="27">
        <f>IF('2 Employees'!Z98&gt;0,1,0)</f>
        <v>1</v>
      </c>
      <c r="AA29" s="27">
        <f>IF('2 Employees'!AA98&gt;0,1,0)</f>
        <v>1</v>
      </c>
      <c r="AC29" s="27">
        <f t="shared" si="17"/>
        <v>1</v>
      </c>
      <c r="AD29" s="27">
        <f t="shared" si="18"/>
        <v>1</v>
      </c>
      <c r="AE29" s="27">
        <f t="shared" si="19"/>
        <v>1</v>
      </c>
      <c r="AF29" s="27">
        <f t="shared" si="20"/>
        <v>1</v>
      </c>
      <c r="AH29" s="27">
        <f t="shared" si="21"/>
        <v>1</v>
      </c>
      <c r="AI29" s="27">
        <f t="shared" si="22"/>
        <v>1</v>
      </c>
      <c r="AJ29" s="27">
        <f t="shared" si="23"/>
        <v>1</v>
      </c>
      <c r="AK29" s="27">
        <f t="shared" si="24"/>
        <v>1</v>
      </c>
      <c r="AM29" s="27">
        <f t="shared" si="25"/>
        <v>1</v>
      </c>
      <c r="AN29" s="27">
        <f t="shared" si="26"/>
        <v>1</v>
      </c>
    </row>
    <row r="30" spans="2:40" x14ac:dyDescent="0.2">
      <c r="B30" s="30" t="str">
        <f>+'2 Employees'!B103</f>
        <v>Employee, New</v>
      </c>
      <c r="C30" s="27">
        <f>IF('2 Employees'!C103&gt;0,1,0)</f>
        <v>0</v>
      </c>
      <c r="D30" s="27">
        <f>IF('2 Employees'!D103&gt;0,1,0)</f>
        <v>0</v>
      </c>
      <c r="E30" s="27">
        <f>IF('2 Employees'!E103&gt;0,1,0)</f>
        <v>0</v>
      </c>
      <c r="F30" s="27">
        <f>IF('2 Employees'!F103&gt;0,1,0)</f>
        <v>0</v>
      </c>
      <c r="G30" s="27">
        <f>IF('2 Employees'!G103&gt;0,1,0)</f>
        <v>0</v>
      </c>
      <c r="H30" s="27">
        <f>IF('2 Employees'!H103&gt;0,1,0)</f>
        <v>0</v>
      </c>
      <c r="I30" s="27">
        <f>IF('2 Employees'!I103&gt;0,1,0)</f>
        <v>0</v>
      </c>
      <c r="J30" s="27">
        <f>IF('2 Employees'!J103&gt;0,1,0)</f>
        <v>0</v>
      </c>
      <c r="K30" s="27">
        <f>IF('2 Employees'!K103&gt;0,1,0)</f>
        <v>0</v>
      </c>
      <c r="L30" s="27">
        <f>IF('2 Employees'!L103&gt;0,1,0)</f>
        <v>0</v>
      </c>
      <c r="M30" s="27">
        <f>IF('2 Employees'!M103&gt;0,1,0)</f>
        <v>0</v>
      </c>
      <c r="N30" s="27">
        <f>IF('2 Employees'!N103&gt;0,1,0)</f>
        <v>0</v>
      </c>
      <c r="O30" s="27"/>
      <c r="P30" s="27">
        <f>IF('2 Employees'!P103&gt;0,1,0)</f>
        <v>0</v>
      </c>
      <c r="Q30" s="27">
        <f>IF('2 Employees'!Q103&gt;0,1,0)</f>
        <v>0</v>
      </c>
      <c r="R30" s="27">
        <f>IF('2 Employees'!R103&gt;0,1,0)</f>
        <v>0</v>
      </c>
      <c r="S30" s="27">
        <f>IF('2 Employees'!S103&gt;0,1,0)</f>
        <v>0</v>
      </c>
      <c r="T30" s="27">
        <f>IF('2 Employees'!T103&gt;0,1,0)</f>
        <v>0</v>
      </c>
      <c r="U30" s="27">
        <f>IF('2 Employees'!U103&gt;0,1,0)</f>
        <v>0</v>
      </c>
      <c r="V30" s="27">
        <f>IF('2 Employees'!V103&gt;0,1,0)</f>
        <v>0</v>
      </c>
      <c r="W30" s="27">
        <f>IF('2 Employees'!W103&gt;0,1,0)</f>
        <v>0</v>
      </c>
      <c r="X30" s="27">
        <f>IF('2 Employees'!X103&gt;0,1,0)</f>
        <v>0</v>
      </c>
      <c r="Y30" s="27">
        <f>IF('2 Employees'!Y103&gt;0,1,0)</f>
        <v>0</v>
      </c>
      <c r="Z30" s="27">
        <f>IF('2 Employees'!Z103&gt;0,1,0)</f>
        <v>0</v>
      </c>
      <c r="AA30" s="27">
        <f>IF('2 Employees'!AA103&gt;0,1,0)</f>
        <v>0</v>
      </c>
      <c r="AC30" s="27">
        <f t="shared" si="17"/>
        <v>0</v>
      </c>
      <c r="AD30" s="27">
        <f t="shared" si="18"/>
        <v>0</v>
      </c>
      <c r="AE30" s="27">
        <f t="shared" si="19"/>
        <v>0</v>
      </c>
      <c r="AF30" s="27">
        <f t="shared" si="20"/>
        <v>0</v>
      </c>
      <c r="AH30" s="27">
        <f t="shared" si="21"/>
        <v>0</v>
      </c>
      <c r="AI30" s="27">
        <f t="shared" si="22"/>
        <v>0</v>
      </c>
      <c r="AJ30" s="27">
        <f t="shared" si="23"/>
        <v>0</v>
      </c>
      <c r="AK30" s="27">
        <f t="shared" si="24"/>
        <v>0</v>
      </c>
      <c r="AM30" s="27">
        <f t="shared" si="25"/>
        <v>0</v>
      </c>
      <c r="AN30" s="27">
        <f t="shared" si="26"/>
        <v>0</v>
      </c>
    </row>
    <row r="31" spans="2:40" x14ac:dyDescent="0.2">
      <c r="B31" s="30" t="str">
        <f>+'2 Employees'!B108</f>
        <v>Employee, New</v>
      </c>
      <c r="C31" s="27">
        <f>IF('2 Employees'!C108&gt;0,1,0)</f>
        <v>0</v>
      </c>
      <c r="D31" s="27">
        <f>IF('2 Employees'!D108&gt;0,1,0)</f>
        <v>0</v>
      </c>
      <c r="E31" s="27">
        <f>IF('2 Employees'!E108&gt;0,1,0)</f>
        <v>0</v>
      </c>
      <c r="F31" s="27">
        <f>IF('2 Employees'!F108&gt;0,1,0)</f>
        <v>0</v>
      </c>
      <c r="G31" s="27">
        <f>IF('2 Employees'!G108&gt;0,1,0)</f>
        <v>0</v>
      </c>
      <c r="H31" s="27">
        <f>IF('2 Employees'!H108&gt;0,1,0)</f>
        <v>0</v>
      </c>
      <c r="I31" s="27">
        <f>IF('2 Employees'!I108&gt;0,1,0)</f>
        <v>0</v>
      </c>
      <c r="J31" s="27">
        <f>IF('2 Employees'!J108&gt;0,1,0)</f>
        <v>0</v>
      </c>
      <c r="K31" s="27">
        <f>IF('2 Employees'!K108&gt;0,1,0)</f>
        <v>0</v>
      </c>
      <c r="L31" s="27">
        <f>IF('2 Employees'!L108&gt;0,1,0)</f>
        <v>0</v>
      </c>
      <c r="M31" s="27">
        <f>IF('2 Employees'!M108&gt;0,1,0)</f>
        <v>0</v>
      </c>
      <c r="N31" s="27">
        <f>IF('2 Employees'!N108&gt;0,1,0)</f>
        <v>0</v>
      </c>
      <c r="O31" s="27"/>
      <c r="P31" s="27">
        <f>IF('2 Employees'!P108&gt;0,1,0)</f>
        <v>0</v>
      </c>
      <c r="Q31" s="27">
        <f>IF('2 Employees'!Q108&gt;0,1,0)</f>
        <v>0</v>
      </c>
      <c r="R31" s="27">
        <f>IF('2 Employees'!R108&gt;0,1,0)</f>
        <v>0</v>
      </c>
      <c r="S31" s="27">
        <f>IF('2 Employees'!S108&gt;0,1,0)</f>
        <v>0</v>
      </c>
      <c r="T31" s="27">
        <f>IF('2 Employees'!T108&gt;0,1,0)</f>
        <v>0</v>
      </c>
      <c r="U31" s="27">
        <f>IF('2 Employees'!U108&gt;0,1,0)</f>
        <v>0</v>
      </c>
      <c r="V31" s="27">
        <f>IF('2 Employees'!V108&gt;0,1,0)</f>
        <v>0</v>
      </c>
      <c r="W31" s="27">
        <f>IF('2 Employees'!W108&gt;0,1,0)</f>
        <v>0</v>
      </c>
      <c r="X31" s="27">
        <f>IF('2 Employees'!X108&gt;0,1,0)</f>
        <v>0</v>
      </c>
      <c r="Y31" s="27">
        <f>IF('2 Employees'!Y108&gt;0,1,0)</f>
        <v>0</v>
      </c>
      <c r="Z31" s="27">
        <f>IF('2 Employees'!Z108&gt;0,1,0)</f>
        <v>0</v>
      </c>
      <c r="AA31" s="27">
        <f>IF('2 Employees'!AA108&gt;0,1,0)</f>
        <v>0</v>
      </c>
      <c r="AC31" s="27">
        <f t="shared" si="17"/>
        <v>0</v>
      </c>
      <c r="AD31" s="27">
        <f t="shared" si="18"/>
        <v>0</v>
      </c>
      <c r="AE31" s="27">
        <f t="shared" si="19"/>
        <v>0</v>
      </c>
      <c r="AF31" s="27">
        <f t="shared" si="20"/>
        <v>0</v>
      </c>
      <c r="AH31" s="27">
        <f t="shared" si="21"/>
        <v>0</v>
      </c>
      <c r="AI31" s="27">
        <f t="shared" si="22"/>
        <v>0</v>
      </c>
      <c r="AJ31" s="27">
        <f t="shared" si="23"/>
        <v>0</v>
      </c>
      <c r="AK31" s="27">
        <f t="shared" si="24"/>
        <v>0</v>
      </c>
      <c r="AM31" s="27">
        <f t="shared" si="25"/>
        <v>0</v>
      </c>
      <c r="AN31" s="27">
        <f t="shared" si="26"/>
        <v>0</v>
      </c>
    </row>
    <row r="32" spans="2:40" x14ac:dyDescent="0.2">
      <c r="B32" s="30" t="str">
        <f>+'2 Employees'!B113</f>
        <v>Employee, New</v>
      </c>
      <c r="C32" s="27">
        <f>IF('2 Employees'!C113&gt;0,1,0)</f>
        <v>0</v>
      </c>
      <c r="D32" s="27">
        <f>IF('2 Employees'!D113&gt;0,1,0)</f>
        <v>0</v>
      </c>
      <c r="E32" s="27">
        <f>IF('2 Employees'!E113&gt;0,1,0)</f>
        <v>0</v>
      </c>
      <c r="F32" s="27">
        <f>IF('2 Employees'!F113&gt;0,1,0)</f>
        <v>0</v>
      </c>
      <c r="G32" s="27">
        <f>IF('2 Employees'!G113&gt;0,1,0)</f>
        <v>0</v>
      </c>
      <c r="H32" s="27">
        <f>IF('2 Employees'!H113&gt;0,1,0)</f>
        <v>0</v>
      </c>
      <c r="I32" s="27">
        <f>IF('2 Employees'!I113&gt;0,1,0)</f>
        <v>0</v>
      </c>
      <c r="J32" s="27">
        <f>IF('2 Employees'!J113&gt;0,1,0)</f>
        <v>0</v>
      </c>
      <c r="K32" s="27">
        <f>IF('2 Employees'!K113&gt;0,1,0)</f>
        <v>0</v>
      </c>
      <c r="L32" s="27">
        <f>IF('2 Employees'!L113&gt;0,1,0)</f>
        <v>0</v>
      </c>
      <c r="M32" s="27">
        <f>IF('2 Employees'!M113&gt;0,1,0)</f>
        <v>0</v>
      </c>
      <c r="N32" s="27">
        <f>IF('2 Employees'!N113&gt;0,1,0)</f>
        <v>0</v>
      </c>
      <c r="O32" s="27"/>
      <c r="P32" s="27">
        <f>IF('2 Employees'!P113&gt;0,1,0)</f>
        <v>0</v>
      </c>
      <c r="Q32" s="27">
        <f>IF('2 Employees'!Q113&gt;0,1,0)</f>
        <v>0</v>
      </c>
      <c r="R32" s="27">
        <f>IF('2 Employees'!R113&gt;0,1,0)</f>
        <v>0</v>
      </c>
      <c r="S32" s="27">
        <f>IF('2 Employees'!S113&gt;0,1,0)</f>
        <v>0</v>
      </c>
      <c r="T32" s="27">
        <f>IF('2 Employees'!T113&gt;0,1,0)</f>
        <v>0</v>
      </c>
      <c r="U32" s="27">
        <f>IF('2 Employees'!U113&gt;0,1,0)</f>
        <v>0</v>
      </c>
      <c r="V32" s="27">
        <f>IF('2 Employees'!V113&gt;0,1,0)</f>
        <v>0</v>
      </c>
      <c r="W32" s="27">
        <f>IF('2 Employees'!W113&gt;0,1,0)</f>
        <v>0</v>
      </c>
      <c r="X32" s="27">
        <f>IF('2 Employees'!X113&gt;0,1,0)</f>
        <v>0</v>
      </c>
      <c r="Y32" s="27">
        <f>IF('2 Employees'!Y113&gt;0,1,0)</f>
        <v>0</v>
      </c>
      <c r="Z32" s="27">
        <f>IF('2 Employees'!Z113&gt;0,1,0)</f>
        <v>0</v>
      </c>
      <c r="AA32" s="27">
        <f>IF('2 Employees'!AA113&gt;0,1,0)</f>
        <v>0</v>
      </c>
      <c r="AC32" s="27">
        <f t="shared" si="17"/>
        <v>0</v>
      </c>
      <c r="AD32" s="27">
        <f t="shared" si="18"/>
        <v>0</v>
      </c>
      <c r="AE32" s="27">
        <f t="shared" si="19"/>
        <v>0</v>
      </c>
      <c r="AF32" s="27">
        <f t="shared" si="20"/>
        <v>0</v>
      </c>
      <c r="AH32" s="27">
        <f t="shared" si="21"/>
        <v>0</v>
      </c>
      <c r="AI32" s="27">
        <f t="shared" si="22"/>
        <v>0</v>
      </c>
      <c r="AJ32" s="27">
        <f t="shared" si="23"/>
        <v>0</v>
      </c>
      <c r="AK32" s="27">
        <f t="shared" si="24"/>
        <v>0</v>
      </c>
      <c r="AM32" s="27">
        <f t="shared" si="25"/>
        <v>0</v>
      </c>
      <c r="AN32" s="27">
        <f t="shared" si="26"/>
        <v>0</v>
      </c>
    </row>
    <row r="33" spans="2:40" x14ac:dyDescent="0.2">
      <c r="B33" s="30" t="str">
        <f>+'2 Employees'!B118</f>
        <v>Employee, New</v>
      </c>
      <c r="C33" s="27">
        <f>IF('2 Employees'!C118&gt;0,1,0)</f>
        <v>0</v>
      </c>
      <c r="D33" s="27">
        <f>IF('2 Employees'!D118&gt;0,1,0)</f>
        <v>0</v>
      </c>
      <c r="E33" s="27">
        <f>IF('2 Employees'!E118&gt;0,1,0)</f>
        <v>0</v>
      </c>
      <c r="F33" s="27">
        <f>IF('2 Employees'!F118&gt;0,1,0)</f>
        <v>0</v>
      </c>
      <c r="G33" s="27">
        <f>IF('2 Employees'!G118&gt;0,1,0)</f>
        <v>0</v>
      </c>
      <c r="H33" s="27">
        <f>IF('2 Employees'!H118&gt;0,1,0)</f>
        <v>0</v>
      </c>
      <c r="I33" s="27">
        <f>IF('2 Employees'!I118&gt;0,1,0)</f>
        <v>0</v>
      </c>
      <c r="J33" s="27">
        <f>IF('2 Employees'!J118&gt;0,1,0)</f>
        <v>0</v>
      </c>
      <c r="K33" s="27">
        <f>IF('2 Employees'!K118&gt;0,1,0)</f>
        <v>0</v>
      </c>
      <c r="L33" s="27">
        <f>IF('2 Employees'!L118&gt;0,1,0)</f>
        <v>0</v>
      </c>
      <c r="M33" s="27">
        <f>IF('2 Employees'!M118&gt;0,1,0)</f>
        <v>0</v>
      </c>
      <c r="N33" s="27">
        <f>IF('2 Employees'!N118&gt;0,1,0)</f>
        <v>0</v>
      </c>
      <c r="O33" s="27"/>
      <c r="P33" s="27">
        <f>IF('2 Employees'!P118&gt;0,1,0)</f>
        <v>0</v>
      </c>
      <c r="Q33" s="27">
        <f>IF('2 Employees'!Q118&gt;0,1,0)</f>
        <v>0</v>
      </c>
      <c r="R33" s="27">
        <f>IF('2 Employees'!R118&gt;0,1,0)</f>
        <v>0</v>
      </c>
      <c r="S33" s="27">
        <f>IF('2 Employees'!S118&gt;0,1,0)</f>
        <v>0</v>
      </c>
      <c r="T33" s="27">
        <f>IF('2 Employees'!T118&gt;0,1,0)</f>
        <v>0</v>
      </c>
      <c r="U33" s="27">
        <f>IF('2 Employees'!U118&gt;0,1,0)</f>
        <v>0</v>
      </c>
      <c r="V33" s="27">
        <f>IF('2 Employees'!V118&gt;0,1,0)</f>
        <v>0</v>
      </c>
      <c r="W33" s="27">
        <f>IF('2 Employees'!W118&gt;0,1,0)</f>
        <v>0</v>
      </c>
      <c r="X33" s="27">
        <f>IF('2 Employees'!X118&gt;0,1,0)</f>
        <v>0</v>
      </c>
      <c r="Y33" s="27">
        <f>IF('2 Employees'!Y118&gt;0,1,0)</f>
        <v>0</v>
      </c>
      <c r="Z33" s="27">
        <f>IF('2 Employees'!Z118&gt;0,1,0)</f>
        <v>0</v>
      </c>
      <c r="AA33" s="27">
        <f>IF('2 Employees'!AA118&gt;0,1,0)</f>
        <v>0</v>
      </c>
      <c r="AC33" s="27">
        <f t="shared" si="17"/>
        <v>0</v>
      </c>
      <c r="AD33" s="27">
        <f t="shared" si="18"/>
        <v>0</v>
      </c>
      <c r="AE33" s="27">
        <f t="shared" si="19"/>
        <v>0</v>
      </c>
      <c r="AF33" s="27">
        <f t="shared" si="20"/>
        <v>0</v>
      </c>
      <c r="AH33" s="27">
        <f t="shared" si="21"/>
        <v>0</v>
      </c>
      <c r="AI33" s="27">
        <f t="shared" si="22"/>
        <v>0</v>
      </c>
      <c r="AJ33" s="27">
        <f t="shared" si="23"/>
        <v>0</v>
      </c>
      <c r="AK33" s="27">
        <f t="shared" si="24"/>
        <v>0</v>
      </c>
      <c r="AM33" s="27">
        <f t="shared" si="25"/>
        <v>0</v>
      </c>
      <c r="AN33" s="27">
        <f t="shared" si="26"/>
        <v>0</v>
      </c>
    </row>
    <row r="34" spans="2:40" x14ac:dyDescent="0.2">
      <c r="B34" s="30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40" x14ac:dyDescent="0.2">
      <c r="B35" s="28" t="s">
        <v>146</v>
      </c>
      <c r="C35" s="29">
        <f>SUM(C27:C34)</f>
        <v>3</v>
      </c>
      <c r="D35" s="29">
        <f t="shared" ref="D35:N35" si="27">SUM(D27:D34)</f>
        <v>3</v>
      </c>
      <c r="E35" s="29">
        <f t="shared" si="27"/>
        <v>3</v>
      </c>
      <c r="F35" s="29">
        <f t="shared" si="27"/>
        <v>3</v>
      </c>
      <c r="G35" s="29">
        <f t="shared" si="27"/>
        <v>3</v>
      </c>
      <c r="H35" s="29">
        <f t="shared" si="27"/>
        <v>3</v>
      </c>
      <c r="I35" s="29">
        <f t="shared" si="27"/>
        <v>3</v>
      </c>
      <c r="J35" s="29">
        <f t="shared" si="27"/>
        <v>3</v>
      </c>
      <c r="K35" s="29">
        <f t="shared" si="27"/>
        <v>3</v>
      </c>
      <c r="L35" s="29">
        <f t="shared" si="27"/>
        <v>3</v>
      </c>
      <c r="M35" s="29">
        <f t="shared" si="27"/>
        <v>3</v>
      </c>
      <c r="N35" s="29">
        <f t="shared" si="27"/>
        <v>3</v>
      </c>
      <c r="O35" s="29"/>
      <c r="P35" s="29">
        <f t="shared" ref="P35:AN35" si="28">SUM(P27:P34)</f>
        <v>3</v>
      </c>
      <c r="Q35" s="29">
        <f t="shared" si="28"/>
        <v>3</v>
      </c>
      <c r="R35" s="29">
        <f t="shared" si="28"/>
        <v>3</v>
      </c>
      <c r="S35" s="29">
        <f t="shared" si="28"/>
        <v>3</v>
      </c>
      <c r="T35" s="29">
        <f t="shared" si="28"/>
        <v>3</v>
      </c>
      <c r="U35" s="29">
        <f t="shared" si="28"/>
        <v>3</v>
      </c>
      <c r="V35" s="29">
        <f t="shared" si="28"/>
        <v>3</v>
      </c>
      <c r="W35" s="29">
        <f t="shared" si="28"/>
        <v>3</v>
      </c>
      <c r="X35" s="29">
        <f t="shared" si="28"/>
        <v>3</v>
      </c>
      <c r="Y35" s="29">
        <f t="shared" si="28"/>
        <v>3</v>
      </c>
      <c r="Z35" s="29">
        <f t="shared" si="28"/>
        <v>3</v>
      </c>
      <c r="AA35" s="29">
        <f t="shared" si="28"/>
        <v>3</v>
      </c>
      <c r="AC35" s="29">
        <f t="shared" si="28"/>
        <v>3</v>
      </c>
      <c r="AD35" s="29">
        <f t="shared" si="28"/>
        <v>3</v>
      </c>
      <c r="AE35" s="29">
        <f t="shared" si="28"/>
        <v>3</v>
      </c>
      <c r="AF35" s="29">
        <f t="shared" si="28"/>
        <v>3</v>
      </c>
      <c r="AH35" s="29">
        <f t="shared" si="28"/>
        <v>3</v>
      </c>
      <c r="AI35" s="29">
        <f t="shared" si="28"/>
        <v>3</v>
      </c>
      <c r="AJ35" s="29">
        <f t="shared" si="28"/>
        <v>3</v>
      </c>
      <c r="AK35" s="29">
        <f t="shared" si="28"/>
        <v>3</v>
      </c>
      <c r="AM35" s="29">
        <f t="shared" si="28"/>
        <v>3</v>
      </c>
      <c r="AN35" s="29">
        <f t="shared" si="28"/>
        <v>3</v>
      </c>
    </row>
    <row r="36" spans="2:40" x14ac:dyDescent="0.2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2:40" x14ac:dyDescent="0.2"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2:40" x14ac:dyDescent="0.2">
      <c r="B38" s="167" t="s">
        <v>125</v>
      </c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9"/>
    </row>
    <row r="39" spans="2:40" x14ac:dyDescent="0.2"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2:40" x14ac:dyDescent="0.2">
      <c r="B40" s="30" t="str">
        <f>+'2 Employees'!B131</f>
        <v>Employee, New</v>
      </c>
      <c r="C40" s="27">
        <f>IF('2 Employees'!C131&gt;0,1,0)</f>
        <v>0</v>
      </c>
      <c r="D40" s="27">
        <f>IF('2 Employees'!D131&gt;0,1,0)</f>
        <v>0</v>
      </c>
      <c r="E40" s="27">
        <f>IF('2 Employees'!E131&gt;0,1,0)</f>
        <v>0</v>
      </c>
      <c r="F40" s="27">
        <f>IF('2 Employees'!F131&gt;0,1,0)</f>
        <v>0</v>
      </c>
      <c r="G40" s="27">
        <f>IF('2 Employees'!G131&gt;0,1,0)</f>
        <v>0</v>
      </c>
      <c r="H40" s="27">
        <f>IF('2 Employees'!H131&gt;0,1,0)</f>
        <v>0</v>
      </c>
      <c r="I40" s="27">
        <f>IF('2 Employees'!I131&gt;0,1,0)</f>
        <v>0</v>
      </c>
      <c r="J40" s="27">
        <f>IF('2 Employees'!J131&gt;0,1,0)</f>
        <v>0</v>
      </c>
      <c r="K40" s="27">
        <f>IF('2 Employees'!K131&gt;0,1,0)</f>
        <v>0</v>
      </c>
      <c r="L40" s="27">
        <f>IF('2 Employees'!L131&gt;0,1,0)</f>
        <v>0</v>
      </c>
      <c r="M40" s="27">
        <f>IF('2 Employees'!M131&gt;0,1,0)</f>
        <v>0</v>
      </c>
      <c r="N40" s="27">
        <f>IF('2 Employees'!N131&gt;0,1,0)</f>
        <v>0</v>
      </c>
      <c r="O40" s="27"/>
      <c r="P40" s="27">
        <f>IF('2 Employees'!P131&gt;0,1,0)</f>
        <v>0</v>
      </c>
      <c r="Q40" s="27">
        <f>IF('2 Employees'!Q131&gt;0,1,0)</f>
        <v>0</v>
      </c>
      <c r="R40" s="27">
        <f>IF('2 Employees'!R131&gt;0,1,0)</f>
        <v>0</v>
      </c>
      <c r="S40" s="27">
        <f>IF('2 Employees'!S131&gt;0,1,0)</f>
        <v>0</v>
      </c>
      <c r="T40" s="27">
        <f>IF('2 Employees'!T131&gt;0,1,0)</f>
        <v>0</v>
      </c>
      <c r="U40" s="27">
        <f>IF('2 Employees'!U131&gt;0,1,0)</f>
        <v>0</v>
      </c>
      <c r="V40" s="27">
        <f>IF('2 Employees'!V131&gt;0,1,0)</f>
        <v>0</v>
      </c>
      <c r="W40" s="27">
        <f>IF('2 Employees'!W131&gt;0,1,0)</f>
        <v>0</v>
      </c>
      <c r="X40" s="27">
        <f>IF('2 Employees'!X131&gt;0,1,0)</f>
        <v>0</v>
      </c>
      <c r="Y40" s="27">
        <f>IF('2 Employees'!Y131&gt;0,1,0)</f>
        <v>0</v>
      </c>
      <c r="Z40" s="27">
        <f>IF('2 Employees'!Z131&gt;0,1,0)</f>
        <v>0</v>
      </c>
      <c r="AA40" s="27">
        <f>IF('2 Employees'!AA131&gt;0,1,0)</f>
        <v>0</v>
      </c>
      <c r="AC40" s="27">
        <f t="shared" ref="AC40:AC44" si="29">+E40</f>
        <v>0</v>
      </c>
      <c r="AD40" s="27">
        <f t="shared" ref="AD40:AD44" si="30">+H40</f>
        <v>0</v>
      </c>
      <c r="AE40" s="27">
        <f t="shared" ref="AE40:AE44" si="31">+K40</f>
        <v>0</v>
      </c>
      <c r="AF40" s="27">
        <f t="shared" ref="AF40:AF44" si="32">+N40</f>
        <v>0</v>
      </c>
      <c r="AH40" s="27">
        <f t="shared" ref="AH40:AH44" si="33">+R40</f>
        <v>0</v>
      </c>
      <c r="AI40" s="27">
        <f t="shared" ref="AI40:AI44" si="34">+U40</f>
        <v>0</v>
      </c>
      <c r="AJ40" s="27">
        <f t="shared" ref="AJ40:AJ44" si="35">+X40</f>
        <v>0</v>
      </c>
      <c r="AK40" s="27">
        <f t="shared" ref="AK40:AK44" si="36">+AA40</f>
        <v>0</v>
      </c>
      <c r="AM40" s="27">
        <f t="shared" ref="AM40:AM44" si="37">+N40</f>
        <v>0</v>
      </c>
      <c r="AN40" s="27">
        <f t="shared" ref="AN40:AN44" si="38">+AA40</f>
        <v>0</v>
      </c>
    </row>
    <row r="41" spans="2:40" x14ac:dyDescent="0.2">
      <c r="B41" s="30" t="str">
        <f>+'2 Employees'!B136</f>
        <v>Employee, New</v>
      </c>
      <c r="C41" s="27">
        <f>IF('2 Employees'!C136&gt;0,1,0)</f>
        <v>0</v>
      </c>
      <c r="D41" s="27">
        <f>IF('2 Employees'!D136&gt;0,1,0)</f>
        <v>0</v>
      </c>
      <c r="E41" s="27">
        <f>IF('2 Employees'!E136&gt;0,1,0)</f>
        <v>0</v>
      </c>
      <c r="F41" s="27">
        <f>IF('2 Employees'!F136&gt;0,1,0)</f>
        <v>0</v>
      </c>
      <c r="G41" s="27">
        <f>IF('2 Employees'!G136&gt;0,1,0)</f>
        <v>0</v>
      </c>
      <c r="H41" s="27">
        <f>IF('2 Employees'!H136&gt;0,1,0)</f>
        <v>0</v>
      </c>
      <c r="I41" s="27">
        <f>IF('2 Employees'!I136&gt;0,1,0)</f>
        <v>0</v>
      </c>
      <c r="J41" s="27">
        <f>IF('2 Employees'!J136&gt;0,1,0)</f>
        <v>0</v>
      </c>
      <c r="K41" s="27">
        <f>IF('2 Employees'!K136&gt;0,1,0)</f>
        <v>0</v>
      </c>
      <c r="L41" s="27">
        <f>IF('2 Employees'!L136&gt;0,1,0)</f>
        <v>0</v>
      </c>
      <c r="M41" s="27">
        <f>IF('2 Employees'!M136&gt;0,1,0)</f>
        <v>0</v>
      </c>
      <c r="N41" s="27">
        <f>IF('2 Employees'!N136&gt;0,1,0)</f>
        <v>0</v>
      </c>
      <c r="O41" s="27"/>
      <c r="P41" s="27">
        <f>IF('2 Employees'!P136&gt;0,1,0)</f>
        <v>0</v>
      </c>
      <c r="Q41" s="27">
        <f>IF('2 Employees'!Q136&gt;0,1,0)</f>
        <v>0</v>
      </c>
      <c r="R41" s="27">
        <f>IF('2 Employees'!R136&gt;0,1,0)</f>
        <v>0</v>
      </c>
      <c r="S41" s="27">
        <f>IF('2 Employees'!S136&gt;0,1,0)</f>
        <v>0</v>
      </c>
      <c r="T41" s="27">
        <f>IF('2 Employees'!T136&gt;0,1,0)</f>
        <v>0</v>
      </c>
      <c r="U41" s="27">
        <f>IF('2 Employees'!U136&gt;0,1,0)</f>
        <v>0</v>
      </c>
      <c r="V41" s="27">
        <f>IF('2 Employees'!V136&gt;0,1,0)</f>
        <v>0</v>
      </c>
      <c r="W41" s="27">
        <f>IF('2 Employees'!W136&gt;0,1,0)</f>
        <v>0</v>
      </c>
      <c r="X41" s="27">
        <f>IF('2 Employees'!X136&gt;0,1,0)</f>
        <v>0</v>
      </c>
      <c r="Y41" s="27">
        <f>IF('2 Employees'!Y136&gt;0,1,0)</f>
        <v>0</v>
      </c>
      <c r="Z41" s="27">
        <f>IF('2 Employees'!Z136&gt;0,1,0)</f>
        <v>0</v>
      </c>
      <c r="AA41" s="27">
        <f>IF('2 Employees'!AA136&gt;0,1,0)</f>
        <v>0</v>
      </c>
      <c r="AC41" s="27">
        <f t="shared" si="29"/>
        <v>0</v>
      </c>
      <c r="AD41" s="27">
        <f t="shared" si="30"/>
        <v>0</v>
      </c>
      <c r="AE41" s="27">
        <f t="shared" si="31"/>
        <v>0</v>
      </c>
      <c r="AF41" s="27">
        <f t="shared" si="32"/>
        <v>0</v>
      </c>
      <c r="AH41" s="27">
        <f t="shared" si="33"/>
        <v>0</v>
      </c>
      <c r="AI41" s="27">
        <f t="shared" si="34"/>
        <v>0</v>
      </c>
      <c r="AJ41" s="27">
        <f t="shared" si="35"/>
        <v>0</v>
      </c>
      <c r="AK41" s="27">
        <f t="shared" si="36"/>
        <v>0</v>
      </c>
      <c r="AM41" s="27">
        <f t="shared" si="37"/>
        <v>0</v>
      </c>
      <c r="AN41" s="27">
        <f t="shared" si="38"/>
        <v>0</v>
      </c>
    </row>
    <row r="42" spans="2:40" x14ac:dyDescent="0.2">
      <c r="B42" s="30" t="str">
        <f>+'2 Employees'!B141</f>
        <v>Employee, New</v>
      </c>
      <c r="C42" s="27">
        <f>IF('2 Employees'!C141&gt;0,1,0)</f>
        <v>0</v>
      </c>
      <c r="D42" s="27">
        <f>IF('2 Employees'!D141&gt;0,1,0)</f>
        <v>0</v>
      </c>
      <c r="E42" s="27">
        <f>IF('2 Employees'!E141&gt;0,1,0)</f>
        <v>0</v>
      </c>
      <c r="F42" s="27">
        <f>IF('2 Employees'!F141&gt;0,1,0)</f>
        <v>0</v>
      </c>
      <c r="G42" s="27">
        <f>IF('2 Employees'!G141&gt;0,1,0)</f>
        <v>0</v>
      </c>
      <c r="H42" s="27">
        <f>IF('2 Employees'!H141&gt;0,1,0)</f>
        <v>0</v>
      </c>
      <c r="I42" s="27">
        <f>IF('2 Employees'!I141&gt;0,1,0)</f>
        <v>0</v>
      </c>
      <c r="J42" s="27">
        <f>IF('2 Employees'!J141&gt;0,1,0)</f>
        <v>0</v>
      </c>
      <c r="K42" s="27">
        <f>IF('2 Employees'!K141&gt;0,1,0)</f>
        <v>0</v>
      </c>
      <c r="L42" s="27">
        <f>IF('2 Employees'!L141&gt;0,1,0)</f>
        <v>0</v>
      </c>
      <c r="M42" s="27">
        <f>IF('2 Employees'!M141&gt;0,1,0)</f>
        <v>0</v>
      </c>
      <c r="N42" s="27">
        <f>IF('2 Employees'!N141&gt;0,1,0)</f>
        <v>0</v>
      </c>
      <c r="O42" s="27"/>
      <c r="P42" s="27">
        <f>IF('2 Employees'!P141&gt;0,1,0)</f>
        <v>0</v>
      </c>
      <c r="Q42" s="27">
        <f>IF('2 Employees'!Q141&gt;0,1,0)</f>
        <v>0</v>
      </c>
      <c r="R42" s="27">
        <f>IF('2 Employees'!R141&gt;0,1,0)</f>
        <v>0</v>
      </c>
      <c r="S42" s="27">
        <f>IF('2 Employees'!S141&gt;0,1,0)</f>
        <v>0</v>
      </c>
      <c r="T42" s="27">
        <f>IF('2 Employees'!T141&gt;0,1,0)</f>
        <v>0</v>
      </c>
      <c r="U42" s="27">
        <f>IF('2 Employees'!U141&gt;0,1,0)</f>
        <v>0</v>
      </c>
      <c r="V42" s="27">
        <f>IF('2 Employees'!V141&gt;0,1,0)</f>
        <v>0</v>
      </c>
      <c r="W42" s="27">
        <f>IF('2 Employees'!W141&gt;0,1,0)</f>
        <v>0</v>
      </c>
      <c r="X42" s="27">
        <f>IF('2 Employees'!X141&gt;0,1,0)</f>
        <v>0</v>
      </c>
      <c r="Y42" s="27">
        <f>IF('2 Employees'!Y141&gt;0,1,0)</f>
        <v>0</v>
      </c>
      <c r="Z42" s="27">
        <f>IF('2 Employees'!Z141&gt;0,1,0)</f>
        <v>0</v>
      </c>
      <c r="AA42" s="27">
        <f>IF('2 Employees'!AA141&gt;0,1,0)</f>
        <v>0</v>
      </c>
      <c r="AC42" s="27">
        <f t="shared" si="29"/>
        <v>0</v>
      </c>
      <c r="AD42" s="27">
        <f t="shared" si="30"/>
        <v>0</v>
      </c>
      <c r="AE42" s="27">
        <f t="shared" si="31"/>
        <v>0</v>
      </c>
      <c r="AF42" s="27">
        <f t="shared" si="32"/>
        <v>0</v>
      </c>
      <c r="AH42" s="27">
        <f t="shared" si="33"/>
        <v>0</v>
      </c>
      <c r="AI42" s="27">
        <f t="shared" si="34"/>
        <v>0</v>
      </c>
      <c r="AJ42" s="27">
        <f t="shared" si="35"/>
        <v>0</v>
      </c>
      <c r="AK42" s="27">
        <f t="shared" si="36"/>
        <v>0</v>
      </c>
      <c r="AM42" s="27">
        <f t="shared" si="37"/>
        <v>0</v>
      </c>
      <c r="AN42" s="27">
        <f t="shared" si="38"/>
        <v>0</v>
      </c>
    </row>
    <row r="43" spans="2:40" x14ac:dyDescent="0.2">
      <c r="B43" s="30" t="str">
        <f>+'2 Employees'!B146</f>
        <v>Employee, New</v>
      </c>
      <c r="C43" s="27">
        <f>IF('2 Employees'!C146&gt;0,1,0)</f>
        <v>0</v>
      </c>
      <c r="D43" s="27">
        <f>IF('2 Employees'!D146&gt;0,1,0)</f>
        <v>0</v>
      </c>
      <c r="E43" s="27">
        <f>IF('2 Employees'!E146&gt;0,1,0)</f>
        <v>0</v>
      </c>
      <c r="F43" s="27">
        <f>IF('2 Employees'!F146&gt;0,1,0)</f>
        <v>0</v>
      </c>
      <c r="G43" s="27">
        <f>IF('2 Employees'!G146&gt;0,1,0)</f>
        <v>0</v>
      </c>
      <c r="H43" s="27">
        <f>IF('2 Employees'!H146&gt;0,1,0)</f>
        <v>0</v>
      </c>
      <c r="I43" s="27">
        <f>IF('2 Employees'!I146&gt;0,1,0)</f>
        <v>0</v>
      </c>
      <c r="J43" s="27">
        <f>IF('2 Employees'!J146&gt;0,1,0)</f>
        <v>0</v>
      </c>
      <c r="K43" s="27">
        <f>IF('2 Employees'!K146&gt;0,1,0)</f>
        <v>0</v>
      </c>
      <c r="L43" s="27">
        <f>IF('2 Employees'!L146&gt;0,1,0)</f>
        <v>0</v>
      </c>
      <c r="M43" s="27">
        <f>IF('2 Employees'!M146&gt;0,1,0)</f>
        <v>0</v>
      </c>
      <c r="N43" s="27">
        <f>IF('2 Employees'!N146&gt;0,1,0)</f>
        <v>0</v>
      </c>
      <c r="O43" s="27"/>
      <c r="P43" s="27">
        <f>IF('2 Employees'!P146&gt;0,1,0)</f>
        <v>0</v>
      </c>
      <c r="Q43" s="27">
        <f>IF('2 Employees'!Q146&gt;0,1,0)</f>
        <v>0</v>
      </c>
      <c r="R43" s="27">
        <f>IF('2 Employees'!R146&gt;0,1,0)</f>
        <v>0</v>
      </c>
      <c r="S43" s="27">
        <f>IF('2 Employees'!S146&gt;0,1,0)</f>
        <v>0</v>
      </c>
      <c r="T43" s="27">
        <f>IF('2 Employees'!T146&gt;0,1,0)</f>
        <v>0</v>
      </c>
      <c r="U43" s="27">
        <f>IF('2 Employees'!U146&gt;0,1,0)</f>
        <v>0</v>
      </c>
      <c r="V43" s="27">
        <f>IF('2 Employees'!V146&gt;0,1,0)</f>
        <v>0</v>
      </c>
      <c r="W43" s="27">
        <f>IF('2 Employees'!W146&gt;0,1,0)</f>
        <v>0</v>
      </c>
      <c r="X43" s="27">
        <f>IF('2 Employees'!X146&gt;0,1,0)</f>
        <v>0</v>
      </c>
      <c r="Y43" s="27">
        <f>IF('2 Employees'!Y146&gt;0,1,0)</f>
        <v>0</v>
      </c>
      <c r="Z43" s="27">
        <f>IF('2 Employees'!Z146&gt;0,1,0)</f>
        <v>0</v>
      </c>
      <c r="AA43" s="27">
        <f>IF('2 Employees'!AA146&gt;0,1,0)</f>
        <v>0</v>
      </c>
      <c r="AC43" s="27">
        <f t="shared" si="29"/>
        <v>0</v>
      </c>
      <c r="AD43" s="27">
        <f t="shared" si="30"/>
        <v>0</v>
      </c>
      <c r="AE43" s="27">
        <f t="shared" si="31"/>
        <v>0</v>
      </c>
      <c r="AF43" s="27">
        <f t="shared" si="32"/>
        <v>0</v>
      </c>
      <c r="AH43" s="27">
        <f t="shared" si="33"/>
        <v>0</v>
      </c>
      <c r="AI43" s="27">
        <f t="shared" si="34"/>
        <v>0</v>
      </c>
      <c r="AJ43" s="27">
        <f t="shared" si="35"/>
        <v>0</v>
      </c>
      <c r="AK43" s="27">
        <f t="shared" si="36"/>
        <v>0</v>
      </c>
      <c r="AM43" s="27">
        <f t="shared" si="37"/>
        <v>0</v>
      </c>
      <c r="AN43" s="27">
        <f t="shared" si="38"/>
        <v>0</v>
      </c>
    </row>
    <row r="44" spans="2:40" x14ac:dyDescent="0.2">
      <c r="B44" s="30" t="str">
        <f>+'2 Employees'!B151</f>
        <v>Employee, New</v>
      </c>
      <c r="C44" s="27">
        <f>IF('2 Employees'!C151&gt;0,1,0)</f>
        <v>0</v>
      </c>
      <c r="D44" s="27">
        <f>IF('2 Employees'!D151&gt;0,1,0)</f>
        <v>0</v>
      </c>
      <c r="E44" s="27">
        <f>IF('2 Employees'!E151&gt;0,1,0)</f>
        <v>0</v>
      </c>
      <c r="F44" s="27">
        <f>IF('2 Employees'!F151&gt;0,1,0)</f>
        <v>0</v>
      </c>
      <c r="G44" s="27">
        <f>IF('2 Employees'!G151&gt;0,1,0)</f>
        <v>0</v>
      </c>
      <c r="H44" s="27">
        <f>IF('2 Employees'!H151&gt;0,1,0)</f>
        <v>0</v>
      </c>
      <c r="I44" s="27">
        <f>IF('2 Employees'!I151&gt;0,1,0)</f>
        <v>0</v>
      </c>
      <c r="J44" s="27">
        <f>IF('2 Employees'!J151&gt;0,1,0)</f>
        <v>0</v>
      </c>
      <c r="K44" s="27">
        <f>IF('2 Employees'!K151&gt;0,1,0)</f>
        <v>0</v>
      </c>
      <c r="L44" s="27">
        <f>IF('2 Employees'!L151&gt;0,1,0)</f>
        <v>0</v>
      </c>
      <c r="M44" s="27">
        <f>IF('2 Employees'!M151&gt;0,1,0)</f>
        <v>0</v>
      </c>
      <c r="N44" s="27">
        <f>IF('2 Employees'!N151&gt;0,1,0)</f>
        <v>0</v>
      </c>
      <c r="O44" s="27"/>
      <c r="P44" s="27">
        <f>IF('2 Employees'!P151&gt;0,1,0)</f>
        <v>0</v>
      </c>
      <c r="Q44" s="27">
        <f>IF('2 Employees'!Q151&gt;0,1,0)</f>
        <v>0</v>
      </c>
      <c r="R44" s="27">
        <f>IF('2 Employees'!R151&gt;0,1,0)</f>
        <v>0</v>
      </c>
      <c r="S44" s="27">
        <f>IF('2 Employees'!S151&gt;0,1,0)</f>
        <v>0</v>
      </c>
      <c r="T44" s="27">
        <f>IF('2 Employees'!T151&gt;0,1,0)</f>
        <v>0</v>
      </c>
      <c r="U44" s="27">
        <f>IF('2 Employees'!U151&gt;0,1,0)</f>
        <v>0</v>
      </c>
      <c r="V44" s="27">
        <f>IF('2 Employees'!V151&gt;0,1,0)</f>
        <v>0</v>
      </c>
      <c r="W44" s="27">
        <f>IF('2 Employees'!W151&gt;0,1,0)</f>
        <v>0</v>
      </c>
      <c r="X44" s="27">
        <f>IF('2 Employees'!X151&gt;0,1,0)</f>
        <v>0</v>
      </c>
      <c r="Y44" s="27">
        <f>IF('2 Employees'!Y151&gt;0,1,0)</f>
        <v>0</v>
      </c>
      <c r="Z44" s="27">
        <f>IF('2 Employees'!Z151&gt;0,1,0)</f>
        <v>0</v>
      </c>
      <c r="AA44" s="27">
        <f>IF('2 Employees'!AA151&gt;0,1,0)</f>
        <v>0</v>
      </c>
      <c r="AC44" s="27">
        <f t="shared" si="29"/>
        <v>0</v>
      </c>
      <c r="AD44" s="27">
        <f t="shared" si="30"/>
        <v>0</v>
      </c>
      <c r="AE44" s="27">
        <f t="shared" si="31"/>
        <v>0</v>
      </c>
      <c r="AF44" s="27">
        <f t="shared" si="32"/>
        <v>0</v>
      </c>
      <c r="AH44" s="27">
        <f t="shared" si="33"/>
        <v>0</v>
      </c>
      <c r="AI44" s="27">
        <f t="shared" si="34"/>
        <v>0</v>
      </c>
      <c r="AJ44" s="27">
        <f t="shared" si="35"/>
        <v>0</v>
      </c>
      <c r="AK44" s="27">
        <f t="shared" si="36"/>
        <v>0</v>
      </c>
      <c r="AM44" s="27">
        <f t="shared" si="37"/>
        <v>0</v>
      </c>
      <c r="AN44" s="27">
        <f t="shared" si="38"/>
        <v>0</v>
      </c>
    </row>
    <row r="45" spans="2:40" x14ac:dyDescent="0.2">
      <c r="B45" s="30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2:40" x14ac:dyDescent="0.2">
      <c r="B46" s="28" t="s">
        <v>147</v>
      </c>
      <c r="C46" s="29">
        <f>SUM(C40:C45)</f>
        <v>0</v>
      </c>
      <c r="D46" s="29">
        <f t="shared" ref="D46:N46" si="39">SUM(D40:D45)</f>
        <v>0</v>
      </c>
      <c r="E46" s="29">
        <f t="shared" si="39"/>
        <v>0</v>
      </c>
      <c r="F46" s="29">
        <f t="shared" si="39"/>
        <v>0</v>
      </c>
      <c r="G46" s="29">
        <f t="shared" si="39"/>
        <v>0</v>
      </c>
      <c r="H46" s="29">
        <f t="shared" si="39"/>
        <v>0</v>
      </c>
      <c r="I46" s="29">
        <f t="shared" si="39"/>
        <v>0</v>
      </c>
      <c r="J46" s="29">
        <f t="shared" si="39"/>
        <v>0</v>
      </c>
      <c r="K46" s="29">
        <f t="shared" si="39"/>
        <v>0</v>
      </c>
      <c r="L46" s="29">
        <f t="shared" si="39"/>
        <v>0</v>
      </c>
      <c r="M46" s="29">
        <f t="shared" si="39"/>
        <v>0</v>
      </c>
      <c r="N46" s="29">
        <f t="shared" si="39"/>
        <v>0</v>
      </c>
      <c r="O46" s="29"/>
      <c r="P46" s="29">
        <f t="shared" ref="P46:AN46" si="40">SUM(P40:P45)</f>
        <v>0</v>
      </c>
      <c r="Q46" s="29">
        <f t="shared" si="40"/>
        <v>0</v>
      </c>
      <c r="R46" s="29">
        <f t="shared" si="40"/>
        <v>0</v>
      </c>
      <c r="S46" s="29">
        <f t="shared" si="40"/>
        <v>0</v>
      </c>
      <c r="T46" s="29">
        <f t="shared" si="40"/>
        <v>0</v>
      </c>
      <c r="U46" s="29">
        <f t="shared" si="40"/>
        <v>0</v>
      </c>
      <c r="V46" s="29">
        <f t="shared" si="40"/>
        <v>0</v>
      </c>
      <c r="W46" s="29">
        <f t="shared" si="40"/>
        <v>0</v>
      </c>
      <c r="X46" s="29">
        <f t="shared" si="40"/>
        <v>0</v>
      </c>
      <c r="Y46" s="29">
        <f t="shared" si="40"/>
        <v>0</v>
      </c>
      <c r="Z46" s="29">
        <f t="shared" si="40"/>
        <v>0</v>
      </c>
      <c r="AA46" s="29">
        <f t="shared" si="40"/>
        <v>0</v>
      </c>
      <c r="AC46" s="29">
        <f t="shared" si="40"/>
        <v>0</v>
      </c>
      <c r="AD46" s="29">
        <f t="shared" si="40"/>
        <v>0</v>
      </c>
      <c r="AE46" s="29">
        <f t="shared" si="40"/>
        <v>0</v>
      </c>
      <c r="AF46" s="29">
        <f t="shared" si="40"/>
        <v>0</v>
      </c>
      <c r="AH46" s="29">
        <f t="shared" si="40"/>
        <v>0</v>
      </c>
      <c r="AI46" s="29">
        <f t="shared" si="40"/>
        <v>0</v>
      </c>
      <c r="AJ46" s="29">
        <f t="shared" si="40"/>
        <v>0</v>
      </c>
      <c r="AK46" s="29">
        <f t="shared" si="40"/>
        <v>0</v>
      </c>
      <c r="AM46" s="29">
        <f t="shared" si="40"/>
        <v>0</v>
      </c>
      <c r="AN46" s="29">
        <f t="shared" si="40"/>
        <v>0</v>
      </c>
    </row>
    <row r="47" spans="2:40" x14ac:dyDescent="0.2">
      <c r="B47" s="2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2:40" x14ac:dyDescent="0.2"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2:40" x14ac:dyDescent="0.2">
      <c r="B49" s="167" t="s">
        <v>127</v>
      </c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9"/>
    </row>
    <row r="50" spans="2:40" x14ac:dyDescent="0.2"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2:40" x14ac:dyDescent="0.2">
      <c r="B51" s="30" t="str">
        <f>+'2 Employees'!B164</f>
        <v>Employee, New</v>
      </c>
      <c r="C51" s="27">
        <f>IF('2 Employees'!C164&gt;0,1,0)</f>
        <v>0</v>
      </c>
      <c r="D51" s="27">
        <f>IF('2 Employees'!D164&gt;0,1,0)</f>
        <v>0</v>
      </c>
      <c r="E51" s="27">
        <f>IF('2 Employees'!E164&gt;0,1,0)</f>
        <v>0</v>
      </c>
      <c r="F51" s="27">
        <f>IF('2 Employees'!F164&gt;0,1,0)</f>
        <v>0</v>
      </c>
      <c r="G51" s="27">
        <f>IF('2 Employees'!G164&gt;0,1,0)</f>
        <v>0</v>
      </c>
      <c r="H51" s="27">
        <f>IF('2 Employees'!H164&gt;0,1,0)</f>
        <v>0</v>
      </c>
      <c r="I51" s="27">
        <f>IF('2 Employees'!I164&gt;0,1,0)</f>
        <v>0</v>
      </c>
      <c r="J51" s="27">
        <f>IF('2 Employees'!J164&gt;0,1,0)</f>
        <v>0</v>
      </c>
      <c r="K51" s="27">
        <f>IF('2 Employees'!K164&gt;0,1,0)</f>
        <v>0</v>
      </c>
      <c r="L51" s="27">
        <f>IF('2 Employees'!L164&gt;0,1,0)</f>
        <v>0</v>
      </c>
      <c r="M51" s="27">
        <f>IF('2 Employees'!M164&gt;0,1,0)</f>
        <v>0</v>
      </c>
      <c r="N51" s="27">
        <f>IF('2 Employees'!N164&gt;0,1,0)</f>
        <v>0</v>
      </c>
      <c r="O51" s="27"/>
      <c r="P51" s="27">
        <f>IF('2 Employees'!P164&gt;0,1,0)</f>
        <v>0</v>
      </c>
      <c r="Q51" s="27">
        <f>IF('2 Employees'!Q164&gt;0,1,0)</f>
        <v>0</v>
      </c>
      <c r="R51" s="27">
        <f>IF('2 Employees'!R164&gt;0,1,0)</f>
        <v>0</v>
      </c>
      <c r="S51" s="27">
        <f>IF('2 Employees'!S164&gt;0,1,0)</f>
        <v>0</v>
      </c>
      <c r="T51" s="27">
        <f>IF('2 Employees'!T164&gt;0,1,0)</f>
        <v>0</v>
      </c>
      <c r="U51" s="27">
        <f>IF('2 Employees'!U164&gt;0,1,0)</f>
        <v>0</v>
      </c>
      <c r="V51" s="27">
        <f>IF('2 Employees'!V164&gt;0,1,0)</f>
        <v>0</v>
      </c>
      <c r="W51" s="27">
        <f>IF('2 Employees'!W164&gt;0,1,0)</f>
        <v>0</v>
      </c>
      <c r="X51" s="27">
        <f>IF('2 Employees'!X164&gt;0,1,0)</f>
        <v>0</v>
      </c>
      <c r="Y51" s="27">
        <f>IF('2 Employees'!Y164&gt;0,1,0)</f>
        <v>0</v>
      </c>
      <c r="Z51" s="27">
        <f>IF('2 Employees'!Z164&gt;0,1,0)</f>
        <v>0</v>
      </c>
      <c r="AA51" s="27">
        <f>IF('2 Employees'!AA164&gt;0,1,0)</f>
        <v>0</v>
      </c>
      <c r="AC51" s="27">
        <f t="shared" ref="AC51:AC55" si="41">+E51</f>
        <v>0</v>
      </c>
      <c r="AD51" s="27">
        <f t="shared" ref="AD51:AD55" si="42">+H51</f>
        <v>0</v>
      </c>
      <c r="AE51" s="27">
        <f t="shared" ref="AE51:AE55" si="43">+K51</f>
        <v>0</v>
      </c>
      <c r="AF51" s="27">
        <f t="shared" ref="AF51:AF55" si="44">+N51</f>
        <v>0</v>
      </c>
      <c r="AH51" s="27">
        <f t="shared" ref="AH51:AH55" si="45">+R51</f>
        <v>0</v>
      </c>
      <c r="AI51" s="27">
        <f t="shared" ref="AI51:AI55" si="46">+U51</f>
        <v>0</v>
      </c>
      <c r="AJ51" s="27">
        <f t="shared" ref="AJ51:AJ55" si="47">+X51</f>
        <v>0</v>
      </c>
      <c r="AK51" s="27">
        <f t="shared" ref="AK51:AK55" si="48">+AA51</f>
        <v>0</v>
      </c>
      <c r="AM51" s="27">
        <f t="shared" ref="AM51:AM55" si="49">+N51</f>
        <v>0</v>
      </c>
      <c r="AN51" s="27">
        <f t="shared" ref="AN51:AN55" si="50">+AA51</f>
        <v>0</v>
      </c>
    </row>
    <row r="52" spans="2:40" x14ac:dyDescent="0.2">
      <c r="B52" s="30" t="str">
        <f>+'2 Employees'!B169</f>
        <v>Kennedy, Joeseph</v>
      </c>
      <c r="C52" s="27">
        <f>IF('2 Employees'!C169&gt;0,1,0)</f>
        <v>0</v>
      </c>
      <c r="D52" s="27">
        <f>IF('2 Employees'!D169&gt;0,1,0)</f>
        <v>0</v>
      </c>
      <c r="E52" s="27">
        <f>IF('2 Employees'!E169&gt;0,1,0)</f>
        <v>0</v>
      </c>
      <c r="F52" s="27">
        <f>IF('2 Employees'!F169&gt;0,1,0)</f>
        <v>1</v>
      </c>
      <c r="G52" s="27">
        <f>IF('2 Employees'!G169&gt;0,1,0)</f>
        <v>1</v>
      </c>
      <c r="H52" s="27">
        <f>IF('2 Employees'!H169&gt;0,1,0)</f>
        <v>1</v>
      </c>
      <c r="I52" s="27">
        <f>IF('2 Employees'!I169&gt;0,1,0)</f>
        <v>1</v>
      </c>
      <c r="J52" s="27">
        <f>IF('2 Employees'!J169&gt;0,1,0)</f>
        <v>1</v>
      </c>
      <c r="K52" s="27">
        <f>IF('2 Employees'!K169&gt;0,1,0)</f>
        <v>1</v>
      </c>
      <c r="L52" s="27">
        <f>IF('2 Employees'!L169&gt;0,1,0)</f>
        <v>0</v>
      </c>
      <c r="M52" s="27">
        <f>IF('2 Employees'!M169&gt;0,1,0)</f>
        <v>0</v>
      </c>
      <c r="N52" s="27">
        <f>IF('2 Employees'!N169&gt;0,1,0)</f>
        <v>0</v>
      </c>
      <c r="O52" s="27"/>
      <c r="P52" s="27">
        <f>IF('2 Employees'!P169&gt;0,1,0)</f>
        <v>0</v>
      </c>
      <c r="Q52" s="27">
        <f>IF('2 Employees'!Q169&gt;0,1,0)</f>
        <v>0</v>
      </c>
      <c r="R52" s="27">
        <f>IF('2 Employees'!R169&gt;0,1,0)</f>
        <v>0</v>
      </c>
      <c r="S52" s="27">
        <f>IF('2 Employees'!S169&gt;0,1,0)</f>
        <v>0</v>
      </c>
      <c r="T52" s="27">
        <f>IF('2 Employees'!T169&gt;0,1,0)</f>
        <v>0</v>
      </c>
      <c r="U52" s="27">
        <f>IF('2 Employees'!U169&gt;0,1,0)</f>
        <v>0</v>
      </c>
      <c r="V52" s="27">
        <f>IF('2 Employees'!V169&gt;0,1,0)</f>
        <v>0</v>
      </c>
      <c r="W52" s="27">
        <f>IF('2 Employees'!W169&gt;0,1,0)</f>
        <v>0</v>
      </c>
      <c r="X52" s="27">
        <f>IF('2 Employees'!X169&gt;0,1,0)</f>
        <v>0</v>
      </c>
      <c r="Y52" s="27">
        <f>IF('2 Employees'!Y169&gt;0,1,0)</f>
        <v>0</v>
      </c>
      <c r="Z52" s="27">
        <f>IF('2 Employees'!Z169&gt;0,1,0)</f>
        <v>0</v>
      </c>
      <c r="AA52" s="27">
        <f>IF('2 Employees'!AA169&gt;0,1,0)</f>
        <v>0</v>
      </c>
      <c r="AC52" s="27">
        <f t="shared" si="41"/>
        <v>0</v>
      </c>
      <c r="AD52" s="27">
        <f t="shared" si="42"/>
        <v>1</v>
      </c>
      <c r="AE52" s="27">
        <f t="shared" si="43"/>
        <v>1</v>
      </c>
      <c r="AF52" s="27">
        <f t="shared" si="44"/>
        <v>0</v>
      </c>
      <c r="AH52" s="27">
        <f t="shared" si="45"/>
        <v>0</v>
      </c>
      <c r="AI52" s="27">
        <f t="shared" si="46"/>
        <v>0</v>
      </c>
      <c r="AJ52" s="27">
        <f t="shared" si="47"/>
        <v>0</v>
      </c>
      <c r="AK52" s="27">
        <f t="shared" si="48"/>
        <v>0</v>
      </c>
      <c r="AM52" s="27">
        <f t="shared" si="49"/>
        <v>0</v>
      </c>
      <c r="AN52" s="27">
        <f t="shared" si="50"/>
        <v>0</v>
      </c>
    </row>
    <row r="53" spans="2:40" x14ac:dyDescent="0.2">
      <c r="B53" s="30" t="str">
        <f>+'2 Employees'!B174</f>
        <v>Nichols, Justin</v>
      </c>
      <c r="C53" s="27">
        <f>IF('2 Employees'!C174&gt;0,1,0)</f>
        <v>0</v>
      </c>
      <c r="D53" s="27">
        <f>IF('2 Employees'!D174&gt;0,1,0)</f>
        <v>0</v>
      </c>
      <c r="E53" s="27">
        <f>IF('2 Employees'!E174&gt;0,1,0)</f>
        <v>0</v>
      </c>
      <c r="F53" s="27">
        <f>IF('2 Employees'!F174&gt;0,1,0)</f>
        <v>1</v>
      </c>
      <c r="G53" s="27">
        <f>IF('2 Employees'!G174&gt;0,1,0)</f>
        <v>1</v>
      </c>
      <c r="H53" s="27">
        <f>IF('2 Employees'!H174&gt;0,1,0)</f>
        <v>1</v>
      </c>
      <c r="I53" s="27">
        <f>IF('2 Employees'!I174&gt;0,1,0)</f>
        <v>1</v>
      </c>
      <c r="J53" s="27">
        <f>IF('2 Employees'!J174&gt;0,1,0)</f>
        <v>1</v>
      </c>
      <c r="K53" s="27">
        <f>IF('2 Employees'!K174&gt;0,1,0)</f>
        <v>1</v>
      </c>
      <c r="L53" s="27">
        <f>IF('2 Employees'!L174&gt;0,1,0)</f>
        <v>1</v>
      </c>
      <c r="M53" s="27">
        <f>IF('2 Employees'!M174&gt;0,1,0)</f>
        <v>1</v>
      </c>
      <c r="N53" s="27">
        <f>IF('2 Employees'!N174&gt;0,1,0)</f>
        <v>1</v>
      </c>
      <c r="O53" s="27"/>
      <c r="P53" s="27">
        <f>IF('2 Employees'!P174&gt;0,1,0)</f>
        <v>1</v>
      </c>
      <c r="Q53" s="27">
        <f>IF('2 Employees'!Q174&gt;0,1,0)</f>
        <v>1</v>
      </c>
      <c r="R53" s="27">
        <f>IF('2 Employees'!R174&gt;0,1,0)</f>
        <v>1</v>
      </c>
      <c r="S53" s="27">
        <f>IF('2 Employees'!S174&gt;0,1,0)</f>
        <v>1</v>
      </c>
      <c r="T53" s="27">
        <f>IF('2 Employees'!T174&gt;0,1,0)</f>
        <v>1</v>
      </c>
      <c r="U53" s="27">
        <f>IF('2 Employees'!U174&gt;0,1,0)</f>
        <v>1</v>
      </c>
      <c r="V53" s="27">
        <f>IF('2 Employees'!V174&gt;0,1,0)</f>
        <v>1</v>
      </c>
      <c r="W53" s="27">
        <f>IF('2 Employees'!W174&gt;0,1,0)</f>
        <v>1</v>
      </c>
      <c r="X53" s="27">
        <f>IF('2 Employees'!X174&gt;0,1,0)</f>
        <v>1</v>
      </c>
      <c r="Y53" s="27">
        <f>IF('2 Employees'!Y174&gt;0,1,0)</f>
        <v>1</v>
      </c>
      <c r="Z53" s="27">
        <f>IF('2 Employees'!Z174&gt;0,1,0)</f>
        <v>1</v>
      </c>
      <c r="AA53" s="27">
        <f>IF('2 Employees'!AA174&gt;0,1,0)</f>
        <v>1</v>
      </c>
      <c r="AC53" s="27">
        <f t="shared" si="41"/>
        <v>0</v>
      </c>
      <c r="AD53" s="27">
        <f t="shared" si="42"/>
        <v>1</v>
      </c>
      <c r="AE53" s="27">
        <f t="shared" si="43"/>
        <v>1</v>
      </c>
      <c r="AF53" s="27">
        <f t="shared" si="44"/>
        <v>1</v>
      </c>
      <c r="AH53" s="27">
        <f t="shared" si="45"/>
        <v>1</v>
      </c>
      <c r="AI53" s="27">
        <f t="shared" si="46"/>
        <v>1</v>
      </c>
      <c r="AJ53" s="27">
        <f t="shared" si="47"/>
        <v>1</v>
      </c>
      <c r="AK53" s="27">
        <f t="shared" si="48"/>
        <v>1</v>
      </c>
      <c r="AM53" s="27">
        <f t="shared" si="49"/>
        <v>1</v>
      </c>
      <c r="AN53" s="27">
        <f t="shared" si="50"/>
        <v>1</v>
      </c>
    </row>
    <row r="54" spans="2:40" x14ac:dyDescent="0.2">
      <c r="B54" s="30" t="str">
        <f>+'2 Employees'!B179</f>
        <v>Employee, New</v>
      </c>
      <c r="C54" s="27">
        <f>IF('2 Employees'!C179&gt;0,1,0)</f>
        <v>0</v>
      </c>
      <c r="D54" s="27">
        <f>IF('2 Employees'!D179&gt;0,1,0)</f>
        <v>0</v>
      </c>
      <c r="E54" s="27">
        <f>IF('2 Employees'!E179&gt;0,1,0)</f>
        <v>0</v>
      </c>
      <c r="F54" s="27">
        <f>IF('2 Employees'!F179&gt;0,1,0)</f>
        <v>0</v>
      </c>
      <c r="G54" s="27">
        <f>IF('2 Employees'!G179&gt;0,1,0)</f>
        <v>0</v>
      </c>
      <c r="H54" s="27">
        <f>IF('2 Employees'!H179&gt;0,1,0)</f>
        <v>0</v>
      </c>
      <c r="I54" s="27">
        <f>IF('2 Employees'!I179&gt;0,1,0)</f>
        <v>0</v>
      </c>
      <c r="J54" s="27">
        <f>IF('2 Employees'!J179&gt;0,1,0)</f>
        <v>0</v>
      </c>
      <c r="K54" s="27">
        <f>IF('2 Employees'!K179&gt;0,1,0)</f>
        <v>0</v>
      </c>
      <c r="L54" s="27">
        <f>IF('2 Employees'!L179&gt;0,1,0)</f>
        <v>0</v>
      </c>
      <c r="M54" s="27">
        <f>IF('2 Employees'!M179&gt;0,1,0)</f>
        <v>0</v>
      </c>
      <c r="N54" s="27">
        <f>IF('2 Employees'!N179&gt;0,1,0)</f>
        <v>0</v>
      </c>
      <c r="O54" s="27"/>
      <c r="P54" s="27">
        <f>IF('2 Employees'!P179&gt;0,1,0)</f>
        <v>0</v>
      </c>
      <c r="Q54" s="27">
        <f>IF('2 Employees'!Q179&gt;0,1,0)</f>
        <v>0</v>
      </c>
      <c r="R54" s="27">
        <f>IF('2 Employees'!R179&gt;0,1,0)</f>
        <v>0</v>
      </c>
      <c r="S54" s="27">
        <f>IF('2 Employees'!S179&gt;0,1,0)</f>
        <v>0</v>
      </c>
      <c r="T54" s="27">
        <f>IF('2 Employees'!T179&gt;0,1,0)</f>
        <v>0</v>
      </c>
      <c r="U54" s="27">
        <f>IF('2 Employees'!U179&gt;0,1,0)</f>
        <v>0</v>
      </c>
      <c r="V54" s="27">
        <f>IF('2 Employees'!V179&gt;0,1,0)</f>
        <v>0</v>
      </c>
      <c r="W54" s="27">
        <f>IF('2 Employees'!W179&gt;0,1,0)</f>
        <v>0</v>
      </c>
      <c r="X54" s="27">
        <f>IF('2 Employees'!X179&gt;0,1,0)</f>
        <v>0</v>
      </c>
      <c r="Y54" s="27">
        <f>IF('2 Employees'!Y179&gt;0,1,0)</f>
        <v>0</v>
      </c>
      <c r="Z54" s="27">
        <f>IF('2 Employees'!Z179&gt;0,1,0)</f>
        <v>0</v>
      </c>
      <c r="AA54" s="27">
        <f>IF('2 Employees'!AA179&gt;0,1,0)</f>
        <v>0</v>
      </c>
      <c r="AC54" s="27">
        <f t="shared" si="41"/>
        <v>0</v>
      </c>
      <c r="AD54" s="27">
        <f t="shared" si="42"/>
        <v>0</v>
      </c>
      <c r="AE54" s="27">
        <f t="shared" si="43"/>
        <v>0</v>
      </c>
      <c r="AF54" s="27">
        <f t="shared" si="44"/>
        <v>0</v>
      </c>
      <c r="AH54" s="27">
        <f t="shared" si="45"/>
        <v>0</v>
      </c>
      <c r="AI54" s="27">
        <f t="shared" si="46"/>
        <v>0</v>
      </c>
      <c r="AJ54" s="27">
        <f t="shared" si="47"/>
        <v>0</v>
      </c>
      <c r="AK54" s="27">
        <f t="shared" si="48"/>
        <v>0</v>
      </c>
      <c r="AM54" s="27">
        <f t="shared" si="49"/>
        <v>0</v>
      </c>
      <c r="AN54" s="27">
        <f t="shared" si="50"/>
        <v>0</v>
      </c>
    </row>
    <row r="55" spans="2:40" x14ac:dyDescent="0.2">
      <c r="B55" s="30" t="str">
        <f>+'2 Employees'!B184</f>
        <v>Employee, New</v>
      </c>
      <c r="C55" s="27">
        <f>IF('2 Employees'!C184&gt;0,1,0)</f>
        <v>0</v>
      </c>
      <c r="D55" s="27">
        <f>IF('2 Employees'!D184&gt;0,1,0)</f>
        <v>0</v>
      </c>
      <c r="E55" s="27">
        <f>IF('2 Employees'!E184&gt;0,1,0)</f>
        <v>0</v>
      </c>
      <c r="F55" s="27">
        <f>IF('2 Employees'!F184&gt;0,1,0)</f>
        <v>0</v>
      </c>
      <c r="G55" s="27">
        <f>IF('2 Employees'!G184&gt;0,1,0)</f>
        <v>0</v>
      </c>
      <c r="H55" s="27">
        <f>IF('2 Employees'!H184&gt;0,1,0)</f>
        <v>0</v>
      </c>
      <c r="I55" s="27">
        <f>IF('2 Employees'!I184&gt;0,1,0)</f>
        <v>0</v>
      </c>
      <c r="J55" s="27">
        <f>IF('2 Employees'!J184&gt;0,1,0)</f>
        <v>0</v>
      </c>
      <c r="K55" s="27">
        <f>IF('2 Employees'!K184&gt;0,1,0)</f>
        <v>0</v>
      </c>
      <c r="L55" s="27">
        <f>IF('2 Employees'!L184&gt;0,1,0)</f>
        <v>0</v>
      </c>
      <c r="M55" s="27">
        <f>IF('2 Employees'!M184&gt;0,1,0)</f>
        <v>0</v>
      </c>
      <c r="N55" s="27">
        <f>IF('2 Employees'!N184&gt;0,1,0)</f>
        <v>0</v>
      </c>
      <c r="O55" s="27"/>
      <c r="P55" s="27">
        <f>IF('2 Employees'!P184&gt;0,1,0)</f>
        <v>0</v>
      </c>
      <c r="Q55" s="27">
        <f>IF('2 Employees'!Q184&gt;0,1,0)</f>
        <v>0</v>
      </c>
      <c r="R55" s="27">
        <f>IF('2 Employees'!R184&gt;0,1,0)</f>
        <v>0</v>
      </c>
      <c r="S55" s="27">
        <f>IF('2 Employees'!S184&gt;0,1,0)</f>
        <v>0</v>
      </c>
      <c r="T55" s="27">
        <f>IF('2 Employees'!T184&gt;0,1,0)</f>
        <v>0</v>
      </c>
      <c r="U55" s="27">
        <f>IF('2 Employees'!U184&gt;0,1,0)</f>
        <v>0</v>
      </c>
      <c r="V55" s="27">
        <f>IF('2 Employees'!V184&gt;0,1,0)</f>
        <v>0</v>
      </c>
      <c r="W55" s="27">
        <f>IF('2 Employees'!W184&gt;0,1,0)</f>
        <v>0</v>
      </c>
      <c r="X55" s="27">
        <f>IF('2 Employees'!X184&gt;0,1,0)</f>
        <v>0</v>
      </c>
      <c r="Y55" s="27">
        <f>IF('2 Employees'!Y184&gt;0,1,0)</f>
        <v>0</v>
      </c>
      <c r="Z55" s="27">
        <f>IF('2 Employees'!Z184&gt;0,1,0)</f>
        <v>0</v>
      </c>
      <c r="AA55" s="27">
        <f>IF('2 Employees'!AA184&gt;0,1,0)</f>
        <v>0</v>
      </c>
      <c r="AC55" s="27">
        <f t="shared" si="41"/>
        <v>0</v>
      </c>
      <c r="AD55" s="27">
        <f t="shared" si="42"/>
        <v>0</v>
      </c>
      <c r="AE55" s="27">
        <f t="shared" si="43"/>
        <v>0</v>
      </c>
      <c r="AF55" s="27">
        <f t="shared" si="44"/>
        <v>0</v>
      </c>
      <c r="AH55" s="27">
        <f t="shared" si="45"/>
        <v>0</v>
      </c>
      <c r="AI55" s="27">
        <f t="shared" si="46"/>
        <v>0</v>
      </c>
      <c r="AJ55" s="27">
        <f t="shared" si="47"/>
        <v>0</v>
      </c>
      <c r="AK55" s="27">
        <f t="shared" si="48"/>
        <v>0</v>
      </c>
      <c r="AM55" s="27">
        <f t="shared" si="49"/>
        <v>0</v>
      </c>
      <c r="AN55" s="27">
        <f t="shared" si="50"/>
        <v>0</v>
      </c>
    </row>
    <row r="56" spans="2:40" x14ac:dyDescent="0.2">
      <c r="B56" s="30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2:40" x14ac:dyDescent="0.2">
      <c r="B57" s="28" t="s">
        <v>148</v>
      </c>
      <c r="C57" s="29">
        <f>SUM(C51:C56)</f>
        <v>0</v>
      </c>
      <c r="D57" s="29">
        <f t="shared" ref="D57" si="51">SUM(D51:D56)</f>
        <v>0</v>
      </c>
      <c r="E57" s="29">
        <f t="shared" ref="E57" si="52">SUM(E51:E56)</f>
        <v>0</v>
      </c>
      <c r="F57" s="29">
        <f t="shared" ref="F57" si="53">SUM(F51:F56)</f>
        <v>2</v>
      </c>
      <c r="G57" s="29">
        <f t="shared" ref="G57" si="54">SUM(G51:G56)</f>
        <v>2</v>
      </c>
      <c r="H57" s="29">
        <f t="shared" ref="H57" si="55">SUM(H51:H56)</f>
        <v>2</v>
      </c>
      <c r="I57" s="29">
        <f t="shared" ref="I57" si="56">SUM(I51:I56)</f>
        <v>2</v>
      </c>
      <c r="J57" s="29">
        <f t="shared" ref="J57" si="57">SUM(J51:J56)</f>
        <v>2</v>
      </c>
      <c r="K57" s="29">
        <f t="shared" ref="K57" si="58">SUM(K51:K56)</f>
        <v>2</v>
      </c>
      <c r="L57" s="29">
        <f t="shared" ref="L57" si="59">SUM(L51:L56)</f>
        <v>1</v>
      </c>
      <c r="M57" s="29">
        <f t="shared" ref="M57" si="60">SUM(M51:M56)</f>
        <v>1</v>
      </c>
      <c r="N57" s="29">
        <f t="shared" ref="N57" si="61">SUM(N51:N56)</f>
        <v>1</v>
      </c>
      <c r="O57" s="29"/>
      <c r="P57" s="29">
        <f t="shared" ref="P57:AN57" si="62">SUM(P51:P56)</f>
        <v>1</v>
      </c>
      <c r="Q57" s="29">
        <f t="shared" si="62"/>
        <v>1</v>
      </c>
      <c r="R57" s="29">
        <f t="shared" si="62"/>
        <v>1</v>
      </c>
      <c r="S57" s="29">
        <f t="shared" si="62"/>
        <v>1</v>
      </c>
      <c r="T57" s="29">
        <f t="shared" si="62"/>
        <v>1</v>
      </c>
      <c r="U57" s="29">
        <f t="shared" si="62"/>
        <v>1</v>
      </c>
      <c r="V57" s="29">
        <f t="shared" si="62"/>
        <v>1</v>
      </c>
      <c r="W57" s="29">
        <f t="shared" si="62"/>
        <v>1</v>
      </c>
      <c r="X57" s="29">
        <f t="shared" si="62"/>
        <v>1</v>
      </c>
      <c r="Y57" s="29">
        <f t="shared" si="62"/>
        <v>1</v>
      </c>
      <c r="Z57" s="29">
        <f t="shared" si="62"/>
        <v>1</v>
      </c>
      <c r="AA57" s="29">
        <f t="shared" si="62"/>
        <v>1</v>
      </c>
      <c r="AC57" s="29">
        <f t="shared" si="62"/>
        <v>0</v>
      </c>
      <c r="AD57" s="29">
        <f t="shared" si="62"/>
        <v>2</v>
      </c>
      <c r="AE57" s="29">
        <f t="shared" si="62"/>
        <v>2</v>
      </c>
      <c r="AF57" s="29">
        <f t="shared" si="62"/>
        <v>1</v>
      </c>
      <c r="AH57" s="29">
        <f t="shared" si="62"/>
        <v>1</v>
      </c>
      <c r="AI57" s="29">
        <f t="shared" si="62"/>
        <v>1</v>
      </c>
      <c r="AJ57" s="29">
        <f t="shared" si="62"/>
        <v>1</v>
      </c>
      <c r="AK57" s="29">
        <f t="shared" si="62"/>
        <v>1</v>
      </c>
      <c r="AM57" s="29">
        <f t="shared" si="62"/>
        <v>1</v>
      </c>
      <c r="AN57" s="29">
        <f t="shared" si="62"/>
        <v>1</v>
      </c>
    </row>
    <row r="58" spans="2:40" x14ac:dyDescent="0.2">
      <c r="B58" s="28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spans="2:40" x14ac:dyDescent="0.2">
      <c r="B59" s="28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2:40" x14ac:dyDescent="0.2">
      <c r="B60" s="167" t="s">
        <v>129</v>
      </c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9"/>
    </row>
    <row r="61" spans="2:40" x14ac:dyDescent="0.2"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2:40" x14ac:dyDescent="0.2">
      <c r="B62" s="30" t="str">
        <f>+'2 Employees'!B197</f>
        <v>Reddy, Venkatram</v>
      </c>
      <c r="C62" s="27">
        <f>IF('2 Employees'!C197&gt;0,1,0)</f>
        <v>1</v>
      </c>
      <c r="D62" s="27">
        <f>IF('2 Employees'!D197&gt;0,1,0)</f>
        <v>1</v>
      </c>
      <c r="E62" s="27">
        <f>IF('2 Employees'!E197&gt;0,1,0)</f>
        <v>1</v>
      </c>
      <c r="F62" s="27">
        <f>IF('2 Employees'!F197&gt;0,1,0)</f>
        <v>1</v>
      </c>
      <c r="G62" s="27">
        <f>IF('2 Employees'!G197&gt;0,1,0)</f>
        <v>0</v>
      </c>
      <c r="H62" s="27">
        <f>IF('2 Employees'!H197&gt;0,1,0)</f>
        <v>0</v>
      </c>
      <c r="I62" s="27">
        <f>IF('2 Employees'!I197&gt;0,1,0)</f>
        <v>0</v>
      </c>
      <c r="J62" s="27">
        <f>IF('2 Employees'!J197&gt;0,1,0)</f>
        <v>0</v>
      </c>
      <c r="K62" s="27">
        <f>IF('2 Employees'!K197&gt;0,1,0)</f>
        <v>0</v>
      </c>
      <c r="L62" s="27">
        <f>IF('2 Employees'!L197&gt;0,1,0)</f>
        <v>0</v>
      </c>
      <c r="M62" s="27">
        <f>IF('2 Employees'!M197&gt;0,1,0)</f>
        <v>0</v>
      </c>
      <c r="N62" s="27">
        <f>IF('2 Employees'!N197&gt;0,1,0)</f>
        <v>0</v>
      </c>
      <c r="O62" s="27"/>
      <c r="P62" s="27">
        <f>IF('2 Employees'!P197&gt;0,1,0)</f>
        <v>0</v>
      </c>
      <c r="Q62" s="27">
        <f>IF('2 Employees'!Q197&gt;0,1,0)</f>
        <v>0</v>
      </c>
      <c r="R62" s="27">
        <f>IF('2 Employees'!R197&gt;0,1,0)</f>
        <v>0</v>
      </c>
      <c r="S62" s="27">
        <f>IF('2 Employees'!S197&gt;0,1,0)</f>
        <v>0</v>
      </c>
      <c r="T62" s="27">
        <f>IF('2 Employees'!T197&gt;0,1,0)</f>
        <v>0</v>
      </c>
      <c r="U62" s="27">
        <f>IF('2 Employees'!U197&gt;0,1,0)</f>
        <v>0</v>
      </c>
      <c r="V62" s="27">
        <f>IF('2 Employees'!V197&gt;0,1,0)</f>
        <v>0</v>
      </c>
      <c r="W62" s="27">
        <f>IF('2 Employees'!W197&gt;0,1,0)</f>
        <v>0</v>
      </c>
      <c r="X62" s="27">
        <f>IF('2 Employees'!X197&gt;0,1,0)</f>
        <v>0</v>
      </c>
      <c r="Y62" s="27">
        <f>IF('2 Employees'!Y197&gt;0,1,0)</f>
        <v>0</v>
      </c>
      <c r="Z62" s="27">
        <f>IF('2 Employees'!Z197&gt;0,1,0)</f>
        <v>0</v>
      </c>
      <c r="AA62" s="27">
        <f>IF('2 Employees'!AA197&gt;0,1,0)</f>
        <v>0</v>
      </c>
      <c r="AC62" s="27">
        <f t="shared" ref="AC62:AC67" si="63">+E62</f>
        <v>1</v>
      </c>
      <c r="AD62" s="27">
        <f t="shared" ref="AD62:AD67" si="64">+H62</f>
        <v>0</v>
      </c>
      <c r="AE62" s="27">
        <f t="shared" ref="AE62:AE67" si="65">+K62</f>
        <v>0</v>
      </c>
      <c r="AF62" s="27">
        <f t="shared" ref="AF62:AF67" si="66">+N62</f>
        <v>0</v>
      </c>
      <c r="AH62" s="27">
        <f t="shared" ref="AH62:AH67" si="67">+R62</f>
        <v>0</v>
      </c>
      <c r="AI62" s="27">
        <f t="shared" ref="AI62:AI67" si="68">+U62</f>
        <v>0</v>
      </c>
      <c r="AJ62" s="27">
        <f t="shared" ref="AJ62:AJ67" si="69">+X62</f>
        <v>0</v>
      </c>
      <c r="AK62" s="27">
        <f t="shared" ref="AK62:AK67" si="70">+AA62</f>
        <v>0</v>
      </c>
      <c r="AM62" s="27">
        <f t="shared" ref="AM62:AM67" si="71">+N62</f>
        <v>0</v>
      </c>
      <c r="AN62" s="27">
        <f t="shared" ref="AN62:AN67" si="72">+AA62</f>
        <v>0</v>
      </c>
    </row>
    <row r="63" spans="2:40" x14ac:dyDescent="0.2">
      <c r="B63" s="30" t="str">
        <f>+'2 Employees'!B202</f>
        <v>Torres, Daniel</v>
      </c>
      <c r="C63" s="27">
        <f>IF('2 Employees'!C202&gt;0,1,0)</f>
        <v>0</v>
      </c>
      <c r="D63" s="27">
        <f>IF('2 Employees'!D202&gt;0,1,0)</f>
        <v>0</v>
      </c>
      <c r="E63" s="27">
        <f>IF('2 Employees'!E202&gt;0,1,0)</f>
        <v>0</v>
      </c>
      <c r="F63" s="27">
        <f>IF('2 Employees'!F202&gt;0,1,0)</f>
        <v>1</v>
      </c>
      <c r="G63" s="27">
        <f>IF('2 Employees'!G202&gt;0,1,0)</f>
        <v>1</v>
      </c>
      <c r="H63" s="27">
        <f>IF('2 Employees'!H202&gt;0,1,0)</f>
        <v>1</v>
      </c>
      <c r="I63" s="27">
        <f>IF('2 Employees'!I202&gt;0,1,0)</f>
        <v>1</v>
      </c>
      <c r="J63" s="27">
        <f>IF('2 Employees'!J202&gt;0,1,0)</f>
        <v>1</v>
      </c>
      <c r="K63" s="27">
        <f>IF('2 Employees'!K202&gt;0,1,0)</f>
        <v>0</v>
      </c>
      <c r="L63" s="27">
        <f>IF('2 Employees'!L202&gt;0,1,0)</f>
        <v>0</v>
      </c>
      <c r="M63" s="27">
        <f>IF('2 Employees'!M202&gt;0,1,0)</f>
        <v>0</v>
      </c>
      <c r="N63" s="27">
        <f>IF('2 Employees'!N202&gt;0,1,0)</f>
        <v>0</v>
      </c>
      <c r="O63" s="27"/>
      <c r="P63" s="27">
        <f>IF('2 Employees'!P202&gt;0,1,0)</f>
        <v>0</v>
      </c>
      <c r="Q63" s="27">
        <f>IF('2 Employees'!Q202&gt;0,1,0)</f>
        <v>0</v>
      </c>
      <c r="R63" s="27">
        <f>IF('2 Employees'!R202&gt;0,1,0)</f>
        <v>0</v>
      </c>
      <c r="S63" s="27">
        <f>IF('2 Employees'!S202&gt;0,1,0)</f>
        <v>0</v>
      </c>
      <c r="T63" s="27">
        <f>IF('2 Employees'!T202&gt;0,1,0)</f>
        <v>0</v>
      </c>
      <c r="U63" s="27">
        <f>IF('2 Employees'!U202&gt;0,1,0)</f>
        <v>0</v>
      </c>
      <c r="V63" s="27">
        <f>IF('2 Employees'!V202&gt;0,1,0)</f>
        <v>0</v>
      </c>
      <c r="W63" s="27">
        <f>IF('2 Employees'!W202&gt;0,1,0)</f>
        <v>0</v>
      </c>
      <c r="X63" s="27">
        <f>IF('2 Employees'!X202&gt;0,1,0)</f>
        <v>0</v>
      </c>
      <c r="Y63" s="27">
        <f>IF('2 Employees'!Y202&gt;0,1,0)</f>
        <v>0</v>
      </c>
      <c r="Z63" s="27">
        <f>IF('2 Employees'!Z202&gt;0,1,0)</f>
        <v>0</v>
      </c>
      <c r="AA63" s="27">
        <f>IF('2 Employees'!AA202&gt;0,1,0)</f>
        <v>0</v>
      </c>
      <c r="AC63" s="27">
        <f t="shared" si="63"/>
        <v>0</v>
      </c>
      <c r="AD63" s="27">
        <f t="shared" si="64"/>
        <v>1</v>
      </c>
      <c r="AE63" s="27">
        <f t="shared" si="65"/>
        <v>0</v>
      </c>
      <c r="AF63" s="27">
        <f t="shared" si="66"/>
        <v>0</v>
      </c>
      <c r="AH63" s="27">
        <f t="shared" si="67"/>
        <v>0</v>
      </c>
      <c r="AI63" s="27">
        <f t="shared" si="68"/>
        <v>0</v>
      </c>
      <c r="AJ63" s="27">
        <f t="shared" si="69"/>
        <v>0</v>
      </c>
      <c r="AK63" s="27">
        <f t="shared" si="70"/>
        <v>0</v>
      </c>
      <c r="AM63" s="27">
        <f t="shared" si="71"/>
        <v>0</v>
      </c>
      <c r="AN63" s="27">
        <f t="shared" si="72"/>
        <v>0</v>
      </c>
    </row>
    <row r="64" spans="2:40" x14ac:dyDescent="0.2">
      <c r="B64" s="30" t="str">
        <f>+'2 Employees'!B207</f>
        <v>DeFazio, Dominick</v>
      </c>
      <c r="C64" s="27">
        <f>IF('2 Employees'!C207&gt;0,1,0)</f>
        <v>0</v>
      </c>
      <c r="D64" s="27">
        <f>IF('2 Employees'!D207&gt;0,1,0)</f>
        <v>0</v>
      </c>
      <c r="E64" s="27">
        <f>IF('2 Employees'!E207&gt;0,1,0)</f>
        <v>0</v>
      </c>
      <c r="F64" s="27">
        <f>IF('2 Employees'!F207&gt;0,1,0)</f>
        <v>0</v>
      </c>
      <c r="G64" s="27">
        <f>IF('2 Employees'!G207&gt;0,1,0)</f>
        <v>0</v>
      </c>
      <c r="H64" s="27">
        <f>IF('2 Employees'!H207&gt;0,1,0)</f>
        <v>1</v>
      </c>
      <c r="I64" s="27">
        <f>IF('2 Employees'!I207&gt;0,1,0)</f>
        <v>1</v>
      </c>
      <c r="J64" s="27">
        <f>IF('2 Employees'!J207&gt;0,1,0)</f>
        <v>1</v>
      </c>
      <c r="K64" s="27">
        <f>IF('2 Employees'!K207&gt;0,1,0)</f>
        <v>1</v>
      </c>
      <c r="L64" s="27">
        <f>IF('2 Employees'!L207&gt;0,1,0)</f>
        <v>1</v>
      </c>
      <c r="M64" s="27">
        <f>IF('2 Employees'!M207&gt;0,1,0)</f>
        <v>1</v>
      </c>
      <c r="N64" s="27">
        <f>IF('2 Employees'!N207&gt;0,1,0)</f>
        <v>1</v>
      </c>
      <c r="O64" s="27"/>
      <c r="P64" s="27">
        <f>IF('2 Employees'!P207&gt;0,1,0)</f>
        <v>1</v>
      </c>
      <c r="Q64" s="27">
        <f>IF('2 Employees'!Q207&gt;0,1,0)</f>
        <v>1</v>
      </c>
      <c r="R64" s="27">
        <f>IF('2 Employees'!R207&gt;0,1,0)</f>
        <v>1</v>
      </c>
      <c r="S64" s="27">
        <f>IF('2 Employees'!S207&gt;0,1,0)</f>
        <v>1</v>
      </c>
      <c r="T64" s="27">
        <f>IF('2 Employees'!T207&gt;0,1,0)</f>
        <v>1</v>
      </c>
      <c r="U64" s="27">
        <f>IF('2 Employees'!U207&gt;0,1,0)</f>
        <v>1</v>
      </c>
      <c r="V64" s="27">
        <f>IF('2 Employees'!V207&gt;0,1,0)</f>
        <v>1</v>
      </c>
      <c r="W64" s="27">
        <f>IF('2 Employees'!W207&gt;0,1,0)</f>
        <v>1</v>
      </c>
      <c r="X64" s="27">
        <f>IF('2 Employees'!X207&gt;0,1,0)</f>
        <v>1</v>
      </c>
      <c r="Y64" s="27">
        <f>IF('2 Employees'!Y207&gt;0,1,0)</f>
        <v>1</v>
      </c>
      <c r="Z64" s="27">
        <f>IF('2 Employees'!Z207&gt;0,1,0)</f>
        <v>1</v>
      </c>
      <c r="AA64" s="27">
        <f>IF('2 Employees'!AA207&gt;0,1,0)</f>
        <v>1</v>
      </c>
      <c r="AC64" s="27">
        <f t="shared" si="63"/>
        <v>0</v>
      </c>
      <c r="AD64" s="27">
        <f t="shared" si="64"/>
        <v>1</v>
      </c>
      <c r="AE64" s="27">
        <f t="shared" si="65"/>
        <v>1</v>
      </c>
      <c r="AF64" s="27">
        <f t="shared" si="66"/>
        <v>1</v>
      </c>
      <c r="AH64" s="27">
        <f t="shared" si="67"/>
        <v>1</v>
      </c>
      <c r="AI64" s="27">
        <f t="shared" si="68"/>
        <v>1</v>
      </c>
      <c r="AJ64" s="27">
        <f t="shared" si="69"/>
        <v>1</v>
      </c>
      <c r="AK64" s="27">
        <f t="shared" si="70"/>
        <v>1</v>
      </c>
      <c r="AM64" s="27">
        <f t="shared" si="71"/>
        <v>1</v>
      </c>
      <c r="AN64" s="27">
        <f t="shared" si="72"/>
        <v>1</v>
      </c>
    </row>
    <row r="65" spans="2:40" x14ac:dyDescent="0.2">
      <c r="B65" s="30" t="str">
        <f>+'2 Employees'!B212</f>
        <v>Miller, Mark</v>
      </c>
      <c r="C65" s="27">
        <f>IF('2 Employees'!C212&gt;0,1,0)</f>
        <v>0</v>
      </c>
      <c r="D65" s="27">
        <f>IF('2 Employees'!D212&gt;0,1,0)</f>
        <v>0</v>
      </c>
      <c r="E65" s="27">
        <f>IF('2 Employees'!E212&gt;0,1,0)</f>
        <v>1</v>
      </c>
      <c r="F65" s="27">
        <f>IF('2 Employees'!F212&gt;0,1,0)</f>
        <v>1</v>
      </c>
      <c r="G65" s="27">
        <f>IF('2 Employees'!G212&gt;0,1,0)</f>
        <v>1</v>
      </c>
      <c r="H65" s="27">
        <f>IF('2 Employees'!H212&gt;0,1,0)</f>
        <v>1</v>
      </c>
      <c r="I65" s="27">
        <f>IF('2 Employees'!I212&gt;0,1,0)</f>
        <v>1</v>
      </c>
      <c r="J65" s="27">
        <f>IF('2 Employees'!J212&gt;0,1,0)</f>
        <v>1</v>
      </c>
      <c r="K65" s="27">
        <f>IF('2 Employees'!K212&gt;0,1,0)</f>
        <v>0</v>
      </c>
      <c r="L65" s="27">
        <f>IF('2 Employees'!L212&gt;0,1,0)</f>
        <v>0</v>
      </c>
      <c r="M65" s="27">
        <f>IF('2 Employees'!M212&gt;0,1,0)</f>
        <v>0</v>
      </c>
      <c r="N65" s="27">
        <f>IF('2 Employees'!N212&gt;0,1,0)</f>
        <v>0</v>
      </c>
      <c r="O65" s="27"/>
      <c r="P65" s="27">
        <f>IF('2 Employees'!P212&gt;0,1,0)</f>
        <v>0</v>
      </c>
      <c r="Q65" s="27">
        <f>IF('2 Employees'!Q212&gt;0,1,0)</f>
        <v>0</v>
      </c>
      <c r="R65" s="27">
        <f>IF('2 Employees'!R212&gt;0,1,0)</f>
        <v>0</v>
      </c>
      <c r="S65" s="27">
        <f>IF('2 Employees'!S212&gt;0,1,0)</f>
        <v>0</v>
      </c>
      <c r="T65" s="27">
        <f>IF('2 Employees'!T212&gt;0,1,0)</f>
        <v>0</v>
      </c>
      <c r="U65" s="27">
        <f>IF('2 Employees'!U212&gt;0,1,0)</f>
        <v>0</v>
      </c>
      <c r="V65" s="27">
        <f>IF('2 Employees'!V212&gt;0,1,0)</f>
        <v>0</v>
      </c>
      <c r="W65" s="27">
        <f>IF('2 Employees'!W212&gt;0,1,0)</f>
        <v>0</v>
      </c>
      <c r="X65" s="27">
        <f>IF('2 Employees'!X212&gt;0,1,0)</f>
        <v>0</v>
      </c>
      <c r="Y65" s="27">
        <f>IF('2 Employees'!Y212&gt;0,1,0)</f>
        <v>0</v>
      </c>
      <c r="Z65" s="27">
        <f>IF('2 Employees'!Z212&gt;0,1,0)</f>
        <v>0</v>
      </c>
      <c r="AA65" s="27">
        <f>IF('2 Employees'!AA212&gt;0,1,0)</f>
        <v>0</v>
      </c>
      <c r="AC65" s="27">
        <f t="shared" si="63"/>
        <v>1</v>
      </c>
      <c r="AD65" s="27">
        <f t="shared" si="64"/>
        <v>1</v>
      </c>
      <c r="AE65" s="27">
        <f t="shared" si="65"/>
        <v>0</v>
      </c>
      <c r="AF65" s="27">
        <f t="shared" si="66"/>
        <v>0</v>
      </c>
      <c r="AH65" s="27">
        <f t="shared" si="67"/>
        <v>0</v>
      </c>
      <c r="AI65" s="27">
        <f t="shared" si="68"/>
        <v>0</v>
      </c>
      <c r="AJ65" s="27">
        <f t="shared" si="69"/>
        <v>0</v>
      </c>
      <c r="AK65" s="27">
        <f t="shared" si="70"/>
        <v>0</v>
      </c>
      <c r="AM65" s="27">
        <f t="shared" si="71"/>
        <v>0</v>
      </c>
      <c r="AN65" s="27">
        <f t="shared" si="72"/>
        <v>0</v>
      </c>
    </row>
    <row r="66" spans="2:40" x14ac:dyDescent="0.2">
      <c r="B66" s="30" t="str">
        <f>+'2 Employees'!B217</f>
        <v>Smith, Josh</v>
      </c>
      <c r="C66" s="27">
        <f>IF('2 Employees'!C217&gt;0,1,0)</f>
        <v>0</v>
      </c>
      <c r="D66" s="27">
        <f>IF('2 Employees'!D217&gt;0,1,0)</f>
        <v>0</v>
      </c>
      <c r="E66" s="27">
        <f>IF('2 Employees'!E217&gt;0,1,0)</f>
        <v>0</v>
      </c>
      <c r="F66" s="27">
        <f>IF('2 Employees'!F217&gt;0,1,0)</f>
        <v>0</v>
      </c>
      <c r="G66" s="27">
        <f>IF('2 Employees'!G217&gt;0,1,0)</f>
        <v>0</v>
      </c>
      <c r="H66" s="27">
        <f>IF('2 Employees'!H217&gt;0,1,0)</f>
        <v>0</v>
      </c>
      <c r="I66" s="27">
        <f>IF('2 Employees'!I217&gt;0,1,0)</f>
        <v>0</v>
      </c>
      <c r="J66" s="27">
        <f>IF('2 Employees'!J217&gt;0,1,0)</f>
        <v>1</v>
      </c>
      <c r="K66" s="27">
        <f>IF('2 Employees'!K217&gt;0,1,0)</f>
        <v>1</v>
      </c>
      <c r="L66" s="27">
        <f>IF('2 Employees'!L217&gt;0,1,0)</f>
        <v>1</v>
      </c>
      <c r="M66" s="27">
        <f>IF('2 Employees'!M217&gt;0,1,0)</f>
        <v>1</v>
      </c>
      <c r="N66" s="27">
        <f>IF('2 Employees'!N217&gt;0,1,0)</f>
        <v>1</v>
      </c>
      <c r="O66" s="27"/>
      <c r="P66" s="27">
        <f>IF('2 Employees'!P217&gt;0,1,0)</f>
        <v>1</v>
      </c>
      <c r="Q66" s="27">
        <f>IF('2 Employees'!Q217&gt;0,1,0)</f>
        <v>1</v>
      </c>
      <c r="R66" s="27">
        <f>IF('2 Employees'!R217&gt;0,1,0)</f>
        <v>1</v>
      </c>
      <c r="S66" s="27">
        <f>IF('2 Employees'!S217&gt;0,1,0)</f>
        <v>1</v>
      </c>
      <c r="T66" s="27">
        <f>IF('2 Employees'!T217&gt;0,1,0)</f>
        <v>1</v>
      </c>
      <c r="U66" s="27">
        <f>IF('2 Employees'!U217&gt;0,1,0)</f>
        <v>1</v>
      </c>
      <c r="V66" s="27">
        <f>IF('2 Employees'!V217&gt;0,1,0)</f>
        <v>1</v>
      </c>
      <c r="W66" s="27">
        <f>IF('2 Employees'!W217&gt;0,1,0)</f>
        <v>1</v>
      </c>
      <c r="X66" s="27">
        <f>IF('2 Employees'!X217&gt;0,1,0)</f>
        <v>1</v>
      </c>
      <c r="Y66" s="27">
        <f>IF('2 Employees'!Y217&gt;0,1,0)</f>
        <v>1</v>
      </c>
      <c r="Z66" s="27">
        <f>IF('2 Employees'!Z217&gt;0,1,0)</f>
        <v>1</v>
      </c>
      <c r="AA66" s="27">
        <f>IF('2 Employees'!AA217&gt;0,1,0)</f>
        <v>1</v>
      </c>
      <c r="AC66" s="27">
        <f t="shared" si="63"/>
        <v>0</v>
      </c>
      <c r="AD66" s="27">
        <f t="shared" si="64"/>
        <v>0</v>
      </c>
      <c r="AE66" s="27">
        <f t="shared" si="65"/>
        <v>1</v>
      </c>
      <c r="AF66" s="27">
        <f t="shared" si="66"/>
        <v>1</v>
      </c>
      <c r="AH66" s="27">
        <f t="shared" si="67"/>
        <v>1</v>
      </c>
      <c r="AI66" s="27">
        <f t="shared" si="68"/>
        <v>1</v>
      </c>
      <c r="AJ66" s="27">
        <f t="shared" si="69"/>
        <v>1</v>
      </c>
      <c r="AK66" s="27">
        <f t="shared" si="70"/>
        <v>1</v>
      </c>
      <c r="AM66" s="27">
        <f t="shared" si="71"/>
        <v>1</v>
      </c>
      <c r="AN66" s="27">
        <f t="shared" si="72"/>
        <v>1</v>
      </c>
    </row>
    <row r="67" spans="2:40" x14ac:dyDescent="0.2">
      <c r="B67" s="30" t="str">
        <f>+'2 Employees'!B222</f>
        <v>Employee, New</v>
      </c>
      <c r="C67" s="27">
        <f>IF('2 Employees'!C222&gt;0,1,0)</f>
        <v>0</v>
      </c>
      <c r="D67" s="27">
        <f>IF('2 Employees'!D222&gt;0,1,0)</f>
        <v>0</v>
      </c>
      <c r="E67" s="27">
        <f>IF('2 Employees'!E222&gt;0,1,0)</f>
        <v>0</v>
      </c>
      <c r="F67" s="27">
        <f>IF('2 Employees'!F222&gt;0,1,0)</f>
        <v>0</v>
      </c>
      <c r="G67" s="27">
        <f>IF('2 Employees'!G222&gt;0,1,0)</f>
        <v>0</v>
      </c>
      <c r="H67" s="27">
        <f>IF('2 Employees'!H222&gt;0,1,0)</f>
        <v>0</v>
      </c>
      <c r="I67" s="27">
        <f>IF('2 Employees'!I222&gt;0,1,0)</f>
        <v>0</v>
      </c>
      <c r="J67" s="27">
        <f>IF('2 Employees'!J222&gt;0,1,0)</f>
        <v>0</v>
      </c>
      <c r="K67" s="27">
        <f>IF('2 Employees'!K222&gt;0,1,0)</f>
        <v>0</v>
      </c>
      <c r="L67" s="27">
        <f>IF('2 Employees'!L222&gt;0,1,0)</f>
        <v>0</v>
      </c>
      <c r="M67" s="27">
        <f>IF('2 Employees'!M222&gt;0,1,0)</f>
        <v>0</v>
      </c>
      <c r="N67" s="27">
        <f>IF('2 Employees'!N222&gt;0,1,0)</f>
        <v>0</v>
      </c>
      <c r="O67" s="27"/>
      <c r="P67" s="27">
        <f>IF('2 Employees'!P222&gt;0,1,0)</f>
        <v>0</v>
      </c>
      <c r="Q67" s="27">
        <f>IF('2 Employees'!Q222&gt;0,1,0)</f>
        <v>0</v>
      </c>
      <c r="R67" s="27">
        <f>IF('2 Employees'!R222&gt;0,1,0)</f>
        <v>0</v>
      </c>
      <c r="S67" s="27">
        <f>IF('2 Employees'!S222&gt;0,1,0)</f>
        <v>0</v>
      </c>
      <c r="T67" s="27">
        <f>IF('2 Employees'!T222&gt;0,1,0)</f>
        <v>0</v>
      </c>
      <c r="U67" s="27">
        <f>IF('2 Employees'!U222&gt;0,1,0)</f>
        <v>0</v>
      </c>
      <c r="V67" s="27">
        <f>IF('2 Employees'!V222&gt;0,1,0)</f>
        <v>0</v>
      </c>
      <c r="W67" s="27">
        <f>IF('2 Employees'!W222&gt;0,1,0)</f>
        <v>0</v>
      </c>
      <c r="X67" s="27">
        <f>IF('2 Employees'!X222&gt;0,1,0)</f>
        <v>0</v>
      </c>
      <c r="Y67" s="27">
        <f>IF('2 Employees'!Y222&gt;0,1,0)</f>
        <v>0</v>
      </c>
      <c r="Z67" s="27">
        <f>IF('2 Employees'!Z222&gt;0,1,0)</f>
        <v>0</v>
      </c>
      <c r="AA67" s="27">
        <f>IF('2 Employees'!AA222&gt;0,1,0)</f>
        <v>0</v>
      </c>
      <c r="AC67" s="27">
        <f t="shared" si="63"/>
        <v>0</v>
      </c>
      <c r="AD67" s="27">
        <f t="shared" si="64"/>
        <v>0</v>
      </c>
      <c r="AE67" s="27">
        <f t="shared" si="65"/>
        <v>0</v>
      </c>
      <c r="AF67" s="27">
        <f t="shared" si="66"/>
        <v>0</v>
      </c>
      <c r="AH67" s="27">
        <f t="shared" si="67"/>
        <v>0</v>
      </c>
      <c r="AI67" s="27">
        <f t="shared" si="68"/>
        <v>0</v>
      </c>
      <c r="AJ67" s="27">
        <f t="shared" si="69"/>
        <v>0</v>
      </c>
      <c r="AK67" s="27">
        <f t="shared" si="70"/>
        <v>0</v>
      </c>
      <c r="AM67" s="27">
        <f t="shared" si="71"/>
        <v>0</v>
      </c>
      <c r="AN67" s="27">
        <f t="shared" si="72"/>
        <v>0</v>
      </c>
    </row>
    <row r="68" spans="2:40" x14ac:dyDescent="0.2">
      <c r="B68" s="30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pans="2:40" x14ac:dyDescent="0.2">
      <c r="B69" s="28" t="s">
        <v>149</v>
      </c>
      <c r="C69" s="29">
        <f>SUM(C62:C68)</f>
        <v>1</v>
      </c>
      <c r="D69" s="29">
        <f t="shared" ref="D69" si="73">SUM(D62:D68)</f>
        <v>1</v>
      </c>
      <c r="E69" s="29">
        <f t="shared" ref="E69" si="74">SUM(E62:E68)</f>
        <v>2</v>
      </c>
      <c r="F69" s="29">
        <f t="shared" ref="F69" si="75">SUM(F62:F68)</f>
        <v>3</v>
      </c>
      <c r="G69" s="29">
        <f t="shared" ref="G69" si="76">SUM(G62:G68)</f>
        <v>2</v>
      </c>
      <c r="H69" s="29">
        <f t="shared" ref="H69" si="77">SUM(H62:H68)</f>
        <v>3</v>
      </c>
      <c r="I69" s="29">
        <f t="shared" ref="I69" si="78">SUM(I62:I68)</f>
        <v>3</v>
      </c>
      <c r="J69" s="29">
        <f t="shared" ref="J69" si="79">SUM(J62:J68)</f>
        <v>4</v>
      </c>
      <c r="K69" s="29">
        <f t="shared" ref="K69" si="80">SUM(K62:K68)</f>
        <v>2</v>
      </c>
      <c r="L69" s="29">
        <f t="shared" ref="L69" si="81">SUM(L62:L68)</f>
        <v>2</v>
      </c>
      <c r="M69" s="29">
        <f t="shared" ref="M69" si="82">SUM(M62:M68)</f>
        <v>2</v>
      </c>
      <c r="N69" s="29">
        <f t="shared" ref="N69" si="83">SUM(N62:N68)</f>
        <v>2</v>
      </c>
      <c r="O69" s="29"/>
      <c r="P69" s="29">
        <f t="shared" ref="P69:AK69" si="84">SUM(P62:P68)</f>
        <v>2</v>
      </c>
      <c r="Q69" s="29">
        <f t="shared" si="84"/>
        <v>2</v>
      </c>
      <c r="R69" s="29">
        <f t="shared" si="84"/>
        <v>2</v>
      </c>
      <c r="S69" s="29">
        <f t="shared" si="84"/>
        <v>2</v>
      </c>
      <c r="T69" s="29">
        <f t="shared" si="84"/>
        <v>2</v>
      </c>
      <c r="U69" s="29">
        <f t="shared" si="84"/>
        <v>2</v>
      </c>
      <c r="V69" s="29">
        <f t="shared" si="84"/>
        <v>2</v>
      </c>
      <c r="W69" s="29">
        <f t="shared" si="84"/>
        <v>2</v>
      </c>
      <c r="X69" s="29">
        <f t="shared" si="84"/>
        <v>2</v>
      </c>
      <c r="Y69" s="29">
        <f t="shared" si="84"/>
        <v>2</v>
      </c>
      <c r="Z69" s="29">
        <f t="shared" si="84"/>
        <v>2</v>
      </c>
      <c r="AA69" s="29">
        <f t="shared" si="84"/>
        <v>2</v>
      </c>
      <c r="AC69" s="29">
        <f t="shared" si="84"/>
        <v>2</v>
      </c>
      <c r="AD69" s="29">
        <f t="shared" si="84"/>
        <v>3</v>
      </c>
      <c r="AE69" s="29">
        <f t="shared" si="84"/>
        <v>2</v>
      </c>
      <c r="AF69" s="29">
        <f t="shared" si="84"/>
        <v>2</v>
      </c>
      <c r="AH69" s="29">
        <f t="shared" si="84"/>
        <v>2</v>
      </c>
      <c r="AI69" s="29">
        <f t="shared" si="84"/>
        <v>2</v>
      </c>
      <c r="AJ69" s="29">
        <f>SUM(AJ62:AJ68)</f>
        <v>2</v>
      </c>
      <c r="AK69" s="29">
        <f t="shared" si="84"/>
        <v>2</v>
      </c>
      <c r="AM69" s="29">
        <f t="shared" ref="AM69:AN69" si="85">SUM(AM62:AM68)</f>
        <v>2</v>
      </c>
      <c r="AN69" s="29">
        <f t="shared" si="85"/>
        <v>2</v>
      </c>
    </row>
    <row r="70" spans="2:40" x14ac:dyDescent="0.2">
      <c r="B70" s="28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2:40" x14ac:dyDescent="0.2">
      <c r="B71" s="28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2:40" x14ac:dyDescent="0.2">
      <c r="B72" s="170" t="s">
        <v>132</v>
      </c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2"/>
    </row>
    <row r="73" spans="2:40" x14ac:dyDescent="0.2">
      <c r="B73" s="28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2:40" x14ac:dyDescent="0.2">
      <c r="B74" s="30" t="str">
        <f>+'2 Employees'!B235</f>
        <v>Employee, New</v>
      </c>
      <c r="C74" s="27">
        <f>IF('2 Employees'!C235&gt;0,1,0)</f>
        <v>0</v>
      </c>
      <c r="D74" s="27">
        <f>IF('2 Employees'!D235&gt;0,1,0)</f>
        <v>0</v>
      </c>
      <c r="E74" s="27">
        <f>IF('2 Employees'!E235&gt;0,1,0)</f>
        <v>0</v>
      </c>
      <c r="F74" s="27">
        <f>IF('2 Employees'!F235&gt;0,1,0)</f>
        <v>0</v>
      </c>
      <c r="G74" s="27">
        <f>IF('2 Employees'!G235&gt;0,1,0)</f>
        <v>0</v>
      </c>
      <c r="H74" s="27">
        <f>IF('2 Employees'!H235&gt;0,1,0)</f>
        <v>0</v>
      </c>
      <c r="I74" s="27">
        <f>IF('2 Employees'!I235&gt;0,1,0)</f>
        <v>0</v>
      </c>
      <c r="J74" s="27">
        <f>IF('2 Employees'!J235&gt;0,1,0)</f>
        <v>0</v>
      </c>
      <c r="K74" s="27">
        <f>IF('2 Employees'!K235&gt;0,1,0)</f>
        <v>0</v>
      </c>
      <c r="L74" s="27">
        <f>IF('2 Employees'!L235&gt;0,1,0)</f>
        <v>0</v>
      </c>
      <c r="M74" s="27">
        <f>IF('2 Employees'!M235&gt;0,1,0)</f>
        <v>0</v>
      </c>
      <c r="N74" s="27">
        <f>IF('2 Employees'!N235&gt;0,1,0)</f>
        <v>0</v>
      </c>
      <c r="O74" s="27"/>
      <c r="P74" s="27">
        <f>IF('2 Employees'!P235&gt;0,1,0)</f>
        <v>0</v>
      </c>
      <c r="Q74" s="27">
        <f>IF('2 Employees'!Q235&gt;0,1,0)</f>
        <v>0</v>
      </c>
      <c r="R74" s="27">
        <f>IF('2 Employees'!R235&gt;0,1,0)</f>
        <v>0</v>
      </c>
      <c r="S74" s="27">
        <f>IF('2 Employees'!S235&gt;0,1,0)</f>
        <v>0</v>
      </c>
      <c r="T74" s="27">
        <f>IF('2 Employees'!T235&gt;0,1,0)</f>
        <v>0</v>
      </c>
      <c r="U74" s="27">
        <f>IF('2 Employees'!U235&gt;0,1,0)</f>
        <v>0</v>
      </c>
      <c r="V74" s="27">
        <f>IF('2 Employees'!V235&gt;0,1,0)</f>
        <v>0</v>
      </c>
      <c r="W74" s="27">
        <f>IF('2 Employees'!W235&gt;0,1,0)</f>
        <v>0</v>
      </c>
      <c r="X74" s="27">
        <f>IF('2 Employees'!X235&gt;0,1,0)</f>
        <v>0</v>
      </c>
      <c r="Y74" s="27">
        <f>IF('2 Employees'!Y235&gt;0,1,0)</f>
        <v>0</v>
      </c>
      <c r="Z74" s="27">
        <f>IF('2 Employees'!Z235&gt;0,1,0)</f>
        <v>0</v>
      </c>
      <c r="AA74" s="27">
        <f>IF('2 Employees'!AA235&gt;0,1,0)</f>
        <v>0</v>
      </c>
      <c r="AC74" s="27">
        <f t="shared" ref="AC74:AC82" si="86">+E74</f>
        <v>0</v>
      </c>
      <c r="AD74" s="27">
        <f t="shared" ref="AD74:AD82" si="87">+H74</f>
        <v>0</v>
      </c>
      <c r="AE74" s="27">
        <f t="shared" ref="AE74:AE82" si="88">+K74</f>
        <v>0</v>
      </c>
      <c r="AF74" s="27">
        <f t="shared" ref="AF74:AF82" si="89">+N74</f>
        <v>0</v>
      </c>
      <c r="AH74" s="27">
        <f t="shared" ref="AH74:AH82" si="90">+R74</f>
        <v>0</v>
      </c>
      <c r="AI74" s="27">
        <f t="shared" ref="AI74:AI82" si="91">+U74</f>
        <v>0</v>
      </c>
      <c r="AJ74" s="27">
        <f t="shared" ref="AJ74:AJ82" si="92">+X74</f>
        <v>0</v>
      </c>
      <c r="AK74" s="27">
        <f t="shared" ref="AK74:AK82" si="93">+AA74</f>
        <v>0</v>
      </c>
      <c r="AM74" s="27">
        <f t="shared" ref="AM74:AM82" si="94">+N74</f>
        <v>0</v>
      </c>
      <c r="AN74" s="27">
        <f t="shared" ref="AN74:AN82" si="95">+AA74</f>
        <v>0</v>
      </c>
    </row>
    <row r="75" spans="2:40" x14ac:dyDescent="0.2">
      <c r="B75" s="30" t="str">
        <f>+'2 Employees'!B240</f>
        <v>Cortina, Sharon</v>
      </c>
      <c r="C75" s="27">
        <f>IF('2 Employees'!C240&gt;0,1,0)</f>
        <v>0</v>
      </c>
      <c r="D75" s="82">
        <v>0</v>
      </c>
      <c r="E75" s="27">
        <f>IF('2 Employees'!E240&gt;0,1,0)</f>
        <v>0</v>
      </c>
      <c r="F75" s="27">
        <f>IF('2 Employees'!F240&gt;0,1,0)</f>
        <v>0</v>
      </c>
      <c r="G75" s="27">
        <f>IF('2 Employees'!G240&gt;0,1,0)</f>
        <v>0</v>
      </c>
      <c r="H75" s="27">
        <f>IF('2 Employees'!H240&gt;0,1,0)</f>
        <v>0</v>
      </c>
      <c r="I75" s="27">
        <f>IF('2 Employees'!I240&gt;0,1,0)</f>
        <v>0</v>
      </c>
      <c r="J75" s="27">
        <f>IF('2 Employees'!J240&gt;0,1,0)</f>
        <v>0</v>
      </c>
      <c r="K75" s="27">
        <f>IF('2 Employees'!K240&gt;0,1,0)</f>
        <v>0</v>
      </c>
      <c r="L75" s="27">
        <f>IF('2 Employees'!L240&gt;0,1,0)</f>
        <v>0</v>
      </c>
      <c r="M75" s="27">
        <f>IF('2 Employees'!M240&gt;0,1,0)</f>
        <v>0</v>
      </c>
      <c r="N75" s="27">
        <f>IF('2 Employees'!N240&gt;0,1,0)</f>
        <v>0</v>
      </c>
      <c r="O75" s="27"/>
      <c r="P75" s="27">
        <f>IF('2 Employees'!P240&gt;0,1,0)</f>
        <v>0</v>
      </c>
      <c r="Q75" s="27">
        <f>IF('2 Employees'!Q240&gt;0,1,0)</f>
        <v>0</v>
      </c>
      <c r="R75" s="27">
        <f>IF('2 Employees'!R240&gt;0,1,0)</f>
        <v>0</v>
      </c>
      <c r="S75" s="27">
        <f>IF('2 Employees'!S240&gt;0,1,0)</f>
        <v>0</v>
      </c>
      <c r="T75" s="27">
        <f>IF('2 Employees'!T240&gt;0,1,0)</f>
        <v>0</v>
      </c>
      <c r="U75" s="27">
        <f>IF('2 Employees'!U240&gt;0,1,0)</f>
        <v>0</v>
      </c>
      <c r="V75" s="27">
        <f>IF('2 Employees'!V240&gt;0,1,0)</f>
        <v>0</v>
      </c>
      <c r="W75" s="27">
        <f>IF('2 Employees'!W240&gt;0,1,0)</f>
        <v>0</v>
      </c>
      <c r="X75" s="27">
        <f>IF('2 Employees'!X240&gt;0,1,0)</f>
        <v>0</v>
      </c>
      <c r="Y75" s="27">
        <f>IF('2 Employees'!Y240&gt;0,1,0)</f>
        <v>0</v>
      </c>
      <c r="Z75" s="27">
        <f>IF('2 Employees'!Z240&gt;0,1,0)</f>
        <v>0</v>
      </c>
      <c r="AA75" s="27">
        <f>IF('2 Employees'!AA240&gt;0,1,0)</f>
        <v>0</v>
      </c>
      <c r="AC75" s="27">
        <f t="shared" si="86"/>
        <v>0</v>
      </c>
      <c r="AD75" s="27">
        <f t="shared" si="87"/>
        <v>0</v>
      </c>
      <c r="AE75" s="27">
        <f t="shared" si="88"/>
        <v>0</v>
      </c>
      <c r="AF75" s="27">
        <f t="shared" si="89"/>
        <v>0</v>
      </c>
      <c r="AH75" s="27">
        <f t="shared" si="90"/>
        <v>0</v>
      </c>
      <c r="AI75" s="27">
        <f t="shared" si="91"/>
        <v>0</v>
      </c>
      <c r="AJ75" s="27">
        <f t="shared" si="92"/>
        <v>0</v>
      </c>
      <c r="AK75" s="27">
        <f t="shared" si="93"/>
        <v>0</v>
      </c>
      <c r="AM75" s="27">
        <f t="shared" si="94"/>
        <v>0</v>
      </c>
      <c r="AN75" s="27">
        <f t="shared" si="95"/>
        <v>0</v>
      </c>
    </row>
    <row r="76" spans="2:40" x14ac:dyDescent="0.2">
      <c r="B76" s="30" t="str">
        <f>+'2 Employees'!B245</f>
        <v>Ijaz, Safa</v>
      </c>
      <c r="C76" s="27">
        <f>IF('2 Employees'!C245&gt;0,1,0)</f>
        <v>1</v>
      </c>
      <c r="D76" s="27">
        <f>IF('2 Employees'!D245&gt;0,1,0)</f>
        <v>1</v>
      </c>
      <c r="E76" s="27">
        <f>IF('2 Employees'!E245&gt;0,1,0)</f>
        <v>1</v>
      </c>
      <c r="F76" s="27">
        <f>IF('2 Employees'!F245&gt;0,1,0)</f>
        <v>1</v>
      </c>
      <c r="G76" s="27">
        <f>IF('2 Employees'!G245&gt;0,1,0)</f>
        <v>1</v>
      </c>
      <c r="H76" s="27">
        <f>IF('2 Employees'!H245&gt;0,1,0)</f>
        <v>1</v>
      </c>
      <c r="I76" s="27">
        <f>IF('2 Employees'!I245&gt;0,1,0)</f>
        <v>1</v>
      </c>
      <c r="J76" s="27">
        <f>IF('2 Employees'!J245&gt;0,1,0)</f>
        <v>1</v>
      </c>
      <c r="K76" s="27">
        <f>IF('2 Employees'!K245&gt;0,1,0)</f>
        <v>1</v>
      </c>
      <c r="L76" s="27">
        <f>IF('2 Employees'!L245&gt;0,1,0)</f>
        <v>1</v>
      </c>
      <c r="M76" s="27">
        <f>IF('2 Employees'!M245&gt;0,1,0)</f>
        <v>0</v>
      </c>
      <c r="N76" s="27">
        <f>IF('2 Employees'!N245&gt;0,1,0)</f>
        <v>0</v>
      </c>
      <c r="O76" s="27"/>
      <c r="P76" s="27">
        <f>IF('2 Employees'!P245&gt;0,1,0)</f>
        <v>0</v>
      </c>
      <c r="Q76" s="27">
        <f>IF('2 Employees'!Q245&gt;0,1,0)</f>
        <v>0</v>
      </c>
      <c r="R76" s="27">
        <f>IF('2 Employees'!R245&gt;0,1,0)</f>
        <v>0</v>
      </c>
      <c r="S76" s="27">
        <f>IF('2 Employees'!S245&gt;0,1,0)</f>
        <v>0</v>
      </c>
      <c r="T76" s="27">
        <f>IF('2 Employees'!T245&gt;0,1,0)</f>
        <v>0</v>
      </c>
      <c r="U76" s="27">
        <f>IF('2 Employees'!U245&gt;0,1,0)</f>
        <v>0</v>
      </c>
      <c r="V76" s="27">
        <f>IF('2 Employees'!V245&gt;0,1,0)</f>
        <v>0</v>
      </c>
      <c r="W76" s="27">
        <f>IF('2 Employees'!W245&gt;0,1,0)</f>
        <v>0</v>
      </c>
      <c r="X76" s="27">
        <f>IF('2 Employees'!X245&gt;0,1,0)</f>
        <v>0</v>
      </c>
      <c r="Y76" s="27">
        <f>IF('2 Employees'!Y245&gt;0,1,0)</f>
        <v>0</v>
      </c>
      <c r="Z76" s="27">
        <f>IF('2 Employees'!Z245&gt;0,1,0)</f>
        <v>0</v>
      </c>
      <c r="AA76" s="27">
        <f>IF('2 Employees'!AA245&gt;0,1,0)</f>
        <v>0</v>
      </c>
      <c r="AC76" s="27">
        <f t="shared" si="86"/>
        <v>1</v>
      </c>
      <c r="AD76" s="27">
        <f t="shared" si="87"/>
        <v>1</v>
      </c>
      <c r="AE76" s="27">
        <f t="shared" si="88"/>
        <v>1</v>
      </c>
      <c r="AF76" s="27">
        <f t="shared" si="89"/>
        <v>0</v>
      </c>
      <c r="AH76" s="27">
        <f t="shared" si="90"/>
        <v>0</v>
      </c>
      <c r="AI76" s="27">
        <f t="shared" si="91"/>
        <v>0</v>
      </c>
      <c r="AJ76" s="27">
        <f t="shared" si="92"/>
        <v>0</v>
      </c>
      <c r="AK76" s="27">
        <f t="shared" si="93"/>
        <v>0</v>
      </c>
      <c r="AM76" s="27">
        <f t="shared" si="94"/>
        <v>0</v>
      </c>
      <c r="AN76" s="27">
        <f t="shared" si="95"/>
        <v>0</v>
      </c>
    </row>
    <row r="77" spans="2:40" x14ac:dyDescent="0.2">
      <c r="B77" s="30" t="str">
        <f>+'2 Employees'!B250</f>
        <v>Karpovich, Bill</v>
      </c>
      <c r="C77" s="27">
        <f>IF('2 Employees'!C250&gt;0,1,0)</f>
        <v>1</v>
      </c>
      <c r="D77" s="27">
        <f>IF('2 Employees'!D250&gt;0,1,0)</f>
        <v>1</v>
      </c>
      <c r="E77" s="27">
        <f>IF('2 Employees'!E250&gt;0,1,0)</f>
        <v>1</v>
      </c>
      <c r="F77" s="27">
        <f>IF('2 Employees'!F250&gt;0,1,0)</f>
        <v>1</v>
      </c>
      <c r="G77" s="27">
        <f>IF('2 Employees'!G250&gt;0,1,0)</f>
        <v>1</v>
      </c>
      <c r="H77" s="27">
        <f>IF('2 Employees'!H250&gt;0,1,0)</f>
        <v>1</v>
      </c>
      <c r="I77" s="27">
        <f>IF('2 Employees'!I250&gt;0,1,0)</f>
        <v>1</v>
      </c>
      <c r="J77" s="27">
        <f>IF('2 Employees'!J250&gt;0,1,0)</f>
        <v>1</v>
      </c>
      <c r="K77" s="27">
        <f>IF('2 Employees'!K250&gt;0,1,0)</f>
        <v>1</v>
      </c>
      <c r="L77" s="27">
        <f>IF('2 Employees'!L250&gt;0,1,0)</f>
        <v>1</v>
      </c>
      <c r="M77" s="27">
        <f>IF('2 Employees'!M250&gt;0,1,0)</f>
        <v>1</v>
      </c>
      <c r="N77" s="27">
        <f>IF('2 Employees'!N250&gt;0,1,0)</f>
        <v>1</v>
      </c>
      <c r="O77" s="27"/>
      <c r="P77" s="27">
        <f>IF('2 Employees'!P250&gt;0,1,0)</f>
        <v>1</v>
      </c>
      <c r="Q77" s="27">
        <f>IF('2 Employees'!Q250&gt;0,1,0)</f>
        <v>1</v>
      </c>
      <c r="R77" s="27">
        <f>IF('2 Employees'!R250&gt;0,1,0)</f>
        <v>1</v>
      </c>
      <c r="S77" s="27">
        <f>IF('2 Employees'!S250&gt;0,1,0)</f>
        <v>1</v>
      </c>
      <c r="T77" s="27">
        <f>IF('2 Employees'!T250&gt;0,1,0)</f>
        <v>1</v>
      </c>
      <c r="U77" s="27">
        <f>IF('2 Employees'!U250&gt;0,1,0)</f>
        <v>1</v>
      </c>
      <c r="V77" s="27">
        <f>IF('2 Employees'!V250&gt;0,1,0)</f>
        <v>1</v>
      </c>
      <c r="W77" s="27">
        <f>IF('2 Employees'!W250&gt;0,1,0)</f>
        <v>1</v>
      </c>
      <c r="X77" s="27">
        <f>IF('2 Employees'!X250&gt;0,1,0)</f>
        <v>1</v>
      </c>
      <c r="Y77" s="27">
        <f>IF('2 Employees'!Y250&gt;0,1,0)</f>
        <v>1</v>
      </c>
      <c r="Z77" s="27">
        <f>IF('2 Employees'!Z250&gt;0,1,0)</f>
        <v>1</v>
      </c>
      <c r="AA77" s="27">
        <f>IF('2 Employees'!AA250&gt;0,1,0)</f>
        <v>1</v>
      </c>
      <c r="AC77" s="27">
        <f t="shared" si="86"/>
        <v>1</v>
      </c>
      <c r="AD77" s="27">
        <f t="shared" si="87"/>
        <v>1</v>
      </c>
      <c r="AE77" s="27">
        <f t="shared" si="88"/>
        <v>1</v>
      </c>
      <c r="AF77" s="27">
        <f t="shared" si="89"/>
        <v>1</v>
      </c>
      <c r="AH77" s="27">
        <f t="shared" si="90"/>
        <v>1</v>
      </c>
      <c r="AI77" s="27">
        <f t="shared" si="91"/>
        <v>1</v>
      </c>
      <c r="AJ77" s="27">
        <f t="shared" si="92"/>
        <v>1</v>
      </c>
      <c r="AK77" s="27">
        <f t="shared" si="93"/>
        <v>1</v>
      </c>
      <c r="AM77" s="27">
        <f t="shared" si="94"/>
        <v>1</v>
      </c>
      <c r="AN77" s="27">
        <f t="shared" si="95"/>
        <v>1</v>
      </c>
    </row>
    <row r="78" spans="2:40" x14ac:dyDescent="0.2">
      <c r="B78" s="30" t="str">
        <f>+'2 Employees'!B255</f>
        <v>Employee, New</v>
      </c>
      <c r="C78" s="27">
        <f>IF('2 Employees'!C255&gt;0,1,0)</f>
        <v>0</v>
      </c>
      <c r="D78" s="27">
        <f>IF('2 Employees'!D255&gt;0,1,0)</f>
        <v>0</v>
      </c>
      <c r="E78" s="27">
        <f>IF('2 Employees'!E255&gt;0,1,0)</f>
        <v>0</v>
      </c>
      <c r="F78" s="82">
        <v>0</v>
      </c>
      <c r="G78" s="27">
        <f>IF('2 Employees'!G255&gt;0,1,0)</f>
        <v>0</v>
      </c>
      <c r="H78" s="27">
        <f>IF('2 Employees'!H255&gt;0,1,0)</f>
        <v>0</v>
      </c>
      <c r="I78" s="27">
        <f>IF('2 Employees'!I255&gt;0,1,0)</f>
        <v>0</v>
      </c>
      <c r="J78" s="27">
        <f>IF('2 Employees'!J255&gt;0,1,0)</f>
        <v>0</v>
      </c>
      <c r="K78" s="27">
        <f>IF('2 Employees'!K255&gt;0,1,0)</f>
        <v>0</v>
      </c>
      <c r="L78" s="27">
        <f>IF('2 Employees'!L255&gt;0,1,0)</f>
        <v>0</v>
      </c>
      <c r="M78" s="27">
        <f>IF('2 Employees'!M255&gt;0,1,0)</f>
        <v>0</v>
      </c>
      <c r="N78" s="27">
        <f>IF('2 Employees'!N255&gt;0,1,0)</f>
        <v>0</v>
      </c>
      <c r="O78" s="27"/>
      <c r="P78" s="27">
        <f>IF('2 Employees'!P255&gt;0,1,0)</f>
        <v>0</v>
      </c>
      <c r="Q78" s="27">
        <f>IF('2 Employees'!Q255&gt;0,1,0)</f>
        <v>0</v>
      </c>
      <c r="R78" s="27">
        <f>IF('2 Employees'!R255&gt;0,1,0)</f>
        <v>0</v>
      </c>
      <c r="S78" s="27">
        <f>IF('2 Employees'!S255&gt;0,1,0)</f>
        <v>0</v>
      </c>
      <c r="T78" s="27">
        <f>IF('2 Employees'!T255&gt;0,1,0)</f>
        <v>0</v>
      </c>
      <c r="U78" s="27">
        <f>IF('2 Employees'!U255&gt;0,1,0)</f>
        <v>0</v>
      </c>
      <c r="V78" s="27">
        <f>IF('2 Employees'!V255&gt;0,1,0)</f>
        <v>0</v>
      </c>
      <c r="W78" s="27">
        <f>IF('2 Employees'!W255&gt;0,1,0)</f>
        <v>0</v>
      </c>
      <c r="X78" s="27">
        <f>IF('2 Employees'!X255&gt;0,1,0)</f>
        <v>0</v>
      </c>
      <c r="Y78" s="27">
        <f>IF('2 Employees'!Y255&gt;0,1,0)</f>
        <v>0</v>
      </c>
      <c r="Z78" s="27">
        <f>IF('2 Employees'!Z255&gt;0,1,0)</f>
        <v>0</v>
      </c>
      <c r="AA78" s="27">
        <f>IF('2 Employees'!AA255&gt;0,1,0)</f>
        <v>0</v>
      </c>
      <c r="AC78" s="27">
        <f t="shared" si="86"/>
        <v>0</v>
      </c>
      <c r="AD78" s="27">
        <f t="shared" si="87"/>
        <v>0</v>
      </c>
      <c r="AE78" s="27">
        <f t="shared" si="88"/>
        <v>0</v>
      </c>
      <c r="AF78" s="27">
        <f t="shared" si="89"/>
        <v>0</v>
      </c>
      <c r="AH78" s="27">
        <f t="shared" si="90"/>
        <v>0</v>
      </c>
      <c r="AI78" s="27">
        <f t="shared" si="91"/>
        <v>0</v>
      </c>
      <c r="AJ78" s="27">
        <f t="shared" si="92"/>
        <v>0</v>
      </c>
      <c r="AK78" s="27">
        <f t="shared" si="93"/>
        <v>0</v>
      </c>
      <c r="AM78" s="27">
        <f t="shared" si="94"/>
        <v>0</v>
      </c>
      <c r="AN78" s="27">
        <f t="shared" si="95"/>
        <v>0</v>
      </c>
    </row>
    <row r="79" spans="2:40" x14ac:dyDescent="0.2">
      <c r="B79" s="30" t="str">
        <f>+'2 Employees'!B260</f>
        <v>Employee, New</v>
      </c>
      <c r="C79" s="27">
        <f>IF('2 Employees'!C260&gt;0,1,0)</f>
        <v>0</v>
      </c>
      <c r="D79" s="27">
        <f>IF('2 Employees'!D260&gt;0,1,0)</f>
        <v>0</v>
      </c>
      <c r="E79" s="27">
        <f>IF('2 Employees'!E260&gt;0,1,0)</f>
        <v>0</v>
      </c>
      <c r="F79" s="27">
        <f>IF('2 Employees'!F260&gt;0,1,0)</f>
        <v>0</v>
      </c>
      <c r="G79" s="27">
        <f>IF('2 Employees'!G260&gt;0,1,0)</f>
        <v>0</v>
      </c>
      <c r="H79" s="27">
        <f>IF('2 Employees'!H260&gt;0,1,0)</f>
        <v>0</v>
      </c>
      <c r="I79" s="27">
        <f>IF('2 Employees'!I260&gt;0,1,0)</f>
        <v>0</v>
      </c>
      <c r="J79" s="27">
        <f>IF('2 Employees'!J260&gt;0,1,0)</f>
        <v>0</v>
      </c>
      <c r="K79" s="27">
        <f>IF('2 Employees'!K260&gt;0,1,0)</f>
        <v>0</v>
      </c>
      <c r="L79" s="27">
        <f>IF('2 Employees'!L260&gt;0,1,0)</f>
        <v>0</v>
      </c>
      <c r="M79" s="27">
        <f>IF('2 Employees'!M260&gt;0,1,0)</f>
        <v>0</v>
      </c>
      <c r="N79" s="27">
        <f>IF('2 Employees'!N260&gt;0,1,0)</f>
        <v>0</v>
      </c>
      <c r="O79" s="27"/>
      <c r="P79" s="27">
        <f>IF('2 Employees'!P260&gt;0,1,0)</f>
        <v>0</v>
      </c>
      <c r="Q79" s="27">
        <f>IF('2 Employees'!Q260&gt;0,1,0)</f>
        <v>0</v>
      </c>
      <c r="R79" s="27">
        <f>IF('2 Employees'!R260&gt;0,1,0)</f>
        <v>0</v>
      </c>
      <c r="S79" s="27">
        <f>IF('2 Employees'!S260&gt;0,1,0)</f>
        <v>0</v>
      </c>
      <c r="T79" s="27">
        <f>IF('2 Employees'!T260&gt;0,1,0)</f>
        <v>0</v>
      </c>
      <c r="U79" s="27">
        <f>IF('2 Employees'!U260&gt;0,1,0)</f>
        <v>0</v>
      </c>
      <c r="V79" s="27">
        <f>IF('2 Employees'!V260&gt;0,1,0)</f>
        <v>0</v>
      </c>
      <c r="W79" s="27">
        <f>IF('2 Employees'!W260&gt;0,1,0)</f>
        <v>0</v>
      </c>
      <c r="X79" s="27">
        <f>IF('2 Employees'!X260&gt;0,1,0)</f>
        <v>0</v>
      </c>
      <c r="Y79" s="27">
        <f>IF('2 Employees'!Y260&gt;0,1,0)</f>
        <v>0</v>
      </c>
      <c r="Z79" s="27">
        <f>IF('2 Employees'!Z260&gt;0,1,0)</f>
        <v>0</v>
      </c>
      <c r="AA79" s="27">
        <f>IF('2 Employees'!AA260&gt;0,1,0)</f>
        <v>0</v>
      </c>
      <c r="AC79" s="27">
        <f t="shared" si="86"/>
        <v>0</v>
      </c>
      <c r="AD79" s="27">
        <f t="shared" si="87"/>
        <v>0</v>
      </c>
      <c r="AE79" s="27">
        <f t="shared" si="88"/>
        <v>0</v>
      </c>
      <c r="AF79" s="27">
        <f t="shared" si="89"/>
        <v>0</v>
      </c>
      <c r="AH79" s="27">
        <f t="shared" si="90"/>
        <v>0</v>
      </c>
      <c r="AI79" s="27">
        <f t="shared" si="91"/>
        <v>0</v>
      </c>
      <c r="AJ79" s="27">
        <f t="shared" si="92"/>
        <v>0</v>
      </c>
      <c r="AK79" s="27">
        <f t="shared" si="93"/>
        <v>0</v>
      </c>
      <c r="AM79" s="27">
        <f t="shared" si="94"/>
        <v>0</v>
      </c>
      <c r="AN79" s="27">
        <f t="shared" si="95"/>
        <v>0</v>
      </c>
    </row>
    <row r="80" spans="2:40" x14ac:dyDescent="0.2">
      <c r="B80" s="30" t="str">
        <f>+'2 Employees'!B265</f>
        <v>Employee, New</v>
      </c>
      <c r="C80" s="27">
        <f>IF('2 Employees'!C265&gt;0,1,0)</f>
        <v>0</v>
      </c>
      <c r="D80" s="27">
        <f>IF('2 Employees'!D265&gt;0,1,0)</f>
        <v>0</v>
      </c>
      <c r="E80" s="27">
        <f>IF('2 Employees'!E265&gt;0,1,0)</f>
        <v>0</v>
      </c>
      <c r="F80" s="27">
        <f>IF('2 Employees'!F265&gt;0,1,0)</f>
        <v>0</v>
      </c>
      <c r="G80" s="27">
        <f>IF('2 Employees'!G265&gt;0,1,0)</f>
        <v>0</v>
      </c>
      <c r="H80" s="27">
        <f>IF('2 Employees'!H265&gt;0,1,0)</f>
        <v>0</v>
      </c>
      <c r="I80" s="27">
        <f>IF('2 Employees'!I265&gt;0,1,0)</f>
        <v>0</v>
      </c>
      <c r="J80" s="27">
        <f>IF('2 Employees'!J265&gt;0,1,0)</f>
        <v>0</v>
      </c>
      <c r="K80" s="27">
        <f>IF('2 Employees'!K265&gt;0,1,0)</f>
        <v>0</v>
      </c>
      <c r="L80" s="27">
        <f>IF('2 Employees'!L265&gt;0,1,0)</f>
        <v>0</v>
      </c>
      <c r="M80" s="27">
        <f>IF('2 Employees'!M265&gt;0,1,0)</f>
        <v>0</v>
      </c>
      <c r="N80" s="27">
        <f>IF('2 Employees'!N265&gt;0,1,0)</f>
        <v>0</v>
      </c>
      <c r="O80" s="27"/>
      <c r="P80" s="27">
        <f>IF('2 Employees'!P265&gt;0,1,0)</f>
        <v>0</v>
      </c>
      <c r="Q80" s="27">
        <f>IF('2 Employees'!Q265&gt;0,1,0)</f>
        <v>0</v>
      </c>
      <c r="R80" s="27">
        <f>IF('2 Employees'!R265&gt;0,1,0)</f>
        <v>0</v>
      </c>
      <c r="S80" s="27">
        <f>IF('2 Employees'!S265&gt;0,1,0)</f>
        <v>0</v>
      </c>
      <c r="T80" s="27">
        <f>IF('2 Employees'!T265&gt;0,1,0)</f>
        <v>0</v>
      </c>
      <c r="U80" s="27">
        <f>IF('2 Employees'!U265&gt;0,1,0)</f>
        <v>0</v>
      </c>
      <c r="V80" s="27">
        <f>IF('2 Employees'!V265&gt;0,1,0)</f>
        <v>0</v>
      </c>
      <c r="W80" s="27">
        <f>IF('2 Employees'!W265&gt;0,1,0)</f>
        <v>0</v>
      </c>
      <c r="X80" s="27">
        <f>IF('2 Employees'!X265&gt;0,1,0)</f>
        <v>0</v>
      </c>
      <c r="Y80" s="27">
        <f>IF('2 Employees'!Y265&gt;0,1,0)</f>
        <v>0</v>
      </c>
      <c r="Z80" s="27">
        <f>IF('2 Employees'!Z265&gt;0,1,0)</f>
        <v>0</v>
      </c>
      <c r="AA80" s="27">
        <f>IF('2 Employees'!AA265&gt;0,1,0)</f>
        <v>0</v>
      </c>
      <c r="AC80" s="27">
        <f t="shared" si="86"/>
        <v>0</v>
      </c>
      <c r="AD80" s="27">
        <f t="shared" si="87"/>
        <v>0</v>
      </c>
      <c r="AE80" s="27">
        <f t="shared" si="88"/>
        <v>0</v>
      </c>
      <c r="AF80" s="27">
        <f t="shared" si="89"/>
        <v>0</v>
      </c>
      <c r="AH80" s="27">
        <f t="shared" si="90"/>
        <v>0</v>
      </c>
      <c r="AI80" s="27">
        <f t="shared" si="91"/>
        <v>0</v>
      </c>
      <c r="AJ80" s="27">
        <f t="shared" si="92"/>
        <v>0</v>
      </c>
      <c r="AK80" s="27">
        <f t="shared" si="93"/>
        <v>0</v>
      </c>
      <c r="AM80" s="27">
        <f t="shared" si="94"/>
        <v>0</v>
      </c>
      <c r="AN80" s="27">
        <f t="shared" si="95"/>
        <v>0</v>
      </c>
    </row>
    <row r="81" spans="2:40" x14ac:dyDescent="0.2">
      <c r="B81" s="30" t="str">
        <f>+'2 Employees'!B270</f>
        <v>Employee, New</v>
      </c>
      <c r="C81" s="27">
        <f>IF('2 Employees'!C270&gt;0,1,0)</f>
        <v>0</v>
      </c>
      <c r="D81" s="27">
        <f>IF('2 Employees'!D270&gt;0,1,0)</f>
        <v>0</v>
      </c>
      <c r="E81" s="27">
        <f>IF('2 Employees'!E270&gt;0,1,0)</f>
        <v>0</v>
      </c>
      <c r="F81" s="27">
        <f>IF('2 Employees'!F270&gt;0,1,0)</f>
        <v>0</v>
      </c>
      <c r="G81" s="27">
        <f>IF('2 Employees'!G270&gt;0,1,0)</f>
        <v>0</v>
      </c>
      <c r="H81" s="27">
        <f>IF('2 Employees'!H270&gt;0,1,0)</f>
        <v>0</v>
      </c>
      <c r="I81" s="27">
        <f>IF('2 Employees'!I270&gt;0,1,0)</f>
        <v>0</v>
      </c>
      <c r="J81" s="27">
        <f>IF('2 Employees'!J270&gt;0,1,0)</f>
        <v>0</v>
      </c>
      <c r="K81" s="27">
        <f>IF('2 Employees'!K270&gt;0,1,0)</f>
        <v>0</v>
      </c>
      <c r="L81" s="27">
        <f>IF('2 Employees'!L270&gt;0,1,0)</f>
        <v>0</v>
      </c>
      <c r="M81" s="27">
        <f>IF('2 Employees'!M270&gt;0,1,0)</f>
        <v>0</v>
      </c>
      <c r="N81" s="27">
        <f>IF('2 Employees'!N270&gt;0,1,0)</f>
        <v>0</v>
      </c>
      <c r="O81" s="27"/>
      <c r="P81" s="27">
        <f>IF('2 Employees'!P270&gt;0,1,0)</f>
        <v>0</v>
      </c>
      <c r="Q81" s="27">
        <f>IF('2 Employees'!Q270&gt;0,1,0)</f>
        <v>0</v>
      </c>
      <c r="R81" s="27">
        <f>IF('2 Employees'!R270&gt;0,1,0)</f>
        <v>0</v>
      </c>
      <c r="S81" s="27">
        <f>IF('2 Employees'!S270&gt;0,1,0)</f>
        <v>0</v>
      </c>
      <c r="T81" s="27">
        <f>IF('2 Employees'!T270&gt;0,1,0)</f>
        <v>0</v>
      </c>
      <c r="U81" s="27">
        <f>IF('2 Employees'!U270&gt;0,1,0)</f>
        <v>0</v>
      </c>
      <c r="V81" s="27">
        <f>IF('2 Employees'!V270&gt;0,1,0)</f>
        <v>0</v>
      </c>
      <c r="W81" s="27">
        <f>IF('2 Employees'!W270&gt;0,1,0)</f>
        <v>0</v>
      </c>
      <c r="X81" s="27">
        <f>IF('2 Employees'!X270&gt;0,1,0)</f>
        <v>0</v>
      </c>
      <c r="Y81" s="27">
        <f>IF('2 Employees'!Y270&gt;0,1,0)</f>
        <v>0</v>
      </c>
      <c r="Z81" s="27">
        <f>IF('2 Employees'!Z270&gt;0,1,0)</f>
        <v>0</v>
      </c>
      <c r="AA81" s="27">
        <f>IF('2 Employees'!AA270&gt;0,1,0)</f>
        <v>0</v>
      </c>
      <c r="AC81" s="27">
        <f t="shared" si="86"/>
        <v>0</v>
      </c>
      <c r="AD81" s="27">
        <f t="shared" si="87"/>
        <v>0</v>
      </c>
      <c r="AE81" s="27">
        <f t="shared" si="88"/>
        <v>0</v>
      </c>
      <c r="AF81" s="27">
        <f t="shared" si="89"/>
        <v>0</v>
      </c>
      <c r="AH81" s="27">
        <f t="shared" si="90"/>
        <v>0</v>
      </c>
      <c r="AI81" s="27">
        <f t="shared" si="91"/>
        <v>0</v>
      </c>
      <c r="AJ81" s="27">
        <f t="shared" si="92"/>
        <v>0</v>
      </c>
      <c r="AK81" s="27">
        <f t="shared" si="93"/>
        <v>0</v>
      </c>
      <c r="AM81" s="27">
        <f t="shared" si="94"/>
        <v>0</v>
      </c>
      <c r="AN81" s="27">
        <f t="shared" si="95"/>
        <v>0</v>
      </c>
    </row>
    <row r="82" spans="2:40" x14ac:dyDescent="0.2">
      <c r="B82" s="30" t="str">
        <f>+'2 Employees'!B275</f>
        <v>Employee, New</v>
      </c>
      <c r="C82" s="27">
        <f>IF('2 Employees'!C275&gt;0,1,0)</f>
        <v>0</v>
      </c>
      <c r="D82" s="27">
        <f>IF('2 Employees'!D275&gt;0,1,0)</f>
        <v>0</v>
      </c>
      <c r="E82" s="27">
        <f>IF('2 Employees'!E275&gt;0,1,0)</f>
        <v>0</v>
      </c>
      <c r="F82" s="27">
        <f>IF('2 Employees'!F275&gt;0,1,0)</f>
        <v>0</v>
      </c>
      <c r="G82" s="27">
        <f>IF('2 Employees'!G275&gt;0,1,0)</f>
        <v>0</v>
      </c>
      <c r="H82" s="27">
        <f>IF('2 Employees'!H275&gt;0,1,0)</f>
        <v>0</v>
      </c>
      <c r="I82" s="27">
        <f>IF('2 Employees'!I275&gt;0,1,0)</f>
        <v>0</v>
      </c>
      <c r="J82" s="27">
        <f>IF('2 Employees'!J275&gt;0,1,0)</f>
        <v>0</v>
      </c>
      <c r="K82" s="27">
        <f>IF('2 Employees'!K275&gt;0,1,0)</f>
        <v>0</v>
      </c>
      <c r="L82" s="27">
        <f>IF('2 Employees'!L275&gt;0,1,0)</f>
        <v>0</v>
      </c>
      <c r="M82" s="27">
        <f>IF('2 Employees'!M275&gt;0,1,0)</f>
        <v>0</v>
      </c>
      <c r="N82" s="27">
        <f>IF('2 Employees'!N275&gt;0,1,0)</f>
        <v>0</v>
      </c>
      <c r="O82" s="27"/>
      <c r="P82" s="27">
        <f>IF('2 Employees'!P275&gt;0,1,0)</f>
        <v>0</v>
      </c>
      <c r="Q82" s="27">
        <f>IF('2 Employees'!Q275&gt;0,1,0)</f>
        <v>0</v>
      </c>
      <c r="R82" s="27">
        <f>IF('2 Employees'!R275&gt;0,1,0)</f>
        <v>0</v>
      </c>
      <c r="S82" s="27">
        <f>IF('2 Employees'!S275&gt;0,1,0)</f>
        <v>0</v>
      </c>
      <c r="T82" s="27">
        <f>IF('2 Employees'!T275&gt;0,1,0)</f>
        <v>0</v>
      </c>
      <c r="U82" s="27">
        <f>IF('2 Employees'!U275&gt;0,1,0)</f>
        <v>0</v>
      </c>
      <c r="V82" s="27">
        <f>IF('2 Employees'!V275&gt;0,1,0)</f>
        <v>0</v>
      </c>
      <c r="W82" s="27">
        <f>IF('2 Employees'!W275&gt;0,1,0)</f>
        <v>0</v>
      </c>
      <c r="X82" s="27">
        <f>IF('2 Employees'!X275&gt;0,1,0)</f>
        <v>0</v>
      </c>
      <c r="Y82" s="27">
        <f>IF('2 Employees'!Y275&gt;0,1,0)</f>
        <v>0</v>
      </c>
      <c r="Z82" s="27">
        <f>IF('2 Employees'!Z275&gt;0,1,0)</f>
        <v>0</v>
      </c>
      <c r="AA82" s="27">
        <f>IF('2 Employees'!AA275&gt;0,1,0)</f>
        <v>0</v>
      </c>
      <c r="AC82" s="27">
        <f t="shared" si="86"/>
        <v>0</v>
      </c>
      <c r="AD82" s="27">
        <f t="shared" si="87"/>
        <v>0</v>
      </c>
      <c r="AE82" s="27">
        <f t="shared" si="88"/>
        <v>0</v>
      </c>
      <c r="AF82" s="27">
        <f t="shared" si="89"/>
        <v>0</v>
      </c>
      <c r="AH82" s="27">
        <f t="shared" si="90"/>
        <v>0</v>
      </c>
      <c r="AI82" s="27">
        <f t="shared" si="91"/>
        <v>0</v>
      </c>
      <c r="AJ82" s="27">
        <f t="shared" si="92"/>
        <v>0</v>
      </c>
      <c r="AK82" s="27">
        <f t="shared" si="93"/>
        <v>0</v>
      </c>
      <c r="AM82" s="27">
        <f t="shared" si="94"/>
        <v>0</v>
      </c>
      <c r="AN82" s="27">
        <f t="shared" si="95"/>
        <v>0</v>
      </c>
    </row>
    <row r="83" spans="2:40" x14ac:dyDescent="0.2">
      <c r="B83" s="30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spans="2:40" x14ac:dyDescent="0.2">
      <c r="B84" s="28" t="s">
        <v>150</v>
      </c>
      <c r="C84" s="29">
        <f>SUM(C74:C83)</f>
        <v>2</v>
      </c>
      <c r="D84" s="29">
        <f t="shared" ref="D84" si="96">SUM(D74:D83)</f>
        <v>2</v>
      </c>
      <c r="E84" s="29">
        <f t="shared" ref="E84" si="97">SUM(E74:E83)</f>
        <v>2</v>
      </c>
      <c r="F84" s="29">
        <f t="shared" ref="F84" si="98">SUM(F74:F83)</f>
        <v>2</v>
      </c>
      <c r="G84" s="29">
        <f t="shared" ref="G84" si="99">SUM(G74:G83)</f>
        <v>2</v>
      </c>
      <c r="H84" s="29">
        <f t="shared" ref="H84" si="100">SUM(H74:H83)</f>
        <v>2</v>
      </c>
      <c r="I84" s="29">
        <f t="shared" ref="I84" si="101">SUM(I74:I83)</f>
        <v>2</v>
      </c>
      <c r="J84" s="29">
        <f t="shared" ref="J84" si="102">SUM(J74:J83)</f>
        <v>2</v>
      </c>
      <c r="K84" s="29">
        <f t="shared" ref="K84" si="103">SUM(K74:K83)</f>
        <v>2</v>
      </c>
      <c r="L84" s="29">
        <f t="shared" ref="L84" si="104">SUM(L74:L83)</f>
        <v>2</v>
      </c>
      <c r="M84" s="29">
        <f t="shared" ref="M84" si="105">SUM(M74:M83)</f>
        <v>1</v>
      </c>
      <c r="N84" s="29">
        <f t="shared" ref="N84" si="106">SUM(N74:N83)</f>
        <v>1</v>
      </c>
      <c r="O84" s="29"/>
      <c r="P84" s="29">
        <f t="shared" ref="P84:AN84" si="107">SUM(P74:P83)</f>
        <v>1</v>
      </c>
      <c r="Q84" s="29">
        <f t="shared" si="107"/>
        <v>1</v>
      </c>
      <c r="R84" s="29">
        <f t="shared" si="107"/>
        <v>1</v>
      </c>
      <c r="S84" s="29">
        <f t="shared" si="107"/>
        <v>1</v>
      </c>
      <c r="T84" s="29">
        <f t="shared" si="107"/>
        <v>1</v>
      </c>
      <c r="U84" s="29">
        <f t="shared" si="107"/>
        <v>1</v>
      </c>
      <c r="V84" s="29">
        <f t="shared" si="107"/>
        <v>1</v>
      </c>
      <c r="W84" s="29">
        <f t="shared" si="107"/>
        <v>1</v>
      </c>
      <c r="X84" s="29">
        <f t="shared" si="107"/>
        <v>1</v>
      </c>
      <c r="Y84" s="29">
        <f t="shared" si="107"/>
        <v>1</v>
      </c>
      <c r="Z84" s="29">
        <f t="shared" si="107"/>
        <v>1</v>
      </c>
      <c r="AA84" s="29">
        <f t="shared" si="107"/>
        <v>1</v>
      </c>
      <c r="AC84" s="29">
        <f t="shared" si="107"/>
        <v>2</v>
      </c>
      <c r="AD84" s="29">
        <f t="shared" si="107"/>
        <v>2</v>
      </c>
      <c r="AE84" s="29">
        <f t="shared" si="107"/>
        <v>2</v>
      </c>
      <c r="AF84" s="29">
        <f t="shared" si="107"/>
        <v>1</v>
      </c>
      <c r="AH84" s="29">
        <f t="shared" si="107"/>
        <v>1</v>
      </c>
      <c r="AI84" s="29">
        <f t="shared" si="107"/>
        <v>1</v>
      </c>
      <c r="AJ84" s="29">
        <f t="shared" si="107"/>
        <v>1</v>
      </c>
      <c r="AK84" s="29">
        <f t="shared" si="107"/>
        <v>1</v>
      </c>
      <c r="AM84" s="29">
        <f t="shared" si="107"/>
        <v>1</v>
      </c>
      <c r="AN84" s="29">
        <f t="shared" si="107"/>
        <v>1</v>
      </c>
    </row>
    <row r="85" spans="2:40" x14ac:dyDescent="0.2">
      <c r="B85" s="28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2:40" x14ac:dyDescent="0.2">
      <c r="B86" s="28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2:40" x14ac:dyDescent="0.2">
      <c r="B87" s="173" t="s">
        <v>151</v>
      </c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5"/>
    </row>
    <row r="88" spans="2:40" x14ac:dyDescent="0.2">
      <c r="B88" s="28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2:40" x14ac:dyDescent="0.2">
      <c r="B89" s="30" t="s">
        <v>82</v>
      </c>
      <c r="C89" s="27">
        <f>+C22</f>
        <v>9</v>
      </c>
      <c r="D89" s="27">
        <f t="shared" ref="D89:N89" si="108">+D22</f>
        <v>9</v>
      </c>
      <c r="E89" s="27">
        <f t="shared" si="108"/>
        <v>9</v>
      </c>
      <c r="F89" s="27">
        <f t="shared" si="108"/>
        <v>7</v>
      </c>
      <c r="G89" s="27">
        <f t="shared" si="108"/>
        <v>7</v>
      </c>
      <c r="H89" s="27">
        <f t="shared" si="108"/>
        <v>7</v>
      </c>
      <c r="I89" s="27">
        <f t="shared" si="108"/>
        <v>7</v>
      </c>
      <c r="J89" s="27">
        <f t="shared" si="108"/>
        <v>7</v>
      </c>
      <c r="K89" s="27">
        <f t="shared" si="108"/>
        <v>7</v>
      </c>
      <c r="L89" s="27">
        <f t="shared" si="108"/>
        <v>7</v>
      </c>
      <c r="M89" s="27">
        <f t="shared" si="108"/>
        <v>7</v>
      </c>
      <c r="N89" s="27">
        <f t="shared" si="108"/>
        <v>7</v>
      </c>
      <c r="O89" s="27"/>
      <c r="P89" s="27">
        <f t="shared" ref="P89:AA89" si="109">+P22</f>
        <v>7</v>
      </c>
      <c r="Q89" s="27">
        <f t="shared" si="109"/>
        <v>7</v>
      </c>
      <c r="R89" s="27">
        <f t="shared" si="109"/>
        <v>7</v>
      </c>
      <c r="S89" s="27">
        <f t="shared" si="109"/>
        <v>7</v>
      </c>
      <c r="T89" s="27">
        <f t="shared" si="109"/>
        <v>7</v>
      </c>
      <c r="U89" s="27">
        <f t="shared" si="109"/>
        <v>7</v>
      </c>
      <c r="V89" s="27">
        <f t="shared" si="109"/>
        <v>7</v>
      </c>
      <c r="W89" s="27">
        <f t="shared" si="109"/>
        <v>7</v>
      </c>
      <c r="X89" s="27">
        <f t="shared" si="109"/>
        <v>7</v>
      </c>
      <c r="Y89" s="27">
        <f t="shared" si="109"/>
        <v>7</v>
      </c>
      <c r="Z89" s="27">
        <f t="shared" si="109"/>
        <v>7</v>
      </c>
      <c r="AA89" s="27">
        <f t="shared" si="109"/>
        <v>7</v>
      </c>
      <c r="AC89" s="27">
        <f t="shared" ref="AC89:AF89" si="110">+AC22</f>
        <v>9</v>
      </c>
      <c r="AD89" s="27">
        <f t="shared" si="110"/>
        <v>7</v>
      </c>
      <c r="AE89" s="27">
        <f t="shared" si="110"/>
        <v>7</v>
      </c>
      <c r="AF89" s="27">
        <f t="shared" si="110"/>
        <v>7</v>
      </c>
      <c r="AH89" s="27">
        <f t="shared" ref="AH89:AK89" si="111">+AH22</f>
        <v>7</v>
      </c>
      <c r="AI89" s="27">
        <f t="shared" si="111"/>
        <v>7</v>
      </c>
      <c r="AJ89" s="27">
        <f t="shared" si="111"/>
        <v>7</v>
      </c>
      <c r="AK89" s="27">
        <f t="shared" si="111"/>
        <v>7</v>
      </c>
      <c r="AM89" s="27">
        <f t="shared" ref="AM89:AN89" si="112">+AM22</f>
        <v>7</v>
      </c>
      <c r="AN89" s="27">
        <f t="shared" si="112"/>
        <v>7</v>
      </c>
    </row>
    <row r="90" spans="2:40" x14ac:dyDescent="0.2">
      <c r="B90" s="30" t="s">
        <v>99</v>
      </c>
      <c r="C90" s="27">
        <f>+C35</f>
        <v>3</v>
      </c>
      <c r="D90" s="27">
        <f t="shared" ref="D90:N90" si="113">+D35</f>
        <v>3</v>
      </c>
      <c r="E90" s="27">
        <f t="shared" si="113"/>
        <v>3</v>
      </c>
      <c r="F90" s="27">
        <f t="shared" si="113"/>
        <v>3</v>
      </c>
      <c r="G90" s="27">
        <f t="shared" si="113"/>
        <v>3</v>
      </c>
      <c r="H90" s="27">
        <f t="shared" si="113"/>
        <v>3</v>
      </c>
      <c r="I90" s="27">
        <f t="shared" si="113"/>
        <v>3</v>
      </c>
      <c r="J90" s="27">
        <f t="shared" si="113"/>
        <v>3</v>
      </c>
      <c r="K90" s="27">
        <f t="shared" si="113"/>
        <v>3</v>
      </c>
      <c r="L90" s="27">
        <f t="shared" si="113"/>
        <v>3</v>
      </c>
      <c r="M90" s="27">
        <f t="shared" si="113"/>
        <v>3</v>
      </c>
      <c r="N90" s="27">
        <f t="shared" si="113"/>
        <v>3</v>
      </c>
      <c r="O90" s="27"/>
      <c r="P90" s="27">
        <f t="shared" ref="P90:AA90" si="114">+P35</f>
        <v>3</v>
      </c>
      <c r="Q90" s="27">
        <f t="shared" si="114"/>
        <v>3</v>
      </c>
      <c r="R90" s="27">
        <f t="shared" si="114"/>
        <v>3</v>
      </c>
      <c r="S90" s="27">
        <f t="shared" si="114"/>
        <v>3</v>
      </c>
      <c r="T90" s="27">
        <f t="shared" si="114"/>
        <v>3</v>
      </c>
      <c r="U90" s="27">
        <f t="shared" si="114"/>
        <v>3</v>
      </c>
      <c r="V90" s="27">
        <f t="shared" si="114"/>
        <v>3</v>
      </c>
      <c r="W90" s="27">
        <f t="shared" si="114"/>
        <v>3</v>
      </c>
      <c r="X90" s="27">
        <f t="shared" si="114"/>
        <v>3</v>
      </c>
      <c r="Y90" s="27">
        <f t="shared" si="114"/>
        <v>3</v>
      </c>
      <c r="Z90" s="27">
        <f t="shared" si="114"/>
        <v>3</v>
      </c>
      <c r="AA90" s="27">
        <f t="shared" si="114"/>
        <v>3</v>
      </c>
      <c r="AC90" s="27">
        <f t="shared" ref="AC90:AF90" si="115">+AC35</f>
        <v>3</v>
      </c>
      <c r="AD90" s="27">
        <f t="shared" si="115"/>
        <v>3</v>
      </c>
      <c r="AE90" s="27">
        <f t="shared" si="115"/>
        <v>3</v>
      </c>
      <c r="AF90" s="27">
        <f t="shared" si="115"/>
        <v>3</v>
      </c>
      <c r="AH90" s="27">
        <f t="shared" ref="AH90:AK90" si="116">+AH35</f>
        <v>3</v>
      </c>
      <c r="AI90" s="27">
        <f t="shared" si="116"/>
        <v>3</v>
      </c>
      <c r="AJ90" s="27">
        <f t="shared" si="116"/>
        <v>3</v>
      </c>
      <c r="AK90" s="27">
        <f t="shared" si="116"/>
        <v>3</v>
      </c>
      <c r="AM90" s="27">
        <f t="shared" ref="AM90:AN90" si="117">+AM35</f>
        <v>3</v>
      </c>
      <c r="AN90" s="27">
        <f t="shared" si="117"/>
        <v>3</v>
      </c>
    </row>
    <row r="91" spans="2:40" x14ac:dyDescent="0.2">
      <c r="B91" s="28" t="s">
        <v>100</v>
      </c>
      <c r="C91" s="29">
        <f t="shared" ref="C91:N91" si="118">SUM(C89:C90)</f>
        <v>12</v>
      </c>
      <c r="D91" s="29">
        <f t="shared" si="118"/>
        <v>12</v>
      </c>
      <c r="E91" s="29">
        <f t="shared" si="118"/>
        <v>12</v>
      </c>
      <c r="F91" s="29">
        <f t="shared" si="118"/>
        <v>10</v>
      </c>
      <c r="G91" s="29">
        <f t="shared" si="118"/>
        <v>10</v>
      </c>
      <c r="H91" s="29">
        <f t="shared" si="118"/>
        <v>10</v>
      </c>
      <c r="I91" s="29">
        <f t="shared" si="118"/>
        <v>10</v>
      </c>
      <c r="J91" s="29">
        <f t="shared" si="118"/>
        <v>10</v>
      </c>
      <c r="K91" s="29">
        <f t="shared" si="118"/>
        <v>10</v>
      </c>
      <c r="L91" s="29">
        <f t="shared" si="118"/>
        <v>10</v>
      </c>
      <c r="M91" s="29">
        <f t="shared" si="118"/>
        <v>10</v>
      </c>
      <c r="N91" s="29">
        <f t="shared" si="118"/>
        <v>10</v>
      </c>
      <c r="O91" s="29"/>
      <c r="P91" s="29">
        <f t="shared" ref="P91:AA91" si="119">SUM(P89:P90)</f>
        <v>10</v>
      </c>
      <c r="Q91" s="29">
        <f t="shared" si="119"/>
        <v>10</v>
      </c>
      <c r="R91" s="29">
        <f t="shared" si="119"/>
        <v>10</v>
      </c>
      <c r="S91" s="29">
        <f t="shared" si="119"/>
        <v>10</v>
      </c>
      <c r="T91" s="29">
        <f t="shared" si="119"/>
        <v>10</v>
      </c>
      <c r="U91" s="29">
        <f t="shared" si="119"/>
        <v>10</v>
      </c>
      <c r="V91" s="29">
        <f t="shared" si="119"/>
        <v>10</v>
      </c>
      <c r="W91" s="29">
        <f t="shared" si="119"/>
        <v>10</v>
      </c>
      <c r="X91" s="29">
        <f t="shared" si="119"/>
        <v>10</v>
      </c>
      <c r="Y91" s="29">
        <f t="shared" si="119"/>
        <v>10</v>
      </c>
      <c r="Z91" s="29">
        <f t="shared" si="119"/>
        <v>10</v>
      </c>
      <c r="AA91" s="29">
        <f t="shared" si="119"/>
        <v>10</v>
      </c>
      <c r="AC91" s="29">
        <f t="shared" ref="AC91:AF91" si="120">SUM(AC89:AC90)</f>
        <v>12</v>
      </c>
      <c r="AD91" s="29">
        <f t="shared" si="120"/>
        <v>10</v>
      </c>
      <c r="AE91" s="29">
        <f t="shared" si="120"/>
        <v>10</v>
      </c>
      <c r="AF91" s="29">
        <f t="shared" si="120"/>
        <v>10</v>
      </c>
      <c r="AH91" s="29">
        <f t="shared" ref="AH91:AK91" si="121">SUM(AH89:AH90)</f>
        <v>10</v>
      </c>
      <c r="AI91" s="29">
        <f t="shared" si="121"/>
        <v>10</v>
      </c>
      <c r="AJ91" s="29">
        <f t="shared" si="121"/>
        <v>10</v>
      </c>
      <c r="AK91" s="29">
        <f t="shared" si="121"/>
        <v>10</v>
      </c>
      <c r="AM91" s="29">
        <f t="shared" ref="AM91:AN91" si="122">SUM(AM89:AM90)</f>
        <v>10</v>
      </c>
      <c r="AN91" s="29">
        <f t="shared" si="122"/>
        <v>10</v>
      </c>
    </row>
    <row r="92" spans="2:40" x14ac:dyDescent="0.2"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C92" s="27"/>
      <c r="AD92" s="27"/>
      <c r="AE92" s="27"/>
      <c r="AF92" s="27"/>
      <c r="AH92" s="27"/>
      <c r="AI92" s="27"/>
      <c r="AJ92" s="27"/>
      <c r="AK92" s="27"/>
      <c r="AM92" s="27"/>
      <c r="AN92" s="27"/>
    </row>
    <row r="93" spans="2:40" x14ac:dyDescent="0.2">
      <c r="B93" s="30" t="s">
        <v>82</v>
      </c>
      <c r="C93" s="27">
        <f>+C46</f>
        <v>0</v>
      </c>
      <c r="D93" s="27">
        <f t="shared" ref="D93:N93" si="123">+D46</f>
        <v>0</v>
      </c>
      <c r="E93" s="27">
        <f t="shared" si="123"/>
        <v>0</v>
      </c>
      <c r="F93" s="27">
        <f t="shared" si="123"/>
        <v>0</v>
      </c>
      <c r="G93" s="27">
        <f t="shared" si="123"/>
        <v>0</v>
      </c>
      <c r="H93" s="27">
        <f t="shared" si="123"/>
        <v>0</v>
      </c>
      <c r="I93" s="27">
        <f t="shared" si="123"/>
        <v>0</v>
      </c>
      <c r="J93" s="27">
        <f t="shared" si="123"/>
        <v>0</v>
      </c>
      <c r="K93" s="27">
        <f t="shared" si="123"/>
        <v>0</v>
      </c>
      <c r="L93" s="27">
        <f t="shared" si="123"/>
        <v>0</v>
      </c>
      <c r="M93" s="27">
        <f t="shared" si="123"/>
        <v>0</v>
      </c>
      <c r="N93" s="27">
        <f t="shared" si="123"/>
        <v>0</v>
      </c>
      <c r="O93" s="27"/>
      <c r="P93" s="27">
        <f t="shared" ref="P93:AA93" si="124">+P46</f>
        <v>0</v>
      </c>
      <c r="Q93" s="27">
        <f t="shared" si="124"/>
        <v>0</v>
      </c>
      <c r="R93" s="27">
        <f t="shared" si="124"/>
        <v>0</v>
      </c>
      <c r="S93" s="27">
        <f t="shared" si="124"/>
        <v>0</v>
      </c>
      <c r="T93" s="27">
        <f t="shared" si="124"/>
        <v>0</v>
      </c>
      <c r="U93" s="27">
        <f t="shared" si="124"/>
        <v>0</v>
      </c>
      <c r="V93" s="27">
        <f t="shared" si="124"/>
        <v>0</v>
      </c>
      <c r="W93" s="27">
        <f t="shared" si="124"/>
        <v>0</v>
      </c>
      <c r="X93" s="27">
        <f t="shared" si="124"/>
        <v>0</v>
      </c>
      <c r="Y93" s="27">
        <f t="shared" si="124"/>
        <v>0</v>
      </c>
      <c r="Z93" s="27">
        <f t="shared" si="124"/>
        <v>0</v>
      </c>
      <c r="AA93" s="27">
        <f t="shared" si="124"/>
        <v>0</v>
      </c>
      <c r="AC93" s="27">
        <f t="shared" ref="AC93:AF93" si="125">+AC46</f>
        <v>0</v>
      </c>
      <c r="AD93" s="27">
        <f t="shared" si="125"/>
        <v>0</v>
      </c>
      <c r="AE93" s="27">
        <f t="shared" si="125"/>
        <v>0</v>
      </c>
      <c r="AF93" s="27">
        <f t="shared" si="125"/>
        <v>0</v>
      </c>
      <c r="AH93" s="27">
        <f t="shared" ref="AH93:AK93" si="126">+AH46</f>
        <v>0</v>
      </c>
      <c r="AI93" s="27">
        <f t="shared" si="126"/>
        <v>0</v>
      </c>
      <c r="AJ93" s="27">
        <f t="shared" si="126"/>
        <v>0</v>
      </c>
      <c r="AK93" s="27">
        <f t="shared" si="126"/>
        <v>0</v>
      </c>
      <c r="AM93" s="27">
        <f t="shared" ref="AM93:AN93" si="127">+AM46</f>
        <v>0</v>
      </c>
      <c r="AN93" s="27">
        <f t="shared" si="127"/>
        <v>0</v>
      </c>
    </row>
    <row r="94" spans="2:40" x14ac:dyDescent="0.2">
      <c r="B94" s="30" t="s">
        <v>99</v>
      </c>
      <c r="C94" s="27">
        <f>+C57</f>
        <v>0</v>
      </c>
      <c r="D94" s="27">
        <f t="shared" ref="D94:N94" si="128">+D57</f>
        <v>0</v>
      </c>
      <c r="E94" s="27">
        <f t="shared" si="128"/>
        <v>0</v>
      </c>
      <c r="F94" s="27">
        <f t="shared" si="128"/>
        <v>2</v>
      </c>
      <c r="G94" s="27">
        <f t="shared" si="128"/>
        <v>2</v>
      </c>
      <c r="H94" s="27">
        <f t="shared" si="128"/>
        <v>2</v>
      </c>
      <c r="I94" s="27">
        <f t="shared" si="128"/>
        <v>2</v>
      </c>
      <c r="J94" s="27">
        <f t="shared" si="128"/>
        <v>2</v>
      </c>
      <c r="K94" s="27">
        <f t="shared" si="128"/>
        <v>2</v>
      </c>
      <c r="L94" s="27">
        <f t="shared" si="128"/>
        <v>1</v>
      </c>
      <c r="M94" s="27">
        <f t="shared" si="128"/>
        <v>1</v>
      </c>
      <c r="N94" s="27">
        <f t="shared" si="128"/>
        <v>1</v>
      </c>
      <c r="O94" s="27"/>
      <c r="P94" s="27">
        <f t="shared" ref="P94:AA94" si="129">+P57</f>
        <v>1</v>
      </c>
      <c r="Q94" s="27">
        <f t="shared" si="129"/>
        <v>1</v>
      </c>
      <c r="R94" s="27">
        <f t="shared" si="129"/>
        <v>1</v>
      </c>
      <c r="S94" s="27">
        <f t="shared" si="129"/>
        <v>1</v>
      </c>
      <c r="T94" s="27">
        <f t="shared" si="129"/>
        <v>1</v>
      </c>
      <c r="U94" s="27">
        <f t="shared" si="129"/>
        <v>1</v>
      </c>
      <c r="V94" s="27">
        <f t="shared" si="129"/>
        <v>1</v>
      </c>
      <c r="W94" s="27">
        <f t="shared" si="129"/>
        <v>1</v>
      </c>
      <c r="X94" s="27">
        <f t="shared" si="129"/>
        <v>1</v>
      </c>
      <c r="Y94" s="27">
        <f t="shared" si="129"/>
        <v>1</v>
      </c>
      <c r="Z94" s="27">
        <f t="shared" si="129"/>
        <v>1</v>
      </c>
      <c r="AA94" s="27">
        <f t="shared" si="129"/>
        <v>1</v>
      </c>
      <c r="AC94" s="27">
        <f t="shared" ref="AC94:AF94" si="130">+AC57</f>
        <v>0</v>
      </c>
      <c r="AD94" s="27">
        <f t="shared" si="130"/>
        <v>2</v>
      </c>
      <c r="AE94" s="27">
        <f t="shared" si="130"/>
        <v>2</v>
      </c>
      <c r="AF94" s="27">
        <f t="shared" si="130"/>
        <v>1</v>
      </c>
      <c r="AH94" s="27">
        <f t="shared" ref="AH94:AK94" si="131">+AH57</f>
        <v>1</v>
      </c>
      <c r="AI94" s="27">
        <f t="shared" si="131"/>
        <v>1</v>
      </c>
      <c r="AJ94" s="27">
        <f t="shared" si="131"/>
        <v>1</v>
      </c>
      <c r="AK94" s="27">
        <f t="shared" si="131"/>
        <v>1</v>
      </c>
      <c r="AM94" s="27">
        <f t="shared" ref="AM94:AN94" si="132">+AM57</f>
        <v>1</v>
      </c>
      <c r="AN94" s="27">
        <f t="shared" si="132"/>
        <v>1</v>
      </c>
    </row>
    <row r="95" spans="2:40" x14ac:dyDescent="0.2">
      <c r="B95" s="30" t="s">
        <v>101</v>
      </c>
      <c r="C95" s="27">
        <f>+C69</f>
        <v>1</v>
      </c>
      <c r="D95" s="27">
        <f t="shared" ref="D95:N95" si="133">+D69</f>
        <v>1</v>
      </c>
      <c r="E95" s="27">
        <f t="shared" si="133"/>
        <v>2</v>
      </c>
      <c r="F95" s="27">
        <f t="shared" si="133"/>
        <v>3</v>
      </c>
      <c r="G95" s="27">
        <f t="shared" si="133"/>
        <v>2</v>
      </c>
      <c r="H95" s="27">
        <f t="shared" si="133"/>
        <v>3</v>
      </c>
      <c r="I95" s="27">
        <f t="shared" si="133"/>
        <v>3</v>
      </c>
      <c r="J95" s="27">
        <f t="shared" si="133"/>
        <v>4</v>
      </c>
      <c r="K95" s="27">
        <f t="shared" si="133"/>
        <v>2</v>
      </c>
      <c r="L95" s="27">
        <f t="shared" si="133"/>
        <v>2</v>
      </c>
      <c r="M95" s="27">
        <f t="shared" si="133"/>
        <v>2</v>
      </c>
      <c r="N95" s="27">
        <f t="shared" si="133"/>
        <v>2</v>
      </c>
      <c r="O95" s="27"/>
      <c r="P95" s="27">
        <f t="shared" ref="P95:AA95" si="134">+P69</f>
        <v>2</v>
      </c>
      <c r="Q95" s="27">
        <f t="shared" si="134"/>
        <v>2</v>
      </c>
      <c r="R95" s="27">
        <f t="shared" si="134"/>
        <v>2</v>
      </c>
      <c r="S95" s="27">
        <f t="shared" si="134"/>
        <v>2</v>
      </c>
      <c r="T95" s="27">
        <f t="shared" si="134"/>
        <v>2</v>
      </c>
      <c r="U95" s="27">
        <f t="shared" si="134"/>
        <v>2</v>
      </c>
      <c r="V95" s="27">
        <f t="shared" si="134"/>
        <v>2</v>
      </c>
      <c r="W95" s="27">
        <f t="shared" si="134"/>
        <v>2</v>
      </c>
      <c r="X95" s="27">
        <f t="shared" si="134"/>
        <v>2</v>
      </c>
      <c r="Y95" s="27">
        <f t="shared" si="134"/>
        <v>2</v>
      </c>
      <c r="Z95" s="27">
        <f t="shared" si="134"/>
        <v>2</v>
      </c>
      <c r="AA95" s="27">
        <f t="shared" si="134"/>
        <v>2</v>
      </c>
      <c r="AC95" s="27">
        <f t="shared" ref="AC95:AF95" si="135">+AC69</f>
        <v>2</v>
      </c>
      <c r="AD95" s="27">
        <f t="shared" si="135"/>
        <v>3</v>
      </c>
      <c r="AE95" s="27">
        <f t="shared" si="135"/>
        <v>2</v>
      </c>
      <c r="AF95" s="27">
        <f t="shared" si="135"/>
        <v>2</v>
      </c>
      <c r="AH95" s="27">
        <f t="shared" ref="AH95:AK95" si="136">+AH69</f>
        <v>2</v>
      </c>
      <c r="AI95" s="27">
        <f t="shared" si="136"/>
        <v>2</v>
      </c>
      <c r="AJ95" s="27">
        <f t="shared" si="136"/>
        <v>2</v>
      </c>
      <c r="AK95" s="27">
        <f t="shared" si="136"/>
        <v>2</v>
      </c>
      <c r="AM95" s="27">
        <f t="shared" ref="AM95:AN95" si="137">+AM69</f>
        <v>2</v>
      </c>
      <c r="AN95" s="27">
        <f t="shared" si="137"/>
        <v>2</v>
      </c>
    </row>
    <row r="96" spans="2:40" x14ac:dyDescent="0.2">
      <c r="B96" s="28" t="s">
        <v>102</v>
      </c>
      <c r="C96" s="29">
        <f>SUM(C93:C95)</f>
        <v>1</v>
      </c>
      <c r="D96" s="29">
        <f t="shared" ref="D96:N96" si="138">SUM(D93:D95)</f>
        <v>1</v>
      </c>
      <c r="E96" s="29">
        <f t="shared" si="138"/>
        <v>2</v>
      </c>
      <c r="F96" s="29">
        <f t="shared" si="138"/>
        <v>5</v>
      </c>
      <c r="G96" s="29">
        <f t="shared" si="138"/>
        <v>4</v>
      </c>
      <c r="H96" s="29">
        <f t="shared" si="138"/>
        <v>5</v>
      </c>
      <c r="I96" s="29">
        <f t="shared" si="138"/>
        <v>5</v>
      </c>
      <c r="J96" s="29">
        <f t="shared" si="138"/>
        <v>6</v>
      </c>
      <c r="K96" s="29">
        <f t="shared" si="138"/>
        <v>4</v>
      </c>
      <c r="L96" s="29">
        <f t="shared" si="138"/>
        <v>3</v>
      </c>
      <c r="M96" s="29">
        <f t="shared" si="138"/>
        <v>3</v>
      </c>
      <c r="N96" s="29">
        <f t="shared" si="138"/>
        <v>3</v>
      </c>
      <c r="O96" s="29"/>
      <c r="P96" s="29">
        <f t="shared" ref="P96:AA96" si="139">SUM(P93:P95)</f>
        <v>3</v>
      </c>
      <c r="Q96" s="29">
        <f t="shared" si="139"/>
        <v>3</v>
      </c>
      <c r="R96" s="29">
        <f t="shared" si="139"/>
        <v>3</v>
      </c>
      <c r="S96" s="29">
        <f t="shared" si="139"/>
        <v>3</v>
      </c>
      <c r="T96" s="29">
        <f t="shared" si="139"/>
        <v>3</v>
      </c>
      <c r="U96" s="29">
        <f t="shared" si="139"/>
        <v>3</v>
      </c>
      <c r="V96" s="29">
        <f t="shared" si="139"/>
        <v>3</v>
      </c>
      <c r="W96" s="29">
        <f t="shared" si="139"/>
        <v>3</v>
      </c>
      <c r="X96" s="29">
        <f t="shared" si="139"/>
        <v>3</v>
      </c>
      <c r="Y96" s="29">
        <f t="shared" si="139"/>
        <v>3</v>
      </c>
      <c r="Z96" s="29">
        <f t="shared" si="139"/>
        <v>3</v>
      </c>
      <c r="AA96" s="29">
        <f t="shared" si="139"/>
        <v>3</v>
      </c>
      <c r="AC96" s="29">
        <f t="shared" ref="AC96:AF96" si="140">SUM(AC93:AC95)</f>
        <v>2</v>
      </c>
      <c r="AD96" s="29">
        <f t="shared" si="140"/>
        <v>5</v>
      </c>
      <c r="AE96" s="29">
        <f t="shared" si="140"/>
        <v>4</v>
      </c>
      <c r="AF96" s="29">
        <f t="shared" si="140"/>
        <v>3</v>
      </c>
      <c r="AH96" s="29">
        <f t="shared" ref="AH96:AK96" si="141">SUM(AH93:AH95)</f>
        <v>3</v>
      </c>
      <c r="AI96" s="29">
        <f t="shared" si="141"/>
        <v>3</v>
      </c>
      <c r="AJ96" s="29">
        <f t="shared" si="141"/>
        <v>3</v>
      </c>
      <c r="AK96" s="29">
        <f t="shared" si="141"/>
        <v>3</v>
      </c>
      <c r="AM96" s="29">
        <f t="shared" ref="AM96:AN96" si="142">SUM(AM93:AM95)</f>
        <v>3</v>
      </c>
      <c r="AN96" s="29">
        <f t="shared" si="142"/>
        <v>3</v>
      </c>
    </row>
    <row r="98" spans="2:43" x14ac:dyDescent="0.2">
      <c r="B98" s="30" t="s">
        <v>103</v>
      </c>
      <c r="C98" s="27">
        <f>+C84</f>
        <v>2</v>
      </c>
      <c r="D98" s="27">
        <f t="shared" ref="D98:N98" si="143">+D84</f>
        <v>2</v>
      </c>
      <c r="E98" s="27">
        <f t="shared" si="143"/>
        <v>2</v>
      </c>
      <c r="F98" s="27">
        <f t="shared" si="143"/>
        <v>2</v>
      </c>
      <c r="G98" s="27">
        <f t="shared" si="143"/>
        <v>2</v>
      </c>
      <c r="H98" s="27">
        <f t="shared" si="143"/>
        <v>2</v>
      </c>
      <c r="I98" s="27">
        <f t="shared" si="143"/>
        <v>2</v>
      </c>
      <c r="J98" s="27">
        <f t="shared" si="143"/>
        <v>2</v>
      </c>
      <c r="K98" s="27">
        <f t="shared" si="143"/>
        <v>2</v>
      </c>
      <c r="L98" s="27">
        <f t="shared" si="143"/>
        <v>2</v>
      </c>
      <c r="M98" s="27">
        <f t="shared" si="143"/>
        <v>1</v>
      </c>
      <c r="N98" s="27">
        <f t="shared" si="143"/>
        <v>1</v>
      </c>
      <c r="O98" s="27"/>
      <c r="P98" s="27">
        <f t="shared" ref="P98:AA98" si="144">+P84</f>
        <v>1</v>
      </c>
      <c r="Q98" s="27">
        <f t="shared" si="144"/>
        <v>1</v>
      </c>
      <c r="R98" s="27">
        <f t="shared" si="144"/>
        <v>1</v>
      </c>
      <c r="S98" s="27">
        <f t="shared" si="144"/>
        <v>1</v>
      </c>
      <c r="T98" s="27">
        <f t="shared" si="144"/>
        <v>1</v>
      </c>
      <c r="U98" s="27">
        <f t="shared" si="144"/>
        <v>1</v>
      </c>
      <c r="V98" s="27">
        <f t="shared" si="144"/>
        <v>1</v>
      </c>
      <c r="W98" s="27">
        <f t="shared" si="144"/>
        <v>1</v>
      </c>
      <c r="X98" s="27">
        <f t="shared" si="144"/>
        <v>1</v>
      </c>
      <c r="Y98" s="27">
        <f t="shared" si="144"/>
        <v>1</v>
      </c>
      <c r="Z98" s="27">
        <f t="shared" si="144"/>
        <v>1</v>
      </c>
      <c r="AA98" s="27">
        <f t="shared" si="144"/>
        <v>1</v>
      </c>
      <c r="AC98" s="27">
        <f t="shared" ref="AC98:AF98" si="145">+AC84</f>
        <v>2</v>
      </c>
      <c r="AD98" s="27">
        <f t="shared" si="145"/>
        <v>2</v>
      </c>
      <c r="AE98" s="27">
        <f t="shared" si="145"/>
        <v>2</v>
      </c>
      <c r="AF98" s="27">
        <f t="shared" si="145"/>
        <v>1</v>
      </c>
      <c r="AH98" s="27">
        <f t="shared" ref="AH98:AK98" si="146">+AH84</f>
        <v>1</v>
      </c>
      <c r="AI98" s="27">
        <f t="shared" si="146"/>
        <v>1</v>
      </c>
      <c r="AJ98" s="27">
        <f t="shared" si="146"/>
        <v>1</v>
      </c>
      <c r="AK98" s="27">
        <f t="shared" si="146"/>
        <v>1</v>
      </c>
      <c r="AM98" s="27">
        <f t="shared" ref="AM98:AN98" si="147">+AM84</f>
        <v>1</v>
      </c>
      <c r="AN98" s="27">
        <f t="shared" si="147"/>
        <v>1</v>
      </c>
    </row>
    <row r="99" spans="2:43" x14ac:dyDescent="0.2">
      <c r="B99" s="28" t="s">
        <v>104</v>
      </c>
      <c r="C99" s="29">
        <f>+C98</f>
        <v>2</v>
      </c>
      <c r="D99" s="29">
        <f t="shared" ref="D99:N99" si="148">+D98</f>
        <v>2</v>
      </c>
      <c r="E99" s="29">
        <f t="shared" si="148"/>
        <v>2</v>
      </c>
      <c r="F99" s="29">
        <f t="shared" si="148"/>
        <v>2</v>
      </c>
      <c r="G99" s="29">
        <f t="shared" si="148"/>
        <v>2</v>
      </c>
      <c r="H99" s="29">
        <f t="shared" si="148"/>
        <v>2</v>
      </c>
      <c r="I99" s="29">
        <f t="shared" si="148"/>
        <v>2</v>
      </c>
      <c r="J99" s="29">
        <f t="shared" si="148"/>
        <v>2</v>
      </c>
      <c r="K99" s="29">
        <f t="shared" si="148"/>
        <v>2</v>
      </c>
      <c r="L99" s="29">
        <f t="shared" si="148"/>
        <v>2</v>
      </c>
      <c r="M99" s="29">
        <f t="shared" si="148"/>
        <v>1</v>
      </c>
      <c r="N99" s="29">
        <f t="shared" si="148"/>
        <v>1</v>
      </c>
      <c r="O99" s="29"/>
      <c r="P99" s="29">
        <f t="shared" ref="P99:AA99" si="149">+P98</f>
        <v>1</v>
      </c>
      <c r="Q99" s="29">
        <f t="shared" si="149"/>
        <v>1</v>
      </c>
      <c r="R99" s="29">
        <f t="shared" si="149"/>
        <v>1</v>
      </c>
      <c r="S99" s="29">
        <f t="shared" si="149"/>
        <v>1</v>
      </c>
      <c r="T99" s="29">
        <f t="shared" si="149"/>
        <v>1</v>
      </c>
      <c r="U99" s="29">
        <f t="shared" si="149"/>
        <v>1</v>
      </c>
      <c r="V99" s="29">
        <f t="shared" si="149"/>
        <v>1</v>
      </c>
      <c r="W99" s="29">
        <f t="shared" si="149"/>
        <v>1</v>
      </c>
      <c r="X99" s="29">
        <f t="shared" si="149"/>
        <v>1</v>
      </c>
      <c r="Y99" s="29">
        <f t="shared" si="149"/>
        <v>1</v>
      </c>
      <c r="Z99" s="29">
        <f t="shared" si="149"/>
        <v>1</v>
      </c>
      <c r="AA99" s="29">
        <f t="shared" si="149"/>
        <v>1</v>
      </c>
      <c r="AC99" s="29">
        <f t="shared" ref="AC99:AF99" si="150">+AC98</f>
        <v>2</v>
      </c>
      <c r="AD99" s="29">
        <f t="shared" si="150"/>
        <v>2</v>
      </c>
      <c r="AE99" s="29">
        <f t="shared" si="150"/>
        <v>2</v>
      </c>
      <c r="AF99" s="29">
        <f t="shared" si="150"/>
        <v>1</v>
      </c>
      <c r="AH99" s="29">
        <f t="shared" ref="AH99:AK99" si="151">+AH98</f>
        <v>1</v>
      </c>
      <c r="AI99" s="29">
        <f t="shared" si="151"/>
        <v>1</v>
      </c>
      <c r="AJ99" s="29">
        <f t="shared" si="151"/>
        <v>1</v>
      </c>
      <c r="AK99" s="29">
        <f t="shared" si="151"/>
        <v>1</v>
      </c>
      <c r="AM99" s="29">
        <f t="shared" ref="AM99:AN99" si="152">+AM98</f>
        <v>1</v>
      </c>
      <c r="AN99" s="29">
        <f t="shared" si="152"/>
        <v>1</v>
      </c>
    </row>
    <row r="101" spans="2:43" x14ac:dyDescent="0.2">
      <c r="B101" s="28" t="s">
        <v>105</v>
      </c>
      <c r="C101" s="29">
        <f>+C91+C96+C99</f>
        <v>15</v>
      </c>
      <c r="D101" s="29">
        <f t="shared" ref="D101:N101" si="153">+D91+D96+D99</f>
        <v>15</v>
      </c>
      <c r="E101" s="29">
        <f t="shared" si="153"/>
        <v>16</v>
      </c>
      <c r="F101" s="29">
        <f t="shared" si="153"/>
        <v>17</v>
      </c>
      <c r="G101" s="29">
        <f t="shared" si="153"/>
        <v>16</v>
      </c>
      <c r="H101" s="29">
        <f t="shared" si="153"/>
        <v>17</v>
      </c>
      <c r="I101" s="29">
        <f t="shared" si="153"/>
        <v>17</v>
      </c>
      <c r="J101" s="29">
        <f t="shared" si="153"/>
        <v>18</v>
      </c>
      <c r="K101" s="29">
        <f t="shared" si="153"/>
        <v>16</v>
      </c>
      <c r="L101" s="29">
        <f t="shared" si="153"/>
        <v>15</v>
      </c>
      <c r="M101" s="29">
        <f t="shared" si="153"/>
        <v>14</v>
      </c>
      <c r="N101" s="29">
        <f t="shared" si="153"/>
        <v>14</v>
      </c>
      <c r="O101" s="29"/>
      <c r="P101" s="29">
        <f t="shared" ref="P101:AA101" si="154">+P91+P96+P99</f>
        <v>14</v>
      </c>
      <c r="Q101" s="29">
        <f t="shared" si="154"/>
        <v>14</v>
      </c>
      <c r="R101" s="29">
        <f t="shared" si="154"/>
        <v>14</v>
      </c>
      <c r="S101" s="29">
        <f t="shared" si="154"/>
        <v>14</v>
      </c>
      <c r="T101" s="29">
        <f t="shared" si="154"/>
        <v>14</v>
      </c>
      <c r="U101" s="29">
        <f t="shared" si="154"/>
        <v>14</v>
      </c>
      <c r="V101" s="29">
        <f t="shared" si="154"/>
        <v>14</v>
      </c>
      <c r="W101" s="29">
        <f t="shared" si="154"/>
        <v>14</v>
      </c>
      <c r="X101" s="29">
        <f t="shared" si="154"/>
        <v>14</v>
      </c>
      <c r="Y101" s="29">
        <f t="shared" si="154"/>
        <v>14</v>
      </c>
      <c r="Z101" s="29">
        <f t="shared" si="154"/>
        <v>14</v>
      </c>
      <c r="AA101" s="29">
        <f t="shared" si="154"/>
        <v>14</v>
      </c>
      <c r="AC101" s="29">
        <f t="shared" ref="AC101:AF101" si="155">+AC91+AC96+AC99</f>
        <v>16</v>
      </c>
      <c r="AD101" s="29">
        <f t="shared" si="155"/>
        <v>17</v>
      </c>
      <c r="AE101" s="29">
        <f t="shared" si="155"/>
        <v>16</v>
      </c>
      <c r="AF101" s="29">
        <f t="shared" si="155"/>
        <v>14</v>
      </c>
      <c r="AH101" s="29">
        <f t="shared" ref="AH101:AK101" si="156">+AH91+AH96+AH99</f>
        <v>14</v>
      </c>
      <c r="AI101" s="29">
        <f t="shared" si="156"/>
        <v>14</v>
      </c>
      <c r="AJ101" s="29">
        <f t="shared" si="156"/>
        <v>14</v>
      </c>
      <c r="AK101" s="29">
        <f t="shared" si="156"/>
        <v>14</v>
      </c>
      <c r="AM101" s="29">
        <f t="shared" ref="AM101:AN101" si="157">+AM91+AM96+AM99</f>
        <v>14</v>
      </c>
      <c r="AN101" s="29">
        <f t="shared" si="157"/>
        <v>14</v>
      </c>
    </row>
    <row r="104" spans="2:43" x14ac:dyDescent="0.2">
      <c r="B104" s="30" t="s">
        <v>82</v>
      </c>
      <c r="C104" s="27">
        <f t="shared" ref="C104:N104" si="158">+C89*C$118</f>
        <v>22832.646000000001</v>
      </c>
      <c r="D104" s="27">
        <f t="shared" si="158"/>
        <v>23158.998</v>
      </c>
      <c r="E104" s="27">
        <f t="shared" si="158"/>
        <v>25419.487499999999</v>
      </c>
      <c r="F104" s="27">
        <f t="shared" si="158"/>
        <v>21431.430588235296</v>
      </c>
      <c r="G104" s="27">
        <f t="shared" si="158"/>
        <v>22117.449375</v>
      </c>
      <c r="H104" s="27">
        <f t="shared" si="158"/>
        <v>24447.471176470586</v>
      </c>
      <c r="I104" s="27">
        <f t="shared" si="158"/>
        <v>22320.261764705883</v>
      </c>
      <c r="J104" s="27">
        <f t="shared" si="158"/>
        <v>21552.502222222225</v>
      </c>
      <c r="K104" s="27">
        <f t="shared" si="158"/>
        <v>21434.559999999998</v>
      </c>
      <c r="L104" s="27">
        <f t="shared" si="158"/>
        <v>21709.403333333328</v>
      </c>
      <c r="M104" s="27">
        <f t="shared" si="158"/>
        <v>23465.754999999997</v>
      </c>
      <c r="N104" s="27">
        <f t="shared" si="158"/>
        <v>23450</v>
      </c>
      <c r="O104" s="27"/>
      <c r="P104" s="27">
        <f t="shared" ref="P104:AA104" si="159">+P89*P$118</f>
        <v>23520</v>
      </c>
      <c r="Q104" s="27">
        <f t="shared" si="159"/>
        <v>23520</v>
      </c>
      <c r="R104" s="27">
        <f t="shared" si="159"/>
        <v>23520</v>
      </c>
      <c r="S104" s="27">
        <f t="shared" si="159"/>
        <v>23520</v>
      </c>
      <c r="T104" s="27">
        <f t="shared" si="159"/>
        <v>23520</v>
      </c>
      <c r="U104" s="27">
        <f t="shared" si="159"/>
        <v>23520</v>
      </c>
      <c r="V104" s="27">
        <f t="shared" si="159"/>
        <v>23520</v>
      </c>
      <c r="W104" s="27">
        <f t="shared" si="159"/>
        <v>23520</v>
      </c>
      <c r="X104" s="27">
        <f t="shared" si="159"/>
        <v>23520</v>
      </c>
      <c r="Y104" s="27">
        <f t="shared" si="159"/>
        <v>23520</v>
      </c>
      <c r="Z104" s="27">
        <f t="shared" si="159"/>
        <v>23520</v>
      </c>
      <c r="AA104" s="27">
        <f t="shared" si="159"/>
        <v>23520</v>
      </c>
      <c r="AC104" s="4">
        <f t="shared" ref="AC104" si="160">SUM(C104:E104)</f>
        <v>71411.131500000003</v>
      </c>
      <c r="AD104" s="4">
        <f t="shared" ref="AD104" si="161">SUM(F104:H104)</f>
        <v>67996.35113970589</v>
      </c>
      <c r="AE104" s="4">
        <f t="shared" ref="AE104" si="162">SUM(I104:K104)</f>
        <v>65307.32398692811</v>
      </c>
      <c r="AF104" s="4">
        <f t="shared" ref="AF104" si="163">SUM(L104:N104)</f>
        <v>68625.158333333326</v>
      </c>
      <c r="AG104" s="4"/>
      <c r="AH104" s="4">
        <f t="shared" ref="AH104" si="164">SUM(P104:R104)</f>
        <v>70560</v>
      </c>
      <c r="AI104" s="4">
        <f t="shared" ref="AI104" si="165">SUM(S104:U104)</f>
        <v>70560</v>
      </c>
      <c r="AJ104" s="4">
        <f t="shared" ref="AJ104" si="166">SUM(V104:X104)</f>
        <v>70560</v>
      </c>
      <c r="AK104" s="4">
        <f t="shared" ref="AK104" si="167">SUM(Y104:AA104)</f>
        <v>70560</v>
      </c>
      <c r="AL104" s="4"/>
      <c r="AM104" s="4">
        <f t="shared" ref="AM104" si="168">SUM(C104:N104)</f>
        <v>273339.9649599673</v>
      </c>
      <c r="AN104" s="4">
        <f t="shared" ref="AN104" si="169">SUM(P104:AA104)</f>
        <v>282240</v>
      </c>
      <c r="AO104" s="1"/>
      <c r="AP104" s="25">
        <f>SUM(AC104:AF104)-AM104</f>
        <v>0</v>
      </c>
      <c r="AQ104" s="25">
        <f>SUM(AH104:AK104)-AN104</f>
        <v>0</v>
      </c>
    </row>
    <row r="105" spans="2:43" x14ac:dyDescent="0.2">
      <c r="B105" s="30" t="s">
        <v>99</v>
      </c>
      <c r="C105" s="27">
        <f t="shared" ref="C105:N105" si="170">+C90*C$118</f>
        <v>7610.8820000000005</v>
      </c>
      <c r="D105" s="27">
        <f t="shared" si="170"/>
        <v>7719.6659999999993</v>
      </c>
      <c r="E105" s="27">
        <f t="shared" si="170"/>
        <v>8473.1624999999985</v>
      </c>
      <c r="F105" s="27">
        <f t="shared" si="170"/>
        <v>9184.8988235294128</v>
      </c>
      <c r="G105" s="27">
        <f t="shared" si="170"/>
        <v>9478.9068750000006</v>
      </c>
      <c r="H105" s="27">
        <f t="shared" si="170"/>
        <v>10477.487647058822</v>
      </c>
      <c r="I105" s="27">
        <f t="shared" si="170"/>
        <v>9565.8264705882357</v>
      </c>
      <c r="J105" s="27">
        <f t="shared" si="170"/>
        <v>9236.7866666666669</v>
      </c>
      <c r="K105" s="27">
        <f t="shared" si="170"/>
        <v>9186.24</v>
      </c>
      <c r="L105" s="27">
        <f t="shared" si="170"/>
        <v>9304.029999999997</v>
      </c>
      <c r="M105" s="27">
        <f t="shared" si="170"/>
        <v>10056.752142857142</v>
      </c>
      <c r="N105" s="27">
        <f t="shared" si="170"/>
        <v>10050</v>
      </c>
      <c r="O105" s="27"/>
      <c r="P105" s="27">
        <f t="shared" ref="P105:AA105" si="171">+P90*P$118</f>
        <v>10080</v>
      </c>
      <c r="Q105" s="27">
        <f t="shared" si="171"/>
        <v>10080</v>
      </c>
      <c r="R105" s="27">
        <f t="shared" si="171"/>
        <v>10080</v>
      </c>
      <c r="S105" s="27">
        <f t="shared" si="171"/>
        <v>10080</v>
      </c>
      <c r="T105" s="27">
        <f t="shared" si="171"/>
        <v>10080</v>
      </c>
      <c r="U105" s="27">
        <f t="shared" si="171"/>
        <v>10080</v>
      </c>
      <c r="V105" s="27">
        <f t="shared" si="171"/>
        <v>10080</v>
      </c>
      <c r="W105" s="27">
        <f t="shared" si="171"/>
        <v>10080</v>
      </c>
      <c r="X105" s="27">
        <f t="shared" si="171"/>
        <v>10080</v>
      </c>
      <c r="Y105" s="27">
        <f t="shared" si="171"/>
        <v>10080</v>
      </c>
      <c r="Z105" s="27">
        <f t="shared" si="171"/>
        <v>10080</v>
      </c>
      <c r="AA105" s="27">
        <f t="shared" si="171"/>
        <v>10080</v>
      </c>
      <c r="AC105" s="4">
        <f t="shared" ref="AC105" si="172">SUM(C105:E105)</f>
        <v>23803.710499999997</v>
      </c>
      <c r="AD105" s="4">
        <f t="shared" ref="AD105" si="173">SUM(F105:H105)</f>
        <v>29141.293345588238</v>
      </c>
      <c r="AE105" s="4">
        <f t="shared" ref="AE105" si="174">SUM(I105:K105)</f>
        <v>27988.853137254904</v>
      </c>
      <c r="AF105" s="4">
        <f t="shared" ref="AF105" si="175">SUM(L105:N105)</f>
        <v>29410.782142857141</v>
      </c>
      <c r="AG105" s="4"/>
      <c r="AH105" s="4">
        <f t="shared" ref="AH105" si="176">SUM(P105:R105)</f>
        <v>30240</v>
      </c>
      <c r="AI105" s="4">
        <f t="shared" ref="AI105" si="177">SUM(S105:U105)</f>
        <v>30240</v>
      </c>
      <c r="AJ105" s="4">
        <f t="shared" ref="AJ105" si="178">SUM(V105:X105)</f>
        <v>30240</v>
      </c>
      <c r="AK105" s="4">
        <f t="shared" ref="AK105" si="179">SUM(Y105:AA105)</f>
        <v>30240</v>
      </c>
      <c r="AL105" s="4"/>
      <c r="AM105" s="4">
        <f t="shared" ref="AM105" si="180">SUM(C105:N105)</f>
        <v>110344.63912570028</v>
      </c>
      <c r="AN105" s="4">
        <f t="shared" ref="AN105" si="181">SUM(P105:AA105)</f>
        <v>120960</v>
      </c>
      <c r="AO105" s="1"/>
      <c r="AP105" s="25">
        <f>SUM(AC105:AF105)-AM105</f>
        <v>0</v>
      </c>
      <c r="AQ105" s="25">
        <f>SUM(AH105:AK105)-AN105</f>
        <v>0</v>
      </c>
    </row>
    <row r="106" spans="2:43" x14ac:dyDescent="0.2">
      <c r="B106" s="28" t="s">
        <v>100</v>
      </c>
      <c r="C106" s="32">
        <f>SUM(C104:C105)</f>
        <v>30443.528000000002</v>
      </c>
      <c r="D106" s="32">
        <f t="shared" ref="D106:N106" si="182">SUM(D104:D105)</f>
        <v>30878.663999999997</v>
      </c>
      <c r="E106" s="32">
        <f t="shared" si="182"/>
        <v>33892.649999999994</v>
      </c>
      <c r="F106" s="32">
        <f t="shared" si="182"/>
        <v>30616.329411764709</v>
      </c>
      <c r="G106" s="32">
        <f t="shared" si="182"/>
        <v>31596.356250000001</v>
      </c>
      <c r="H106" s="32">
        <f t="shared" si="182"/>
        <v>34924.958823529407</v>
      </c>
      <c r="I106" s="32">
        <f t="shared" si="182"/>
        <v>31886.088235294119</v>
      </c>
      <c r="J106" s="32">
        <f t="shared" si="182"/>
        <v>30789.288888888892</v>
      </c>
      <c r="K106" s="32">
        <f t="shared" si="182"/>
        <v>30620.799999999996</v>
      </c>
      <c r="L106" s="32">
        <f t="shared" si="182"/>
        <v>31013.433333333327</v>
      </c>
      <c r="M106" s="32">
        <f t="shared" si="182"/>
        <v>33522.507142857139</v>
      </c>
      <c r="N106" s="32">
        <f t="shared" si="182"/>
        <v>33500</v>
      </c>
      <c r="O106" s="32"/>
      <c r="P106" s="32">
        <f t="shared" ref="P106:AA106" si="183">SUM(P104:P105)</f>
        <v>33600</v>
      </c>
      <c r="Q106" s="32">
        <f t="shared" si="183"/>
        <v>33600</v>
      </c>
      <c r="R106" s="32">
        <f t="shared" si="183"/>
        <v>33600</v>
      </c>
      <c r="S106" s="32">
        <f t="shared" si="183"/>
        <v>33600</v>
      </c>
      <c r="T106" s="32">
        <f t="shared" si="183"/>
        <v>33600</v>
      </c>
      <c r="U106" s="32">
        <f t="shared" si="183"/>
        <v>33600</v>
      </c>
      <c r="V106" s="32">
        <f t="shared" si="183"/>
        <v>33600</v>
      </c>
      <c r="W106" s="32">
        <f t="shared" si="183"/>
        <v>33600</v>
      </c>
      <c r="X106" s="32">
        <f t="shared" si="183"/>
        <v>33600</v>
      </c>
      <c r="Y106" s="32">
        <f t="shared" si="183"/>
        <v>33600</v>
      </c>
      <c r="Z106" s="32">
        <f t="shared" si="183"/>
        <v>33600</v>
      </c>
      <c r="AA106" s="32">
        <f t="shared" si="183"/>
        <v>33600</v>
      </c>
      <c r="AB106" s="33"/>
      <c r="AC106" s="32">
        <f>SUM(AC104:AC105)</f>
        <v>95214.842000000004</v>
      </c>
      <c r="AD106" s="32">
        <f t="shared" ref="AD106" si="184">SUM(AD104:AD105)</f>
        <v>97137.64448529412</v>
      </c>
      <c r="AE106" s="32">
        <f t="shared" ref="AE106" si="185">SUM(AE104:AE105)</f>
        <v>93296.177124183014</v>
      </c>
      <c r="AF106" s="32">
        <f t="shared" ref="AF106:AN106" si="186">SUM(AF104:AF105)</f>
        <v>98035.940476190473</v>
      </c>
      <c r="AG106" s="33"/>
      <c r="AH106" s="32">
        <f>SUM(AH104:AH105)</f>
        <v>100800</v>
      </c>
      <c r="AI106" s="32">
        <f t="shared" ref="AI106:AJ106" si="187">SUM(AI104:AI105)</f>
        <v>100800</v>
      </c>
      <c r="AJ106" s="32">
        <f t="shared" si="187"/>
        <v>100800</v>
      </c>
      <c r="AK106" s="32">
        <f t="shared" si="186"/>
        <v>100800</v>
      </c>
      <c r="AL106" s="33"/>
      <c r="AM106" s="32">
        <f t="shared" si="186"/>
        <v>383684.60408566758</v>
      </c>
      <c r="AN106" s="32">
        <f t="shared" si="186"/>
        <v>403200</v>
      </c>
      <c r="AP106" s="25">
        <f>SUM(AC106:AF106)-AM106</f>
        <v>0</v>
      </c>
      <c r="AQ106" s="25">
        <f>SUM(AH106:AK106)-AN106</f>
        <v>0</v>
      </c>
    </row>
    <row r="107" spans="2:43" x14ac:dyDescent="0.2"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spans="2:43" x14ac:dyDescent="0.2">
      <c r="B108" s="30" t="s">
        <v>82</v>
      </c>
      <c r="C108" s="27">
        <f t="shared" ref="C108:N108" si="188">+C93*C$118</f>
        <v>0</v>
      </c>
      <c r="D108" s="27">
        <f t="shared" si="188"/>
        <v>0</v>
      </c>
      <c r="E108" s="27">
        <f t="shared" si="188"/>
        <v>0</v>
      </c>
      <c r="F108" s="27">
        <f t="shared" si="188"/>
        <v>0</v>
      </c>
      <c r="G108" s="27">
        <f t="shared" si="188"/>
        <v>0</v>
      </c>
      <c r="H108" s="27">
        <f t="shared" si="188"/>
        <v>0</v>
      </c>
      <c r="I108" s="27">
        <f t="shared" si="188"/>
        <v>0</v>
      </c>
      <c r="J108" s="27">
        <f t="shared" si="188"/>
        <v>0</v>
      </c>
      <c r="K108" s="27">
        <f t="shared" si="188"/>
        <v>0</v>
      </c>
      <c r="L108" s="27">
        <f t="shared" si="188"/>
        <v>0</v>
      </c>
      <c r="M108" s="27">
        <f t="shared" si="188"/>
        <v>0</v>
      </c>
      <c r="N108" s="27">
        <f t="shared" si="188"/>
        <v>0</v>
      </c>
      <c r="O108" s="27"/>
      <c r="P108" s="27">
        <f t="shared" ref="P108:AA108" si="189">+P93*P$118</f>
        <v>0</v>
      </c>
      <c r="Q108" s="27">
        <f t="shared" si="189"/>
        <v>0</v>
      </c>
      <c r="R108" s="27">
        <f t="shared" si="189"/>
        <v>0</v>
      </c>
      <c r="S108" s="27">
        <f t="shared" si="189"/>
        <v>0</v>
      </c>
      <c r="T108" s="27">
        <f t="shared" si="189"/>
        <v>0</v>
      </c>
      <c r="U108" s="27">
        <f t="shared" si="189"/>
        <v>0</v>
      </c>
      <c r="V108" s="27">
        <f t="shared" si="189"/>
        <v>0</v>
      </c>
      <c r="W108" s="27">
        <f t="shared" si="189"/>
        <v>0</v>
      </c>
      <c r="X108" s="27">
        <f t="shared" si="189"/>
        <v>0</v>
      </c>
      <c r="Y108" s="27">
        <f t="shared" si="189"/>
        <v>0</v>
      </c>
      <c r="Z108" s="27">
        <f t="shared" si="189"/>
        <v>0</v>
      </c>
      <c r="AA108" s="27">
        <f t="shared" si="189"/>
        <v>0</v>
      </c>
      <c r="AC108" s="4">
        <f t="shared" ref="AC108:AC110" si="190">SUM(C108:E108)</f>
        <v>0</v>
      </c>
      <c r="AD108" s="4">
        <f t="shared" ref="AD108:AD110" si="191">SUM(F108:H108)</f>
        <v>0</v>
      </c>
      <c r="AE108" s="4">
        <f t="shared" ref="AE108:AE110" si="192">SUM(I108:K108)</f>
        <v>0</v>
      </c>
      <c r="AF108" s="4">
        <f t="shared" ref="AF108:AF110" si="193">SUM(L108:N108)</f>
        <v>0</v>
      </c>
      <c r="AG108" s="4"/>
      <c r="AH108" s="4">
        <f t="shared" ref="AH108:AH110" si="194">SUM(P108:R108)</f>
        <v>0</v>
      </c>
      <c r="AI108" s="4">
        <f t="shared" ref="AI108:AI110" si="195">SUM(S108:U108)</f>
        <v>0</v>
      </c>
      <c r="AJ108" s="4">
        <f t="shared" ref="AJ108:AJ110" si="196">SUM(V108:X108)</f>
        <v>0</v>
      </c>
      <c r="AK108" s="4">
        <f t="shared" ref="AK108:AK110" si="197">SUM(Y108:AA108)</f>
        <v>0</v>
      </c>
      <c r="AL108" s="4"/>
      <c r="AM108" s="4">
        <f t="shared" ref="AM108:AM110" si="198">SUM(C108:N108)</f>
        <v>0</v>
      </c>
      <c r="AN108" s="4">
        <f t="shared" ref="AN108:AN110" si="199">SUM(P108:AA108)</f>
        <v>0</v>
      </c>
      <c r="AO108" s="1"/>
      <c r="AP108" s="25">
        <f>SUM(AC108:AF108)-AM108</f>
        <v>0</v>
      </c>
      <c r="AQ108" s="25">
        <f>SUM(AH108:AK108)-AN108</f>
        <v>0</v>
      </c>
    </row>
    <row r="109" spans="2:43" x14ac:dyDescent="0.2">
      <c r="B109" s="30" t="s">
        <v>99</v>
      </c>
      <c r="C109" s="27">
        <f t="shared" ref="C109:N109" si="200">+C94*C$118</f>
        <v>0</v>
      </c>
      <c r="D109" s="27">
        <f t="shared" si="200"/>
        <v>0</v>
      </c>
      <c r="E109" s="27">
        <f t="shared" si="200"/>
        <v>0</v>
      </c>
      <c r="F109" s="27">
        <f t="shared" si="200"/>
        <v>6123.2658823529418</v>
      </c>
      <c r="G109" s="27">
        <f t="shared" si="200"/>
        <v>6319.2712499999998</v>
      </c>
      <c r="H109" s="27">
        <f t="shared" si="200"/>
        <v>6984.9917647058819</v>
      </c>
      <c r="I109" s="27">
        <f t="shared" si="200"/>
        <v>6377.2176470588238</v>
      </c>
      <c r="J109" s="27">
        <f t="shared" si="200"/>
        <v>6157.8577777777782</v>
      </c>
      <c r="K109" s="27">
        <f t="shared" si="200"/>
        <v>6124.16</v>
      </c>
      <c r="L109" s="27">
        <f t="shared" si="200"/>
        <v>3101.3433333333323</v>
      </c>
      <c r="M109" s="27">
        <f t="shared" si="200"/>
        <v>3352.2507142857139</v>
      </c>
      <c r="N109" s="27">
        <f t="shared" si="200"/>
        <v>3350</v>
      </c>
      <c r="O109" s="27"/>
      <c r="P109" s="27">
        <f t="shared" ref="P109:AA109" si="201">+P94*P$118</f>
        <v>3360</v>
      </c>
      <c r="Q109" s="27">
        <f t="shared" si="201"/>
        <v>3360</v>
      </c>
      <c r="R109" s="27">
        <f t="shared" si="201"/>
        <v>3360</v>
      </c>
      <c r="S109" s="27">
        <f t="shared" si="201"/>
        <v>3360</v>
      </c>
      <c r="T109" s="27">
        <f t="shared" si="201"/>
        <v>3360</v>
      </c>
      <c r="U109" s="27">
        <f t="shared" si="201"/>
        <v>3360</v>
      </c>
      <c r="V109" s="27">
        <f t="shared" si="201"/>
        <v>3360</v>
      </c>
      <c r="W109" s="27">
        <f t="shared" si="201"/>
        <v>3360</v>
      </c>
      <c r="X109" s="27">
        <f t="shared" si="201"/>
        <v>3360</v>
      </c>
      <c r="Y109" s="27">
        <f t="shared" si="201"/>
        <v>3360</v>
      </c>
      <c r="Z109" s="27">
        <f t="shared" si="201"/>
        <v>3360</v>
      </c>
      <c r="AA109" s="27">
        <f t="shared" si="201"/>
        <v>3360</v>
      </c>
      <c r="AC109" s="4">
        <f t="shared" si="190"/>
        <v>0</v>
      </c>
      <c r="AD109" s="4">
        <f t="shared" si="191"/>
        <v>19427.528897058823</v>
      </c>
      <c r="AE109" s="4">
        <f t="shared" si="192"/>
        <v>18659.235424836603</v>
      </c>
      <c r="AF109" s="4">
        <f t="shared" si="193"/>
        <v>9803.5940476190463</v>
      </c>
      <c r="AG109" s="4"/>
      <c r="AH109" s="4">
        <f t="shared" si="194"/>
        <v>10080</v>
      </c>
      <c r="AI109" s="4">
        <f t="shared" si="195"/>
        <v>10080</v>
      </c>
      <c r="AJ109" s="4">
        <f t="shared" si="196"/>
        <v>10080</v>
      </c>
      <c r="AK109" s="4">
        <f t="shared" si="197"/>
        <v>10080</v>
      </c>
      <c r="AL109" s="4"/>
      <c r="AM109" s="4">
        <f t="shared" si="198"/>
        <v>47890.35836951447</v>
      </c>
      <c r="AN109" s="4">
        <f t="shared" si="199"/>
        <v>40320</v>
      </c>
      <c r="AO109" s="1"/>
      <c r="AP109" s="25">
        <f>SUM(AC109:AF109)-AM109</f>
        <v>0</v>
      </c>
      <c r="AQ109" s="25">
        <f>SUM(AH109:AK109)-AN109</f>
        <v>0</v>
      </c>
    </row>
    <row r="110" spans="2:43" x14ac:dyDescent="0.2">
      <c r="B110" s="30" t="s">
        <v>101</v>
      </c>
      <c r="C110" s="27">
        <f t="shared" ref="C110:N110" si="202">+C95*C$118</f>
        <v>2536.9606666666668</v>
      </c>
      <c r="D110" s="27">
        <f t="shared" si="202"/>
        <v>2573.2219999999998</v>
      </c>
      <c r="E110" s="27">
        <f t="shared" si="202"/>
        <v>5648.7749999999996</v>
      </c>
      <c r="F110" s="27">
        <f t="shared" si="202"/>
        <v>9184.8988235294128</v>
      </c>
      <c r="G110" s="27">
        <f t="shared" si="202"/>
        <v>6319.2712499999998</v>
      </c>
      <c r="H110" s="27">
        <f t="shared" si="202"/>
        <v>10477.487647058822</v>
      </c>
      <c r="I110" s="27">
        <f t="shared" si="202"/>
        <v>9565.8264705882357</v>
      </c>
      <c r="J110" s="27">
        <f t="shared" si="202"/>
        <v>12315.715555555556</v>
      </c>
      <c r="K110" s="27">
        <f t="shared" si="202"/>
        <v>6124.16</v>
      </c>
      <c r="L110" s="27">
        <f t="shared" si="202"/>
        <v>6202.6866666666647</v>
      </c>
      <c r="M110" s="27">
        <f t="shared" si="202"/>
        <v>6704.5014285714278</v>
      </c>
      <c r="N110" s="27">
        <f t="shared" si="202"/>
        <v>6700</v>
      </c>
      <c r="O110" s="27"/>
      <c r="P110" s="27">
        <f t="shared" ref="P110:AA110" si="203">+P95*P$118</f>
        <v>6720</v>
      </c>
      <c r="Q110" s="27">
        <f t="shared" si="203"/>
        <v>6720</v>
      </c>
      <c r="R110" s="27">
        <f t="shared" si="203"/>
        <v>6720</v>
      </c>
      <c r="S110" s="27">
        <f t="shared" si="203"/>
        <v>6720</v>
      </c>
      <c r="T110" s="27">
        <f t="shared" si="203"/>
        <v>6720</v>
      </c>
      <c r="U110" s="27">
        <f t="shared" si="203"/>
        <v>6720</v>
      </c>
      <c r="V110" s="27">
        <f t="shared" si="203"/>
        <v>6720</v>
      </c>
      <c r="W110" s="27">
        <f t="shared" si="203"/>
        <v>6720</v>
      </c>
      <c r="X110" s="27">
        <f t="shared" si="203"/>
        <v>6720</v>
      </c>
      <c r="Y110" s="27">
        <f t="shared" si="203"/>
        <v>6720</v>
      </c>
      <c r="Z110" s="27">
        <f t="shared" si="203"/>
        <v>6720</v>
      </c>
      <c r="AA110" s="27">
        <f t="shared" si="203"/>
        <v>6720</v>
      </c>
      <c r="AC110" s="4">
        <f t="shared" si="190"/>
        <v>10758.957666666665</v>
      </c>
      <c r="AD110" s="4">
        <f t="shared" si="191"/>
        <v>25981.657720588235</v>
      </c>
      <c r="AE110" s="4">
        <f t="shared" si="192"/>
        <v>28005.70202614379</v>
      </c>
      <c r="AF110" s="4">
        <f t="shared" si="193"/>
        <v>19607.188095238093</v>
      </c>
      <c r="AG110" s="4"/>
      <c r="AH110" s="4">
        <f t="shared" si="194"/>
        <v>20160</v>
      </c>
      <c r="AI110" s="4">
        <f t="shared" si="195"/>
        <v>20160</v>
      </c>
      <c r="AJ110" s="4">
        <f t="shared" si="196"/>
        <v>20160</v>
      </c>
      <c r="AK110" s="4">
        <f t="shared" si="197"/>
        <v>20160</v>
      </c>
      <c r="AL110" s="4"/>
      <c r="AM110" s="4">
        <f t="shared" si="198"/>
        <v>84353.505508636779</v>
      </c>
      <c r="AN110" s="4">
        <f t="shared" si="199"/>
        <v>80640</v>
      </c>
      <c r="AO110" s="1"/>
      <c r="AP110" s="25">
        <f>SUM(AC110:AF110)-AM110</f>
        <v>0</v>
      </c>
      <c r="AQ110" s="25">
        <f>SUM(AH110:AK110)-AN110</f>
        <v>0</v>
      </c>
    </row>
    <row r="111" spans="2:43" x14ac:dyDescent="0.2">
      <c r="B111" s="28" t="s">
        <v>102</v>
      </c>
      <c r="C111" s="32">
        <f>SUM(C108:C110)</f>
        <v>2536.9606666666668</v>
      </c>
      <c r="D111" s="32">
        <f t="shared" ref="D111:N111" si="204">SUM(D108:D110)</f>
        <v>2573.2219999999998</v>
      </c>
      <c r="E111" s="32">
        <f t="shared" si="204"/>
        <v>5648.7749999999996</v>
      </c>
      <c r="F111" s="32">
        <f t="shared" si="204"/>
        <v>15308.164705882355</v>
      </c>
      <c r="G111" s="32">
        <f t="shared" si="204"/>
        <v>12638.5425</v>
      </c>
      <c r="H111" s="32">
        <f t="shared" si="204"/>
        <v>17462.479411764703</v>
      </c>
      <c r="I111" s="32">
        <f t="shared" si="204"/>
        <v>15943.044117647059</v>
      </c>
      <c r="J111" s="32">
        <f t="shared" si="204"/>
        <v>18473.573333333334</v>
      </c>
      <c r="K111" s="32">
        <f t="shared" si="204"/>
        <v>12248.32</v>
      </c>
      <c r="L111" s="32">
        <f t="shared" si="204"/>
        <v>9304.029999999997</v>
      </c>
      <c r="M111" s="32">
        <f t="shared" si="204"/>
        <v>10056.752142857142</v>
      </c>
      <c r="N111" s="32">
        <f t="shared" si="204"/>
        <v>10050</v>
      </c>
      <c r="O111" s="32"/>
      <c r="P111" s="32">
        <f t="shared" ref="P111:AA111" si="205">SUM(P108:P110)</f>
        <v>10080</v>
      </c>
      <c r="Q111" s="32">
        <f t="shared" si="205"/>
        <v>10080</v>
      </c>
      <c r="R111" s="32">
        <f t="shared" si="205"/>
        <v>10080</v>
      </c>
      <c r="S111" s="32">
        <f t="shared" si="205"/>
        <v>10080</v>
      </c>
      <c r="T111" s="32">
        <f t="shared" si="205"/>
        <v>10080</v>
      </c>
      <c r="U111" s="32">
        <f t="shared" si="205"/>
        <v>10080</v>
      </c>
      <c r="V111" s="32">
        <f t="shared" si="205"/>
        <v>10080</v>
      </c>
      <c r="W111" s="32">
        <f t="shared" si="205"/>
        <v>10080</v>
      </c>
      <c r="X111" s="32">
        <f t="shared" si="205"/>
        <v>10080</v>
      </c>
      <c r="Y111" s="32">
        <f t="shared" si="205"/>
        <v>10080</v>
      </c>
      <c r="Z111" s="32">
        <f t="shared" si="205"/>
        <v>10080</v>
      </c>
      <c r="AA111" s="32">
        <f t="shared" si="205"/>
        <v>10080</v>
      </c>
      <c r="AB111" s="33"/>
      <c r="AC111" s="32">
        <f>SUM(AC108:AC110)</f>
        <v>10758.957666666665</v>
      </c>
      <c r="AD111" s="32">
        <f t="shared" ref="AD111" si="206">SUM(AD108:AD110)</f>
        <v>45409.186617647058</v>
      </c>
      <c r="AE111" s="32">
        <f t="shared" ref="AE111" si="207">SUM(AE108:AE110)</f>
        <v>46664.937450980389</v>
      </c>
      <c r="AF111" s="32">
        <f t="shared" ref="AF111:AN111" si="208">SUM(AF108:AF110)</f>
        <v>29410.782142857141</v>
      </c>
      <c r="AG111" s="33"/>
      <c r="AH111" s="32">
        <f>SUM(AH108:AH110)</f>
        <v>30240</v>
      </c>
      <c r="AI111" s="32">
        <f t="shared" ref="AI111:AJ111" si="209">SUM(AI108:AI110)</f>
        <v>30240</v>
      </c>
      <c r="AJ111" s="32">
        <f t="shared" si="209"/>
        <v>30240</v>
      </c>
      <c r="AK111" s="32">
        <f t="shared" si="208"/>
        <v>30240</v>
      </c>
      <c r="AL111" s="33"/>
      <c r="AM111" s="32">
        <f t="shared" si="208"/>
        <v>132243.86387815126</v>
      </c>
      <c r="AN111" s="32">
        <f t="shared" si="208"/>
        <v>120960</v>
      </c>
      <c r="AP111" s="25">
        <f>SUM(AC111:AF111)-AM111</f>
        <v>0</v>
      </c>
      <c r="AQ111" s="25">
        <f>SUM(AH111:AK111)-AN111</f>
        <v>0</v>
      </c>
    </row>
    <row r="113" spans="2:43" x14ac:dyDescent="0.2">
      <c r="B113" s="30" t="s">
        <v>103</v>
      </c>
      <c r="C113" s="27">
        <f t="shared" ref="C113:N113" si="210">+C98*C$118</f>
        <v>5073.9213333333337</v>
      </c>
      <c r="D113" s="27">
        <f t="shared" si="210"/>
        <v>5146.4439999999995</v>
      </c>
      <c r="E113" s="27">
        <f t="shared" si="210"/>
        <v>5648.7749999999996</v>
      </c>
      <c r="F113" s="27">
        <f t="shared" si="210"/>
        <v>6123.2658823529418</v>
      </c>
      <c r="G113" s="27">
        <f t="shared" si="210"/>
        <v>6319.2712499999998</v>
      </c>
      <c r="H113" s="27">
        <f t="shared" si="210"/>
        <v>6984.9917647058819</v>
      </c>
      <c r="I113" s="27">
        <f t="shared" si="210"/>
        <v>6377.2176470588238</v>
      </c>
      <c r="J113" s="27">
        <f t="shared" si="210"/>
        <v>6157.8577777777782</v>
      </c>
      <c r="K113" s="27">
        <f t="shared" si="210"/>
        <v>6124.16</v>
      </c>
      <c r="L113" s="27">
        <f t="shared" si="210"/>
        <v>6202.6866666666647</v>
      </c>
      <c r="M113" s="27">
        <f t="shared" si="210"/>
        <v>3352.2507142857139</v>
      </c>
      <c r="N113" s="27">
        <f t="shared" si="210"/>
        <v>3350</v>
      </c>
      <c r="O113" s="27"/>
      <c r="P113" s="27">
        <f t="shared" ref="P113:AA113" si="211">+P98*P$118</f>
        <v>3360</v>
      </c>
      <c r="Q113" s="27">
        <f t="shared" si="211"/>
        <v>3360</v>
      </c>
      <c r="R113" s="27">
        <f t="shared" si="211"/>
        <v>3360</v>
      </c>
      <c r="S113" s="27">
        <f t="shared" si="211"/>
        <v>3360</v>
      </c>
      <c r="T113" s="27">
        <f t="shared" si="211"/>
        <v>3360</v>
      </c>
      <c r="U113" s="27">
        <f t="shared" si="211"/>
        <v>3360</v>
      </c>
      <c r="V113" s="27">
        <f t="shared" si="211"/>
        <v>3360</v>
      </c>
      <c r="W113" s="27">
        <f t="shared" si="211"/>
        <v>3360</v>
      </c>
      <c r="X113" s="27">
        <f t="shared" si="211"/>
        <v>3360</v>
      </c>
      <c r="Y113" s="27">
        <f t="shared" si="211"/>
        <v>3360</v>
      </c>
      <c r="Z113" s="27">
        <f t="shared" si="211"/>
        <v>3360</v>
      </c>
      <c r="AA113" s="27">
        <f t="shared" si="211"/>
        <v>3360</v>
      </c>
      <c r="AC113" s="4">
        <f t="shared" ref="AC113" si="212">SUM(C113:E113)</f>
        <v>15869.140333333333</v>
      </c>
      <c r="AD113" s="4">
        <f t="shared" ref="AD113" si="213">SUM(F113:H113)</f>
        <v>19427.528897058823</v>
      </c>
      <c r="AE113" s="4">
        <f t="shared" ref="AE113" si="214">SUM(I113:K113)</f>
        <v>18659.235424836603</v>
      </c>
      <c r="AF113" s="4">
        <f t="shared" ref="AF113" si="215">SUM(L113:N113)</f>
        <v>12904.937380952379</v>
      </c>
      <c r="AG113" s="4"/>
      <c r="AH113" s="4">
        <f t="shared" ref="AH113" si="216">SUM(P113:R113)</f>
        <v>10080</v>
      </c>
      <c r="AI113" s="4">
        <f t="shared" ref="AI113" si="217">SUM(S113:U113)</f>
        <v>10080</v>
      </c>
      <c r="AJ113" s="4">
        <f t="shared" ref="AJ113" si="218">SUM(V113:X113)</f>
        <v>10080</v>
      </c>
      <c r="AK113" s="4">
        <f t="shared" ref="AK113" si="219">SUM(Y113:AA113)</f>
        <v>10080</v>
      </c>
      <c r="AL113" s="4"/>
      <c r="AM113" s="4">
        <f t="shared" ref="AM113" si="220">SUM(C113:N113)</f>
        <v>66860.84203618113</v>
      </c>
      <c r="AN113" s="4">
        <f t="shared" ref="AN113" si="221">SUM(P113:AA113)</f>
        <v>40320</v>
      </c>
      <c r="AO113" s="1"/>
      <c r="AP113" s="25">
        <f t="shared" ref="AP113:AP114" si="222">SUM(AC113:AF113)-AM113</f>
        <v>0</v>
      </c>
      <c r="AQ113" s="25">
        <f t="shared" ref="AQ113:AQ114" si="223">SUM(AH113:AK113)-AN113</f>
        <v>0</v>
      </c>
    </row>
    <row r="114" spans="2:43" x14ac:dyDescent="0.2">
      <c r="B114" s="28" t="s">
        <v>104</v>
      </c>
      <c r="C114" s="32">
        <f>+C113</f>
        <v>5073.9213333333337</v>
      </c>
      <c r="D114" s="32">
        <f t="shared" ref="D114:N114" si="224">+D113</f>
        <v>5146.4439999999995</v>
      </c>
      <c r="E114" s="32">
        <f t="shared" si="224"/>
        <v>5648.7749999999996</v>
      </c>
      <c r="F114" s="32">
        <f t="shared" si="224"/>
        <v>6123.2658823529418</v>
      </c>
      <c r="G114" s="32">
        <f t="shared" si="224"/>
        <v>6319.2712499999998</v>
      </c>
      <c r="H114" s="32">
        <f t="shared" si="224"/>
        <v>6984.9917647058819</v>
      </c>
      <c r="I114" s="32">
        <f t="shared" si="224"/>
        <v>6377.2176470588238</v>
      </c>
      <c r="J114" s="32">
        <f t="shared" si="224"/>
        <v>6157.8577777777782</v>
      </c>
      <c r="K114" s="32">
        <f t="shared" si="224"/>
        <v>6124.16</v>
      </c>
      <c r="L114" s="32">
        <f t="shared" si="224"/>
        <v>6202.6866666666647</v>
      </c>
      <c r="M114" s="32">
        <f t="shared" si="224"/>
        <v>3352.2507142857139</v>
      </c>
      <c r="N114" s="32">
        <f t="shared" si="224"/>
        <v>3350</v>
      </c>
      <c r="O114" s="32"/>
      <c r="P114" s="32">
        <f t="shared" ref="P114:AA114" si="225">+P113</f>
        <v>3360</v>
      </c>
      <c r="Q114" s="32">
        <f t="shared" si="225"/>
        <v>3360</v>
      </c>
      <c r="R114" s="32">
        <f t="shared" si="225"/>
        <v>3360</v>
      </c>
      <c r="S114" s="32">
        <f t="shared" si="225"/>
        <v>3360</v>
      </c>
      <c r="T114" s="32">
        <f t="shared" si="225"/>
        <v>3360</v>
      </c>
      <c r="U114" s="32">
        <f t="shared" si="225"/>
        <v>3360</v>
      </c>
      <c r="V114" s="32">
        <f t="shared" si="225"/>
        <v>3360</v>
      </c>
      <c r="W114" s="32">
        <f t="shared" si="225"/>
        <v>3360</v>
      </c>
      <c r="X114" s="32">
        <f t="shared" si="225"/>
        <v>3360</v>
      </c>
      <c r="Y114" s="32">
        <f t="shared" si="225"/>
        <v>3360</v>
      </c>
      <c r="Z114" s="32">
        <f t="shared" si="225"/>
        <v>3360</v>
      </c>
      <c r="AA114" s="32">
        <f t="shared" si="225"/>
        <v>3360</v>
      </c>
      <c r="AB114" s="33"/>
      <c r="AC114" s="32">
        <f>SUM(AC112:AC113)</f>
        <v>15869.140333333333</v>
      </c>
      <c r="AD114" s="32">
        <f t="shared" ref="AD114" si="226">SUM(AD112:AD113)</f>
        <v>19427.528897058823</v>
      </c>
      <c r="AE114" s="32">
        <f t="shared" ref="AE114" si="227">SUM(AE112:AE113)</f>
        <v>18659.235424836603</v>
      </c>
      <c r="AF114" s="32">
        <f t="shared" ref="AF114" si="228">SUM(AF112:AF113)</f>
        <v>12904.937380952379</v>
      </c>
      <c r="AG114" s="5"/>
      <c r="AH114" s="32">
        <f>SUM(AH112:AH113)</f>
        <v>10080</v>
      </c>
      <c r="AI114" s="32">
        <f t="shared" ref="AI114:AN114" si="229">SUM(AI112:AI113)</f>
        <v>10080</v>
      </c>
      <c r="AJ114" s="32">
        <f t="shared" si="229"/>
        <v>10080</v>
      </c>
      <c r="AK114" s="32">
        <f t="shared" si="229"/>
        <v>10080</v>
      </c>
      <c r="AL114" s="5"/>
      <c r="AM114" s="32">
        <f t="shared" si="229"/>
        <v>66860.84203618113</v>
      </c>
      <c r="AN114" s="32">
        <f t="shared" si="229"/>
        <v>40320</v>
      </c>
      <c r="AO114" s="1"/>
      <c r="AP114" s="25">
        <f t="shared" si="222"/>
        <v>0</v>
      </c>
      <c r="AQ114" s="25">
        <f t="shared" si="223"/>
        <v>0</v>
      </c>
    </row>
    <row r="116" spans="2:43" x14ac:dyDescent="0.2">
      <c r="B116" s="28" t="s">
        <v>105</v>
      </c>
      <c r="C116" s="32">
        <f>+C106+C111+C114</f>
        <v>38054.410000000003</v>
      </c>
      <c r="D116" s="32">
        <f t="shared" ref="D116:N116" si="230">+D106+D111+D114</f>
        <v>38598.33</v>
      </c>
      <c r="E116" s="32">
        <f t="shared" si="230"/>
        <v>45190.2</v>
      </c>
      <c r="F116" s="32">
        <f t="shared" si="230"/>
        <v>52047.76</v>
      </c>
      <c r="G116" s="32">
        <f t="shared" si="230"/>
        <v>50554.17</v>
      </c>
      <c r="H116" s="32">
        <f t="shared" si="230"/>
        <v>59372.429999999993</v>
      </c>
      <c r="I116" s="32">
        <f t="shared" si="230"/>
        <v>54206.35</v>
      </c>
      <c r="J116" s="32">
        <f t="shared" si="230"/>
        <v>55420.72</v>
      </c>
      <c r="K116" s="32">
        <f t="shared" si="230"/>
        <v>48993.279999999999</v>
      </c>
      <c r="L116" s="32">
        <f t="shared" si="230"/>
        <v>46520.149999999994</v>
      </c>
      <c r="M116" s="32">
        <f t="shared" si="230"/>
        <v>46931.509999999995</v>
      </c>
      <c r="N116" s="32">
        <f t="shared" si="230"/>
        <v>46900</v>
      </c>
      <c r="O116" s="32"/>
      <c r="P116" s="32">
        <f t="shared" ref="P116:AA116" si="231">+P106+P111+P114</f>
        <v>47040</v>
      </c>
      <c r="Q116" s="32">
        <f t="shared" si="231"/>
        <v>47040</v>
      </c>
      <c r="R116" s="32">
        <f t="shared" si="231"/>
        <v>47040</v>
      </c>
      <c r="S116" s="32">
        <f t="shared" si="231"/>
        <v>47040</v>
      </c>
      <c r="T116" s="32">
        <f t="shared" si="231"/>
        <v>47040</v>
      </c>
      <c r="U116" s="32">
        <f t="shared" si="231"/>
        <v>47040</v>
      </c>
      <c r="V116" s="32">
        <f t="shared" si="231"/>
        <v>47040</v>
      </c>
      <c r="W116" s="32">
        <f t="shared" si="231"/>
        <v>47040</v>
      </c>
      <c r="X116" s="32">
        <f t="shared" si="231"/>
        <v>47040</v>
      </c>
      <c r="Y116" s="32">
        <f t="shared" si="231"/>
        <v>47040</v>
      </c>
      <c r="Z116" s="32">
        <f t="shared" si="231"/>
        <v>47040</v>
      </c>
      <c r="AA116" s="32">
        <f t="shared" si="231"/>
        <v>47040</v>
      </c>
      <c r="AB116" s="33"/>
      <c r="AC116" s="32">
        <f>+AC106+AC111+AC114</f>
        <v>121842.94</v>
      </c>
      <c r="AD116" s="32">
        <f t="shared" ref="AD116:AN116" si="232">+AD106+AD111+AD114</f>
        <v>161974.36000000002</v>
      </c>
      <c r="AE116" s="32">
        <f t="shared" si="232"/>
        <v>158620.35</v>
      </c>
      <c r="AF116" s="32">
        <f t="shared" si="232"/>
        <v>140351.66</v>
      </c>
      <c r="AG116" s="33"/>
      <c r="AH116" s="32">
        <f>+AH106+AH111+AH114</f>
        <v>141120</v>
      </c>
      <c r="AI116" s="32">
        <f t="shared" si="232"/>
        <v>141120</v>
      </c>
      <c r="AJ116" s="32">
        <f t="shared" si="232"/>
        <v>141120</v>
      </c>
      <c r="AK116" s="32">
        <f t="shared" si="232"/>
        <v>141120</v>
      </c>
      <c r="AL116" s="33"/>
      <c r="AM116" s="32">
        <f t="shared" si="232"/>
        <v>582789.30999999994</v>
      </c>
      <c r="AN116" s="32">
        <f t="shared" si="232"/>
        <v>564480</v>
      </c>
      <c r="AP116" s="25">
        <f>SUM(AC116:AF116)-AM116</f>
        <v>0</v>
      </c>
      <c r="AQ116" s="25">
        <f>SUM(AH116:AK116)-AN116</f>
        <v>0</v>
      </c>
    </row>
    <row r="118" spans="2:43" x14ac:dyDescent="0.2">
      <c r="B118" s="26" t="s">
        <v>98</v>
      </c>
      <c r="C118" s="4">
        <f>+C123/15*-1</f>
        <v>2536.9606666666668</v>
      </c>
      <c r="D118" s="4">
        <f>+D123/15*-1</f>
        <v>2573.2219999999998</v>
      </c>
      <c r="E118" s="4">
        <f>+E123/16*-1</f>
        <v>2824.3874999999998</v>
      </c>
      <c r="F118" s="4">
        <f>+F123/17*-1</f>
        <v>3061.6329411764709</v>
      </c>
      <c r="G118" s="4">
        <f>+G123/16*-1</f>
        <v>3159.6356249999999</v>
      </c>
      <c r="H118" s="4">
        <f>+H123/17*-1</f>
        <v>3492.495882352941</v>
      </c>
      <c r="I118" s="4">
        <f>+I123/17*-1</f>
        <v>3188.6088235294119</v>
      </c>
      <c r="J118" s="4">
        <f>+J123/18*-1</f>
        <v>3078.9288888888891</v>
      </c>
      <c r="K118" s="4">
        <f>+K123/16*-1</f>
        <v>3062.08</v>
      </c>
      <c r="L118" s="4">
        <f>+L123/15*-1</f>
        <v>3101.3433333333323</v>
      </c>
      <c r="M118" s="4">
        <f>+M123/14*-1</f>
        <v>3352.2507142857139</v>
      </c>
      <c r="N118" s="37">
        <v>3350</v>
      </c>
      <c r="O118" s="37"/>
      <c r="P118" s="37">
        <v>3360</v>
      </c>
      <c r="Q118" s="37">
        <v>3360</v>
      </c>
      <c r="R118" s="37">
        <v>3360</v>
      </c>
      <c r="S118" s="37">
        <v>3360</v>
      </c>
      <c r="T118" s="37">
        <v>3360</v>
      </c>
      <c r="U118" s="37">
        <v>3360</v>
      </c>
      <c r="V118" s="37">
        <v>3360</v>
      </c>
      <c r="W118" s="37">
        <v>3360</v>
      </c>
      <c r="X118" s="37">
        <v>3360</v>
      </c>
      <c r="Y118" s="37">
        <v>3360</v>
      </c>
      <c r="Z118" s="37">
        <v>3360</v>
      </c>
      <c r="AA118" s="37">
        <v>3360</v>
      </c>
      <c r="AC118" s="4"/>
    </row>
    <row r="120" spans="2:43" x14ac:dyDescent="0.2">
      <c r="B120" s="26" t="s">
        <v>188</v>
      </c>
      <c r="C120" s="42">
        <f>+C116/'2 Employees'!C286</f>
        <v>0.24947207206829222</v>
      </c>
      <c r="D120" s="42">
        <f>+D116/'2 Employees'!D286</f>
        <v>0.26189396065395448</v>
      </c>
      <c r="E120" s="42">
        <f>+E116/'2 Employees'!E286</f>
        <v>0.30507799707426159</v>
      </c>
      <c r="F120" s="42">
        <f>+F116/'2 Employees'!F286</f>
        <v>0.34378323009374756</v>
      </c>
      <c r="G120" s="42">
        <f>+G116/'2 Employees'!G286</f>
        <v>0.3125023644370859</v>
      </c>
      <c r="H120" s="42">
        <f>+H116/'2 Employees'!H286</f>
        <v>0.36414274817348818</v>
      </c>
      <c r="I120" s="42">
        <f>+I116/'2 Employees'!I286</f>
        <v>0.31633978452781281</v>
      </c>
      <c r="J120" s="42">
        <f>+J116/'2 Employees'!J286</f>
        <v>0.3326368177717704</v>
      </c>
      <c r="K120" s="42">
        <f>+K116/'2 Employees'!K286</f>
        <v>0.32826670168658417</v>
      </c>
      <c r="L120" s="42">
        <f>+L116/'2 Employees'!L286</f>
        <v>0.3097341980473492</v>
      </c>
      <c r="M120" s="42">
        <f>+M116/'2 Employees'!M286</f>
        <v>0.32535074600532665</v>
      </c>
      <c r="N120" s="42">
        <f>+N116/'2 Employees'!N286</f>
        <v>0.32912280701754387</v>
      </c>
      <c r="O120" s="42"/>
      <c r="P120" s="42">
        <f>+P116/'2 Employees'!P286</f>
        <v>0.33010526315789473</v>
      </c>
      <c r="Q120" s="42">
        <f>+Q116/'2 Employees'!Q286</f>
        <v>0.33010526315789473</v>
      </c>
      <c r="R120" s="42">
        <f>+R116/'2 Employees'!R286</f>
        <v>0.3222028151649029</v>
      </c>
      <c r="S120" s="42">
        <f>+S116/'2 Employees'!S286</f>
        <v>0.3222028151649029</v>
      </c>
      <c r="T120" s="42">
        <f>+T116/'2 Employees'!T286</f>
        <v>0.3222028151649029</v>
      </c>
      <c r="U120" s="42">
        <f>+U116/'2 Employees'!U286</f>
        <v>0.3222028151649029</v>
      </c>
      <c r="V120" s="42">
        <f>+V116/'2 Employees'!V286</f>
        <v>0.3222028151649029</v>
      </c>
      <c r="W120" s="42">
        <f>+W116/'2 Employees'!W286</f>
        <v>0.3222028151649029</v>
      </c>
      <c r="X120" s="42">
        <f>+X116/'2 Employees'!X286</f>
        <v>0.3222028151649029</v>
      </c>
      <c r="Y120" s="42">
        <f>+Y116/'2 Employees'!Y286</f>
        <v>0.3222028151649029</v>
      </c>
      <c r="Z120" s="42">
        <f>+Z116/'2 Employees'!Z286</f>
        <v>0.3222028151649029</v>
      </c>
      <c r="AA120" s="42">
        <f>+AA116/'2 Employees'!AA286</f>
        <v>0.3222028151649029</v>
      </c>
      <c r="AC120" s="42">
        <f>+AC116/'2 Employees'!AC286</f>
        <v>0.27194171767180564</v>
      </c>
      <c r="AD120" s="42">
        <f>+AD116/'2 Employees'!AD286</f>
        <v>0.34012772515882911</v>
      </c>
      <c r="AE120" s="42">
        <f>+AE116/'2 Employees'!AE286</f>
        <v>0.32556638975112201</v>
      </c>
      <c r="AF120" s="42">
        <f>+AF116/'2 Employees'!AF286</f>
        <v>0.32121292778058447</v>
      </c>
      <c r="AH120" s="42">
        <f>+AH116/'2 Employees'!AH286</f>
        <v>0.32742839244074756</v>
      </c>
      <c r="AI120" s="42">
        <f>+AI116/'2 Employees'!AI286</f>
        <v>0.3222028151649029</v>
      </c>
      <c r="AJ120" s="42">
        <f>+AJ116/'2 Employees'!AJ286</f>
        <v>0.3222028151649029</v>
      </c>
      <c r="AK120" s="42">
        <f>+AK116/'2 Employees'!AK286</f>
        <v>0.3222028151649029</v>
      </c>
      <c r="AM120" s="42">
        <f>+AM116/'2 Employees'!AM286</f>
        <v>0.31529042998358786</v>
      </c>
      <c r="AN120" s="42">
        <f>+AN116/'2 Employees'!AN286</f>
        <v>0.32349350984268888</v>
      </c>
    </row>
    <row r="122" spans="2:43" x14ac:dyDescent="0.2">
      <c r="C122" s="27">
        <f t="shared" ref="C122:G122" si="233">+C116</f>
        <v>38054.410000000003</v>
      </c>
      <c r="D122" s="27">
        <f t="shared" si="233"/>
        <v>38598.33</v>
      </c>
      <c r="E122" s="27">
        <f t="shared" si="233"/>
        <v>45190.2</v>
      </c>
      <c r="F122" s="27">
        <f t="shared" si="233"/>
        <v>52047.76</v>
      </c>
      <c r="G122" s="27">
        <f t="shared" si="233"/>
        <v>50554.17</v>
      </c>
      <c r="H122" s="27">
        <f t="shared" ref="H122:M122" si="234">+H116</f>
        <v>59372.429999999993</v>
      </c>
      <c r="I122" s="27">
        <f t="shared" si="234"/>
        <v>54206.35</v>
      </c>
      <c r="J122" s="27">
        <f t="shared" si="234"/>
        <v>55420.72</v>
      </c>
      <c r="K122" s="27">
        <f t="shared" si="234"/>
        <v>48993.279999999999</v>
      </c>
      <c r="L122" s="27">
        <f t="shared" si="234"/>
        <v>46520.149999999994</v>
      </c>
      <c r="M122" s="27">
        <f t="shared" si="234"/>
        <v>46931.509999999995</v>
      </c>
    </row>
    <row r="123" spans="2:43" x14ac:dyDescent="0.2">
      <c r="C123" s="4">
        <v>-38054.410000000003</v>
      </c>
      <c r="D123" s="4">
        <v>-38598.329999999994</v>
      </c>
      <c r="E123" s="4">
        <v>-45190.2</v>
      </c>
      <c r="F123" s="4">
        <v>-52047.760000000009</v>
      </c>
      <c r="G123" s="4">
        <v>-50554.17</v>
      </c>
      <c r="H123" s="4">
        <v>-59372.429999999993</v>
      </c>
      <c r="I123" s="4">
        <v>-54206.35</v>
      </c>
      <c r="J123" s="4">
        <v>-55420.72</v>
      </c>
      <c r="K123" s="4">
        <v>-48993.279999999999</v>
      </c>
      <c r="L123" s="4">
        <v>-46520.149999999987</v>
      </c>
      <c r="M123" s="4">
        <v>-46931.509999999995</v>
      </c>
    </row>
    <row r="124" spans="2:43" x14ac:dyDescent="0.2">
      <c r="C124" s="4">
        <f t="shared" ref="C124:H124" si="235">+C122+C123</f>
        <v>0</v>
      </c>
      <c r="D124" s="4">
        <f t="shared" si="235"/>
        <v>0</v>
      </c>
      <c r="E124" s="4">
        <f t="shared" si="235"/>
        <v>0</v>
      </c>
      <c r="F124" s="4">
        <f t="shared" si="235"/>
        <v>0</v>
      </c>
      <c r="G124" s="4">
        <f t="shared" si="235"/>
        <v>0</v>
      </c>
      <c r="H124" s="4">
        <f t="shared" si="235"/>
        <v>0</v>
      </c>
      <c r="I124" s="4">
        <f t="shared" ref="I124:J124" si="236">+I122+I123</f>
        <v>0</v>
      </c>
      <c r="J124" s="4">
        <f t="shared" si="236"/>
        <v>0</v>
      </c>
      <c r="K124" s="4">
        <f t="shared" ref="K124:L124" si="237">+K122+K123</f>
        <v>0</v>
      </c>
      <c r="L124" s="4">
        <f t="shared" si="237"/>
        <v>0</v>
      </c>
      <c r="M124" s="4">
        <f t="shared" ref="M124" si="238">+M122+M123</f>
        <v>0</v>
      </c>
    </row>
  </sheetData>
  <mergeCells count="7">
    <mergeCell ref="B87:AN87"/>
    <mergeCell ref="B5:AN5"/>
    <mergeCell ref="B25:AN25"/>
    <mergeCell ref="B38:AN38"/>
    <mergeCell ref="B49:AN49"/>
    <mergeCell ref="B60:AN60"/>
    <mergeCell ref="B72:AN7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4BBF-17C0-46A2-BA7C-B546CEE3E1F0}">
  <dimension ref="A1:AY152"/>
  <sheetViews>
    <sheetView zoomScaleNormal="100" workbookViewId="0">
      <pane xSplit="2" ySplit="3" topLeftCell="D22" activePane="bottomRight" state="frozen"/>
      <selection pane="topRight" activeCell="B1" sqref="B1"/>
      <selection pane="bottomLeft" activeCell="A5" sqref="A5"/>
      <selection pane="bottomRight" activeCell="P52" sqref="P52:AA54"/>
    </sheetView>
  </sheetViews>
  <sheetFormatPr baseColWidth="10" defaultColWidth="9.1640625" defaultRowHeight="14" x14ac:dyDescent="0.2"/>
  <cols>
    <col min="1" max="1" width="2.6640625" style="14" customWidth="1"/>
    <col min="2" max="2" width="30.6640625" style="14" customWidth="1"/>
    <col min="3" max="14" width="9.6640625" style="14" customWidth="1"/>
    <col min="15" max="15" width="2.6640625" style="14" customWidth="1"/>
    <col min="16" max="27" width="9.6640625" style="14" customWidth="1"/>
    <col min="28" max="28" width="2.6640625" style="14" customWidth="1"/>
    <col min="29" max="32" width="10.6640625" style="14" customWidth="1"/>
    <col min="33" max="33" width="2.6640625" style="14" customWidth="1"/>
    <col min="34" max="37" width="10.6640625" style="14" customWidth="1"/>
    <col min="38" max="38" width="2.6640625" style="14" customWidth="1"/>
    <col min="39" max="40" width="10.6640625" style="14" customWidth="1"/>
    <col min="41" max="41" width="2.6640625" style="14" customWidth="1"/>
    <col min="42" max="43" width="6.6640625" style="14" customWidth="1"/>
    <col min="44" max="44" width="3.83203125" style="14" customWidth="1"/>
    <col min="45" max="45" width="44.1640625" style="14" customWidth="1"/>
    <col min="46" max="46" width="9.5" style="14" bestFit="1" customWidth="1"/>
    <col min="47" max="47" width="9.1640625" style="14"/>
    <col min="48" max="48" width="38.83203125" style="14" customWidth="1"/>
    <col min="49" max="49" width="9.5" style="14" bestFit="1" customWidth="1"/>
    <col min="50" max="50" width="9.1640625" style="14"/>
    <col min="51" max="51" width="43.33203125" style="14" bestFit="1" customWidth="1"/>
    <col min="52" max="16384" width="9.1640625" style="14"/>
  </cols>
  <sheetData>
    <row r="1" spans="1:50" ht="16" x14ac:dyDescent="0.2">
      <c r="A1" s="15" t="s">
        <v>136</v>
      </c>
      <c r="B1" s="15"/>
    </row>
    <row r="3" spans="1:50" x14ac:dyDescent="0.2">
      <c r="B3" s="28"/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O3" s="9"/>
      <c r="P3" s="9">
        <f>EDATE(N3,1)</f>
        <v>46023</v>
      </c>
      <c r="Q3" s="9">
        <f>EDATE(P3,1)</f>
        <v>46054</v>
      </c>
      <c r="R3" s="9">
        <f t="shared" ref="R3:AA3" si="1">EDATE(Q3,1)</f>
        <v>46082</v>
      </c>
      <c r="S3" s="9">
        <f t="shared" si="1"/>
        <v>46113</v>
      </c>
      <c r="T3" s="9">
        <f t="shared" si="1"/>
        <v>46143</v>
      </c>
      <c r="U3" s="9">
        <f t="shared" si="1"/>
        <v>46174</v>
      </c>
      <c r="V3" s="9">
        <f t="shared" si="1"/>
        <v>46204</v>
      </c>
      <c r="W3" s="9">
        <f t="shared" si="1"/>
        <v>46235</v>
      </c>
      <c r="X3" s="9">
        <f t="shared" si="1"/>
        <v>46266</v>
      </c>
      <c r="Y3" s="9">
        <f t="shared" si="1"/>
        <v>46296</v>
      </c>
      <c r="Z3" s="9">
        <f t="shared" si="1"/>
        <v>46327</v>
      </c>
      <c r="AA3" s="9">
        <f t="shared" si="1"/>
        <v>46357</v>
      </c>
      <c r="AB3" s="10"/>
      <c r="AC3" s="10" t="s">
        <v>1200</v>
      </c>
      <c r="AD3" s="10" t="s">
        <v>1201</v>
      </c>
      <c r="AE3" s="10" t="s">
        <v>1202</v>
      </c>
      <c r="AF3" s="10" t="s">
        <v>1203</v>
      </c>
      <c r="AG3" s="10"/>
      <c r="AH3" s="10" t="s">
        <v>1204</v>
      </c>
      <c r="AI3" s="10" t="s">
        <v>1205</v>
      </c>
      <c r="AJ3" s="10" t="s">
        <v>1206</v>
      </c>
      <c r="AK3" s="10" t="s">
        <v>1207</v>
      </c>
      <c r="AL3" s="10"/>
      <c r="AM3" s="11">
        <v>2025</v>
      </c>
      <c r="AN3" s="11">
        <v>2026</v>
      </c>
      <c r="AO3" s="1"/>
      <c r="AP3" s="3" t="s">
        <v>13</v>
      </c>
      <c r="AQ3" s="3" t="s">
        <v>13</v>
      </c>
    </row>
    <row r="4" spans="1:50" x14ac:dyDescent="0.2">
      <c r="B4" s="16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50" x14ac:dyDescent="0.2">
      <c r="B5" s="176" t="s">
        <v>119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8"/>
    </row>
    <row r="6" spans="1:50" x14ac:dyDescent="0.2">
      <c r="B6" s="16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50" x14ac:dyDescent="0.2">
      <c r="B7" s="14" t="s">
        <v>113</v>
      </c>
      <c r="C7" s="4">
        <v>760</v>
      </c>
      <c r="D7" s="4">
        <v>285</v>
      </c>
      <c r="E7" s="4">
        <v>308.75</v>
      </c>
      <c r="F7" s="4">
        <v>0</v>
      </c>
      <c r="G7" s="4">
        <v>0</v>
      </c>
      <c r="H7" s="4">
        <v>118.75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7"/>
      <c r="AC7" s="4">
        <f t="shared" ref="AC7:AC27" si="2">SUM(C7:E7)</f>
        <v>1353.75</v>
      </c>
      <c r="AD7" s="4">
        <f t="shared" ref="AD7:AD27" si="3">SUM(F7:H7)</f>
        <v>118.75</v>
      </c>
      <c r="AE7" s="4">
        <f t="shared" ref="AE7:AE27" si="4">SUM(I7:K7)</f>
        <v>0</v>
      </c>
      <c r="AF7" s="4">
        <f t="shared" ref="AF7:AF27" si="5">SUM(L7:N7)</f>
        <v>0</v>
      </c>
      <c r="AG7" s="4"/>
      <c r="AH7" s="4">
        <f>SUM(P7:R7)</f>
        <v>0</v>
      </c>
      <c r="AI7" s="4">
        <f>SUM(S7:U7)</f>
        <v>0</v>
      </c>
      <c r="AJ7" s="4">
        <f>SUM(V7:X7)</f>
        <v>0</v>
      </c>
      <c r="AK7" s="4">
        <f>SUM(Y7:AA7)</f>
        <v>0</v>
      </c>
      <c r="AL7" s="4"/>
      <c r="AM7" s="4">
        <f t="shared" ref="AM7:AM27" si="6">SUM(C7:N7)</f>
        <v>1472.5</v>
      </c>
      <c r="AN7" s="4">
        <f>SUM(P7:AA7)</f>
        <v>0</v>
      </c>
      <c r="AO7" s="4"/>
      <c r="AP7" s="25">
        <f t="shared" ref="AP7:AP27" si="7">SUM(AC7:AF7)-AM7</f>
        <v>0</v>
      </c>
      <c r="AQ7" s="25">
        <f t="shared" ref="AQ7:AQ27" si="8">SUM(AH7:AK7)-AN7</f>
        <v>0</v>
      </c>
      <c r="AT7" s="17"/>
    </row>
    <row r="8" spans="1:50" x14ac:dyDescent="0.2">
      <c r="B8" s="14" t="s">
        <v>4</v>
      </c>
      <c r="C8" s="4">
        <v>14840</v>
      </c>
      <c r="D8" s="4">
        <v>15190</v>
      </c>
      <c r="E8" s="4">
        <v>11200</v>
      </c>
      <c r="F8" s="4">
        <v>4585</v>
      </c>
      <c r="G8" s="4">
        <v>4970</v>
      </c>
      <c r="H8" s="4">
        <v>10570</v>
      </c>
      <c r="I8" s="4">
        <v>5250</v>
      </c>
      <c r="J8" s="4">
        <v>8470</v>
      </c>
      <c r="K8" s="4">
        <v>12950</v>
      </c>
      <c r="L8" s="4">
        <v>15150</v>
      </c>
      <c r="M8" s="4">
        <v>16275</v>
      </c>
      <c r="N8" s="13">
        <v>12500</v>
      </c>
      <c r="P8" s="13">
        <v>12500</v>
      </c>
      <c r="Q8" s="13">
        <v>12500</v>
      </c>
      <c r="R8" s="13">
        <v>12500</v>
      </c>
      <c r="S8" s="13">
        <v>10000</v>
      </c>
      <c r="T8" s="13">
        <v>10000</v>
      </c>
      <c r="U8" s="13">
        <v>10000</v>
      </c>
      <c r="V8" s="13">
        <v>7500</v>
      </c>
      <c r="W8" s="13">
        <v>7500</v>
      </c>
      <c r="X8" s="13">
        <v>7500</v>
      </c>
      <c r="Y8" s="13">
        <v>5000</v>
      </c>
      <c r="Z8" s="13">
        <v>5000</v>
      </c>
      <c r="AA8" s="13">
        <v>5000</v>
      </c>
      <c r="AB8" s="17"/>
      <c r="AC8" s="4">
        <f t="shared" si="2"/>
        <v>41230</v>
      </c>
      <c r="AD8" s="4">
        <f t="shared" si="3"/>
        <v>20125</v>
      </c>
      <c r="AE8" s="4">
        <f t="shared" si="4"/>
        <v>26670</v>
      </c>
      <c r="AF8" s="4">
        <f t="shared" si="5"/>
        <v>43925</v>
      </c>
      <c r="AG8" s="4"/>
      <c r="AH8" s="4">
        <f t="shared" ref="AH8:AH27" si="9">SUM(P8:R8)</f>
        <v>37500</v>
      </c>
      <c r="AI8" s="4">
        <f t="shared" ref="AI8:AI27" si="10">SUM(S8:U8)</f>
        <v>30000</v>
      </c>
      <c r="AJ8" s="4">
        <f t="shared" ref="AJ8:AJ27" si="11">SUM(V8:X8)</f>
        <v>22500</v>
      </c>
      <c r="AK8" s="4">
        <f t="shared" ref="AK8:AK27" si="12">SUM(Y8:AA8)</f>
        <v>15000</v>
      </c>
      <c r="AL8" s="4"/>
      <c r="AM8" s="4">
        <f t="shared" si="6"/>
        <v>131950</v>
      </c>
      <c r="AN8" s="4">
        <f t="shared" ref="AN8:AN27" si="13">SUM(P8:AA8)</f>
        <v>105000</v>
      </c>
      <c r="AO8" s="4"/>
      <c r="AP8" s="25">
        <f t="shared" si="7"/>
        <v>0</v>
      </c>
      <c r="AQ8" s="25">
        <f t="shared" si="8"/>
        <v>0</v>
      </c>
      <c r="AS8" s="14" t="s">
        <v>368</v>
      </c>
      <c r="AT8" s="86">
        <v>16275</v>
      </c>
    </row>
    <row r="9" spans="1:50" x14ac:dyDescent="0.2">
      <c r="B9" s="14" t="s">
        <v>115</v>
      </c>
      <c r="C9" s="4">
        <v>1597.5</v>
      </c>
      <c r="D9" s="4">
        <v>2430</v>
      </c>
      <c r="E9" s="4">
        <v>2823.75</v>
      </c>
      <c r="F9" s="4">
        <v>1912.5</v>
      </c>
      <c r="G9" s="4">
        <v>472.5</v>
      </c>
      <c r="H9" s="4">
        <v>1125</v>
      </c>
      <c r="I9" s="4">
        <v>22.5</v>
      </c>
      <c r="J9" s="4">
        <v>0</v>
      </c>
      <c r="K9" s="4">
        <v>967.5</v>
      </c>
      <c r="L9" s="4">
        <v>2677.5</v>
      </c>
      <c r="M9" s="4">
        <v>3015</v>
      </c>
      <c r="N9" s="13">
        <v>2500</v>
      </c>
      <c r="P9" s="13">
        <v>2500</v>
      </c>
      <c r="Q9" s="13">
        <v>2500</v>
      </c>
      <c r="R9" s="13">
        <v>2500</v>
      </c>
      <c r="S9" s="13">
        <v>1500</v>
      </c>
      <c r="T9" s="13">
        <v>1500</v>
      </c>
      <c r="U9" s="13">
        <v>1500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7"/>
      <c r="AC9" s="4">
        <f t="shared" si="2"/>
        <v>6851.25</v>
      </c>
      <c r="AD9" s="4">
        <f t="shared" si="3"/>
        <v>3510</v>
      </c>
      <c r="AE9" s="4">
        <f t="shared" si="4"/>
        <v>990</v>
      </c>
      <c r="AF9" s="4">
        <f t="shared" si="5"/>
        <v>8192.5</v>
      </c>
      <c r="AG9" s="4"/>
      <c r="AH9" s="4">
        <f t="shared" si="9"/>
        <v>7500</v>
      </c>
      <c r="AI9" s="4">
        <f t="shared" si="10"/>
        <v>4500</v>
      </c>
      <c r="AJ9" s="4">
        <f t="shared" si="11"/>
        <v>0</v>
      </c>
      <c r="AK9" s="4">
        <f t="shared" si="12"/>
        <v>0</v>
      </c>
      <c r="AL9" s="4"/>
      <c r="AM9" s="4">
        <f t="shared" si="6"/>
        <v>19543.75</v>
      </c>
      <c r="AN9" s="4">
        <f t="shared" si="13"/>
        <v>12000</v>
      </c>
      <c r="AO9" s="4"/>
      <c r="AP9" s="25">
        <f t="shared" si="7"/>
        <v>0</v>
      </c>
      <c r="AQ9" s="25">
        <f t="shared" si="8"/>
        <v>0</v>
      </c>
      <c r="AS9" s="14" t="s">
        <v>366</v>
      </c>
      <c r="AT9" s="86">
        <v>3015</v>
      </c>
    </row>
    <row r="10" spans="1:50" x14ac:dyDescent="0.2">
      <c r="B10" s="14" t="s">
        <v>2</v>
      </c>
      <c r="C10" s="4">
        <v>8287.5</v>
      </c>
      <c r="D10" s="4">
        <v>8325</v>
      </c>
      <c r="E10" s="4">
        <v>8437.5</v>
      </c>
      <c r="F10" s="4">
        <v>8587.5</v>
      </c>
      <c r="G10" s="4">
        <v>8325</v>
      </c>
      <c r="H10" s="4">
        <v>8887.5</v>
      </c>
      <c r="I10" s="4">
        <v>8625</v>
      </c>
      <c r="J10" s="4">
        <v>8362.5</v>
      </c>
      <c r="K10" s="4">
        <v>8362.5</v>
      </c>
      <c r="L10" s="4">
        <v>8287.5</v>
      </c>
      <c r="M10" s="4">
        <v>8400</v>
      </c>
      <c r="N10" s="13">
        <v>8500</v>
      </c>
      <c r="P10" s="13">
        <v>8500</v>
      </c>
      <c r="Q10" s="13">
        <v>8500</v>
      </c>
      <c r="R10" s="13">
        <v>8500</v>
      </c>
      <c r="S10" s="13">
        <v>8500</v>
      </c>
      <c r="T10" s="13">
        <v>8500</v>
      </c>
      <c r="U10" s="13">
        <v>8500</v>
      </c>
      <c r="V10" s="13">
        <v>8500</v>
      </c>
      <c r="W10" s="13">
        <v>8500</v>
      </c>
      <c r="X10" s="13">
        <v>8500</v>
      </c>
      <c r="Y10" s="13">
        <v>8500</v>
      </c>
      <c r="Z10" s="13">
        <v>8500</v>
      </c>
      <c r="AA10" s="13">
        <v>8500</v>
      </c>
      <c r="AB10" s="17"/>
      <c r="AC10" s="4">
        <f t="shared" si="2"/>
        <v>25050</v>
      </c>
      <c r="AD10" s="4">
        <f t="shared" si="3"/>
        <v>25800</v>
      </c>
      <c r="AE10" s="4">
        <f t="shared" si="4"/>
        <v>25350</v>
      </c>
      <c r="AF10" s="4">
        <f t="shared" si="5"/>
        <v>25187.5</v>
      </c>
      <c r="AG10" s="4"/>
      <c r="AH10" s="4">
        <f t="shared" si="9"/>
        <v>25500</v>
      </c>
      <c r="AI10" s="4">
        <f t="shared" si="10"/>
        <v>25500</v>
      </c>
      <c r="AJ10" s="4">
        <f t="shared" si="11"/>
        <v>25500</v>
      </c>
      <c r="AK10" s="4">
        <f t="shared" si="12"/>
        <v>25500</v>
      </c>
      <c r="AL10" s="4"/>
      <c r="AM10" s="4">
        <f t="shared" si="6"/>
        <v>101387.5</v>
      </c>
      <c r="AN10" s="4">
        <f t="shared" si="13"/>
        <v>102000</v>
      </c>
      <c r="AO10" s="4"/>
      <c r="AP10" s="25">
        <f t="shared" si="7"/>
        <v>0</v>
      </c>
      <c r="AQ10" s="25">
        <f t="shared" si="8"/>
        <v>0</v>
      </c>
      <c r="AS10" s="14" t="s">
        <v>359</v>
      </c>
      <c r="AT10" s="86">
        <v>8400</v>
      </c>
    </row>
    <row r="11" spans="1:50" x14ac:dyDescent="0.2">
      <c r="B11" s="14" t="s">
        <v>61</v>
      </c>
      <c r="C11" s="4">
        <v>12600</v>
      </c>
      <c r="D11" s="4">
        <v>16065</v>
      </c>
      <c r="E11" s="4">
        <v>16800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7"/>
      <c r="AC11" s="4">
        <f t="shared" si="2"/>
        <v>45465</v>
      </c>
      <c r="AD11" s="4">
        <f t="shared" si="3"/>
        <v>0</v>
      </c>
      <c r="AE11" s="4">
        <f t="shared" si="4"/>
        <v>0</v>
      </c>
      <c r="AF11" s="4">
        <f t="shared" si="5"/>
        <v>0</v>
      </c>
      <c r="AG11" s="4"/>
      <c r="AH11" s="4">
        <f t="shared" si="9"/>
        <v>0</v>
      </c>
      <c r="AI11" s="4">
        <f t="shared" si="10"/>
        <v>0</v>
      </c>
      <c r="AJ11" s="4">
        <f t="shared" si="11"/>
        <v>0</v>
      </c>
      <c r="AK11" s="4">
        <f t="shared" si="12"/>
        <v>0</v>
      </c>
      <c r="AL11" s="4"/>
      <c r="AM11" s="4">
        <f t="shared" si="6"/>
        <v>45465</v>
      </c>
      <c r="AN11" s="4">
        <f t="shared" si="13"/>
        <v>0</v>
      </c>
      <c r="AO11" s="4"/>
      <c r="AP11" s="25">
        <f t="shared" si="7"/>
        <v>0</v>
      </c>
      <c r="AQ11" s="25">
        <f t="shared" si="8"/>
        <v>0</v>
      </c>
      <c r="AT11" s="86"/>
    </row>
    <row r="12" spans="1:50" x14ac:dyDescent="0.2">
      <c r="B12" s="14" t="s">
        <v>1049</v>
      </c>
      <c r="C12" s="4">
        <v>2500</v>
      </c>
      <c r="D12" s="4">
        <v>2687.5</v>
      </c>
      <c r="E12" s="4">
        <v>2531.25</v>
      </c>
      <c r="F12" s="4">
        <v>2031.25</v>
      </c>
      <c r="G12" s="4">
        <v>2218.75</v>
      </c>
      <c r="H12" s="4">
        <v>2437.5</v>
      </c>
      <c r="I12" s="4">
        <v>3500</v>
      </c>
      <c r="J12" s="4">
        <v>2843.75</v>
      </c>
      <c r="K12" s="4">
        <v>312.5</v>
      </c>
      <c r="L12" s="4">
        <v>0</v>
      </c>
      <c r="M12" s="4">
        <v>0</v>
      </c>
      <c r="N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7"/>
      <c r="AC12" s="4">
        <f t="shared" si="2"/>
        <v>7718.75</v>
      </c>
      <c r="AD12" s="4">
        <f t="shared" si="3"/>
        <v>6687.5</v>
      </c>
      <c r="AE12" s="4">
        <f t="shared" si="4"/>
        <v>6656.25</v>
      </c>
      <c r="AF12" s="4">
        <f t="shared" si="5"/>
        <v>0</v>
      </c>
      <c r="AG12" s="4"/>
      <c r="AH12" s="4">
        <f t="shared" si="9"/>
        <v>0</v>
      </c>
      <c r="AI12" s="4">
        <f t="shared" si="10"/>
        <v>0</v>
      </c>
      <c r="AJ12" s="4">
        <f t="shared" si="11"/>
        <v>0</v>
      </c>
      <c r="AK12" s="4">
        <f t="shared" si="12"/>
        <v>0</v>
      </c>
      <c r="AL12" s="4"/>
      <c r="AM12" s="4">
        <f t="shared" si="6"/>
        <v>21062.5</v>
      </c>
      <c r="AN12" s="4">
        <f t="shared" si="13"/>
        <v>0</v>
      </c>
      <c r="AO12" s="4"/>
      <c r="AP12" s="25">
        <f t="shared" si="7"/>
        <v>0</v>
      </c>
      <c r="AQ12" s="25">
        <f t="shared" si="8"/>
        <v>0</v>
      </c>
      <c r="AT12" s="86"/>
    </row>
    <row r="13" spans="1:50" x14ac:dyDescent="0.2">
      <c r="B13" s="14" t="s">
        <v>15</v>
      </c>
      <c r="C13" s="4">
        <v>1312.5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7"/>
      <c r="AC13" s="4">
        <f t="shared" si="2"/>
        <v>1312.5</v>
      </c>
      <c r="AD13" s="4">
        <f t="shared" si="3"/>
        <v>0</v>
      </c>
      <c r="AE13" s="4">
        <f t="shared" si="4"/>
        <v>0</v>
      </c>
      <c r="AF13" s="4">
        <f t="shared" si="5"/>
        <v>0</v>
      </c>
      <c r="AG13" s="4"/>
      <c r="AH13" s="4">
        <f t="shared" si="9"/>
        <v>0</v>
      </c>
      <c r="AI13" s="4">
        <f t="shared" si="10"/>
        <v>0</v>
      </c>
      <c r="AJ13" s="4">
        <f t="shared" si="11"/>
        <v>0</v>
      </c>
      <c r="AK13" s="4">
        <f t="shared" si="12"/>
        <v>0</v>
      </c>
      <c r="AL13" s="4"/>
      <c r="AM13" s="4">
        <f t="shared" si="6"/>
        <v>1312.5</v>
      </c>
      <c r="AN13" s="4">
        <f t="shared" si="13"/>
        <v>0</v>
      </c>
      <c r="AO13" s="4"/>
      <c r="AP13" s="25">
        <f t="shared" si="7"/>
        <v>0</v>
      </c>
      <c r="AQ13" s="25">
        <f t="shared" si="8"/>
        <v>0</v>
      </c>
      <c r="AT13" s="86"/>
    </row>
    <row r="14" spans="1:50" x14ac:dyDescent="0.2">
      <c r="B14" s="14" t="s">
        <v>7</v>
      </c>
      <c r="C14" s="4">
        <v>4472.5</v>
      </c>
      <c r="D14" s="4">
        <v>5122.5</v>
      </c>
      <c r="E14" s="4">
        <v>4960</v>
      </c>
      <c r="F14" s="4">
        <v>5025</v>
      </c>
      <c r="G14" s="4">
        <v>4553.75</v>
      </c>
      <c r="H14" s="4">
        <v>3497.5</v>
      </c>
      <c r="I14" s="4">
        <v>3920</v>
      </c>
      <c r="J14" s="4">
        <v>3822.5</v>
      </c>
      <c r="K14" s="4">
        <v>3250</v>
      </c>
      <c r="L14" s="4">
        <v>0</v>
      </c>
      <c r="M14" s="4">
        <v>0</v>
      </c>
      <c r="N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7"/>
      <c r="AC14" s="4">
        <f t="shared" si="2"/>
        <v>14555</v>
      </c>
      <c r="AD14" s="4">
        <f t="shared" si="3"/>
        <v>13076.25</v>
      </c>
      <c r="AE14" s="4">
        <f t="shared" si="4"/>
        <v>10992.5</v>
      </c>
      <c r="AF14" s="4">
        <f t="shared" si="5"/>
        <v>0</v>
      </c>
      <c r="AG14" s="4"/>
      <c r="AH14" s="4">
        <f t="shared" si="9"/>
        <v>0</v>
      </c>
      <c r="AI14" s="4">
        <f t="shared" si="10"/>
        <v>0</v>
      </c>
      <c r="AJ14" s="4">
        <f t="shared" si="11"/>
        <v>0</v>
      </c>
      <c r="AK14" s="4">
        <f t="shared" si="12"/>
        <v>0</v>
      </c>
      <c r="AL14" s="4"/>
      <c r="AM14" s="4">
        <f t="shared" si="6"/>
        <v>38623.75</v>
      </c>
      <c r="AN14" s="4">
        <f t="shared" si="13"/>
        <v>0</v>
      </c>
      <c r="AO14" s="4"/>
      <c r="AP14" s="25">
        <f t="shared" si="7"/>
        <v>0</v>
      </c>
      <c r="AQ14" s="25">
        <f t="shared" si="8"/>
        <v>0</v>
      </c>
      <c r="AT14" s="86"/>
    </row>
    <row r="15" spans="1:50" x14ac:dyDescent="0.2">
      <c r="B15" s="14" t="s">
        <v>666</v>
      </c>
      <c r="C15" s="4">
        <v>125</v>
      </c>
      <c r="D15" s="4">
        <v>62.5</v>
      </c>
      <c r="E15" s="4">
        <v>0</v>
      </c>
      <c r="F15" s="4">
        <v>0</v>
      </c>
      <c r="G15" s="4">
        <v>62.5</v>
      </c>
      <c r="H15" s="4">
        <v>0</v>
      </c>
      <c r="I15" s="4">
        <v>656.25</v>
      </c>
      <c r="J15" s="4">
        <v>0</v>
      </c>
      <c r="K15" s="4">
        <v>62.5</v>
      </c>
      <c r="L15" s="4">
        <v>62.5</v>
      </c>
      <c r="M15" s="4">
        <v>62.5</v>
      </c>
      <c r="N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7"/>
      <c r="AC15" s="4">
        <f t="shared" si="2"/>
        <v>187.5</v>
      </c>
      <c r="AD15" s="4">
        <f t="shared" si="3"/>
        <v>62.5</v>
      </c>
      <c r="AE15" s="4">
        <f t="shared" si="4"/>
        <v>718.75</v>
      </c>
      <c r="AF15" s="4">
        <f t="shared" si="5"/>
        <v>125</v>
      </c>
      <c r="AG15" s="4"/>
      <c r="AH15" s="4">
        <f t="shared" si="9"/>
        <v>0</v>
      </c>
      <c r="AI15" s="4">
        <f t="shared" si="10"/>
        <v>0</v>
      </c>
      <c r="AJ15" s="4">
        <f t="shared" si="11"/>
        <v>0</v>
      </c>
      <c r="AK15" s="4">
        <f t="shared" si="12"/>
        <v>0</v>
      </c>
      <c r="AL15" s="4"/>
      <c r="AM15" s="4">
        <f t="shared" si="6"/>
        <v>1093.75</v>
      </c>
      <c r="AN15" s="4">
        <f t="shared" si="13"/>
        <v>0</v>
      </c>
      <c r="AO15" s="4"/>
      <c r="AP15" s="25">
        <f t="shared" si="7"/>
        <v>0</v>
      </c>
      <c r="AQ15" s="25">
        <f t="shared" si="8"/>
        <v>0</v>
      </c>
      <c r="AS15" s="14" t="s">
        <v>14</v>
      </c>
      <c r="AT15" s="86">
        <v>62.5</v>
      </c>
    </row>
    <row r="16" spans="1:50" x14ac:dyDescent="0.2">
      <c r="B16" s="14" t="s">
        <v>282</v>
      </c>
      <c r="C16" s="4">
        <v>16835</v>
      </c>
      <c r="D16" s="4">
        <v>11153.75</v>
      </c>
      <c r="E16" s="4">
        <v>16112.5</v>
      </c>
      <c r="F16" s="4">
        <v>17821</v>
      </c>
      <c r="G16" s="4">
        <v>22167</v>
      </c>
      <c r="H16" s="4">
        <v>14055</v>
      </c>
      <c r="I16" s="4">
        <v>8442.25</v>
      </c>
      <c r="J16" s="4">
        <v>7855.75</v>
      </c>
      <c r="K16" s="4">
        <v>9438</v>
      </c>
      <c r="L16" s="4">
        <v>18494.75</v>
      </c>
      <c r="M16" s="4">
        <v>23091.5</v>
      </c>
      <c r="N16" s="13">
        <v>15000</v>
      </c>
      <c r="P16" s="100">
        <v>15000</v>
      </c>
      <c r="Q16" s="100">
        <v>15000</v>
      </c>
      <c r="R16" s="100">
        <v>15000</v>
      </c>
      <c r="S16" s="100">
        <v>12500</v>
      </c>
      <c r="T16" s="100">
        <v>12500</v>
      </c>
      <c r="U16" s="100">
        <v>12500</v>
      </c>
      <c r="V16" s="100">
        <v>10000</v>
      </c>
      <c r="W16" s="100">
        <v>10000</v>
      </c>
      <c r="X16" s="100">
        <v>10000</v>
      </c>
      <c r="Y16" s="100">
        <v>8000</v>
      </c>
      <c r="Z16" s="100">
        <v>8000</v>
      </c>
      <c r="AA16" s="100">
        <v>8000</v>
      </c>
      <c r="AB16" s="17"/>
      <c r="AC16" s="4">
        <f t="shared" si="2"/>
        <v>44101.25</v>
      </c>
      <c r="AD16" s="4">
        <f t="shared" si="3"/>
        <v>54043</v>
      </c>
      <c r="AE16" s="4">
        <f t="shared" si="4"/>
        <v>25736</v>
      </c>
      <c r="AF16" s="4">
        <f t="shared" si="5"/>
        <v>56586.25</v>
      </c>
      <c r="AG16" s="4"/>
      <c r="AH16" s="4">
        <f t="shared" si="9"/>
        <v>45000</v>
      </c>
      <c r="AI16" s="4">
        <f t="shared" si="10"/>
        <v>37500</v>
      </c>
      <c r="AJ16" s="4">
        <f t="shared" si="11"/>
        <v>30000</v>
      </c>
      <c r="AK16" s="4">
        <f t="shared" si="12"/>
        <v>24000</v>
      </c>
      <c r="AL16" s="4"/>
      <c r="AM16" s="4">
        <f t="shared" si="6"/>
        <v>180466.5</v>
      </c>
      <c r="AN16" s="4">
        <f t="shared" si="13"/>
        <v>136500</v>
      </c>
      <c r="AO16" s="4"/>
      <c r="AP16" s="25">
        <f t="shared" si="7"/>
        <v>0</v>
      </c>
      <c r="AQ16" s="25">
        <f t="shared" si="8"/>
        <v>0</v>
      </c>
      <c r="AS16" s="14" t="s">
        <v>352</v>
      </c>
      <c r="AT16" s="165">
        <f>SUM(AW16:AW26)</f>
        <v>23091.5</v>
      </c>
      <c r="AU16" s="86"/>
      <c r="AV16" s="14" t="s">
        <v>1333</v>
      </c>
      <c r="AW16" s="165">
        <v>1175</v>
      </c>
      <c r="AX16" s="86">
        <v>1175</v>
      </c>
    </row>
    <row r="17" spans="2:50" x14ac:dyDescent="0.2">
      <c r="B17" s="14" t="s">
        <v>1</v>
      </c>
      <c r="C17" s="4">
        <v>18738.38</v>
      </c>
      <c r="D17" s="4">
        <v>37814</v>
      </c>
      <c r="E17" s="4">
        <v>18180</v>
      </c>
      <c r="F17" s="4">
        <v>18544</v>
      </c>
      <c r="G17" s="4">
        <v>18544</v>
      </c>
      <c r="H17" s="4">
        <v>18544</v>
      </c>
      <c r="I17" s="4">
        <v>18544</v>
      </c>
      <c r="J17" s="4">
        <v>18641.580000000002</v>
      </c>
      <c r="K17" s="4">
        <v>18544</v>
      </c>
      <c r="L17" s="4">
        <v>18544</v>
      </c>
      <c r="M17" s="4">
        <v>18544</v>
      </c>
      <c r="N17" s="13">
        <v>19000</v>
      </c>
      <c r="P17" s="13">
        <v>19000</v>
      </c>
      <c r="Q17" s="13">
        <v>19000</v>
      </c>
      <c r="R17" s="13">
        <v>19000</v>
      </c>
      <c r="S17" s="13">
        <v>19000</v>
      </c>
      <c r="T17" s="13">
        <v>19000</v>
      </c>
      <c r="U17" s="13">
        <v>19000</v>
      </c>
      <c r="V17" s="13">
        <v>19000</v>
      </c>
      <c r="W17" s="13">
        <v>19000</v>
      </c>
      <c r="X17" s="13">
        <v>19000</v>
      </c>
      <c r="Y17" s="13">
        <v>19000</v>
      </c>
      <c r="Z17" s="13">
        <v>19000</v>
      </c>
      <c r="AA17" s="13">
        <v>19000</v>
      </c>
      <c r="AB17" s="17"/>
      <c r="AC17" s="4">
        <f t="shared" si="2"/>
        <v>74732.38</v>
      </c>
      <c r="AD17" s="4">
        <f t="shared" si="3"/>
        <v>55632</v>
      </c>
      <c r="AE17" s="4">
        <f t="shared" si="4"/>
        <v>55729.58</v>
      </c>
      <c r="AF17" s="4">
        <f t="shared" si="5"/>
        <v>56088</v>
      </c>
      <c r="AG17" s="4"/>
      <c r="AH17" s="4">
        <f t="shared" si="9"/>
        <v>57000</v>
      </c>
      <c r="AI17" s="4">
        <f t="shared" si="10"/>
        <v>57000</v>
      </c>
      <c r="AJ17" s="4">
        <f t="shared" si="11"/>
        <v>57000</v>
      </c>
      <c r="AK17" s="4">
        <f t="shared" si="12"/>
        <v>57000</v>
      </c>
      <c r="AL17" s="4"/>
      <c r="AM17" s="4">
        <f t="shared" si="6"/>
        <v>242181.96000000002</v>
      </c>
      <c r="AN17" s="4">
        <f t="shared" si="13"/>
        <v>228000</v>
      </c>
      <c r="AO17" s="4"/>
      <c r="AP17" s="25">
        <f t="shared" si="7"/>
        <v>0</v>
      </c>
      <c r="AQ17" s="25">
        <f t="shared" si="8"/>
        <v>0</v>
      </c>
      <c r="AS17" s="163" t="s">
        <v>351</v>
      </c>
      <c r="AT17" s="164">
        <v>18544</v>
      </c>
      <c r="AV17" s="14" t="s">
        <v>1324</v>
      </c>
      <c r="AW17" s="165">
        <v>2450</v>
      </c>
      <c r="AX17" s="86">
        <v>2450</v>
      </c>
    </row>
    <row r="18" spans="2:50" x14ac:dyDescent="0.2">
      <c r="B18" s="14" t="s">
        <v>85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7"/>
      <c r="AC18" s="4">
        <f t="shared" si="2"/>
        <v>0</v>
      </c>
      <c r="AD18" s="4">
        <f t="shared" si="3"/>
        <v>0</v>
      </c>
      <c r="AE18" s="4">
        <f t="shared" si="4"/>
        <v>0</v>
      </c>
      <c r="AF18" s="4">
        <f t="shared" si="5"/>
        <v>0</v>
      </c>
      <c r="AG18" s="4"/>
      <c r="AH18" s="4">
        <f t="shared" si="9"/>
        <v>0</v>
      </c>
      <c r="AI18" s="4">
        <f t="shared" si="10"/>
        <v>0</v>
      </c>
      <c r="AJ18" s="4">
        <f t="shared" si="11"/>
        <v>0</v>
      </c>
      <c r="AK18" s="4">
        <f t="shared" si="12"/>
        <v>0</v>
      </c>
      <c r="AL18" s="4"/>
      <c r="AM18" s="4">
        <f t="shared" si="6"/>
        <v>0</v>
      </c>
      <c r="AN18" s="4">
        <f t="shared" si="13"/>
        <v>0</v>
      </c>
      <c r="AO18" s="4"/>
      <c r="AP18" s="25">
        <f t="shared" si="7"/>
        <v>0</v>
      </c>
      <c r="AQ18" s="25">
        <f t="shared" si="8"/>
        <v>0</v>
      </c>
      <c r="AT18" s="17"/>
      <c r="AV18" s="14" t="s">
        <v>1326</v>
      </c>
      <c r="AW18" s="165">
        <v>0</v>
      </c>
      <c r="AX18" s="86">
        <v>0</v>
      </c>
    </row>
    <row r="19" spans="2:50" x14ac:dyDescent="0.2">
      <c r="B19" s="14" t="s">
        <v>85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7"/>
      <c r="AC19" s="4">
        <f t="shared" si="2"/>
        <v>0</v>
      </c>
      <c r="AD19" s="4">
        <f t="shared" si="3"/>
        <v>0</v>
      </c>
      <c r="AE19" s="4">
        <f t="shared" si="4"/>
        <v>0</v>
      </c>
      <c r="AF19" s="4">
        <f t="shared" si="5"/>
        <v>0</v>
      </c>
      <c r="AG19" s="4"/>
      <c r="AH19" s="4">
        <f t="shared" si="9"/>
        <v>0</v>
      </c>
      <c r="AI19" s="4">
        <f t="shared" si="10"/>
        <v>0</v>
      </c>
      <c r="AJ19" s="4">
        <f t="shared" si="11"/>
        <v>0</v>
      </c>
      <c r="AK19" s="4">
        <f t="shared" si="12"/>
        <v>0</v>
      </c>
      <c r="AL19" s="4"/>
      <c r="AM19" s="4">
        <f t="shared" si="6"/>
        <v>0</v>
      </c>
      <c r="AN19" s="4">
        <f t="shared" si="13"/>
        <v>0</v>
      </c>
      <c r="AO19" s="4"/>
      <c r="AP19" s="25">
        <f t="shared" si="7"/>
        <v>0</v>
      </c>
      <c r="AQ19" s="25">
        <f t="shared" si="8"/>
        <v>0</v>
      </c>
      <c r="AT19" s="17"/>
      <c r="AV19" s="14" t="s">
        <v>1325</v>
      </c>
      <c r="AW19" s="165">
        <v>3220</v>
      </c>
      <c r="AX19" s="86">
        <v>3220</v>
      </c>
    </row>
    <row r="20" spans="2:50" x14ac:dyDescent="0.2">
      <c r="B20" s="14" t="s">
        <v>85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7"/>
      <c r="AC20" s="4">
        <f t="shared" si="2"/>
        <v>0</v>
      </c>
      <c r="AD20" s="4">
        <f t="shared" si="3"/>
        <v>0</v>
      </c>
      <c r="AE20" s="4">
        <f t="shared" si="4"/>
        <v>0</v>
      </c>
      <c r="AF20" s="4">
        <f t="shared" si="5"/>
        <v>0</v>
      </c>
      <c r="AG20" s="4"/>
      <c r="AH20" s="4">
        <f t="shared" si="9"/>
        <v>0</v>
      </c>
      <c r="AI20" s="4">
        <f t="shared" si="10"/>
        <v>0</v>
      </c>
      <c r="AJ20" s="4">
        <f t="shared" si="11"/>
        <v>0</v>
      </c>
      <c r="AK20" s="4">
        <f t="shared" si="12"/>
        <v>0</v>
      </c>
      <c r="AL20" s="4"/>
      <c r="AM20" s="4">
        <f t="shared" si="6"/>
        <v>0</v>
      </c>
      <c r="AN20" s="4">
        <f t="shared" si="13"/>
        <v>0</v>
      </c>
      <c r="AO20" s="4"/>
      <c r="AP20" s="25">
        <f t="shared" si="7"/>
        <v>0</v>
      </c>
      <c r="AQ20" s="25">
        <f t="shared" si="8"/>
        <v>0</v>
      </c>
      <c r="AT20" s="17"/>
      <c r="AV20" s="14" t="s">
        <v>1327</v>
      </c>
      <c r="AW20" s="165">
        <v>132</v>
      </c>
      <c r="AX20" s="86">
        <v>132</v>
      </c>
    </row>
    <row r="21" spans="2:50" x14ac:dyDescent="0.2">
      <c r="B21" s="14" t="s">
        <v>85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7"/>
      <c r="AC21" s="4">
        <f t="shared" si="2"/>
        <v>0</v>
      </c>
      <c r="AD21" s="4">
        <f t="shared" si="3"/>
        <v>0</v>
      </c>
      <c r="AE21" s="4">
        <f t="shared" si="4"/>
        <v>0</v>
      </c>
      <c r="AF21" s="4">
        <f t="shared" si="5"/>
        <v>0</v>
      </c>
      <c r="AG21" s="4"/>
      <c r="AH21" s="4">
        <f t="shared" si="9"/>
        <v>0</v>
      </c>
      <c r="AI21" s="4">
        <f t="shared" si="10"/>
        <v>0</v>
      </c>
      <c r="AJ21" s="4">
        <f t="shared" si="11"/>
        <v>0</v>
      </c>
      <c r="AK21" s="4">
        <f t="shared" si="12"/>
        <v>0</v>
      </c>
      <c r="AL21" s="4"/>
      <c r="AM21" s="4">
        <f t="shared" si="6"/>
        <v>0</v>
      </c>
      <c r="AN21" s="4">
        <f t="shared" si="13"/>
        <v>0</v>
      </c>
      <c r="AO21" s="4"/>
      <c r="AP21" s="25">
        <f t="shared" si="7"/>
        <v>0</v>
      </c>
      <c r="AQ21" s="25">
        <f t="shared" si="8"/>
        <v>0</v>
      </c>
      <c r="AT21" s="17"/>
      <c r="AV21" s="14" t="s">
        <v>1331</v>
      </c>
      <c r="AW21" s="165">
        <v>0</v>
      </c>
      <c r="AX21" s="86">
        <v>0</v>
      </c>
    </row>
    <row r="22" spans="2:50" x14ac:dyDescent="0.2">
      <c r="B22" s="14" t="s">
        <v>85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7"/>
      <c r="AC22" s="4">
        <f t="shared" si="2"/>
        <v>0</v>
      </c>
      <c r="AD22" s="4">
        <f t="shared" si="3"/>
        <v>0</v>
      </c>
      <c r="AE22" s="4">
        <f t="shared" si="4"/>
        <v>0</v>
      </c>
      <c r="AF22" s="4">
        <f t="shared" si="5"/>
        <v>0</v>
      </c>
      <c r="AG22" s="4"/>
      <c r="AH22" s="4">
        <f t="shared" si="9"/>
        <v>0</v>
      </c>
      <c r="AI22" s="4">
        <f t="shared" si="10"/>
        <v>0</v>
      </c>
      <c r="AJ22" s="4">
        <f t="shared" si="11"/>
        <v>0</v>
      </c>
      <c r="AK22" s="4">
        <f t="shared" si="12"/>
        <v>0</v>
      </c>
      <c r="AL22" s="4"/>
      <c r="AM22" s="4">
        <f t="shared" si="6"/>
        <v>0</v>
      </c>
      <c r="AN22" s="4">
        <f t="shared" si="13"/>
        <v>0</v>
      </c>
      <c r="AO22" s="4"/>
      <c r="AP22" s="25">
        <f t="shared" si="7"/>
        <v>0</v>
      </c>
      <c r="AQ22" s="25">
        <f t="shared" si="8"/>
        <v>0</v>
      </c>
      <c r="AT22" s="86"/>
      <c r="AV22" s="14" t="s">
        <v>1465</v>
      </c>
      <c r="AW22" s="165">
        <v>0</v>
      </c>
      <c r="AX22" s="86">
        <v>0</v>
      </c>
    </row>
    <row r="23" spans="2:50" x14ac:dyDescent="0.2">
      <c r="B23" s="14" t="s">
        <v>85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7"/>
      <c r="AC23" s="4">
        <f t="shared" si="2"/>
        <v>0</v>
      </c>
      <c r="AD23" s="4">
        <f t="shared" si="3"/>
        <v>0</v>
      </c>
      <c r="AE23" s="4">
        <f t="shared" si="4"/>
        <v>0</v>
      </c>
      <c r="AF23" s="4">
        <f t="shared" si="5"/>
        <v>0</v>
      </c>
      <c r="AG23" s="4"/>
      <c r="AH23" s="4">
        <f t="shared" si="9"/>
        <v>0</v>
      </c>
      <c r="AI23" s="4">
        <f t="shared" si="10"/>
        <v>0</v>
      </c>
      <c r="AJ23" s="4">
        <f t="shared" si="11"/>
        <v>0</v>
      </c>
      <c r="AK23" s="4">
        <f t="shared" si="12"/>
        <v>0</v>
      </c>
      <c r="AL23" s="4"/>
      <c r="AM23" s="4">
        <f t="shared" si="6"/>
        <v>0</v>
      </c>
      <c r="AN23" s="4">
        <f t="shared" si="13"/>
        <v>0</v>
      </c>
      <c r="AO23" s="4"/>
      <c r="AP23" s="25">
        <f t="shared" si="7"/>
        <v>0</v>
      </c>
      <c r="AQ23" s="25">
        <f t="shared" si="8"/>
        <v>0</v>
      </c>
      <c r="AT23" s="86"/>
      <c r="AV23" s="14" t="s">
        <v>1464</v>
      </c>
      <c r="AW23" s="165">
        <v>3920</v>
      </c>
      <c r="AX23" s="86">
        <v>3920</v>
      </c>
    </row>
    <row r="24" spans="2:50" x14ac:dyDescent="0.2">
      <c r="B24" s="14" t="s">
        <v>85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7"/>
      <c r="AC24" s="4">
        <f t="shared" si="2"/>
        <v>0</v>
      </c>
      <c r="AD24" s="4">
        <f t="shared" si="3"/>
        <v>0</v>
      </c>
      <c r="AE24" s="4">
        <f t="shared" si="4"/>
        <v>0</v>
      </c>
      <c r="AF24" s="4">
        <f t="shared" si="5"/>
        <v>0</v>
      </c>
      <c r="AG24" s="4"/>
      <c r="AH24" s="4">
        <f t="shared" si="9"/>
        <v>0</v>
      </c>
      <c r="AI24" s="4">
        <f t="shared" si="10"/>
        <v>0</v>
      </c>
      <c r="AJ24" s="4">
        <f t="shared" si="11"/>
        <v>0</v>
      </c>
      <c r="AK24" s="4">
        <f t="shared" si="12"/>
        <v>0</v>
      </c>
      <c r="AL24" s="4"/>
      <c r="AM24" s="4">
        <f t="shared" si="6"/>
        <v>0</v>
      </c>
      <c r="AN24" s="4">
        <f t="shared" si="13"/>
        <v>0</v>
      </c>
      <c r="AO24" s="4"/>
      <c r="AP24" s="25">
        <f t="shared" si="7"/>
        <v>0</v>
      </c>
      <c r="AQ24" s="25">
        <f t="shared" si="8"/>
        <v>0</v>
      </c>
      <c r="AT24" s="86"/>
      <c r="AV24" s="14" t="s">
        <v>1467</v>
      </c>
      <c r="AW24" s="165">
        <v>4077</v>
      </c>
      <c r="AX24" s="86">
        <v>4077</v>
      </c>
    </row>
    <row r="25" spans="2:50" x14ac:dyDescent="0.2">
      <c r="B25" s="14" t="s">
        <v>85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7"/>
      <c r="AC25" s="4">
        <f t="shared" si="2"/>
        <v>0</v>
      </c>
      <c r="AD25" s="4">
        <f t="shared" si="3"/>
        <v>0</v>
      </c>
      <c r="AE25" s="4">
        <f t="shared" si="4"/>
        <v>0</v>
      </c>
      <c r="AF25" s="4">
        <f t="shared" si="5"/>
        <v>0</v>
      </c>
      <c r="AG25" s="4"/>
      <c r="AH25" s="4">
        <f t="shared" si="9"/>
        <v>0</v>
      </c>
      <c r="AI25" s="4">
        <f t="shared" si="10"/>
        <v>0</v>
      </c>
      <c r="AJ25" s="4">
        <f t="shared" si="11"/>
        <v>0</v>
      </c>
      <c r="AK25" s="4">
        <f t="shared" si="12"/>
        <v>0</v>
      </c>
      <c r="AL25" s="4"/>
      <c r="AM25" s="4">
        <f t="shared" si="6"/>
        <v>0</v>
      </c>
      <c r="AN25" s="4">
        <f t="shared" si="13"/>
        <v>0</v>
      </c>
      <c r="AO25" s="4"/>
      <c r="AP25" s="25">
        <f t="shared" si="7"/>
        <v>0</v>
      </c>
      <c r="AQ25" s="25">
        <f t="shared" si="8"/>
        <v>0</v>
      </c>
      <c r="AT25" s="86"/>
      <c r="AV25" s="14" t="s">
        <v>1466</v>
      </c>
      <c r="AW25" s="165">
        <v>4864</v>
      </c>
      <c r="AX25" s="86">
        <v>4864</v>
      </c>
    </row>
    <row r="26" spans="2:50" x14ac:dyDescent="0.2">
      <c r="B26" s="14" t="s">
        <v>85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7"/>
      <c r="AC26" s="4">
        <f t="shared" si="2"/>
        <v>0</v>
      </c>
      <c r="AD26" s="4">
        <f t="shared" si="3"/>
        <v>0</v>
      </c>
      <c r="AE26" s="4">
        <f t="shared" si="4"/>
        <v>0</v>
      </c>
      <c r="AF26" s="4">
        <f t="shared" si="5"/>
        <v>0</v>
      </c>
      <c r="AG26" s="4"/>
      <c r="AH26" s="4">
        <f t="shared" si="9"/>
        <v>0</v>
      </c>
      <c r="AI26" s="4">
        <f t="shared" si="10"/>
        <v>0</v>
      </c>
      <c r="AJ26" s="4">
        <f t="shared" si="11"/>
        <v>0</v>
      </c>
      <c r="AK26" s="4">
        <f t="shared" si="12"/>
        <v>0</v>
      </c>
      <c r="AL26" s="4"/>
      <c r="AM26" s="4">
        <f t="shared" si="6"/>
        <v>0</v>
      </c>
      <c r="AN26" s="4">
        <f t="shared" si="13"/>
        <v>0</v>
      </c>
      <c r="AO26" s="4"/>
      <c r="AP26" s="25">
        <f t="shared" si="7"/>
        <v>0</v>
      </c>
      <c r="AQ26" s="25">
        <f t="shared" si="8"/>
        <v>0</v>
      </c>
      <c r="AT26" s="86"/>
      <c r="AV26" s="14" t="s">
        <v>1468</v>
      </c>
      <c r="AW26" s="165">
        <v>3253.5</v>
      </c>
      <c r="AX26" s="86">
        <v>3253.5</v>
      </c>
    </row>
    <row r="27" spans="2:50" x14ac:dyDescent="0.2">
      <c r="B27" s="14" t="s">
        <v>85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7"/>
      <c r="AC27" s="4">
        <f t="shared" si="2"/>
        <v>0</v>
      </c>
      <c r="AD27" s="4">
        <f t="shared" si="3"/>
        <v>0</v>
      </c>
      <c r="AE27" s="4">
        <f t="shared" si="4"/>
        <v>0</v>
      </c>
      <c r="AF27" s="4">
        <f t="shared" si="5"/>
        <v>0</v>
      </c>
      <c r="AG27" s="4"/>
      <c r="AH27" s="4">
        <f t="shared" si="9"/>
        <v>0</v>
      </c>
      <c r="AI27" s="4">
        <f t="shared" si="10"/>
        <v>0</v>
      </c>
      <c r="AJ27" s="4">
        <f t="shared" si="11"/>
        <v>0</v>
      </c>
      <c r="AK27" s="4">
        <f t="shared" si="12"/>
        <v>0</v>
      </c>
      <c r="AL27" s="4"/>
      <c r="AM27" s="4">
        <f t="shared" si="6"/>
        <v>0</v>
      </c>
      <c r="AN27" s="4">
        <f t="shared" si="13"/>
        <v>0</v>
      </c>
      <c r="AO27" s="4"/>
      <c r="AP27" s="25">
        <f t="shared" si="7"/>
        <v>0</v>
      </c>
      <c r="AQ27" s="25">
        <f t="shared" si="8"/>
        <v>0</v>
      </c>
      <c r="AT27" s="86"/>
      <c r="AW27" s="86"/>
      <c r="AX27" s="86"/>
    </row>
    <row r="28" spans="2:50" x14ac:dyDescent="0.2">
      <c r="C28" s="43"/>
      <c r="D28" s="43"/>
      <c r="AP28" s="17"/>
      <c r="AQ28" s="17"/>
      <c r="AT28" s="86"/>
      <c r="AW28" s="86"/>
      <c r="AX28" s="86"/>
    </row>
    <row r="29" spans="2:50" x14ac:dyDescent="0.2">
      <c r="B29" s="28" t="s">
        <v>121</v>
      </c>
      <c r="C29" s="18">
        <f t="shared" ref="C29:N29" si="14">SUM(C7:C28)</f>
        <v>82068.38</v>
      </c>
      <c r="D29" s="18">
        <f t="shared" si="14"/>
        <v>99135.25</v>
      </c>
      <c r="E29" s="18">
        <f t="shared" si="14"/>
        <v>81353.75</v>
      </c>
      <c r="F29" s="18">
        <f t="shared" si="14"/>
        <v>58506.25</v>
      </c>
      <c r="G29" s="18">
        <f t="shared" si="14"/>
        <v>61313.5</v>
      </c>
      <c r="H29" s="18">
        <f t="shared" si="14"/>
        <v>59235.25</v>
      </c>
      <c r="I29" s="18">
        <f t="shared" si="14"/>
        <v>48960</v>
      </c>
      <c r="J29" s="18">
        <f t="shared" si="14"/>
        <v>49996.08</v>
      </c>
      <c r="K29" s="18">
        <f t="shared" si="14"/>
        <v>53887</v>
      </c>
      <c r="L29" s="18">
        <f t="shared" si="14"/>
        <v>63216.25</v>
      </c>
      <c r="M29" s="18">
        <f t="shared" si="14"/>
        <v>69388</v>
      </c>
      <c r="N29" s="18">
        <f t="shared" si="14"/>
        <v>57500</v>
      </c>
      <c r="O29" s="18"/>
      <c r="P29" s="18">
        <f t="shared" ref="P29:AA29" si="15">SUM(P7:P28)</f>
        <v>57500</v>
      </c>
      <c r="Q29" s="18">
        <f t="shared" si="15"/>
        <v>57500</v>
      </c>
      <c r="R29" s="18">
        <f t="shared" si="15"/>
        <v>57500</v>
      </c>
      <c r="S29" s="18">
        <f t="shared" si="15"/>
        <v>51500</v>
      </c>
      <c r="T29" s="18">
        <f t="shared" si="15"/>
        <v>51500</v>
      </c>
      <c r="U29" s="18">
        <f t="shared" si="15"/>
        <v>51500</v>
      </c>
      <c r="V29" s="18">
        <f t="shared" si="15"/>
        <v>45000</v>
      </c>
      <c r="W29" s="18">
        <f t="shared" si="15"/>
        <v>45000</v>
      </c>
      <c r="X29" s="18">
        <f t="shared" si="15"/>
        <v>45000</v>
      </c>
      <c r="Y29" s="18">
        <f t="shared" si="15"/>
        <v>40500</v>
      </c>
      <c r="Z29" s="18">
        <f t="shared" si="15"/>
        <v>40500</v>
      </c>
      <c r="AA29" s="18">
        <f t="shared" si="15"/>
        <v>40500</v>
      </c>
      <c r="AC29" s="18">
        <f>SUM(AC7:AC28)</f>
        <v>262557.38</v>
      </c>
      <c r="AD29" s="18">
        <f>SUM(AD7:AD28)</f>
        <v>179055</v>
      </c>
      <c r="AE29" s="18">
        <f>SUM(AE7:AE28)</f>
        <v>152843.08000000002</v>
      </c>
      <c r="AF29" s="18">
        <f>SUM(AF7:AF28)</f>
        <v>190104.25</v>
      </c>
      <c r="AG29" s="18"/>
      <c r="AH29" s="18">
        <f>SUM(AH7:AH28)</f>
        <v>172500</v>
      </c>
      <c r="AI29" s="18">
        <f>SUM(AI7:AI28)</f>
        <v>154500</v>
      </c>
      <c r="AJ29" s="18">
        <f>SUM(AJ7:AJ28)</f>
        <v>135000</v>
      </c>
      <c r="AK29" s="18">
        <f>SUM(AK7:AK28)</f>
        <v>121500</v>
      </c>
      <c r="AM29" s="18">
        <f>SUM(AM7:AM28)</f>
        <v>784559.71</v>
      </c>
      <c r="AN29" s="18">
        <f>SUM(AN7:AN28)</f>
        <v>583500</v>
      </c>
      <c r="AP29" s="25">
        <f t="shared" ref="AP29" si="16">SUM(AC29:AF29)-AM29</f>
        <v>0</v>
      </c>
      <c r="AQ29" s="25">
        <f t="shared" ref="AQ29" si="17">SUM(AH29:AK29)-AN29</f>
        <v>0</v>
      </c>
      <c r="AW29" s="86"/>
      <c r="AX29" s="86"/>
    </row>
    <row r="30" spans="2:50" x14ac:dyDescent="0.2"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C30" s="18"/>
      <c r="AD30" s="18"/>
      <c r="AE30" s="18"/>
      <c r="AF30" s="18"/>
      <c r="AG30" s="18"/>
      <c r="AH30" s="18"/>
      <c r="AI30" s="18"/>
      <c r="AJ30" s="18"/>
      <c r="AK30" s="18"/>
      <c r="AN30" s="18"/>
      <c r="AP30" s="25"/>
      <c r="AQ30" s="25"/>
      <c r="AW30" s="86"/>
      <c r="AX30" s="86"/>
    </row>
    <row r="31" spans="2:50" x14ac:dyDescent="0.2">
      <c r="B31" s="16"/>
      <c r="C31" s="16"/>
      <c r="D31" s="16"/>
      <c r="E31" s="16"/>
      <c r="F31" s="16"/>
      <c r="G31" s="16"/>
      <c r="H31" s="16"/>
      <c r="I31" s="16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C31" s="18"/>
      <c r="AD31" s="18"/>
      <c r="AE31" s="18"/>
      <c r="AF31" s="18"/>
      <c r="AG31" s="18"/>
      <c r="AH31" s="18"/>
      <c r="AI31" s="18"/>
      <c r="AJ31" s="18"/>
      <c r="AK31" s="18"/>
      <c r="AN31" s="18"/>
      <c r="AP31" s="25"/>
      <c r="AQ31" s="25"/>
      <c r="AW31" s="86"/>
      <c r="AX31" s="86"/>
    </row>
    <row r="32" spans="2:50" x14ac:dyDescent="0.2">
      <c r="B32" s="176" t="s">
        <v>123</v>
      </c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8"/>
      <c r="AP32" s="25"/>
      <c r="AQ32" s="25"/>
      <c r="AW32" s="86"/>
      <c r="AX32" s="86"/>
    </row>
    <row r="33" spans="2:50" x14ac:dyDescent="0.2">
      <c r="B33" s="16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C33" s="18"/>
      <c r="AD33" s="18"/>
      <c r="AE33" s="18"/>
      <c r="AF33" s="18"/>
      <c r="AG33" s="18"/>
      <c r="AH33" s="18"/>
      <c r="AI33" s="18"/>
      <c r="AJ33" s="18"/>
      <c r="AK33" s="18"/>
      <c r="AN33" s="18"/>
      <c r="AP33" s="25"/>
      <c r="AQ33" s="25"/>
      <c r="AW33" s="86"/>
      <c r="AX33" s="86"/>
    </row>
    <row r="34" spans="2:50" x14ac:dyDescent="0.2">
      <c r="B34" s="14" t="s">
        <v>9</v>
      </c>
      <c r="C34" s="4">
        <v>12121.26</v>
      </c>
      <c r="D34" s="4">
        <v>12000</v>
      </c>
      <c r="E34" s="4">
        <v>16141.55</v>
      </c>
      <c r="F34" s="4">
        <v>12000</v>
      </c>
      <c r="G34" s="4">
        <v>12199.26</v>
      </c>
      <c r="H34" s="4">
        <v>12000</v>
      </c>
      <c r="I34" s="4">
        <v>8000</v>
      </c>
      <c r="J34" s="4">
        <v>0</v>
      </c>
      <c r="K34" s="4">
        <v>0</v>
      </c>
      <c r="L34" s="4">
        <v>0</v>
      </c>
      <c r="M34" s="4">
        <v>0</v>
      </c>
      <c r="N34" s="13">
        <v>0</v>
      </c>
      <c r="O34" s="18"/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C34" s="4">
        <f t="shared" ref="AC34:AC44" si="18">SUM(C34:E34)</f>
        <v>40262.81</v>
      </c>
      <c r="AD34" s="4">
        <f t="shared" ref="AD34:AD44" si="19">SUM(F34:H34)</f>
        <v>36199.26</v>
      </c>
      <c r="AE34" s="4">
        <f t="shared" ref="AE34:AE44" si="20">SUM(I34:K34)</f>
        <v>8000</v>
      </c>
      <c r="AF34" s="4">
        <f t="shared" ref="AF34:AF44" si="21">SUM(L34:N34)</f>
        <v>0</v>
      </c>
      <c r="AG34" s="4"/>
      <c r="AH34" s="4">
        <f t="shared" ref="AH34:AH44" si="22">SUM(P34:R34)</f>
        <v>0</v>
      </c>
      <c r="AI34" s="4">
        <f t="shared" ref="AI34:AI44" si="23">SUM(S34:U34)</f>
        <v>0</v>
      </c>
      <c r="AJ34" s="4">
        <f t="shared" ref="AJ34:AJ44" si="24">SUM(V34:X34)</f>
        <v>0</v>
      </c>
      <c r="AK34" s="4">
        <f t="shared" ref="AK34:AK44" si="25">SUM(Y34:AA34)</f>
        <v>0</v>
      </c>
      <c r="AL34" s="4"/>
      <c r="AM34" s="4">
        <f>SUM(C34:N34)</f>
        <v>84462.07</v>
      </c>
      <c r="AN34" s="4">
        <f>SUM(P34:AA34)</f>
        <v>0</v>
      </c>
      <c r="AO34" s="4"/>
      <c r="AP34" s="25">
        <f t="shared" ref="AP34:AP44" si="26">SUM(AC34:AF34)-AM34</f>
        <v>0</v>
      </c>
      <c r="AQ34" s="25">
        <f t="shared" ref="AQ34:AQ44" si="27">SUM(AH34:AK34)-AN34</f>
        <v>0</v>
      </c>
      <c r="AW34" s="86"/>
      <c r="AX34" s="86"/>
    </row>
    <row r="35" spans="2:50" x14ac:dyDescent="0.2">
      <c r="B35" s="14" t="s">
        <v>85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13">
        <v>0</v>
      </c>
      <c r="O35" s="18"/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C35" s="4">
        <f t="shared" si="18"/>
        <v>0</v>
      </c>
      <c r="AD35" s="4">
        <f t="shared" si="19"/>
        <v>0</v>
      </c>
      <c r="AE35" s="4">
        <f t="shared" si="20"/>
        <v>0</v>
      </c>
      <c r="AF35" s="4">
        <f t="shared" si="21"/>
        <v>0</v>
      </c>
      <c r="AG35" s="4"/>
      <c r="AH35" s="4">
        <f t="shared" si="22"/>
        <v>0</v>
      </c>
      <c r="AI35" s="4">
        <f t="shared" si="23"/>
        <v>0</v>
      </c>
      <c r="AJ35" s="4">
        <f t="shared" si="24"/>
        <v>0</v>
      </c>
      <c r="AK35" s="4">
        <f t="shared" si="25"/>
        <v>0</v>
      </c>
      <c r="AL35" s="4"/>
      <c r="AM35" s="4">
        <f t="shared" ref="AM35:AM44" si="28">SUM(C35:N35)</f>
        <v>0</v>
      </c>
      <c r="AN35" s="4">
        <f t="shared" ref="AN35:AN44" si="29">SUM(P35:AA35)</f>
        <v>0</v>
      </c>
      <c r="AO35" s="4"/>
      <c r="AP35" s="25">
        <f t="shared" si="26"/>
        <v>0</v>
      </c>
      <c r="AQ35" s="25">
        <f t="shared" si="27"/>
        <v>0</v>
      </c>
      <c r="AW35" s="86"/>
      <c r="AX35" s="86"/>
    </row>
    <row r="36" spans="2:50" x14ac:dyDescent="0.2">
      <c r="B36" s="14" t="s">
        <v>85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13">
        <v>0</v>
      </c>
      <c r="O36" s="18"/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C36" s="4">
        <f t="shared" si="18"/>
        <v>0</v>
      </c>
      <c r="AD36" s="4">
        <f t="shared" si="19"/>
        <v>0</v>
      </c>
      <c r="AE36" s="4">
        <f t="shared" si="20"/>
        <v>0</v>
      </c>
      <c r="AF36" s="4">
        <f t="shared" si="21"/>
        <v>0</v>
      </c>
      <c r="AG36" s="4"/>
      <c r="AH36" s="4">
        <f t="shared" si="22"/>
        <v>0</v>
      </c>
      <c r="AI36" s="4">
        <f t="shared" si="23"/>
        <v>0</v>
      </c>
      <c r="AJ36" s="4">
        <f t="shared" si="24"/>
        <v>0</v>
      </c>
      <c r="AK36" s="4">
        <f t="shared" si="25"/>
        <v>0</v>
      </c>
      <c r="AL36" s="4"/>
      <c r="AM36" s="4">
        <f t="shared" si="28"/>
        <v>0</v>
      </c>
      <c r="AN36" s="4">
        <f t="shared" si="29"/>
        <v>0</v>
      </c>
      <c r="AO36" s="4"/>
      <c r="AP36" s="25">
        <f t="shared" si="26"/>
        <v>0</v>
      </c>
      <c r="AQ36" s="25">
        <f t="shared" si="27"/>
        <v>0</v>
      </c>
      <c r="AW36" s="86"/>
      <c r="AX36" s="86"/>
    </row>
    <row r="37" spans="2:50" x14ac:dyDescent="0.2">
      <c r="B37" s="14" t="s">
        <v>85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13">
        <v>0</v>
      </c>
      <c r="O37" s="18"/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C37" s="4">
        <f t="shared" si="18"/>
        <v>0</v>
      </c>
      <c r="AD37" s="4">
        <f t="shared" si="19"/>
        <v>0</v>
      </c>
      <c r="AE37" s="4">
        <f t="shared" si="20"/>
        <v>0</v>
      </c>
      <c r="AF37" s="4">
        <f t="shared" si="21"/>
        <v>0</v>
      </c>
      <c r="AG37" s="4"/>
      <c r="AH37" s="4">
        <f t="shared" si="22"/>
        <v>0</v>
      </c>
      <c r="AI37" s="4">
        <f t="shared" si="23"/>
        <v>0</v>
      </c>
      <c r="AJ37" s="4">
        <f t="shared" si="24"/>
        <v>0</v>
      </c>
      <c r="AK37" s="4">
        <f t="shared" si="25"/>
        <v>0</v>
      </c>
      <c r="AL37" s="4"/>
      <c r="AM37" s="4">
        <f t="shared" si="28"/>
        <v>0</v>
      </c>
      <c r="AN37" s="4">
        <f t="shared" si="29"/>
        <v>0</v>
      </c>
      <c r="AO37" s="4"/>
      <c r="AP37" s="25">
        <f t="shared" si="26"/>
        <v>0</v>
      </c>
      <c r="AQ37" s="25">
        <f t="shared" si="27"/>
        <v>0</v>
      </c>
      <c r="AW37" s="86"/>
      <c r="AX37" s="86"/>
    </row>
    <row r="38" spans="2:50" x14ac:dyDescent="0.2">
      <c r="B38" s="14" t="s">
        <v>85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13">
        <v>0</v>
      </c>
      <c r="O38" s="18"/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C38" s="4">
        <f t="shared" si="18"/>
        <v>0</v>
      </c>
      <c r="AD38" s="4">
        <f t="shared" si="19"/>
        <v>0</v>
      </c>
      <c r="AE38" s="4">
        <f t="shared" si="20"/>
        <v>0</v>
      </c>
      <c r="AF38" s="4">
        <f t="shared" si="21"/>
        <v>0</v>
      </c>
      <c r="AG38" s="4"/>
      <c r="AH38" s="4">
        <f t="shared" si="22"/>
        <v>0</v>
      </c>
      <c r="AI38" s="4">
        <f t="shared" si="23"/>
        <v>0</v>
      </c>
      <c r="AJ38" s="4">
        <f t="shared" si="24"/>
        <v>0</v>
      </c>
      <c r="AK38" s="4">
        <f t="shared" si="25"/>
        <v>0</v>
      </c>
      <c r="AL38" s="4"/>
      <c r="AM38" s="4">
        <f t="shared" si="28"/>
        <v>0</v>
      </c>
      <c r="AN38" s="4">
        <f t="shared" si="29"/>
        <v>0</v>
      </c>
      <c r="AO38" s="4"/>
      <c r="AP38" s="25">
        <f t="shared" si="26"/>
        <v>0</v>
      </c>
      <c r="AQ38" s="25">
        <f t="shared" si="27"/>
        <v>0</v>
      </c>
      <c r="AW38" s="86"/>
      <c r="AX38" s="86"/>
    </row>
    <row r="39" spans="2:50" x14ac:dyDescent="0.2">
      <c r="B39" s="14" t="s">
        <v>85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13">
        <v>0</v>
      </c>
      <c r="O39" s="18"/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C39" s="4">
        <f t="shared" si="18"/>
        <v>0</v>
      </c>
      <c r="AD39" s="4">
        <f t="shared" si="19"/>
        <v>0</v>
      </c>
      <c r="AE39" s="4">
        <f t="shared" si="20"/>
        <v>0</v>
      </c>
      <c r="AF39" s="4">
        <f t="shared" si="21"/>
        <v>0</v>
      </c>
      <c r="AG39" s="4"/>
      <c r="AH39" s="4">
        <f t="shared" si="22"/>
        <v>0</v>
      </c>
      <c r="AI39" s="4">
        <f t="shared" si="23"/>
        <v>0</v>
      </c>
      <c r="AJ39" s="4">
        <f t="shared" si="24"/>
        <v>0</v>
      </c>
      <c r="AK39" s="4">
        <f t="shared" si="25"/>
        <v>0</v>
      </c>
      <c r="AL39" s="4"/>
      <c r="AM39" s="4">
        <f t="shared" si="28"/>
        <v>0</v>
      </c>
      <c r="AN39" s="4">
        <f t="shared" si="29"/>
        <v>0</v>
      </c>
      <c r="AO39" s="4"/>
      <c r="AP39" s="25">
        <f t="shared" si="26"/>
        <v>0</v>
      </c>
      <c r="AQ39" s="25">
        <f t="shared" si="27"/>
        <v>0</v>
      </c>
      <c r="AW39" s="86"/>
      <c r="AX39" s="86"/>
    </row>
    <row r="40" spans="2:50" x14ac:dyDescent="0.2">
      <c r="B40" s="14" t="s">
        <v>85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13">
        <v>0</v>
      </c>
      <c r="O40" s="18"/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C40" s="4">
        <f t="shared" si="18"/>
        <v>0</v>
      </c>
      <c r="AD40" s="4">
        <f t="shared" si="19"/>
        <v>0</v>
      </c>
      <c r="AE40" s="4">
        <f t="shared" si="20"/>
        <v>0</v>
      </c>
      <c r="AF40" s="4">
        <f t="shared" si="21"/>
        <v>0</v>
      </c>
      <c r="AG40" s="4"/>
      <c r="AH40" s="4">
        <f t="shared" si="22"/>
        <v>0</v>
      </c>
      <c r="AI40" s="4">
        <f t="shared" si="23"/>
        <v>0</v>
      </c>
      <c r="AJ40" s="4">
        <f t="shared" si="24"/>
        <v>0</v>
      </c>
      <c r="AK40" s="4">
        <f t="shared" si="25"/>
        <v>0</v>
      </c>
      <c r="AL40" s="4"/>
      <c r="AM40" s="4">
        <f t="shared" si="28"/>
        <v>0</v>
      </c>
      <c r="AN40" s="4">
        <f t="shared" si="29"/>
        <v>0</v>
      </c>
      <c r="AO40" s="4"/>
      <c r="AP40" s="25">
        <f t="shared" si="26"/>
        <v>0</v>
      </c>
      <c r="AQ40" s="25">
        <f t="shared" si="27"/>
        <v>0</v>
      </c>
      <c r="AW40" s="86"/>
      <c r="AX40" s="86"/>
    </row>
    <row r="41" spans="2:50" x14ac:dyDescent="0.2">
      <c r="B41" s="14" t="s">
        <v>85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13">
        <v>0</v>
      </c>
      <c r="O41" s="18"/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C41" s="4">
        <f t="shared" si="18"/>
        <v>0</v>
      </c>
      <c r="AD41" s="4">
        <f t="shared" si="19"/>
        <v>0</v>
      </c>
      <c r="AE41" s="4">
        <f t="shared" si="20"/>
        <v>0</v>
      </c>
      <c r="AF41" s="4">
        <f t="shared" si="21"/>
        <v>0</v>
      </c>
      <c r="AG41" s="4"/>
      <c r="AH41" s="4">
        <f t="shared" si="22"/>
        <v>0</v>
      </c>
      <c r="AI41" s="4">
        <f t="shared" si="23"/>
        <v>0</v>
      </c>
      <c r="AJ41" s="4">
        <f t="shared" si="24"/>
        <v>0</v>
      </c>
      <c r="AK41" s="4">
        <f t="shared" si="25"/>
        <v>0</v>
      </c>
      <c r="AL41" s="4"/>
      <c r="AM41" s="4">
        <f t="shared" si="28"/>
        <v>0</v>
      </c>
      <c r="AN41" s="4">
        <f t="shared" si="29"/>
        <v>0</v>
      </c>
      <c r="AO41" s="4"/>
      <c r="AP41" s="25">
        <f t="shared" si="26"/>
        <v>0</v>
      </c>
      <c r="AQ41" s="25">
        <f t="shared" si="27"/>
        <v>0</v>
      </c>
      <c r="AW41" s="86"/>
      <c r="AX41" s="86"/>
    </row>
    <row r="42" spans="2:50" x14ac:dyDescent="0.2">
      <c r="B42" s="14" t="s">
        <v>85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13">
        <v>0</v>
      </c>
      <c r="O42" s="18"/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C42" s="4">
        <f t="shared" si="18"/>
        <v>0</v>
      </c>
      <c r="AD42" s="4">
        <f t="shared" si="19"/>
        <v>0</v>
      </c>
      <c r="AE42" s="4">
        <f t="shared" si="20"/>
        <v>0</v>
      </c>
      <c r="AF42" s="4">
        <f t="shared" si="21"/>
        <v>0</v>
      </c>
      <c r="AG42" s="4"/>
      <c r="AH42" s="4">
        <f t="shared" si="22"/>
        <v>0</v>
      </c>
      <c r="AI42" s="4">
        <f t="shared" si="23"/>
        <v>0</v>
      </c>
      <c r="AJ42" s="4">
        <f t="shared" si="24"/>
        <v>0</v>
      </c>
      <c r="AK42" s="4">
        <f t="shared" si="25"/>
        <v>0</v>
      </c>
      <c r="AL42" s="4"/>
      <c r="AM42" s="4">
        <f t="shared" si="28"/>
        <v>0</v>
      </c>
      <c r="AN42" s="4">
        <f t="shared" si="29"/>
        <v>0</v>
      </c>
      <c r="AO42" s="4"/>
      <c r="AP42" s="25">
        <f t="shared" si="26"/>
        <v>0</v>
      </c>
      <c r="AQ42" s="25">
        <f t="shared" si="27"/>
        <v>0</v>
      </c>
    </row>
    <row r="43" spans="2:50" x14ac:dyDescent="0.2">
      <c r="B43" s="14" t="s">
        <v>85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13">
        <v>0</v>
      </c>
      <c r="O43" s="18"/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C43" s="4">
        <f t="shared" si="18"/>
        <v>0</v>
      </c>
      <c r="AD43" s="4">
        <f t="shared" si="19"/>
        <v>0</v>
      </c>
      <c r="AE43" s="4">
        <f t="shared" si="20"/>
        <v>0</v>
      </c>
      <c r="AF43" s="4">
        <f t="shared" si="21"/>
        <v>0</v>
      </c>
      <c r="AG43" s="4"/>
      <c r="AH43" s="4">
        <f t="shared" si="22"/>
        <v>0</v>
      </c>
      <c r="AI43" s="4">
        <f t="shared" si="23"/>
        <v>0</v>
      </c>
      <c r="AJ43" s="4">
        <f t="shared" si="24"/>
        <v>0</v>
      </c>
      <c r="AK43" s="4">
        <f t="shared" si="25"/>
        <v>0</v>
      </c>
      <c r="AL43" s="4"/>
      <c r="AM43" s="4">
        <f t="shared" si="28"/>
        <v>0</v>
      </c>
      <c r="AN43" s="4">
        <f t="shared" si="29"/>
        <v>0</v>
      </c>
      <c r="AO43" s="4"/>
      <c r="AP43" s="25">
        <f t="shared" si="26"/>
        <v>0</v>
      </c>
      <c r="AQ43" s="25">
        <f t="shared" si="27"/>
        <v>0</v>
      </c>
    </row>
    <row r="44" spans="2:50" x14ac:dyDescent="0.2">
      <c r="B44" s="14" t="s">
        <v>85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13">
        <v>0</v>
      </c>
      <c r="O44" s="18"/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C44" s="4">
        <f t="shared" si="18"/>
        <v>0</v>
      </c>
      <c r="AD44" s="4">
        <f t="shared" si="19"/>
        <v>0</v>
      </c>
      <c r="AE44" s="4">
        <f t="shared" si="20"/>
        <v>0</v>
      </c>
      <c r="AF44" s="4">
        <f t="shared" si="21"/>
        <v>0</v>
      </c>
      <c r="AG44" s="4"/>
      <c r="AH44" s="4">
        <f t="shared" si="22"/>
        <v>0</v>
      </c>
      <c r="AI44" s="4">
        <f t="shared" si="23"/>
        <v>0</v>
      </c>
      <c r="AJ44" s="4">
        <f t="shared" si="24"/>
        <v>0</v>
      </c>
      <c r="AK44" s="4">
        <f t="shared" si="25"/>
        <v>0</v>
      </c>
      <c r="AL44" s="4"/>
      <c r="AM44" s="4">
        <f t="shared" si="28"/>
        <v>0</v>
      </c>
      <c r="AN44" s="4">
        <f t="shared" si="29"/>
        <v>0</v>
      </c>
      <c r="AO44" s="4"/>
      <c r="AP44" s="25">
        <f t="shared" si="26"/>
        <v>0</v>
      </c>
      <c r="AQ44" s="25">
        <f t="shared" si="27"/>
        <v>0</v>
      </c>
    </row>
    <row r="45" spans="2:50" x14ac:dyDescent="0.2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1"/>
      <c r="AP45" s="25"/>
      <c r="AQ45" s="25"/>
    </row>
    <row r="46" spans="2:50" x14ac:dyDescent="0.2">
      <c r="B46" s="28" t="s">
        <v>124</v>
      </c>
      <c r="C46" s="18">
        <f>SUM(C34:C44)</f>
        <v>12121.26</v>
      </c>
      <c r="D46" s="18">
        <f t="shared" ref="D46:N46" si="30">SUM(D34:D44)</f>
        <v>12000</v>
      </c>
      <c r="E46" s="18">
        <f t="shared" si="30"/>
        <v>16141.55</v>
      </c>
      <c r="F46" s="18">
        <f t="shared" si="30"/>
        <v>12000</v>
      </c>
      <c r="G46" s="18">
        <f t="shared" si="30"/>
        <v>12199.26</v>
      </c>
      <c r="H46" s="18">
        <f t="shared" si="30"/>
        <v>12000</v>
      </c>
      <c r="I46" s="18">
        <f t="shared" si="30"/>
        <v>8000</v>
      </c>
      <c r="J46" s="18">
        <f t="shared" si="30"/>
        <v>0</v>
      </c>
      <c r="K46" s="18">
        <f t="shared" si="30"/>
        <v>0</v>
      </c>
      <c r="L46" s="18">
        <f t="shared" si="30"/>
        <v>0</v>
      </c>
      <c r="M46" s="18">
        <f t="shared" si="30"/>
        <v>0</v>
      </c>
      <c r="N46" s="18">
        <f t="shared" si="30"/>
        <v>0</v>
      </c>
      <c r="O46" s="18"/>
      <c r="P46" s="18">
        <f t="shared" ref="P46:AA46" si="31">SUM(P34:P44)</f>
        <v>0</v>
      </c>
      <c r="Q46" s="18">
        <f t="shared" si="31"/>
        <v>0</v>
      </c>
      <c r="R46" s="18">
        <f t="shared" si="31"/>
        <v>0</v>
      </c>
      <c r="S46" s="18">
        <f t="shared" si="31"/>
        <v>0</v>
      </c>
      <c r="T46" s="18">
        <f t="shared" si="31"/>
        <v>0</v>
      </c>
      <c r="U46" s="18">
        <f t="shared" si="31"/>
        <v>0</v>
      </c>
      <c r="V46" s="18">
        <f t="shared" si="31"/>
        <v>0</v>
      </c>
      <c r="W46" s="18">
        <f t="shared" si="31"/>
        <v>0</v>
      </c>
      <c r="X46" s="18">
        <f t="shared" si="31"/>
        <v>0</v>
      </c>
      <c r="Y46" s="18">
        <f t="shared" si="31"/>
        <v>0</v>
      </c>
      <c r="Z46" s="18">
        <f t="shared" si="31"/>
        <v>0</v>
      </c>
      <c r="AA46" s="18">
        <f t="shared" si="31"/>
        <v>0</v>
      </c>
      <c r="AB46" s="43"/>
      <c r="AC46" s="18">
        <f>SUM(AC34:AC44)</f>
        <v>40262.81</v>
      </c>
      <c r="AD46" s="18">
        <f>SUM(AD34:AD44)</f>
        <v>36199.26</v>
      </c>
      <c r="AE46" s="18">
        <f>SUM(AE34:AE44)</f>
        <v>8000</v>
      </c>
      <c r="AF46" s="18">
        <f>SUM(AF34:AF44)</f>
        <v>0</v>
      </c>
      <c r="AG46" s="18"/>
      <c r="AH46" s="18">
        <f t="shared" ref="AH46:AM46" si="32">SUM(AH34:AH44)</f>
        <v>0</v>
      </c>
      <c r="AI46" s="18">
        <f t="shared" si="32"/>
        <v>0</v>
      </c>
      <c r="AJ46" s="18">
        <f t="shared" si="32"/>
        <v>0</v>
      </c>
      <c r="AK46" s="18">
        <f t="shared" si="32"/>
        <v>0</v>
      </c>
      <c r="AL46" s="43"/>
      <c r="AM46" s="18">
        <f t="shared" si="32"/>
        <v>84462.07</v>
      </c>
      <c r="AN46" s="18">
        <f>SUM(AN34:AN44)</f>
        <v>0</v>
      </c>
      <c r="AP46" s="25">
        <f t="shared" ref="AP46" si="33">SUM(AC46:AF46)-AM46</f>
        <v>0</v>
      </c>
      <c r="AQ46" s="25">
        <f t="shared" ref="AQ46" si="34">SUM(AH46:AK46)-AN46</f>
        <v>0</v>
      </c>
    </row>
    <row r="47" spans="2:50" x14ac:dyDescent="0.2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P47" s="17"/>
      <c r="AQ47" s="17"/>
      <c r="AT47" s="17"/>
    </row>
    <row r="48" spans="2:50" x14ac:dyDescent="0.2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P48" s="17"/>
      <c r="AQ48" s="17"/>
      <c r="AT48" s="17"/>
    </row>
    <row r="49" spans="2:47" x14ac:dyDescent="0.2">
      <c r="B49" s="167" t="s">
        <v>125</v>
      </c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9"/>
      <c r="AP49" s="17"/>
      <c r="AQ49" s="17"/>
      <c r="AT49" s="17"/>
    </row>
    <row r="50" spans="2:47" x14ac:dyDescent="0.2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P50" s="17"/>
      <c r="AQ50" s="17"/>
      <c r="AT50" s="17"/>
    </row>
    <row r="51" spans="2:47" x14ac:dyDescent="0.2">
      <c r="B51" s="14" t="s">
        <v>859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2178</v>
      </c>
      <c r="I51" s="4">
        <v>2882</v>
      </c>
      <c r="J51" s="4">
        <v>0</v>
      </c>
      <c r="K51" s="4">
        <v>0</v>
      </c>
      <c r="L51" s="4">
        <v>0</v>
      </c>
      <c r="M51" s="4">
        <v>0</v>
      </c>
      <c r="N51" s="13">
        <v>0</v>
      </c>
      <c r="O51" s="18"/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C51" s="4">
        <f t="shared" ref="AC51:AC61" si="35">SUM(C51:E51)</f>
        <v>0</v>
      </c>
      <c r="AD51" s="4">
        <f t="shared" ref="AD51:AD61" si="36">SUM(F51:H51)</f>
        <v>2178</v>
      </c>
      <c r="AE51" s="4">
        <f t="shared" ref="AE51:AE61" si="37">SUM(I51:K51)</f>
        <v>2882</v>
      </c>
      <c r="AF51" s="4">
        <f t="shared" ref="AF51:AF61" si="38">SUM(L51:N51)</f>
        <v>0</v>
      </c>
      <c r="AG51" s="4"/>
      <c r="AH51" s="4">
        <f t="shared" ref="AH51:AH61" si="39">SUM(P51:R51)</f>
        <v>0</v>
      </c>
      <c r="AI51" s="4">
        <f t="shared" ref="AI51:AI61" si="40">SUM(S51:U51)</f>
        <v>0</v>
      </c>
      <c r="AJ51" s="4">
        <f t="shared" ref="AJ51:AJ61" si="41">SUM(V51:X51)</f>
        <v>0</v>
      </c>
      <c r="AK51" s="4">
        <f t="shared" ref="AK51:AK61" si="42">SUM(Y51:AA51)</f>
        <v>0</v>
      </c>
      <c r="AL51" s="4"/>
      <c r="AM51" s="4">
        <f t="shared" ref="AM51:AM61" si="43">SUM(C51:N51)</f>
        <v>5060</v>
      </c>
      <c r="AN51" s="4">
        <f t="shared" ref="AN51:AN61" si="44">SUM(P51:AA51)</f>
        <v>0</v>
      </c>
      <c r="AO51" s="4"/>
      <c r="AP51" s="25">
        <f t="shared" ref="AP51:AP61" si="45">SUM(AC51:AF51)-AM51</f>
        <v>0</v>
      </c>
      <c r="AQ51" s="25">
        <f t="shared" ref="AQ51:AQ61" si="46">SUM(AH51:AK51)-AN51</f>
        <v>0</v>
      </c>
      <c r="AT51" s="17"/>
    </row>
    <row r="52" spans="2:47" x14ac:dyDescent="0.2">
      <c r="B52" s="14" t="s">
        <v>860</v>
      </c>
      <c r="C52" s="4">
        <v>0</v>
      </c>
      <c r="D52" s="4">
        <v>0</v>
      </c>
      <c r="E52" s="4">
        <v>2160</v>
      </c>
      <c r="F52" s="4">
        <v>3024</v>
      </c>
      <c r="G52" s="4">
        <v>3150</v>
      </c>
      <c r="H52" s="4">
        <v>2241</v>
      </c>
      <c r="I52" s="4">
        <v>3132</v>
      </c>
      <c r="J52" s="4">
        <v>3582</v>
      </c>
      <c r="K52" s="4">
        <v>3906</v>
      </c>
      <c r="L52" s="4">
        <v>3276</v>
      </c>
      <c r="M52" s="4">
        <v>36</v>
      </c>
      <c r="N52" s="13">
        <v>3500</v>
      </c>
      <c r="O52" s="18"/>
      <c r="P52" s="100">
        <v>3500</v>
      </c>
      <c r="Q52" s="100">
        <v>3500</v>
      </c>
      <c r="R52" s="100">
        <v>3500</v>
      </c>
      <c r="S52" s="100">
        <v>3500</v>
      </c>
      <c r="T52" s="100">
        <v>3500</v>
      </c>
      <c r="U52" s="100">
        <v>3500</v>
      </c>
      <c r="V52" s="100">
        <v>3500</v>
      </c>
      <c r="W52" s="100">
        <v>3500</v>
      </c>
      <c r="X52" s="100">
        <v>3500</v>
      </c>
      <c r="Y52" s="100">
        <v>3500</v>
      </c>
      <c r="Z52" s="100">
        <v>3500</v>
      </c>
      <c r="AA52" s="100">
        <v>3500</v>
      </c>
      <c r="AC52" s="4">
        <f t="shared" si="35"/>
        <v>2160</v>
      </c>
      <c r="AD52" s="4">
        <f t="shared" si="36"/>
        <v>8415</v>
      </c>
      <c r="AE52" s="4">
        <f t="shared" si="37"/>
        <v>10620</v>
      </c>
      <c r="AF52" s="4">
        <f t="shared" si="38"/>
        <v>6812</v>
      </c>
      <c r="AG52" s="4"/>
      <c r="AH52" s="4">
        <f t="shared" si="39"/>
        <v>10500</v>
      </c>
      <c r="AI52" s="4">
        <f t="shared" si="40"/>
        <v>10500</v>
      </c>
      <c r="AJ52" s="4">
        <f t="shared" si="41"/>
        <v>10500</v>
      </c>
      <c r="AK52" s="4">
        <f t="shared" si="42"/>
        <v>10500</v>
      </c>
      <c r="AL52" s="4"/>
      <c r="AM52" s="4">
        <f t="shared" si="43"/>
        <v>28007</v>
      </c>
      <c r="AN52" s="4">
        <f t="shared" si="44"/>
        <v>42000</v>
      </c>
      <c r="AO52" s="4"/>
      <c r="AP52" s="25">
        <f t="shared" si="45"/>
        <v>0</v>
      </c>
      <c r="AQ52" s="25">
        <f t="shared" si="46"/>
        <v>0</v>
      </c>
      <c r="AS52" s="14" t="s">
        <v>1328</v>
      </c>
      <c r="AT52" s="86">
        <v>36</v>
      </c>
      <c r="AU52" s="86">
        <v>36</v>
      </c>
    </row>
    <row r="53" spans="2:47" x14ac:dyDescent="0.2">
      <c r="B53" s="14" t="s">
        <v>861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2685</v>
      </c>
      <c r="J53" s="4">
        <v>2730</v>
      </c>
      <c r="K53" s="4">
        <v>2370</v>
      </c>
      <c r="L53" s="4">
        <v>1425</v>
      </c>
      <c r="M53" s="4">
        <v>1185</v>
      </c>
      <c r="N53" s="13">
        <v>2600</v>
      </c>
      <c r="O53" s="18"/>
      <c r="P53" s="100">
        <v>2600</v>
      </c>
      <c r="Q53" s="100">
        <v>2600</v>
      </c>
      <c r="R53" s="100">
        <v>2600</v>
      </c>
      <c r="S53" s="100">
        <v>2600</v>
      </c>
      <c r="T53" s="100">
        <v>2600</v>
      </c>
      <c r="U53" s="100">
        <v>2600</v>
      </c>
      <c r="V53" s="100">
        <v>2600</v>
      </c>
      <c r="W53" s="100">
        <v>2600</v>
      </c>
      <c r="X53" s="100">
        <v>2600</v>
      </c>
      <c r="Y53" s="100">
        <v>2600</v>
      </c>
      <c r="Z53" s="100">
        <v>2600</v>
      </c>
      <c r="AA53" s="100">
        <v>2600</v>
      </c>
      <c r="AC53" s="4">
        <f t="shared" si="35"/>
        <v>0</v>
      </c>
      <c r="AD53" s="4">
        <f t="shared" si="36"/>
        <v>0</v>
      </c>
      <c r="AE53" s="4">
        <f t="shared" si="37"/>
        <v>7785</v>
      </c>
      <c r="AF53" s="4">
        <f t="shared" si="38"/>
        <v>5210</v>
      </c>
      <c r="AG53" s="4"/>
      <c r="AH53" s="4">
        <f t="shared" si="39"/>
        <v>7800</v>
      </c>
      <c r="AI53" s="4">
        <f t="shared" si="40"/>
        <v>7800</v>
      </c>
      <c r="AJ53" s="4">
        <f t="shared" si="41"/>
        <v>7800</v>
      </c>
      <c r="AK53" s="4">
        <f t="shared" si="42"/>
        <v>7800</v>
      </c>
      <c r="AL53" s="4"/>
      <c r="AM53" s="4">
        <f t="shared" si="43"/>
        <v>12995</v>
      </c>
      <c r="AN53" s="4">
        <f t="shared" si="44"/>
        <v>31200</v>
      </c>
      <c r="AO53" s="4"/>
      <c r="AP53" s="25">
        <f t="shared" si="45"/>
        <v>0</v>
      </c>
      <c r="AQ53" s="25">
        <f t="shared" si="46"/>
        <v>0</v>
      </c>
      <c r="AS53" s="14" t="s">
        <v>1329</v>
      </c>
      <c r="AT53" s="86">
        <v>1185</v>
      </c>
      <c r="AU53" s="86">
        <v>1185</v>
      </c>
    </row>
    <row r="54" spans="2:47" x14ac:dyDescent="0.2">
      <c r="B54" s="14" t="s">
        <v>862</v>
      </c>
      <c r="C54" s="4">
        <v>0</v>
      </c>
      <c r="D54" s="4">
        <v>0</v>
      </c>
      <c r="E54" s="4">
        <v>0</v>
      </c>
      <c r="F54" s="4">
        <v>0</v>
      </c>
      <c r="G54" s="4">
        <v>280</v>
      </c>
      <c r="H54" s="4">
        <v>4228</v>
      </c>
      <c r="I54" s="4">
        <v>3948</v>
      </c>
      <c r="J54" s="4">
        <v>5236</v>
      </c>
      <c r="K54" s="4">
        <v>4536</v>
      </c>
      <c r="L54" s="4">
        <v>3948</v>
      </c>
      <c r="M54" s="4">
        <v>1722</v>
      </c>
      <c r="N54" s="13">
        <v>4500</v>
      </c>
      <c r="O54" s="18"/>
      <c r="P54" s="100">
        <v>4500</v>
      </c>
      <c r="Q54" s="100">
        <v>4500</v>
      </c>
      <c r="R54" s="100">
        <v>4500</v>
      </c>
      <c r="S54" s="100">
        <v>4500</v>
      </c>
      <c r="T54" s="100">
        <v>4500</v>
      </c>
      <c r="U54" s="100">
        <v>4500</v>
      </c>
      <c r="V54" s="100">
        <v>4500</v>
      </c>
      <c r="W54" s="100">
        <v>4500</v>
      </c>
      <c r="X54" s="100">
        <v>4500</v>
      </c>
      <c r="Y54" s="100">
        <v>4500</v>
      </c>
      <c r="Z54" s="100">
        <v>4500</v>
      </c>
      <c r="AA54" s="100">
        <v>4500</v>
      </c>
      <c r="AC54" s="4">
        <f t="shared" si="35"/>
        <v>0</v>
      </c>
      <c r="AD54" s="4">
        <f t="shared" si="36"/>
        <v>4508</v>
      </c>
      <c r="AE54" s="4">
        <f t="shared" si="37"/>
        <v>13720</v>
      </c>
      <c r="AF54" s="4">
        <f t="shared" si="38"/>
        <v>10170</v>
      </c>
      <c r="AG54" s="4"/>
      <c r="AH54" s="4">
        <f t="shared" si="39"/>
        <v>13500</v>
      </c>
      <c r="AI54" s="4">
        <f t="shared" si="40"/>
        <v>13500</v>
      </c>
      <c r="AJ54" s="4">
        <f t="shared" si="41"/>
        <v>13500</v>
      </c>
      <c r="AK54" s="4">
        <f t="shared" si="42"/>
        <v>13500</v>
      </c>
      <c r="AL54" s="4"/>
      <c r="AM54" s="4">
        <f t="shared" si="43"/>
        <v>28398</v>
      </c>
      <c r="AN54" s="4">
        <f t="shared" si="44"/>
        <v>54000</v>
      </c>
      <c r="AO54" s="4"/>
      <c r="AP54" s="25">
        <f t="shared" si="45"/>
        <v>0</v>
      </c>
      <c r="AQ54" s="25">
        <f t="shared" si="46"/>
        <v>0</v>
      </c>
      <c r="AS54" s="14" t="s">
        <v>1334</v>
      </c>
      <c r="AT54" s="86">
        <v>1722</v>
      </c>
      <c r="AU54" s="86">
        <v>1722</v>
      </c>
    </row>
    <row r="55" spans="2:47" x14ac:dyDescent="0.2">
      <c r="B55" s="14" t="s">
        <v>85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13">
        <v>0</v>
      </c>
      <c r="O55" s="18"/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C55" s="4">
        <f t="shared" si="35"/>
        <v>0</v>
      </c>
      <c r="AD55" s="4">
        <f t="shared" si="36"/>
        <v>0</v>
      </c>
      <c r="AE55" s="4">
        <f t="shared" si="37"/>
        <v>0</v>
      </c>
      <c r="AF55" s="4">
        <f t="shared" si="38"/>
        <v>0</v>
      </c>
      <c r="AG55" s="4"/>
      <c r="AH55" s="4">
        <f t="shared" si="39"/>
        <v>0</v>
      </c>
      <c r="AI55" s="4">
        <f t="shared" si="40"/>
        <v>0</v>
      </c>
      <c r="AJ55" s="4">
        <f t="shared" si="41"/>
        <v>0</v>
      </c>
      <c r="AK55" s="4">
        <f t="shared" si="42"/>
        <v>0</v>
      </c>
      <c r="AL55" s="4"/>
      <c r="AM55" s="4">
        <f t="shared" si="43"/>
        <v>0</v>
      </c>
      <c r="AN55" s="4">
        <f t="shared" si="44"/>
        <v>0</v>
      </c>
      <c r="AO55" s="4"/>
      <c r="AP55" s="25">
        <f t="shared" si="45"/>
        <v>0</v>
      </c>
      <c r="AQ55" s="25">
        <f t="shared" si="46"/>
        <v>0</v>
      </c>
      <c r="AT55" s="17"/>
    </row>
    <row r="56" spans="2:47" x14ac:dyDescent="0.2">
      <c r="B56" s="14" t="s">
        <v>85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13">
        <v>0</v>
      </c>
      <c r="O56" s="18"/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C56" s="4">
        <f t="shared" si="35"/>
        <v>0</v>
      </c>
      <c r="AD56" s="4">
        <f t="shared" si="36"/>
        <v>0</v>
      </c>
      <c r="AE56" s="4">
        <f t="shared" si="37"/>
        <v>0</v>
      </c>
      <c r="AF56" s="4">
        <f t="shared" si="38"/>
        <v>0</v>
      </c>
      <c r="AG56" s="4"/>
      <c r="AH56" s="4">
        <f t="shared" si="39"/>
        <v>0</v>
      </c>
      <c r="AI56" s="4">
        <f t="shared" si="40"/>
        <v>0</v>
      </c>
      <c r="AJ56" s="4">
        <f t="shared" si="41"/>
        <v>0</v>
      </c>
      <c r="AK56" s="4">
        <f t="shared" si="42"/>
        <v>0</v>
      </c>
      <c r="AL56" s="4"/>
      <c r="AM56" s="4">
        <f t="shared" si="43"/>
        <v>0</v>
      </c>
      <c r="AN56" s="4">
        <f t="shared" si="44"/>
        <v>0</v>
      </c>
      <c r="AO56" s="4"/>
      <c r="AP56" s="25">
        <f t="shared" si="45"/>
        <v>0</v>
      </c>
      <c r="AQ56" s="25">
        <f t="shared" si="46"/>
        <v>0</v>
      </c>
      <c r="AT56" s="17"/>
    </row>
    <row r="57" spans="2:47" x14ac:dyDescent="0.2">
      <c r="B57" s="14" t="s">
        <v>85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13">
        <v>0</v>
      </c>
      <c r="O57" s="18"/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C57" s="4">
        <f t="shared" si="35"/>
        <v>0</v>
      </c>
      <c r="AD57" s="4">
        <f t="shared" si="36"/>
        <v>0</v>
      </c>
      <c r="AE57" s="4">
        <f t="shared" si="37"/>
        <v>0</v>
      </c>
      <c r="AF57" s="4">
        <f t="shared" si="38"/>
        <v>0</v>
      </c>
      <c r="AG57" s="4"/>
      <c r="AH57" s="4">
        <f t="shared" si="39"/>
        <v>0</v>
      </c>
      <c r="AI57" s="4">
        <f t="shared" si="40"/>
        <v>0</v>
      </c>
      <c r="AJ57" s="4">
        <f t="shared" si="41"/>
        <v>0</v>
      </c>
      <c r="AK57" s="4">
        <f t="shared" si="42"/>
        <v>0</v>
      </c>
      <c r="AL57" s="4"/>
      <c r="AM57" s="4">
        <f t="shared" si="43"/>
        <v>0</v>
      </c>
      <c r="AN57" s="4">
        <f t="shared" si="44"/>
        <v>0</v>
      </c>
      <c r="AO57" s="4"/>
      <c r="AP57" s="25">
        <f t="shared" si="45"/>
        <v>0</v>
      </c>
      <c r="AQ57" s="25">
        <f t="shared" si="46"/>
        <v>0</v>
      </c>
      <c r="AT57" s="17"/>
    </row>
    <row r="58" spans="2:47" x14ac:dyDescent="0.2">
      <c r="B58" s="14" t="s">
        <v>85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13">
        <v>0</v>
      </c>
      <c r="O58" s="18"/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C58" s="4">
        <f t="shared" si="35"/>
        <v>0</v>
      </c>
      <c r="AD58" s="4">
        <f t="shared" si="36"/>
        <v>0</v>
      </c>
      <c r="AE58" s="4">
        <f t="shared" si="37"/>
        <v>0</v>
      </c>
      <c r="AF58" s="4">
        <f t="shared" si="38"/>
        <v>0</v>
      </c>
      <c r="AG58" s="4"/>
      <c r="AH58" s="4">
        <f t="shared" si="39"/>
        <v>0</v>
      </c>
      <c r="AI58" s="4">
        <f t="shared" si="40"/>
        <v>0</v>
      </c>
      <c r="AJ58" s="4">
        <f t="shared" si="41"/>
        <v>0</v>
      </c>
      <c r="AK58" s="4">
        <f t="shared" si="42"/>
        <v>0</v>
      </c>
      <c r="AL58" s="4"/>
      <c r="AM58" s="4">
        <f t="shared" si="43"/>
        <v>0</v>
      </c>
      <c r="AN58" s="4">
        <f t="shared" si="44"/>
        <v>0</v>
      </c>
      <c r="AO58" s="4"/>
      <c r="AP58" s="25">
        <f t="shared" si="45"/>
        <v>0</v>
      </c>
      <c r="AQ58" s="25">
        <f t="shared" si="46"/>
        <v>0</v>
      </c>
      <c r="AT58" s="17"/>
    </row>
    <row r="59" spans="2:47" x14ac:dyDescent="0.2">
      <c r="B59" s="14" t="s">
        <v>85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13">
        <v>0</v>
      </c>
      <c r="O59" s="18"/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C59" s="4">
        <f t="shared" si="35"/>
        <v>0</v>
      </c>
      <c r="AD59" s="4">
        <f t="shared" si="36"/>
        <v>0</v>
      </c>
      <c r="AE59" s="4">
        <f t="shared" si="37"/>
        <v>0</v>
      </c>
      <c r="AF59" s="4">
        <f t="shared" si="38"/>
        <v>0</v>
      </c>
      <c r="AG59" s="4"/>
      <c r="AH59" s="4">
        <f t="shared" si="39"/>
        <v>0</v>
      </c>
      <c r="AI59" s="4">
        <f t="shared" si="40"/>
        <v>0</v>
      </c>
      <c r="AJ59" s="4">
        <f t="shared" si="41"/>
        <v>0</v>
      </c>
      <c r="AK59" s="4">
        <f t="shared" si="42"/>
        <v>0</v>
      </c>
      <c r="AL59" s="4"/>
      <c r="AM59" s="4">
        <f t="shared" si="43"/>
        <v>0</v>
      </c>
      <c r="AN59" s="4">
        <f t="shared" si="44"/>
        <v>0</v>
      </c>
      <c r="AO59" s="4"/>
      <c r="AP59" s="25">
        <f t="shared" si="45"/>
        <v>0</v>
      </c>
      <c r="AQ59" s="25">
        <f t="shared" si="46"/>
        <v>0</v>
      </c>
      <c r="AT59" s="17"/>
    </row>
    <row r="60" spans="2:47" x14ac:dyDescent="0.2">
      <c r="B60" s="14" t="s">
        <v>85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13">
        <v>0</v>
      </c>
      <c r="O60" s="18"/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C60" s="4">
        <f t="shared" si="35"/>
        <v>0</v>
      </c>
      <c r="AD60" s="4">
        <f t="shared" si="36"/>
        <v>0</v>
      </c>
      <c r="AE60" s="4">
        <f t="shared" si="37"/>
        <v>0</v>
      </c>
      <c r="AF60" s="4">
        <f t="shared" si="38"/>
        <v>0</v>
      </c>
      <c r="AG60" s="4"/>
      <c r="AH60" s="4">
        <f t="shared" si="39"/>
        <v>0</v>
      </c>
      <c r="AI60" s="4">
        <f t="shared" si="40"/>
        <v>0</v>
      </c>
      <c r="AJ60" s="4">
        <f t="shared" si="41"/>
        <v>0</v>
      </c>
      <c r="AK60" s="4">
        <f t="shared" si="42"/>
        <v>0</v>
      </c>
      <c r="AL60" s="4"/>
      <c r="AM60" s="4">
        <f t="shared" si="43"/>
        <v>0</v>
      </c>
      <c r="AN60" s="4">
        <f t="shared" si="44"/>
        <v>0</v>
      </c>
      <c r="AO60" s="4"/>
      <c r="AP60" s="25">
        <f t="shared" si="45"/>
        <v>0</v>
      </c>
      <c r="AQ60" s="25">
        <f t="shared" si="46"/>
        <v>0</v>
      </c>
      <c r="AT60" s="17"/>
    </row>
    <row r="61" spans="2:47" x14ac:dyDescent="0.2">
      <c r="B61" s="14" t="s">
        <v>85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13">
        <v>0</v>
      </c>
      <c r="O61" s="18"/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C61" s="4">
        <f t="shared" si="35"/>
        <v>0</v>
      </c>
      <c r="AD61" s="4">
        <f t="shared" si="36"/>
        <v>0</v>
      </c>
      <c r="AE61" s="4">
        <f t="shared" si="37"/>
        <v>0</v>
      </c>
      <c r="AF61" s="4">
        <f t="shared" si="38"/>
        <v>0</v>
      </c>
      <c r="AG61" s="4"/>
      <c r="AH61" s="4">
        <f t="shared" si="39"/>
        <v>0</v>
      </c>
      <c r="AI61" s="4">
        <f t="shared" si="40"/>
        <v>0</v>
      </c>
      <c r="AJ61" s="4">
        <f t="shared" si="41"/>
        <v>0</v>
      </c>
      <c r="AK61" s="4">
        <f t="shared" si="42"/>
        <v>0</v>
      </c>
      <c r="AL61" s="4"/>
      <c r="AM61" s="4">
        <f t="shared" si="43"/>
        <v>0</v>
      </c>
      <c r="AN61" s="4">
        <f t="shared" si="44"/>
        <v>0</v>
      </c>
      <c r="AO61" s="4"/>
      <c r="AP61" s="25">
        <f t="shared" si="45"/>
        <v>0</v>
      </c>
      <c r="AQ61" s="25">
        <f t="shared" si="46"/>
        <v>0</v>
      </c>
      <c r="AT61" s="17"/>
    </row>
    <row r="62" spans="2:47" x14ac:dyDescent="0.2"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8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T62" s="17"/>
    </row>
    <row r="63" spans="2:47" x14ac:dyDescent="0.2">
      <c r="B63" s="28" t="s">
        <v>126</v>
      </c>
      <c r="C63" s="18">
        <f>SUM(C51:C62)</f>
        <v>0</v>
      </c>
      <c r="D63" s="18">
        <f t="shared" ref="D63:N63" si="47">SUM(D51:D62)</f>
        <v>0</v>
      </c>
      <c r="E63" s="18">
        <f t="shared" si="47"/>
        <v>2160</v>
      </c>
      <c r="F63" s="18">
        <f t="shared" si="47"/>
        <v>3024</v>
      </c>
      <c r="G63" s="18">
        <f t="shared" si="47"/>
        <v>3430</v>
      </c>
      <c r="H63" s="18">
        <f t="shared" si="47"/>
        <v>8647</v>
      </c>
      <c r="I63" s="18">
        <f t="shared" si="47"/>
        <v>12647</v>
      </c>
      <c r="J63" s="18">
        <f t="shared" si="47"/>
        <v>11548</v>
      </c>
      <c r="K63" s="18">
        <f t="shared" si="47"/>
        <v>10812</v>
      </c>
      <c r="L63" s="18">
        <f t="shared" si="47"/>
        <v>8649</v>
      </c>
      <c r="M63" s="18">
        <f t="shared" si="47"/>
        <v>2943</v>
      </c>
      <c r="N63" s="18">
        <f t="shared" si="47"/>
        <v>10600</v>
      </c>
      <c r="O63" s="18"/>
      <c r="P63" s="18">
        <f t="shared" ref="P63:AA63" si="48">SUM(P51:P62)</f>
        <v>10600</v>
      </c>
      <c r="Q63" s="18">
        <f t="shared" si="48"/>
        <v>10600</v>
      </c>
      <c r="R63" s="18">
        <f t="shared" si="48"/>
        <v>10600</v>
      </c>
      <c r="S63" s="18">
        <f t="shared" si="48"/>
        <v>10600</v>
      </c>
      <c r="T63" s="18">
        <f t="shared" si="48"/>
        <v>10600</v>
      </c>
      <c r="U63" s="18">
        <f t="shared" si="48"/>
        <v>10600</v>
      </c>
      <c r="V63" s="18">
        <f t="shared" si="48"/>
        <v>10600</v>
      </c>
      <c r="W63" s="18">
        <f t="shared" si="48"/>
        <v>10600</v>
      </c>
      <c r="X63" s="18">
        <f t="shared" si="48"/>
        <v>10600</v>
      </c>
      <c r="Y63" s="18">
        <f t="shared" si="48"/>
        <v>10600</v>
      </c>
      <c r="Z63" s="18">
        <f t="shared" si="48"/>
        <v>10600</v>
      </c>
      <c r="AA63" s="18">
        <f t="shared" si="48"/>
        <v>10600</v>
      </c>
      <c r="AC63" s="18">
        <f t="shared" ref="AC63" si="49">SUM(AC51:AC62)</f>
        <v>2160</v>
      </c>
      <c r="AD63" s="18">
        <f t="shared" ref="AD63" si="50">SUM(AD51:AD62)</f>
        <v>15101</v>
      </c>
      <c r="AE63" s="18">
        <f t="shared" ref="AE63" si="51">SUM(AE51:AE62)</f>
        <v>35007</v>
      </c>
      <c r="AF63" s="18">
        <f t="shared" ref="AF63" si="52">SUM(AF51:AF62)</f>
        <v>22192</v>
      </c>
      <c r="AG63" s="18"/>
      <c r="AH63" s="18">
        <f t="shared" ref="AH63:AK63" si="53">SUM(AH51:AH62)</f>
        <v>31800</v>
      </c>
      <c r="AI63" s="18">
        <f t="shared" si="53"/>
        <v>31800</v>
      </c>
      <c r="AJ63" s="18">
        <f t="shared" si="53"/>
        <v>31800</v>
      </c>
      <c r="AK63" s="18">
        <f t="shared" si="53"/>
        <v>31800</v>
      </c>
      <c r="AM63" s="18">
        <f>SUM(AM51:AM62)</f>
        <v>74460</v>
      </c>
      <c r="AN63" s="18">
        <f>SUM(AN51:AN62)</f>
        <v>127200</v>
      </c>
      <c r="AP63" s="25">
        <f t="shared" ref="AP63" si="54">SUM(AC63:AF63)-AM63</f>
        <v>0</v>
      </c>
      <c r="AQ63" s="25">
        <f t="shared" ref="AQ63" si="55">SUM(AH63:AK63)-AN63</f>
        <v>0</v>
      </c>
      <c r="AT63" s="17"/>
    </row>
    <row r="64" spans="2:47" x14ac:dyDescent="0.2"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P64" s="17"/>
      <c r="AQ64" s="17"/>
      <c r="AT64" s="17"/>
    </row>
    <row r="65" spans="2:50" x14ac:dyDescent="0.2"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P65" s="17"/>
      <c r="AQ65" s="17"/>
      <c r="AT65" s="17"/>
    </row>
    <row r="66" spans="2:50" x14ac:dyDescent="0.2">
      <c r="B66" s="167" t="s">
        <v>127</v>
      </c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9"/>
      <c r="AP66" s="17"/>
      <c r="AQ66" s="17"/>
      <c r="AT66" s="17"/>
    </row>
    <row r="67" spans="2:50" x14ac:dyDescent="0.2"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P67" s="17"/>
      <c r="AQ67" s="17"/>
      <c r="AT67" s="17"/>
    </row>
    <row r="68" spans="2:50" x14ac:dyDescent="0.2">
      <c r="B68" s="14" t="s">
        <v>59</v>
      </c>
      <c r="C68" s="4">
        <v>14197.6</v>
      </c>
      <c r="D68" s="4">
        <v>28000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13">
        <v>0</v>
      </c>
      <c r="O68" s="18"/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8"/>
      <c r="AC68" s="4">
        <f t="shared" ref="AC68:AC87" si="56">SUM(C68:E68)</f>
        <v>42197.599999999999</v>
      </c>
      <c r="AD68" s="4">
        <f t="shared" ref="AD68:AD87" si="57">SUM(F68:H68)</f>
        <v>0</v>
      </c>
      <c r="AE68" s="4">
        <f t="shared" ref="AE68:AE87" si="58">SUM(I68:K68)</f>
        <v>0</v>
      </c>
      <c r="AF68" s="4">
        <f t="shared" ref="AF68:AF87" si="59">SUM(L68:N68)</f>
        <v>0</v>
      </c>
      <c r="AG68" s="4"/>
      <c r="AH68" s="4">
        <f t="shared" ref="AH68:AH87" si="60">SUM(P68:R68)</f>
        <v>0</v>
      </c>
      <c r="AI68" s="4">
        <f t="shared" ref="AI68:AI87" si="61">SUM(S68:U68)</f>
        <v>0</v>
      </c>
      <c r="AJ68" s="4">
        <f t="shared" ref="AJ68:AJ87" si="62">SUM(V68:X68)</f>
        <v>0</v>
      </c>
      <c r="AK68" s="4">
        <f t="shared" ref="AK68:AK87" si="63">SUM(Y68:AA68)</f>
        <v>0</v>
      </c>
      <c r="AL68" s="4"/>
      <c r="AM68" s="4">
        <f t="shared" ref="AM68:AM87" si="64">SUM(C68:N68)</f>
        <v>42197.599999999999</v>
      </c>
      <c r="AN68" s="4">
        <f t="shared" ref="AN68:AN87" si="65">SUM(P68:AA68)</f>
        <v>0</v>
      </c>
      <c r="AO68" s="4"/>
      <c r="AP68" s="25">
        <f t="shared" ref="AP68:AP87" si="66">SUM(AC68:AF68)-AM68</f>
        <v>0</v>
      </c>
      <c r="AQ68" s="25">
        <f t="shared" ref="AQ68:AQ87" si="67">SUM(AH68:AK68)-AN68</f>
        <v>0</v>
      </c>
      <c r="AT68" s="17"/>
      <c r="AW68" s="17"/>
    </row>
    <row r="69" spans="2:50" x14ac:dyDescent="0.2">
      <c r="B69" s="14" t="s">
        <v>112</v>
      </c>
      <c r="C69" s="4">
        <v>10314.290000000001</v>
      </c>
      <c r="D69" s="4">
        <v>10000</v>
      </c>
      <c r="E69" s="4">
        <v>10000</v>
      </c>
      <c r="F69" s="4">
        <v>10000</v>
      </c>
      <c r="G69" s="4">
        <v>20000</v>
      </c>
      <c r="H69" s="4">
        <v>20000</v>
      </c>
      <c r="I69" s="4">
        <v>20000</v>
      </c>
      <c r="J69" s="4">
        <v>15000</v>
      </c>
      <c r="K69" s="4">
        <v>10000</v>
      </c>
      <c r="L69" s="4">
        <v>10000</v>
      </c>
      <c r="M69" s="4">
        <v>10000</v>
      </c>
      <c r="N69" s="13">
        <v>10000</v>
      </c>
      <c r="O69" s="18"/>
      <c r="P69" s="13">
        <v>10000</v>
      </c>
      <c r="Q69" s="13">
        <v>10000</v>
      </c>
      <c r="R69" s="13">
        <v>10000</v>
      </c>
      <c r="S69" s="13">
        <v>10000</v>
      </c>
      <c r="T69" s="13">
        <v>10000</v>
      </c>
      <c r="U69" s="13">
        <v>10000</v>
      </c>
      <c r="V69" s="13">
        <v>10000</v>
      </c>
      <c r="W69" s="13">
        <v>10000</v>
      </c>
      <c r="X69" s="13">
        <v>10000</v>
      </c>
      <c r="Y69" s="13">
        <v>10000</v>
      </c>
      <c r="Z69" s="13">
        <v>10000</v>
      </c>
      <c r="AA69" s="13">
        <v>10000</v>
      </c>
      <c r="AB69" s="18"/>
      <c r="AC69" s="4">
        <f t="shared" si="56"/>
        <v>30314.29</v>
      </c>
      <c r="AD69" s="4">
        <f t="shared" si="57"/>
        <v>50000</v>
      </c>
      <c r="AE69" s="4">
        <f t="shared" si="58"/>
        <v>45000</v>
      </c>
      <c r="AF69" s="4">
        <f t="shared" si="59"/>
        <v>30000</v>
      </c>
      <c r="AG69" s="4"/>
      <c r="AH69" s="4">
        <f t="shared" si="60"/>
        <v>30000</v>
      </c>
      <c r="AI69" s="4">
        <f t="shared" si="61"/>
        <v>30000</v>
      </c>
      <c r="AJ69" s="4">
        <f t="shared" si="62"/>
        <v>30000</v>
      </c>
      <c r="AK69" s="4">
        <f t="shared" si="63"/>
        <v>30000</v>
      </c>
      <c r="AL69" s="4"/>
      <c r="AM69" s="4">
        <f t="shared" si="64"/>
        <v>155314.29</v>
      </c>
      <c r="AN69" s="4">
        <f t="shared" si="65"/>
        <v>120000</v>
      </c>
      <c r="AO69" s="4"/>
      <c r="AP69" s="25">
        <f t="shared" si="66"/>
        <v>0</v>
      </c>
      <c r="AQ69" s="25">
        <f t="shared" si="67"/>
        <v>0</v>
      </c>
      <c r="AS69" s="14" t="s">
        <v>357</v>
      </c>
      <c r="AT69" s="86">
        <v>10000</v>
      </c>
    </row>
    <row r="70" spans="2:50" x14ac:dyDescent="0.2">
      <c r="B70" s="14" t="s">
        <v>291</v>
      </c>
      <c r="C70" s="4">
        <v>0</v>
      </c>
      <c r="D70" s="4">
        <v>975</v>
      </c>
      <c r="E70" s="4">
        <v>38361.61</v>
      </c>
      <c r="F70" s="4">
        <v>0</v>
      </c>
      <c r="G70" s="4">
        <v>0</v>
      </c>
      <c r="H70" s="4">
        <v>0</v>
      </c>
      <c r="I70" s="4">
        <v>85228.46</v>
      </c>
      <c r="J70" s="4">
        <v>1964.75</v>
      </c>
      <c r="K70" s="4">
        <v>0</v>
      </c>
      <c r="L70" s="4">
        <v>3895.63</v>
      </c>
      <c r="M70" s="4">
        <v>6504</v>
      </c>
      <c r="N70" s="13">
        <v>0</v>
      </c>
      <c r="O70" s="18"/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8"/>
      <c r="AC70" s="4">
        <f t="shared" si="56"/>
        <v>39336.61</v>
      </c>
      <c r="AD70" s="4">
        <f t="shared" si="57"/>
        <v>0</v>
      </c>
      <c r="AE70" s="4">
        <f t="shared" si="58"/>
        <v>87193.21</v>
      </c>
      <c r="AF70" s="4">
        <f t="shared" si="59"/>
        <v>10399.630000000001</v>
      </c>
      <c r="AG70" s="4"/>
      <c r="AH70" s="4">
        <f t="shared" si="60"/>
        <v>0</v>
      </c>
      <c r="AI70" s="4">
        <f t="shared" si="61"/>
        <v>0</v>
      </c>
      <c r="AJ70" s="4">
        <f t="shared" si="62"/>
        <v>0</v>
      </c>
      <c r="AK70" s="4">
        <f t="shared" si="63"/>
        <v>0</v>
      </c>
      <c r="AL70" s="4"/>
      <c r="AM70" s="4">
        <f t="shared" si="64"/>
        <v>136929.45000000001</v>
      </c>
      <c r="AN70" s="4">
        <f t="shared" si="65"/>
        <v>0</v>
      </c>
      <c r="AO70" s="4"/>
      <c r="AP70" s="25">
        <f t="shared" si="66"/>
        <v>0</v>
      </c>
      <c r="AQ70" s="25">
        <f t="shared" si="67"/>
        <v>0</v>
      </c>
      <c r="AS70" s="14" t="s">
        <v>473</v>
      </c>
      <c r="AT70" s="86">
        <v>6504</v>
      </c>
      <c r="AW70" s="86"/>
    </row>
    <row r="71" spans="2:50" x14ac:dyDescent="0.2">
      <c r="B71" s="14" t="s">
        <v>478</v>
      </c>
      <c r="C71" s="4">
        <v>729.6</v>
      </c>
      <c r="D71" s="4">
        <v>249.6</v>
      </c>
      <c r="E71" s="4">
        <v>0</v>
      </c>
      <c r="F71" s="4">
        <v>249.6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13">
        <v>0</v>
      </c>
      <c r="O71" s="18"/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C71" s="4">
        <f t="shared" si="56"/>
        <v>979.2</v>
      </c>
      <c r="AD71" s="4">
        <f t="shared" si="57"/>
        <v>249.6</v>
      </c>
      <c r="AE71" s="4">
        <f t="shared" si="58"/>
        <v>0</v>
      </c>
      <c r="AF71" s="4">
        <f t="shared" si="59"/>
        <v>0</v>
      </c>
      <c r="AG71" s="4"/>
      <c r="AH71" s="4">
        <f t="shared" si="60"/>
        <v>0</v>
      </c>
      <c r="AI71" s="4">
        <f t="shared" si="61"/>
        <v>0</v>
      </c>
      <c r="AJ71" s="4">
        <f t="shared" si="62"/>
        <v>0</v>
      </c>
      <c r="AK71" s="4">
        <f t="shared" si="63"/>
        <v>0</v>
      </c>
      <c r="AL71" s="4"/>
      <c r="AM71" s="4">
        <f t="shared" si="64"/>
        <v>1228.8</v>
      </c>
      <c r="AN71" s="4">
        <f t="shared" si="65"/>
        <v>0</v>
      </c>
      <c r="AO71" s="4"/>
      <c r="AP71" s="25">
        <f t="shared" si="66"/>
        <v>0</v>
      </c>
      <c r="AQ71" s="25">
        <f t="shared" si="67"/>
        <v>0</v>
      </c>
      <c r="AT71" s="17"/>
      <c r="AW71" s="86"/>
    </row>
    <row r="72" spans="2:50" x14ac:dyDescent="0.2">
      <c r="B72" s="14" t="s">
        <v>283</v>
      </c>
      <c r="C72" s="4">
        <v>0</v>
      </c>
      <c r="D72" s="4">
        <v>12000</v>
      </c>
      <c r="E72" s="4">
        <v>12000</v>
      </c>
      <c r="F72" s="4">
        <v>4500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13">
        <v>0</v>
      </c>
      <c r="O72" s="18"/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C72" s="4">
        <f t="shared" si="56"/>
        <v>24000</v>
      </c>
      <c r="AD72" s="4">
        <f t="shared" si="57"/>
        <v>4500</v>
      </c>
      <c r="AE72" s="4">
        <f t="shared" si="58"/>
        <v>0</v>
      </c>
      <c r="AF72" s="4">
        <f t="shared" si="59"/>
        <v>0</v>
      </c>
      <c r="AG72" s="4"/>
      <c r="AH72" s="4">
        <f t="shared" si="60"/>
        <v>0</v>
      </c>
      <c r="AI72" s="4">
        <f t="shared" si="61"/>
        <v>0</v>
      </c>
      <c r="AJ72" s="4">
        <f t="shared" si="62"/>
        <v>0</v>
      </c>
      <c r="AK72" s="4">
        <f t="shared" si="63"/>
        <v>0</v>
      </c>
      <c r="AL72" s="4"/>
      <c r="AM72" s="4">
        <f t="shared" si="64"/>
        <v>28500</v>
      </c>
      <c r="AN72" s="4">
        <f t="shared" si="65"/>
        <v>0</v>
      </c>
      <c r="AO72" s="4"/>
      <c r="AP72" s="25">
        <f t="shared" si="66"/>
        <v>0</v>
      </c>
      <c r="AQ72" s="25">
        <f t="shared" si="67"/>
        <v>0</v>
      </c>
      <c r="AT72" s="17"/>
      <c r="AW72" s="86"/>
      <c r="AX72" s="17"/>
    </row>
    <row r="73" spans="2:50" x14ac:dyDescent="0.2">
      <c r="B73" s="14" t="s">
        <v>284</v>
      </c>
      <c r="C73" s="4">
        <v>0</v>
      </c>
      <c r="D73" s="4">
        <v>2175</v>
      </c>
      <c r="E73" s="4">
        <v>7800</v>
      </c>
      <c r="F73" s="4">
        <v>9300</v>
      </c>
      <c r="G73" s="4">
        <v>10950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13">
        <v>0</v>
      </c>
      <c r="O73" s="18"/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C73" s="4">
        <f t="shared" si="56"/>
        <v>9975</v>
      </c>
      <c r="AD73" s="4">
        <f t="shared" si="57"/>
        <v>20250</v>
      </c>
      <c r="AE73" s="4">
        <f t="shared" si="58"/>
        <v>0</v>
      </c>
      <c r="AF73" s="4">
        <f t="shared" si="59"/>
        <v>0</v>
      </c>
      <c r="AG73" s="4"/>
      <c r="AH73" s="4">
        <f t="shared" si="60"/>
        <v>0</v>
      </c>
      <c r="AI73" s="4">
        <f t="shared" si="61"/>
        <v>0</v>
      </c>
      <c r="AJ73" s="4">
        <f t="shared" si="62"/>
        <v>0</v>
      </c>
      <c r="AK73" s="4">
        <f t="shared" si="63"/>
        <v>0</v>
      </c>
      <c r="AL73" s="4"/>
      <c r="AM73" s="4">
        <f t="shared" si="64"/>
        <v>30225</v>
      </c>
      <c r="AN73" s="4">
        <f t="shared" si="65"/>
        <v>0</v>
      </c>
      <c r="AO73" s="4"/>
      <c r="AP73" s="25">
        <f t="shared" si="66"/>
        <v>0</v>
      </c>
      <c r="AQ73" s="25">
        <f t="shared" si="67"/>
        <v>0</v>
      </c>
      <c r="AT73" s="17"/>
      <c r="AW73" s="86"/>
    </row>
    <row r="74" spans="2:50" x14ac:dyDescent="0.2">
      <c r="B74" s="14" t="s">
        <v>285</v>
      </c>
      <c r="C74" s="4">
        <v>0</v>
      </c>
      <c r="D74" s="4">
        <v>1330</v>
      </c>
      <c r="E74" s="4">
        <v>30</v>
      </c>
      <c r="F74" s="4">
        <v>615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13">
        <v>0</v>
      </c>
      <c r="O74" s="18"/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C74" s="4">
        <f t="shared" si="56"/>
        <v>1360</v>
      </c>
      <c r="AD74" s="4">
        <f t="shared" si="57"/>
        <v>615</v>
      </c>
      <c r="AE74" s="4">
        <f t="shared" si="58"/>
        <v>0</v>
      </c>
      <c r="AF74" s="4">
        <f t="shared" si="59"/>
        <v>0</v>
      </c>
      <c r="AG74" s="4"/>
      <c r="AH74" s="4">
        <f t="shared" si="60"/>
        <v>0</v>
      </c>
      <c r="AI74" s="4">
        <f t="shared" si="61"/>
        <v>0</v>
      </c>
      <c r="AJ74" s="4">
        <f t="shared" si="62"/>
        <v>0</v>
      </c>
      <c r="AK74" s="4">
        <f t="shared" si="63"/>
        <v>0</v>
      </c>
      <c r="AL74" s="4"/>
      <c r="AM74" s="4">
        <f t="shared" si="64"/>
        <v>1975</v>
      </c>
      <c r="AN74" s="4">
        <f t="shared" si="65"/>
        <v>0</v>
      </c>
      <c r="AO74" s="4"/>
      <c r="AP74" s="25">
        <f t="shared" si="66"/>
        <v>0</v>
      </c>
      <c r="AQ74" s="25">
        <f t="shared" si="67"/>
        <v>0</v>
      </c>
      <c r="AT74" s="17"/>
      <c r="AW74" s="86"/>
    </row>
    <row r="75" spans="2:50" x14ac:dyDescent="0.2">
      <c r="B75" s="14" t="s">
        <v>289</v>
      </c>
      <c r="C75" s="4">
        <v>0</v>
      </c>
      <c r="D75" s="4">
        <v>0</v>
      </c>
      <c r="E75" s="4">
        <v>3375</v>
      </c>
      <c r="F75" s="4">
        <v>5400</v>
      </c>
      <c r="G75" s="4">
        <v>5513.05</v>
      </c>
      <c r="H75" s="4">
        <v>2700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13">
        <v>0</v>
      </c>
      <c r="O75" s="18"/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C75" s="4">
        <f t="shared" si="56"/>
        <v>3375</v>
      </c>
      <c r="AD75" s="4">
        <f t="shared" si="57"/>
        <v>13613.05</v>
      </c>
      <c r="AE75" s="4">
        <f t="shared" si="58"/>
        <v>0</v>
      </c>
      <c r="AF75" s="4">
        <f t="shared" si="59"/>
        <v>0</v>
      </c>
      <c r="AG75" s="4"/>
      <c r="AH75" s="4">
        <f t="shared" si="60"/>
        <v>0</v>
      </c>
      <c r="AI75" s="4">
        <f t="shared" si="61"/>
        <v>0</v>
      </c>
      <c r="AJ75" s="4">
        <f t="shared" si="62"/>
        <v>0</v>
      </c>
      <c r="AK75" s="4">
        <f t="shared" si="63"/>
        <v>0</v>
      </c>
      <c r="AL75" s="4"/>
      <c r="AM75" s="4">
        <f t="shared" si="64"/>
        <v>16988.05</v>
      </c>
      <c r="AN75" s="4">
        <f t="shared" si="65"/>
        <v>0</v>
      </c>
      <c r="AO75" s="4"/>
      <c r="AP75" s="25">
        <f t="shared" si="66"/>
        <v>0</v>
      </c>
      <c r="AQ75" s="25">
        <f t="shared" si="67"/>
        <v>0</v>
      </c>
      <c r="AT75" s="17"/>
      <c r="AW75" s="86"/>
    </row>
    <row r="76" spans="2:50" x14ac:dyDescent="0.2">
      <c r="B76" s="14" t="s">
        <v>290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13">
        <v>0</v>
      </c>
      <c r="O76" s="18"/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C76" s="4">
        <f t="shared" si="56"/>
        <v>0</v>
      </c>
      <c r="AD76" s="4">
        <f t="shared" si="57"/>
        <v>0</v>
      </c>
      <c r="AE76" s="4">
        <f t="shared" si="58"/>
        <v>0</v>
      </c>
      <c r="AF76" s="4">
        <f t="shared" si="59"/>
        <v>0</v>
      </c>
      <c r="AG76" s="4"/>
      <c r="AH76" s="4">
        <f t="shared" si="60"/>
        <v>0</v>
      </c>
      <c r="AI76" s="4">
        <f t="shared" si="61"/>
        <v>0</v>
      </c>
      <c r="AJ76" s="4">
        <f t="shared" si="62"/>
        <v>0</v>
      </c>
      <c r="AK76" s="4">
        <f t="shared" si="63"/>
        <v>0</v>
      </c>
      <c r="AL76" s="4"/>
      <c r="AM76" s="4">
        <f t="shared" si="64"/>
        <v>0</v>
      </c>
      <c r="AN76" s="4">
        <f t="shared" si="65"/>
        <v>0</v>
      </c>
      <c r="AO76" s="4"/>
      <c r="AP76" s="25">
        <f t="shared" si="66"/>
        <v>0</v>
      </c>
      <c r="AQ76" s="25">
        <f t="shared" si="67"/>
        <v>0</v>
      </c>
      <c r="AT76" s="17"/>
      <c r="AW76" s="86"/>
    </row>
    <row r="77" spans="2:50" x14ac:dyDescent="0.2">
      <c r="B77" s="14" t="s">
        <v>746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2136.67</v>
      </c>
      <c r="J77" s="4">
        <v>2470</v>
      </c>
      <c r="K77" s="4">
        <v>1140</v>
      </c>
      <c r="L77" s="4">
        <v>0</v>
      </c>
      <c r="M77" s="4">
        <v>0</v>
      </c>
      <c r="N77" s="13">
        <v>0</v>
      </c>
      <c r="O77" s="18"/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C77" s="4">
        <f t="shared" si="56"/>
        <v>0</v>
      </c>
      <c r="AD77" s="4">
        <f t="shared" si="57"/>
        <v>0</v>
      </c>
      <c r="AE77" s="4">
        <f t="shared" si="58"/>
        <v>5746.67</v>
      </c>
      <c r="AF77" s="4">
        <f t="shared" si="59"/>
        <v>0</v>
      </c>
      <c r="AG77" s="4"/>
      <c r="AH77" s="4">
        <f t="shared" si="60"/>
        <v>0</v>
      </c>
      <c r="AI77" s="4">
        <f t="shared" si="61"/>
        <v>0</v>
      </c>
      <c r="AJ77" s="4">
        <f t="shared" si="62"/>
        <v>0</v>
      </c>
      <c r="AK77" s="4">
        <f t="shared" si="63"/>
        <v>0</v>
      </c>
      <c r="AL77" s="4"/>
      <c r="AM77" s="4">
        <f t="shared" si="64"/>
        <v>5746.67</v>
      </c>
      <c r="AN77" s="4">
        <f t="shared" si="65"/>
        <v>0</v>
      </c>
      <c r="AO77" s="4"/>
      <c r="AP77" s="25">
        <f t="shared" si="66"/>
        <v>0</v>
      </c>
      <c r="AQ77" s="25">
        <f t="shared" si="67"/>
        <v>0</v>
      </c>
      <c r="AT77" s="17"/>
      <c r="AW77" s="86"/>
    </row>
    <row r="78" spans="2:50" x14ac:dyDescent="0.2">
      <c r="B78" s="14" t="s">
        <v>51</v>
      </c>
      <c r="C78" s="4">
        <v>199</v>
      </c>
      <c r="D78" s="4">
        <v>199</v>
      </c>
      <c r="E78" s="4">
        <v>199</v>
      </c>
      <c r="F78" s="4">
        <v>199</v>
      </c>
      <c r="G78" s="4">
        <v>199</v>
      </c>
      <c r="H78" s="4">
        <v>199</v>
      </c>
      <c r="I78" s="4">
        <v>199</v>
      </c>
      <c r="J78" s="4">
        <v>199</v>
      </c>
      <c r="K78" s="4">
        <v>4249</v>
      </c>
      <c r="L78" s="4">
        <v>1799</v>
      </c>
      <c r="M78" s="4">
        <v>199</v>
      </c>
      <c r="N78" s="13">
        <v>200</v>
      </c>
      <c r="O78" s="18"/>
      <c r="P78" s="13">
        <v>200</v>
      </c>
      <c r="Q78" s="13">
        <v>200</v>
      </c>
      <c r="R78" s="13">
        <v>200</v>
      </c>
      <c r="S78" s="13">
        <v>200</v>
      </c>
      <c r="T78" s="13">
        <v>200</v>
      </c>
      <c r="U78" s="13">
        <v>200</v>
      </c>
      <c r="V78" s="13">
        <v>200</v>
      </c>
      <c r="W78" s="13">
        <v>200</v>
      </c>
      <c r="X78" s="13">
        <v>200</v>
      </c>
      <c r="Y78" s="13">
        <v>200</v>
      </c>
      <c r="Z78" s="13">
        <v>200</v>
      </c>
      <c r="AA78" s="13">
        <v>200</v>
      </c>
      <c r="AC78" s="4">
        <f t="shared" si="56"/>
        <v>597</v>
      </c>
      <c r="AD78" s="4">
        <f t="shared" si="57"/>
        <v>597</v>
      </c>
      <c r="AE78" s="4">
        <f t="shared" si="58"/>
        <v>4647</v>
      </c>
      <c r="AF78" s="4">
        <f t="shared" si="59"/>
        <v>2198</v>
      </c>
      <c r="AG78" s="4"/>
      <c r="AH78" s="4">
        <f t="shared" si="60"/>
        <v>600</v>
      </c>
      <c r="AI78" s="4">
        <f t="shared" si="61"/>
        <v>600</v>
      </c>
      <c r="AJ78" s="4">
        <f t="shared" si="62"/>
        <v>600</v>
      </c>
      <c r="AK78" s="4">
        <f t="shared" si="63"/>
        <v>600</v>
      </c>
      <c r="AL78" s="4"/>
      <c r="AM78" s="4">
        <f t="shared" si="64"/>
        <v>8039</v>
      </c>
      <c r="AN78" s="4">
        <f t="shared" si="65"/>
        <v>2400</v>
      </c>
      <c r="AO78" s="4"/>
      <c r="AP78" s="25">
        <f t="shared" si="66"/>
        <v>0</v>
      </c>
      <c r="AQ78" s="25">
        <f t="shared" si="67"/>
        <v>0</v>
      </c>
      <c r="AS78" s="14" t="s">
        <v>428</v>
      </c>
      <c r="AT78" s="86">
        <v>199</v>
      </c>
      <c r="AW78" s="86"/>
    </row>
    <row r="79" spans="2:50" x14ac:dyDescent="0.2">
      <c r="B79" s="14" t="s">
        <v>272</v>
      </c>
      <c r="C79" s="4">
        <v>0</v>
      </c>
      <c r="D79" s="4">
        <v>0</v>
      </c>
      <c r="E79" s="4">
        <v>0</v>
      </c>
      <c r="F79" s="4">
        <v>0</v>
      </c>
      <c r="G79" s="4">
        <v>935.47</v>
      </c>
      <c r="H79" s="4">
        <v>43.12</v>
      </c>
      <c r="I79" s="4">
        <v>90.1</v>
      </c>
      <c r="J79" s="4">
        <v>0</v>
      </c>
      <c r="K79" s="4">
        <v>0</v>
      </c>
      <c r="L79" s="4">
        <v>0</v>
      </c>
      <c r="M79" s="4">
        <v>0</v>
      </c>
      <c r="N79" s="13">
        <v>0</v>
      </c>
      <c r="O79" s="18"/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C79" s="4">
        <f t="shared" si="56"/>
        <v>0</v>
      </c>
      <c r="AD79" s="4">
        <f t="shared" si="57"/>
        <v>978.59</v>
      </c>
      <c r="AE79" s="4">
        <f t="shared" si="58"/>
        <v>90.1</v>
      </c>
      <c r="AF79" s="4">
        <f t="shared" si="59"/>
        <v>0</v>
      </c>
      <c r="AG79" s="4"/>
      <c r="AH79" s="4">
        <f t="shared" si="60"/>
        <v>0</v>
      </c>
      <c r="AI79" s="4">
        <f t="shared" si="61"/>
        <v>0</v>
      </c>
      <c r="AJ79" s="4">
        <f t="shared" si="62"/>
        <v>0</v>
      </c>
      <c r="AK79" s="4">
        <f t="shared" si="63"/>
        <v>0</v>
      </c>
      <c r="AL79" s="4"/>
      <c r="AM79" s="4">
        <f t="shared" si="64"/>
        <v>1068.69</v>
      </c>
      <c r="AN79" s="4">
        <f t="shared" si="65"/>
        <v>0</v>
      </c>
      <c r="AO79" s="4"/>
      <c r="AP79" s="25">
        <f t="shared" si="66"/>
        <v>0</v>
      </c>
      <c r="AQ79" s="25">
        <f t="shared" si="67"/>
        <v>0</v>
      </c>
      <c r="AT79" s="17"/>
      <c r="AW79" s="86"/>
      <c r="AX79" s="17"/>
    </row>
    <row r="80" spans="2:50" x14ac:dyDescent="0.2">
      <c r="B80" s="14" t="s">
        <v>293</v>
      </c>
      <c r="C80" s="4">
        <v>0</v>
      </c>
      <c r="D80" s="4">
        <v>0</v>
      </c>
      <c r="E80" s="4">
        <v>0</v>
      </c>
      <c r="F80" s="4">
        <v>0</v>
      </c>
      <c r="G80" s="4">
        <v>7500</v>
      </c>
      <c r="H80" s="4">
        <v>5500</v>
      </c>
      <c r="I80" s="4">
        <v>0</v>
      </c>
      <c r="J80" s="4">
        <v>0</v>
      </c>
      <c r="K80" s="4">
        <v>0</v>
      </c>
      <c r="L80" s="4">
        <v>0</v>
      </c>
      <c r="M80" s="4">
        <v>5000</v>
      </c>
      <c r="N80" s="100">
        <f t="shared" ref="N80" si="68">10000/5</f>
        <v>2000</v>
      </c>
      <c r="O80" s="18"/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C80" s="4">
        <f t="shared" si="56"/>
        <v>0</v>
      </c>
      <c r="AD80" s="4">
        <f t="shared" si="57"/>
        <v>13000</v>
      </c>
      <c r="AE80" s="4">
        <f t="shared" si="58"/>
        <v>0</v>
      </c>
      <c r="AF80" s="4">
        <f t="shared" si="59"/>
        <v>7000</v>
      </c>
      <c r="AG80" s="4"/>
      <c r="AH80" s="4">
        <f t="shared" si="60"/>
        <v>0</v>
      </c>
      <c r="AI80" s="4">
        <f t="shared" si="61"/>
        <v>0</v>
      </c>
      <c r="AJ80" s="4">
        <f t="shared" si="62"/>
        <v>0</v>
      </c>
      <c r="AK80" s="4">
        <f t="shared" si="63"/>
        <v>0</v>
      </c>
      <c r="AL80" s="4"/>
      <c r="AM80" s="4">
        <f t="shared" si="64"/>
        <v>20000</v>
      </c>
      <c r="AN80" s="4">
        <f t="shared" si="65"/>
        <v>0</v>
      </c>
      <c r="AO80" s="4"/>
      <c r="AP80" s="25">
        <f t="shared" si="66"/>
        <v>0</v>
      </c>
      <c r="AQ80" s="25">
        <f t="shared" si="67"/>
        <v>0</v>
      </c>
      <c r="AS80" s="14" t="s">
        <v>386</v>
      </c>
      <c r="AT80" s="86">
        <v>5000</v>
      </c>
    </row>
    <row r="81" spans="2:49" x14ac:dyDescent="0.2">
      <c r="B81" s="14" t="s">
        <v>274</v>
      </c>
      <c r="C81" s="4">
        <v>0</v>
      </c>
      <c r="D81" s="4">
        <v>0</v>
      </c>
      <c r="E81" s="4">
        <v>0</v>
      </c>
      <c r="F81" s="4">
        <v>45000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13">
        <v>0</v>
      </c>
      <c r="O81" s="18"/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C81" s="4">
        <f t="shared" si="56"/>
        <v>0</v>
      </c>
      <c r="AD81" s="4">
        <f t="shared" si="57"/>
        <v>45000</v>
      </c>
      <c r="AE81" s="4">
        <f t="shared" si="58"/>
        <v>0</v>
      </c>
      <c r="AF81" s="4">
        <f t="shared" si="59"/>
        <v>0</v>
      </c>
      <c r="AG81" s="4"/>
      <c r="AH81" s="4">
        <f t="shared" si="60"/>
        <v>0</v>
      </c>
      <c r="AI81" s="4">
        <f t="shared" si="61"/>
        <v>0</v>
      </c>
      <c r="AJ81" s="4">
        <f t="shared" si="62"/>
        <v>0</v>
      </c>
      <c r="AK81" s="4">
        <f t="shared" si="63"/>
        <v>0</v>
      </c>
      <c r="AL81" s="4"/>
      <c r="AM81" s="4">
        <f t="shared" si="64"/>
        <v>45000</v>
      </c>
      <c r="AN81" s="4">
        <f t="shared" si="65"/>
        <v>0</v>
      </c>
      <c r="AO81" s="4"/>
      <c r="AP81" s="25">
        <f t="shared" si="66"/>
        <v>0</v>
      </c>
      <c r="AQ81" s="25">
        <f t="shared" si="67"/>
        <v>0</v>
      </c>
      <c r="AT81" s="17"/>
      <c r="AW81" s="86"/>
    </row>
    <row r="82" spans="2:49" x14ac:dyDescent="0.2">
      <c r="B82" s="14" t="s">
        <v>294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13">
        <v>0</v>
      </c>
      <c r="O82" s="18"/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C82" s="4">
        <f t="shared" si="56"/>
        <v>0</v>
      </c>
      <c r="AD82" s="4">
        <f t="shared" si="57"/>
        <v>0</v>
      </c>
      <c r="AE82" s="4">
        <f t="shared" si="58"/>
        <v>0</v>
      </c>
      <c r="AF82" s="4">
        <f t="shared" si="59"/>
        <v>0</v>
      </c>
      <c r="AG82" s="4"/>
      <c r="AH82" s="4">
        <f t="shared" si="60"/>
        <v>0</v>
      </c>
      <c r="AI82" s="4">
        <f t="shared" si="61"/>
        <v>0</v>
      </c>
      <c r="AJ82" s="4">
        <f t="shared" si="62"/>
        <v>0</v>
      </c>
      <c r="AK82" s="4">
        <f t="shared" si="63"/>
        <v>0</v>
      </c>
      <c r="AL82" s="4"/>
      <c r="AM82" s="4">
        <f t="shared" si="64"/>
        <v>0</v>
      </c>
      <c r="AN82" s="4">
        <f t="shared" si="65"/>
        <v>0</v>
      </c>
      <c r="AO82" s="4"/>
      <c r="AP82" s="25">
        <f t="shared" si="66"/>
        <v>0</v>
      </c>
      <c r="AQ82" s="25">
        <f t="shared" si="67"/>
        <v>0</v>
      </c>
      <c r="AT82" s="17"/>
      <c r="AW82" s="86"/>
    </row>
    <row r="83" spans="2:49" x14ac:dyDescent="0.2">
      <c r="B83" s="14" t="s">
        <v>1366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13">
        <f>13000+13000+(13000/2)</f>
        <v>32500</v>
      </c>
      <c r="O83" s="18"/>
      <c r="P83" s="13">
        <v>13000</v>
      </c>
      <c r="Q83" s="13">
        <v>13000</v>
      </c>
      <c r="R83" s="13">
        <v>13000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C83" s="4">
        <f t="shared" si="56"/>
        <v>0</v>
      </c>
      <c r="AD83" s="4">
        <f t="shared" si="57"/>
        <v>0</v>
      </c>
      <c r="AE83" s="4">
        <f t="shared" si="58"/>
        <v>0</v>
      </c>
      <c r="AF83" s="4">
        <f t="shared" si="59"/>
        <v>32500</v>
      </c>
      <c r="AG83" s="4"/>
      <c r="AH83" s="4">
        <f t="shared" si="60"/>
        <v>39000</v>
      </c>
      <c r="AI83" s="4">
        <f t="shared" si="61"/>
        <v>0</v>
      </c>
      <c r="AJ83" s="4">
        <f t="shared" si="62"/>
        <v>0</v>
      </c>
      <c r="AK83" s="4">
        <f t="shared" si="63"/>
        <v>0</v>
      </c>
      <c r="AL83" s="4"/>
      <c r="AM83" s="4">
        <f t="shared" si="64"/>
        <v>32500</v>
      </c>
      <c r="AN83" s="4">
        <f t="shared" si="65"/>
        <v>39000</v>
      </c>
      <c r="AO83" s="4"/>
      <c r="AP83" s="25">
        <f t="shared" si="66"/>
        <v>0</v>
      </c>
      <c r="AQ83" s="25">
        <f t="shared" si="67"/>
        <v>0</v>
      </c>
      <c r="AT83" s="17"/>
      <c r="AW83" s="86"/>
    </row>
    <row r="84" spans="2:49" x14ac:dyDescent="0.2">
      <c r="B84" s="14" t="s">
        <v>1469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2000</v>
      </c>
      <c r="N84" s="13">
        <v>2000</v>
      </c>
      <c r="O84" s="18"/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C84" s="4">
        <f t="shared" si="56"/>
        <v>0</v>
      </c>
      <c r="AD84" s="4">
        <f t="shared" si="57"/>
        <v>0</v>
      </c>
      <c r="AE84" s="4">
        <f t="shared" si="58"/>
        <v>0</v>
      </c>
      <c r="AF84" s="4">
        <f t="shared" si="59"/>
        <v>4000</v>
      </c>
      <c r="AG84" s="4"/>
      <c r="AH84" s="4">
        <f t="shared" si="60"/>
        <v>0</v>
      </c>
      <c r="AI84" s="4">
        <f t="shared" si="61"/>
        <v>0</v>
      </c>
      <c r="AJ84" s="4">
        <f t="shared" si="62"/>
        <v>0</v>
      </c>
      <c r="AK84" s="4">
        <f t="shared" si="63"/>
        <v>0</v>
      </c>
      <c r="AL84" s="4"/>
      <c r="AM84" s="4">
        <f t="shared" si="64"/>
        <v>4000</v>
      </c>
      <c r="AN84" s="4">
        <f t="shared" si="65"/>
        <v>0</v>
      </c>
      <c r="AO84" s="4"/>
      <c r="AP84" s="25">
        <f t="shared" si="66"/>
        <v>0</v>
      </c>
      <c r="AQ84" s="25">
        <f t="shared" si="67"/>
        <v>0</v>
      </c>
      <c r="AS84" s="14" t="s">
        <v>1490</v>
      </c>
      <c r="AT84" s="86">
        <v>2000</v>
      </c>
    </row>
    <row r="85" spans="2:49" x14ac:dyDescent="0.2">
      <c r="B85" s="14" t="s">
        <v>85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13">
        <v>0</v>
      </c>
      <c r="O85" s="18"/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C85" s="4">
        <f t="shared" si="56"/>
        <v>0</v>
      </c>
      <c r="AD85" s="4">
        <f t="shared" si="57"/>
        <v>0</v>
      </c>
      <c r="AE85" s="4">
        <f t="shared" si="58"/>
        <v>0</v>
      </c>
      <c r="AF85" s="4">
        <f t="shared" si="59"/>
        <v>0</v>
      </c>
      <c r="AG85" s="4"/>
      <c r="AH85" s="4">
        <f t="shared" si="60"/>
        <v>0</v>
      </c>
      <c r="AI85" s="4">
        <f t="shared" si="61"/>
        <v>0</v>
      </c>
      <c r="AJ85" s="4">
        <f t="shared" si="62"/>
        <v>0</v>
      </c>
      <c r="AK85" s="4">
        <f t="shared" si="63"/>
        <v>0</v>
      </c>
      <c r="AL85" s="4"/>
      <c r="AM85" s="4">
        <f t="shared" si="64"/>
        <v>0</v>
      </c>
      <c r="AN85" s="4">
        <f t="shared" si="65"/>
        <v>0</v>
      </c>
      <c r="AO85" s="4"/>
      <c r="AP85" s="25">
        <f t="shared" si="66"/>
        <v>0</v>
      </c>
      <c r="AQ85" s="25">
        <f t="shared" si="67"/>
        <v>0</v>
      </c>
      <c r="AT85" s="17"/>
      <c r="AW85" s="17"/>
    </row>
    <row r="86" spans="2:49" x14ac:dyDescent="0.2">
      <c r="B86" s="14" t="s">
        <v>85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13">
        <v>0</v>
      </c>
      <c r="O86" s="18"/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C86" s="4">
        <f t="shared" si="56"/>
        <v>0</v>
      </c>
      <c r="AD86" s="4">
        <f t="shared" si="57"/>
        <v>0</v>
      </c>
      <c r="AE86" s="4">
        <f t="shared" si="58"/>
        <v>0</v>
      </c>
      <c r="AF86" s="4">
        <f t="shared" si="59"/>
        <v>0</v>
      </c>
      <c r="AG86" s="4"/>
      <c r="AH86" s="4">
        <f t="shared" si="60"/>
        <v>0</v>
      </c>
      <c r="AI86" s="4">
        <f t="shared" si="61"/>
        <v>0</v>
      </c>
      <c r="AJ86" s="4">
        <f t="shared" si="62"/>
        <v>0</v>
      </c>
      <c r="AK86" s="4">
        <f t="shared" si="63"/>
        <v>0</v>
      </c>
      <c r="AL86" s="4"/>
      <c r="AM86" s="4">
        <f t="shared" si="64"/>
        <v>0</v>
      </c>
      <c r="AN86" s="4">
        <f t="shared" si="65"/>
        <v>0</v>
      </c>
      <c r="AO86" s="4"/>
      <c r="AP86" s="25">
        <f t="shared" si="66"/>
        <v>0</v>
      </c>
      <c r="AQ86" s="25">
        <f t="shared" si="67"/>
        <v>0</v>
      </c>
      <c r="AT86" s="17"/>
      <c r="AW86" s="17"/>
    </row>
    <row r="87" spans="2:49" x14ac:dyDescent="0.2">
      <c r="B87" s="14" t="s">
        <v>85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13">
        <v>0</v>
      </c>
      <c r="O87" s="18"/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C87" s="4">
        <f t="shared" si="56"/>
        <v>0</v>
      </c>
      <c r="AD87" s="4">
        <f t="shared" si="57"/>
        <v>0</v>
      </c>
      <c r="AE87" s="4">
        <f t="shared" si="58"/>
        <v>0</v>
      </c>
      <c r="AF87" s="4">
        <f t="shared" si="59"/>
        <v>0</v>
      </c>
      <c r="AG87" s="4"/>
      <c r="AH87" s="4">
        <f t="shared" si="60"/>
        <v>0</v>
      </c>
      <c r="AI87" s="4">
        <f t="shared" si="61"/>
        <v>0</v>
      </c>
      <c r="AJ87" s="4">
        <f t="shared" si="62"/>
        <v>0</v>
      </c>
      <c r="AK87" s="4">
        <f t="shared" si="63"/>
        <v>0</v>
      </c>
      <c r="AL87" s="4"/>
      <c r="AM87" s="4">
        <f t="shared" si="64"/>
        <v>0</v>
      </c>
      <c r="AN87" s="4">
        <f t="shared" si="65"/>
        <v>0</v>
      </c>
      <c r="AO87" s="4"/>
      <c r="AP87" s="25">
        <f t="shared" si="66"/>
        <v>0</v>
      </c>
      <c r="AQ87" s="25">
        <f t="shared" si="67"/>
        <v>0</v>
      </c>
      <c r="AT87" s="17"/>
    </row>
    <row r="88" spans="2:49" x14ac:dyDescent="0.2">
      <c r="C88" s="88"/>
      <c r="D88" s="8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P88" s="17"/>
      <c r="AQ88" s="17"/>
      <c r="AT88" s="17"/>
    </row>
    <row r="89" spans="2:49" x14ac:dyDescent="0.2">
      <c r="B89" s="28" t="s">
        <v>128</v>
      </c>
      <c r="C89" s="18">
        <f t="shared" ref="C89:AA89" si="69">SUM(C68:C88)</f>
        <v>25440.489999999998</v>
      </c>
      <c r="D89" s="18">
        <f t="shared" si="69"/>
        <v>54928.6</v>
      </c>
      <c r="E89" s="18">
        <f t="shared" si="69"/>
        <v>71765.61</v>
      </c>
      <c r="F89" s="18">
        <f t="shared" si="69"/>
        <v>75263.600000000006</v>
      </c>
      <c r="G89" s="18">
        <f t="shared" si="69"/>
        <v>45097.520000000004</v>
      </c>
      <c r="H89" s="18">
        <f t="shared" si="69"/>
        <v>28442.12</v>
      </c>
      <c r="I89" s="18">
        <f t="shared" si="69"/>
        <v>107654.23000000001</v>
      </c>
      <c r="J89" s="18">
        <f t="shared" si="69"/>
        <v>19633.75</v>
      </c>
      <c r="K89" s="18">
        <f t="shared" si="69"/>
        <v>15389</v>
      </c>
      <c r="L89" s="18">
        <f t="shared" si="69"/>
        <v>15694.630000000001</v>
      </c>
      <c r="M89" s="18">
        <f t="shared" si="69"/>
        <v>23703</v>
      </c>
      <c r="N89" s="18">
        <f t="shared" si="69"/>
        <v>46700</v>
      </c>
      <c r="O89" s="18"/>
      <c r="P89" s="18">
        <f t="shared" si="69"/>
        <v>23200</v>
      </c>
      <c r="Q89" s="18">
        <f t="shared" si="69"/>
        <v>23200</v>
      </c>
      <c r="R89" s="18">
        <f t="shared" si="69"/>
        <v>23200</v>
      </c>
      <c r="S89" s="18">
        <f t="shared" si="69"/>
        <v>10200</v>
      </c>
      <c r="T89" s="18">
        <f t="shared" si="69"/>
        <v>10200</v>
      </c>
      <c r="U89" s="18">
        <f t="shared" si="69"/>
        <v>10200</v>
      </c>
      <c r="V89" s="18">
        <f t="shared" si="69"/>
        <v>10200</v>
      </c>
      <c r="W89" s="18">
        <f t="shared" si="69"/>
        <v>10200</v>
      </c>
      <c r="X89" s="18">
        <f t="shared" si="69"/>
        <v>10200</v>
      </c>
      <c r="Y89" s="18">
        <f t="shared" si="69"/>
        <v>10200</v>
      </c>
      <c r="Z89" s="18">
        <f t="shared" si="69"/>
        <v>10200</v>
      </c>
      <c r="AA89" s="18">
        <f t="shared" si="69"/>
        <v>10200</v>
      </c>
      <c r="AB89" s="43"/>
      <c r="AC89" s="18">
        <f>SUM(AC68:AC88)</f>
        <v>152134.70000000001</v>
      </c>
      <c r="AD89" s="18">
        <f>SUM(AD68:AD88)</f>
        <v>148803.24</v>
      </c>
      <c r="AE89" s="18">
        <f>SUM(AE68:AE88)</f>
        <v>142676.98000000004</v>
      </c>
      <c r="AF89" s="18">
        <f>SUM(AF68:AF88)</f>
        <v>86097.63</v>
      </c>
      <c r="AG89" s="18"/>
      <c r="AH89" s="18">
        <f t="shared" ref="AH89:AK89" si="70">SUM(AH68:AH88)</f>
        <v>69600</v>
      </c>
      <c r="AI89" s="18">
        <f t="shared" si="70"/>
        <v>30600</v>
      </c>
      <c r="AJ89" s="18">
        <f t="shared" si="70"/>
        <v>30600</v>
      </c>
      <c r="AK89" s="18">
        <f t="shared" si="70"/>
        <v>30600</v>
      </c>
      <c r="AL89" s="43"/>
      <c r="AM89" s="18">
        <f>SUM(AM68:AM88)</f>
        <v>529712.55000000005</v>
      </c>
      <c r="AN89" s="18">
        <f>SUM(AN68:AN88)</f>
        <v>161400</v>
      </c>
      <c r="AP89" s="25">
        <f t="shared" ref="AP89" si="71">SUM(AC89:AF89)-AM89</f>
        <v>0</v>
      </c>
      <c r="AQ89" s="25">
        <f t="shared" ref="AQ89" si="72">SUM(AH89:AK89)-AN89</f>
        <v>0</v>
      </c>
      <c r="AT89" s="17"/>
      <c r="AW89" s="17"/>
    </row>
    <row r="90" spans="2:49" x14ac:dyDescent="0.2"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P90" s="17"/>
      <c r="AQ90" s="17"/>
      <c r="AT90" s="17"/>
    </row>
    <row r="91" spans="2:49" x14ac:dyDescent="0.2">
      <c r="B91" s="16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P91" s="17"/>
      <c r="AQ91" s="17"/>
      <c r="AT91" s="17"/>
    </row>
    <row r="92" spans="2:49" x14ac:dyDescent="0.2">
      <c r="B92" s="167" t="s">
        <v>129</v>
      </c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9"/>
      <c r="AP92" s="17"/>
      <c r="AQ92" s="17"/>
      <c r="AT92" s="17"/>
    </row>
    <row r="93" spans="2:49" x14ac:dyDescent="0.2">
      <c r="B93" s="16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P93" s="17"/>
      <c r="AQ93" s="17"/>
      <c r="AT93" s="17"/>
    </row>
    <row r="94" spans="2:49" x14ac:dyDescent="0.2">
      <c r="B94" s="14" t="s">
        <v>60</v>
      </c>
      <c r="C94" s="4">
        <v>19202.150000000001</v>
      </c>
      <c r="D94" s="4">
        <v>18683.22</v>
      </c>
      <c r="E94" s="4">
        <v>18615.88</v>
      </c>
      <c r="F94" s="4">
        <v>18600</v>
      </c>
      <c r="G94" s="4">
        <v>20011.29</v>
      </c>
      <c r="H94" s="4">
        <v>18600</v>
      </c>
      <c r="I94" s="4">
        <v>18600</v>
      </c>
      <c r="J94" s="4">
        <v>9849.0500000000011</v>
      </c>
      <c r="K94" s="4">
        <v>2012.5</v>
      </c>
      <c r="L94" s="4">
        <v>568.75</v>
      </c>
      <c r="M94" s="4">
        <v>0</v>
      </c>
      <c r="N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C94" s="4">
        <f t="shared" ref="AC94:AC109" si="73">SUM(C94:E94)</f>
        <v>56501.25</v>
      </c>
      <c r="AD94" s="4">
        <f t="shared" ref="AD94:AD109" si="74">SUM(F94:H94)</f>
        <v>57211.29</v>
      </c>
      <c r="AE94" s="4">
        <f t="shared" ref="AE94:AE109" si="75">SUM(I94:K94)</f>
        <v>30461.550000000003</v>
      </c>
      <c r="AF94" s="4">
        <f t="shared" ref="AF94:AF109" si="76">SUM(L94:N94)</f>
        <v>568.75</v>
      </c>
      <c r="AG94" s="4"/>
      <c r="AH94" s="4">
        <f t="shared" ref="AH94:AH109" si="77">SUM(P94:R94)</f>
        <v>0</v>
      </c>
      <c r="AI94" s="4">
        <f t="shared" ref="AI94:AI109" si="78">SUM(S94:U94)</f>
        <v>0</v>
      </c>
      <c r="AJ94" s="4">
        <f t="shared" ref="AJ94:AJ109" si="79">SUM(V94:X94)</f>
        <v>0</v>
      </c>
      <c r="AK94" s="4">
        <f t="shared" ref="AK94:AK109" si="80">SUM(Y94:AA94)</f>
        <v>0</v>
      </c>
      <c r="AL94" s="4"/>
      <c r="AM94" s="4">
        <f t="shared" ref="AM94:AM109" si="81">SUM(C94:N94)</f>
        <v>144742.84</v>
      </c>
      <c r="AN94" s="4">
        <f t="shared" ref="AN94:AN109" si="82">SUM(P94:AA94)</f>
        <v>0</v>
      </c>
      <c r="AO94" s="4"/>
      <c r="AP94" s="25">
        <f t="shared" ref="AP94:AP109" si="83">SUM(AC94:AF94)-AM94</f>
        <v>0</v>
      </c>
      <c r="AQ94" s="25">
        <f t="shared" ref="AQ94:AQ109" si="84">SUM(AH94:AK94)-AN94</f>
        <v>0</v>
      </c>
      <c r="AS94" s="14" t="s">
        <v>362</v>
      </c>
      <c r="AT94" s="86">
        <v>0</v>
      </c>
      <c r="AW94" s="17"/>
    </row>
    <row r="95" spans="2:49" x14ac:dyDescent="0.2">
      <c r="B95" s="14" t="s">
        <v>6</v>
      </c>
      <c r="C95" s="4">
        <v>20000</v>
      </c>
      <c r="D95" s="4">
        <v>25000</v>
      </c>
      <c r="E95" s="4">
        <v>20000</v>
      </c>
      <c r="F95" s="4">
        <v>20228.689999999999</v>
      </c>
      <c r="G95" s="4">
        <v>20000</v>
      </c>
      <c r="H95" s="4">
        <v>25000</v>
      </c>
      <c r="I95" s="4">
        <v>20000</v>
      </c>
      <c r="J95" s="4">
        <v>25000</v>
      </c>
      <c r="K95" s="4">
        <v>20000</v>
      </c>
      <c r="L95" s="4">
        <v>20000</v>
      </c>
      <c r="M95" s="4">
        <v>25000</v>
      </c>
      <c r="N95" s="13">
        <v>20000</v>
      </c>
      <c r="P95" s="13">
        <v>22000</v>
      </c>
      <c r="Q95" s="13">
        <v>22000</v>
      </c>
      <c r="R95" s="13">
        <v>22000</v>
      </c>
      <c r="S95" s="13">
        <v>22000</v>
      </c>
      <c r="T95" s="13">
        <v>22000</v>
      </c>
      <c r="U95" s="13">
        <v>22000</v>
      </c>
      <c r="V95" s="13">
        <v>22000</v>
      </c>
      <c r="W95" s="13">
        <v>22000</v>
      </c>
      <c r="X95" s="13">
        <v>22000</v>
      </c>
      <c r="Y95" s="13">
        <v>22000</v>
      </c>
      <c r="Z95" s="13">
        <v>22000</v>
      </c>
      <c r="AA95" s="13">
        <v>22000</v>
      </c>
      <c r="AC95" s="4">
        <f t="shared" si="73"/>
        <v>65000</v>
      </c>
      <c r="AD95" s="4">
        <f t="shared" si="74"/>
        <v>65228.69</v>
      </c>
      <c r="AE95" s="4">
        <f t="shared" si="75"/>
        <v>65000</v>
      </c>
      <c r="AF95" s="4">
        <f t="shared" si="76"/>
        <v>65000</v>
      </c>
      <c r="AG95" s="4"/>
      <c r="AH95" s="4">
        <f t="shared" si="77"/>
        <v>66000</v>
      </c>
      <c r="AI95" s="4">
        <f t="shared" si="78"/>
        <v>66000</v>
      </c>
      <c r="AJ95" s="4">
        <f t="shared" si="79"/>
        <v>66000</v>
      </c>
      <c r="AK95" s="4">
        <f t="shared" si="80"/>
        <v>66000</v>
      </c>
      <c r="AL95" s="4"/>
      <c r="AM95" s="4">
        <f t="shared" si="81"/>
        <v>260228.69</v>
      </c>
      <c r="AN95" s="4">
        <f t="shared" si="82"/>
        <v>264000</v>
      </c>
      <c r="AO95" s="4"/>
      <c r="AP95" s="25">
        <f t="shared" si="83"/>
        <v>0</v>
      </c>
      <c r="AQ95" s="25">
        <f t="shared" si="84"/>
        <v>0</v>
      </c>
      <c r="AS95" s="14" t="s">
        <v>365</v>
      </c>
      <c r="AT95" s="86">
        <v>25000</v>
      </c>
    </row>
    <row r="96" spans="2:49" x14ac:dyDescent="0.2">
      <c r="B96" s="14" t="s">
        <v>280</v>
      </c>
      <c r="C96" s="4">
        <v>4200</v>
      </c>
      <c r="D96" s="4">
        <v>4600</v>
      </c>
      <c r="E96" s="4">
        <v>4000</v>
      </c>
      <c r="F96" s="4">
        <v>4200</v>
      </c>
      <c r="G96" s="4">
        <v>4400</v>
      </c>
      <c r="H96" s="4">
        <v>2600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C96" s="4">
        <f t="shared" si="73"/>
        <v>12800</v>
      </c>
      <c r="AD96" s="4">
        <f t="shared" si="74"/>
        <v>11200</v>
      </c>
      <c r="AE96" s="4">
        <f t="shared" si="75"/>
        <v>0</v>
      </c>
      <c r="AF96" s="4">
        <f t="shared" si="76"/>
        <v>0</v>
      </c>
      <c r="AG96" s="4"/>
      <c r="AH96" s="4">
        <f t="shared" si="77"/>
        <v>0</v>
      </c>
      <c r="AI96" s="4">
        <f t="shared" si="78"/>
        <v>0</v>
      </c>
      <c r="AJ96" s="4">
        <f t="shared" si="79"/>
        <v>0</v>
      </c>
      <c r="AK96" s="4">
        <f t="shared" si="80"/>
        <v>0</v>
      </c>
      <c r="AL96" s="4"/>
      <c r="AM96" s="4">
        <f t="shared" si="81"/>
        <v>24000</v>
      </c>
      <c r="AN96" s="4">
        <f t="shared" si="82"/>
        <v>0</v>
      </c>
      <c r="AO96" s="4"/>
      <c r="AP96" s="25">
        <f t="shared" si="83"/>
        <v>0</v>
      </c>
      <c r="AQ96" s="25">
        <f t="shared" si="84"/>
        <v>0</v>
      </c>
      <c r="AT96" s="17"/>
      <c r="AW96" s="17"/>
    </row>
    <row r="97" spans="2:49" x14ac:dyDescent="0.2">
      <c r="B97" s="14" t="s">
        <v>281</v>
      </c>
      <c r="C97" s="4">
        <v>0</v>
      </c>
      <c r="D97" s="4">
        <v>3640</v>
      </c>
      <c r="E97" s="4">
        <v>5600</v>
      </c>
      <c r="F97" s="4">
        <v>5880</v>
      </c>
      <c r="G97" s="4">
        <v>6160</v>
      </c>
      <c r="H97" s="4">
        <v>6440</v>
      </c>
      <c r="I97" s="4">
        <v>5880</v>
      </c>
      <c r="J97" s="4">
        <v>6440</v>
      </c>
      <c r="K97" s="4">
        <v>5880</v>
      </c>
      <c r="L97" s="4">
        <v>6160</v>
      </c>
      <c r="M97" s="4">
        <v>7560</v>
      </c>
      <c r="N97" s="13">
        <v>6000</v>
      </c>
      <c r="P97" s="13">
        <v>6000</v>
      </c>
      <c r="Q97" s="13">
        <v>6000</v>
      </c>
      <c r="R97" s="13">
        <v>6000</v>
      </c>
      <c r="S97" s="13">
        <v>6000</v>
      </c>
      <c r="T97" s="13">
        <v>6000</v>
      </c>
      <c r="U97" s="13">
        <v>6000</v>
      </c>
      <c r="V97" s="13">
        <v>6000</v>
      </c>
      <c r="W97" s="13">
        <v>6000</v>
      </c>
      <c r="X97" s="13">
        <v>6000</v>
      </c>
      <c r="Y97" s="13">
        <v>6000</v>
      </c>
      <c r="Z97" s="13">
        <v>6000</v>
      </c>
      <c r="AA97" s="13">
        <v>6000</v>
      </c>
      <c r="AC97" s="4">
        <f t="shared" si="73"/>
        <v>9240</v>
      </c>
      <c r="AD97" s="4">
        <f t="shared" si="74"/>
        <v>18480</v>
      </c>
      <c r="AE97" s="4">
        <f t="shared" si="75"/>
        <v>18200</v>
      </c>
      <c r="AF97" s="4">
        <f t="shared" si="76"/>
        <v>19720</v>
      </c>
      <c r="AG97" s="4"/>
      <c r="AH97" s="4">
        <f t="shared" si="77"/>
        <v>18000</v>
      </c>
      <c r="AI97" s="4">
        <f t="shared" si="78"/>
        <v>18000</v>
      </c>
      <c r="AJ97" s="4">
        <f t="shared" si="79"/>
        <v>18000</v>
      </c>
      <c r="AK97" s="4">
        <f t="shared" si="80"/>
        <v>18000</v>
      </c>
      <c r="AL97" s="4"/>
      <c r="AM97" s="4">
        <f t="shared" si="81"/>
        <v>65640</v>
      </c>
      <c r="AN97" s="4">
        <f t="shared" si="82"/>
        <v>72000</v>
      </c>
      <c r="AO97" s="4"/>
      <c r="AP97" s="25">
        <f t="shared" si="83"/>
        <v>0</v>
      </c>
      <c r="AQ97" s="25">
        <f t="shared" si="84"/>
        <v>0</v>
      </c>
      <c r="AS97" s="14" t="s">
        <v>354</v>
      </c>
      <c r="AT97" s="86">
        <v>7560</v>
      </c>
    </row>
    <row r="98" spans="2:49" x14ac:dyDescent="0.2">
      <c r="B98" s="14" t="s">
        <v>481</v>
      </c>
      <c r="C98" s="4">
        <v>0</v>
      </c>
      <c r="D98" s="4">
        <v>0</v>
      </c>
      <c r="E98" s="4">
        <v>800</v>
      </c>
      <c r="F98" s="4">
        <v>3360</v>
      </c>
      <c r="G98" s="4">
        <v>3520</v>
      </c>
      <c r="H98" s="4">
        <v>3520</v>
      </c>
      <c r="I98" s="4">
        <v>3360</v>
      </c>
      <c r="J98" s="4">
        <v>3680</v>
      </c>
      <c r="K98" s="4">
        <v>3360</v>
      </c>
      <c r="L98" s="4">
        <v>3520</v>
      </c>
      <c r="M98" s="4">
        <v>4480</v>
      </c>
      <c r="N98" s="13">
        <v>3500</v>
      </c>
      <c r="P98" s="13">
        <v>3500</v>
      </c>
      <c r="Q98" s="13">
        <v>3500</v>
      </c>
      <c r="R98" s="13">
        <v>3500</v>
      </c>
      <c r="S98" s="13">
        <v>3500</v>
      </c>
      <c r="T98" s="13">
        <v>3500</v>
      </c>
      <c r="U98" s="13">
        <v>3500</v>
      </c>
      <c r="V98" s="13">
        <v>3500</v>
      </c>
      <c r="W98" s="13">
        <v>3500</v>
      </c>
      <c r="X98" s="13">
        <v>3500</v>
      </c>
      <c r="Y98" s="13">
        <v>3500</v>
      </c>
      <c r="Z98" s="13">
        <v>3500</v>
      </c>
      <c r="AA98" s="13">
        <v>3500</v>
      </c>
      <c r="AC98" s="4">
        <f t="shared" si="73"/>
        <v>800</v>
      </c>
      <c r="AD98" s="4">
        <f t="shared" si="74"/>
        <v>10400</v>
      </c>
      <c r="AE98" s="4">
        <f t="shared" si="75"/>
        <v>10400</v>
      </c>
      <c r="AF98" s="4">
        <f t="shared" si="76"/>
        <v>11500</v>
      </c>
      <c r="AG98" s="4"/>
      <c r="AH98" s="4">
        <f t="shared" si="77"/>
        <v>10500</v>
      </c>
      <c r="AI98" s="4">
        <f t="shared" si="78"/>
        <v>10500</v>
      </c>
      <c r="AJ98" s="4">
        <f t="shared" si="79"/>
        <v>10500</v>
      </c>
      <c r="AK98" s="4">
        <f t="shared" si="80"/>
        <v>10500</v>
      </c>
      <c r="AL98" s="4"/>
      <c r="AM98" s="4">
        <f t="shared" si="81"/>
        <v>33100</v>
      </c>
      <c r="AN98" s="4">
        <f t="shared" si="82"/>
        <v>42000</v>
      </c>
      <c r="AO98" s="4"/>
      <c r="AP98" s="25">
        <f t="shared" si="83"/>
        <v>0</v>
      </c>
      <c r="AQ98" s="25">
        <f t="shared" si="84"/>
        <v>0</v>
      </c>
      <c r="AS98" s="14" t="s">
        <v>354</v>
      </c>
      <c r="AT98" s="86">
        <v>4480</v>
      </c>
    </row>
    <row r="99" spans="2:49" x14ac:dyDescent="0.2">
      <c r="B99" s="14" t="s">
        <v>535</v>
      </c>
      <c r="C99" s="4">
        <v>0</v>
      </c>
      <c r="D99" s="4">
        <v>0</v>
      </c>
      <c r="E99" s="4">
        <v>0</v>
      </c>
      <c r="F99" s="4">
        <v>0</v>
      </c>
      <c r="G99" s="4">
        <v>3420</v>
      </c>
      <c r="H99" s="4">
        <v>3474</v>
      </c>
      <c r="I99" s="4">
        <v>3483</v>
      </c>
      <c r="J99" s="4">
        <v>3267</v>
      </c>
      <c r="K99" s="4">
        <v>6732</v>
      </c>
      <c r="L99" s="4">
        <v>4536</v>
      </c>
      <c r="M99" s="4">
        <v>2574</v>
      </c>
      <c r="N99" s="13">
        <v>3200</v>
      </c>
      <c r="P99" s="13">
        <v>3200</v>
      </c>
      <c r="Q99" s="13">
        <v>3200</v>
      </c>
      <c r="R99" s="13">
        <v>3200</v>
      </c>
      <c r="S99" s="13">
        <v>3200</v>
      </c>
      <c r="T99" s="13">
        <v>3200</v>
      </c>
      <c r="U99" s="13">
        <v>3200</v>
      </c>
      <c r="V99" s="13">
        <v>3200</v>
      </c>
      <c r="W99" s="13">
        <v>3200</v>
      </c>
      <c r="X99" s="13">
        <v>3200</v>
      </c>
      <c r="Y99" s="13">
        <v>3200</v>
      </c>
      <c r="Z99" s="13">
        <v>3200</v>
      </c>
      <c r="AA99" s="13">
        <v>3200</v>
      </c>
      <c r="AC99" s="4">
        <f t="shared" si="73"/>
        <v>0</v>
      </c>
      <c r="AD99" s="4">
        <f t="shared" si="74"/>
        <v>6894</v>
      </c>
      <c r="AE99" s="4">
        <f t="shared" si="75"/>
        <v>13482</v>
      </c>
      <c r="AF99" s="4">
        <f t="shared" si="76"/>
        <v>10310</v>
      </c>
      <c r="AG99" s="4"/>
      <c r="AH99" s="4">
        <f t="shared" si="77"/>
        <v>9600</v>
      </c>
      <c r="AI99" s="4">
        <f t="shared" si="78"/>
        <v>9600</v>
      </c>
      <c r="AJ99" s="4">
        <f t="shared" si="79"/>
        <v>9600</v>
      </c>
      <c r="AK99" s="4">
        <f t="shared" si="80"/>
        <v>9600</v>
      </c>
      <c r="AL99" s="4"/>
      <c r="AM99" s="4">
        <f t="shared" si="81"/>
        <v>30686</v>
      </c>
      <c r="AN99" s="4">
        <f t="shared" si="82"/>
        <v>38400</v>
      </c>
      <c r="AO99" s="4"/>
      <c r="AP99" s="25">
        <f t="shared" si="83"/>
        <v>0</v>
      </c>
      <c r="AQ99" s="25">
        <f t="shared" si="84"/>
        <v>0</v>
      </c>
      <c r="AS99" s="14" t="s">
        <v>1330</v>
      </c>
      <c r="AT99" s="86">
        <v>2574</v>
      </c>
      <c r="AU99" s="14">
        <v>2574</v>
      </c>
    </row>
    <row r="100" spans="2:49" x14ac:dyDescent="0.2">
      <c r="B100" s="14" t="s">
        <v>858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271.25</v>
      </c>
      <c r="J100" s="4">
        <v>447.5</v>
      </c>
      <c r="K100" s="4">
        <v>491.25</v>
      </c>
      <c r="L100" s="4">
        <v>3972.5</v>
      </c>
      <c r="M100" s="4">
        <v>5118.75</v>
      </c>
      <c r="N100" s="13">
        <v>4000</v>
      </c>
      <c r="P100" s="100">
        <v>500</v>
      </c>
      <c r="Q100" s="100">
        <v>500</v>
      </c>
      <c r="R100" s="100">
        <v>500</v>
      </c>
      <c r="S100" s="100">
        <v>500</v>
      </c>
      <c r="T100" s="100">
        <v>500</v>
      </c>
      <c r="U100" s="100">
        <v>500</v>
      </c>
      <c r="V100" s="100">
        <v>500</v>
      </c>
      <c r="W100" s="100">
        <v>500</v>
      </c>
      <c r="X100" s="100">
        <v>500</v>
      </c>
      <c r="Y100" s="100">
        <v>500</v>
      </c>
      <c r="Z100" s="100">
        <v>500</v>
      </c>
      <c r="AA100" s="100">
        <v>500</v>
      </c>
      <c r="AC100" s="4">
        <f t="shared" si="73"/>
        <v>0</v>
      </c>
      <c r="AD100" s="4">
        <f t="shared" si="74"/>
        <v>0</v>
      </c>
      <c r="AE100" s="4">
        <f t="shared" si="75"/>
        <v>1210</v>
      </c>
      <c r="AF100" s="4">
        <f t="shared" si="76"/>
        <v>13091.25</v>
      </c>
      <c r="AG100" s="4"/>
      <c r="AH100" s="4">
        <f t="shared" si="77"/>
        <v>1500</v>
      </c>
      <c r="AI100" s="4">
        <f t="shared" si="78"/>
        <v>1500</v>
      </c>
      <c r="AJ100" s="4">
        <f t="shared" si="79"/>
        <v>1500</v>
      </c>
      <c r="AK100" s="4">
        <f t="shared" si="80"/>
        <v>1500</v>
      </c>
      <c r="AL100" s="4"/>
      <c r="AM100" s="4">
        <f t="shared" si="81"/>
        <v>14301.25</v>
      </c>
      <c r="AN100" s="4">
        <f t="shared" si="82"/>
        <v>6000</v>
      </c>
      <c r="AO100" s="4"/>
      <c r="AP100" s="25">
        <f t="shared" si="83"/>
        <v>0</v>
      </c>
      <c r="AQ100" s="25">
        <f t="shared" si="84"/>
        <v>0</v>
      </c>
      <c r="AS100" s="14" t="s">
        <v>1332</v>
      </c>
      <c r="AT100" s="86">
        <v>5118.75</v>
      </c>
      <c r="AU100" s="14">
        <v>5118.75</v>
      </c>
    </row>
    <row r="101" spans="2:49" x14ac:dyDescent="0.2">
      <c r="B101" s="14" t="s">
        <v>1335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8000</v>
      </c>
      <c r="L101" s="4">
        <v>5400</v>
      </c>
      <c r="M101" s="4">
        <v>6350</v>
      </c>
      <c r="N101" s="13">
        <v>6500</v>
      </c>
      <c r="P101" s="100">
        <v>0</v>
      </c>
      <c r="Q101" s="100">
        <v>0</v>
      </c>
      <c r="R101" s="100">
        <v>0</v>
      </c>
      <c r="S101" s="100">
        <v>0</v>
      </c>
      <c r="T101" s="100">
        <v>0</v>
      </c>
      <c r="U101" s="100">
        <v>0</v>
      </c>
      <c r="V101" s="100">
        <v>0</v>
      </c>
      <c r="W101" s="100">
        <v>0</v>
      </c>
      <c r="X101" s="100">
        <v>0</v>
      </c>
      <c r="Y101" s="100">
        <v>0</v>
      </c>
      <c r="Z101" s="100">
        <v>0</v>
      </c>
      <c r="AA101" s="100">
        <v>0</v>
      </c>
      <c r="AC101" s="4">
        <f t="shared" ref="AC101" si="85">SUM(C101:E101)</f>
        <v>0</v>
      </c>
      <c r="AD101" s="4">
        <f t="shared" ref="AD101" si="86">SUM(F101:H101)</f>
        <v>0</v>
      </c>
      <c r="AE101" s="4">
        <f t="shared" ref="AE101" si="87">SUM(I101:K101)</f>
        <v>8000</v>
      </c>
      <c r="AF101" s="4">
        <f t="shared" ref="AF101" si="88">SUM(L101:N101)</f>
        <v>18250</v>
      </c>
      <c r="AG101" s="4"/>
      <c r="AH101" s="4">
        <f t="shared" ref="AH101" si="89">SUM(P101:R101)</f>
        <v>0</v>
      </c>
      <c r="AI101" s="4">
        <f t="shared" ref="AI101" si="90">SUM(S101:U101)</f>
        <v>0</v>
      </c>
      <c r="AJ101" s="4">
        <f t="shared" ref="AJ101" si="91">SUM(V101:X101)</f>
        <v>0</v>
      </c>
      <c r="AK101" s="4">
        <f t="shared" ref="AK101" si="92">SUM(Y101:AA101)</f>
        <v>0</v>
      </c>
      <c r="AL101" s="4"/>
      <c r="AM101" s="4">
        <f t="shared" ref="AM101" si="93">SUM(C101:N101)</f>
        <v>26250</v>
      </c>
      <c r="AN101" s="4">
        <f t="shared" ref="AN101" si="94">SUM(P101:AA101)</f>
        <v>0</v>
      </c>
      <c r="AO101" s="4"/>
      <c r="AP101" s="25">
        <f t="shared" ref="AP101" si="95">SUM(AC101:AF101)-AM101</f>
        <v>0</v>
      </c>
      <c r="AQ101" s="25">
        <f t="shared" ref="AQ101" si="96">SUM(AH101:AK101)-AN101</f>
        <v>0</v>
      </c>
      <c r="AS101" s="14" t="s">
        <v>1238</v>
      </c>
      <c r="AT101" s="86">
        <v>6350</v>
      </c>
      <c r="AW101" s="86"/>
    </row>
    <row r="102" spans="2:49" x14ac:dyDescent="0.2">
      <c r="B102" s="14" t="s">
        <v>536</v>
      </c>
      <c r="C102" s="4">
        <v>0</v>
      </c>
      <c r="D102" s="4">
        <v>0</v>
      </c>
      <c r="E102" s="4">
        <v>0</v>
      </c>
      <c r="F102" s="4">
        <v>0</v>
      </c>
      <c r="G102" s="4">
        <v>1400</v>
      </c>
      <c r="H102" s="4">
        <v>1150</v>
      </c>
      <c r="I102" s="4">
        <v>1100</v>
      </c>
      <c r="J102" s="4">
        <v>0</v>
      </c>
      <c r="K102" s="4">
        <v>0</v>
      </c>
      <c r="L102" s="4">
        <v>0</v>
      </c>
      <c r="M102" s="4">
        <v>0</v>
      </c>
      <c r="N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C102" s="4">
        <f t="shared" si="73"/>
        <v>0</v>
      </c>
      <c r="AD102" s="4">
        <f t="shared" si="74"/>
        <v>2550</v>
      </c>
      <c r="AE102" s="4">
        <f t="shared" si="75"/>
        <v>1100</v>
      </c>
      <c r="AF102" s="4">
        <f t="shared" si="76"/>
        <v>0</v>
      </c>
      <c r="AG102" s="4"/>
      <c r="AH102" s="4">
        <f t="shared" si="77"/>
        <v>0</v>
      </c>
      <c r="AI102" s="4">
        <f t="shared" si="78"/>
        <v>0</v>
      </c>
      <c r="AJ102" s="4">
        <f t="shared" si="79"/>
        <v>0</v>
      </c>
      <c r="AK102" s="4">
        <f t="shared" si="80"/>
        <v>0</v>
      </c>
      <c r="AL102" s="4"/>
      <c r="AM102" s="4">
        <f t="shared" si="81"/>
        <v>3650</v>
      </c>
      <c r="AN102" s="4">
        <f t="shared" si="82"/>
        <v>0</v>
      </c>
      <c r="AO102" s="4"/>
      <c r="AP102" s="25">
        <f t="shared" si="83"/>
        <v>0</v>
      </c>
      <c r="AQ102" s="25">
        <f t="shared" si="84"/>
        <v>0</v>
      </c>
      <c r="AT102" s="17"/>
      <c r="AW102" s="17"/>
    </row>
    <row r="103" spans="2:49" x14ac:dyDescent="0.2">
      <c r="B103" s="14" t="s">
        <v>190</v>
      </c>
      <c r="C103" s="4">
        <v>0</v>
      </c>
      <c r="D103" s="4">
        <v>5000</v>
      </c>
      <c r="E103" s="4">
        <v>0</v>
      </c>
      <c r="F103" s="4">
        <v>0</v>
      </c>
      <c r="G103" s="4">
        <v>0</v>
      </c>
      <c r="H103" s="4">
        <v>0</v>
      </c>
      <c r="I103" s="4">
        <v>563.07999999999993</v>
      </c>
      <c r="J103" s="4">
        <v>593.16999999999996</v>
      </c>
      <c r="K103" s="4">
        <v>593.34</v>
      </c>
      <c r="L103" s="4">
        <v>2077.36</v>
      </c>
      <c r="M103" s="4">
        <v>1007.77</v>
      </c>
      <c r="N103" s="100">
        <v>2000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C103" s="4">
        <f t="shared" si="73"/>
        <v>5000</v>
      </c>
      <c r="AD103" s="4">
        <f t="shared" si="74"/>
        <v>0</v>
      </c>
      <c r="AE103" s="4">
        <f t="shared" si="75"/>
        <v>1749.5900000000001</v>
      </c>
      <c r="AF103" s="4">
        <f t="shared" si="76"/>
        <v>5085.13</v>
      </c>
      <c r="AG103" s="4"/>
      <c r="AH103" s="4">
        <f t="shared" si="77"/>
        <v>0</v>
      </c>
      <c r="AI103" s="4">
        <f t="shared" si="78"/>
        <v>0</v>
      </c>
      <c r="AJ103" s="4">
        <f t="shared" si="79"/>
        <v>0</v>
      </c>
      <c r="AK103" s="4">
        <f t="shared" si="80"/>
        <v>0</v>
      </c>
      <c r="AL103" s="4"/>
      <c r="AM103" s="4">
        <f t="shared" si="81"/>
        <v>11834.720000000001</v>
      </c>
      <c r="AN103" s="4">
        <f t="shared" si="82"/>
        <v>0</v>
      </c>
      <c r="AO103" s="4"/>
      <c r="AP103" s="25">
        <f t="shared" si="83"/>
        <v>0</v>
      </c>
      <c r="AQ103" s="25">
        <f t="shared" si="84"/>
        <v>0</v>
      </c>
      <c r="AT103" s="17"/>
      <c r="AW103" s="17"/>
    </row>
    <row r="104" spans="2:49" x14ac:dyDescent="0.2">
      <c r="B104" s="14" t="s">
        <v>1536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23988.05</v>
      </c>
      <c r="N104" s="13">
        <f>+M104*-1+250</f>
        <v>-23738.05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C104" s="4">
        <f t="shared" si="73"/>
        <v>0</v>
      </c>
      <c r="AD104" s="4">
        <f t="shared" si="74"/>
        <v>0</v>
      </c>
      <c r="AE104" s="4">
        <f t="shared" si="75"/>
        <v>0</v>
      </c>
      <c r="AF104" s="4">
        <f t="shared" si="76"/>
        <v>250</v>
      </c>
      <c r="AG104" s="4"/>
      <c r="AH104" s="4">
        <f t="shared" si="77"/>
        <v>0</v>
      </c>
      <c r="AI104" s="4">
        <f t="shared" si="78"/>
        <v>0</v>
      </c>
      <c r="AJ104" s="4">
        <f t="shared" si="79"/>
        <v>0</v>
      </c>
      <c r="AK104" s="4">
        <f t="shared" si="80"/>
        <v>0</v>
      </c>
      <c r="AL104" s="4"/>
      <c r="AM104" s="4">
        <f t="shared" si="81"/>
        <v>250</v>
      </c>
      <c r="AN104" s="4">
        <f t="shared" si="82"/>
        <v>0</v>
      </c>
      <c r="AO104" s="4"/>
      <c r="AP104" s="25">
        <f t="shared" si="83"/>
        <v>0</v>
      </c>
      <c r="AQ104" s="25">
        <f t="shared" si="84"/>
        <v>0</v>
      </c>
      <c r="AS104" s="14" t="s">
        <v>1536</v>
      </c>
      <c r="AT104" s="17">
        <v>23988.05</v>
      </c>
      <c r="AW104" s="17"/>
    </row>
    <row r="105" spans="2:49" x14ac:dyDescent="0.2">
      <c r="B105" s="14" t="s">
        <v>85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C105" s="4">
        <f t="shared" si="73"/>
        <v>0</v>
      </c>
      <c r="AD105" s="4">
        <f t="shared" si="74"/>
        <v>0</v>
      </c>
      <c r="AE105" s="4">
        <f t="shared" si="75"/>
        <v>0</v>
      </c>
      <c r="AF105" s="4">
        <f t="shared" si="76"/>
        <v>0</v>
      </c>
      <c r="AG105" s="4"/>
      <c r="AH105" s="4">
        <f t="shared" si="77"/>
        <v>0</v>
      </c>
      <c r="AI105" s="4">
        <f t="shared" si="78"/>
        <v>0</v>
      </c>
      <c r="AJ105" s="4">
        <f t="shared" si="79"/>
        <v>0</v>
      </c>
      <c r="AK105" s="4">
        <f t="shared" si="80"/>
        <v>0</v>
      </c>
      <c r="AL105" s="4"/>
      <c r="AM105" s="4">
        <f t="shared" si="81"/>
        <v>0</v>
      </c>
      <c r="AN105" s="4">
        <f t="shared" si="82"/>
        <v>0</v>
      </c>
      <c r="AO105" s="4"/>
      <c r="AP105" s="25">
        <f t="shared" si="83"/>
        <v>0</v>
      </c>
      <c r="AQ105" s="25">
        <f t="shared" si="84"/>
        <v>0</v>
      </c>
      <c r="AT105" s="17"/>
    </row>
    <row r="106" spans="2:49" x14ac:dyDescent="0.2">
      <c r="B106" s="14" t="s">
        <v>85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C106" s="4">
        <f t="shared" si="73"/>
        <v>0</v>
      </c>
      <c r="AD106" s="4">
        <f t="shared" si="74"/>
        <v>0</v>
      </c>
      <c r="AE106" s="4">
        <f t="shared" si="75"/>
        <v>0</v>
      </c>
      <c r="AF106" s="4">
        <f t="shared" si="76"/>
        <v>0</v>
      </c>
      <c r="AG106" s="4"/>
      <c r="AH106" s="4">
        <f t="shared" si="77"/>
        <v>0</v>
      </c>
      <c r="AI106" s="4">
        <f t="shared" si="78"/>
        <v>0</v>
      </c>
      <c r="AJ106" s="4">
        <f t="shared" si="79"/>
        <v>0</v>
      </c>
      <c r="AK106" s="4">
        <f t="shared" si="80"/>
        <v>0</v>
      </c>
      <c r="AL106" s="4"/>
      <c r="AM106" s="4">
        <f t="shared" si="81"/>
        <v>0</v>
      </c>
      <c r="AN106" s="4">
        <f t="shared" si="82"/>
        <v>0</v>
      </c>
      <c r="AO106" s="4"/>
      <c r="AP106" s="25">
        <f t="shared" si="83"/>
        <v>0</v>
      </c>
      <c r="AQ106" s="25">
        <f t="shared" si="84"/>
        <v>0</v>
      </c>
      <c r="AT106" s="17"/>
    </row>
    <row r="107" spans="2:49" x14ac:dyDescent="0.2">
      <c r="B107" s="14" t="s">
        <v>85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C107" s="4">
        <f t="shared" si="73"/>
        <v>0</v>
      </c>
      <c r="AD107" s="4">
        <f t="shared" si="74"/>
        <v>0</v>
      </c>
      <c r="AE107" s="4">
        <f t="shared" si="75"/>
        <v>0</v>
      </c>
      <c r="AF107" s="4">
        <f t="shared" si="76"/>
        <v>0</v>
      </c>
      <c r="AG107" s="4"/>
      <c r="AH107" s="4">
        <f t="shared" si="77"/>
        <v>0</v>
      </c>
      <c r="AI107" s="4">
        <f t="shared" si="78"/>
        <v>0</v>
      </c>
      <c r="AJ107" s="4">
        <f t="shared" si="79"/>
        <v>0</v>
      </c>
      <c r="AK107" s="4">
        <f t="shared" si="80"/>
        <v>0</v>
      </c>
      <c r="AL107" s="4"/>
      <c r="AM107" s="4">
        <f t="shared" si="81"/>
        <v>0</v>
      </c>
      <c r="AN107" s="4">
        <f t="shared" si="82"/>
        <v>0</v>
      </c>
      <c r="AO107" s="4"/>
      <c r="AP107" s="25">
        <f t="shared" si="83"/>
        <v>0</v>
      </c>
      <c r="AQ107" s="25">
        <f t="shared" si="84"/>
        <v>0</v>
      </c>
      <c r="AT107" s="17"/>
      <c r="AW107" s="17"/>
    </row>
    <row r="108" spans="2:49" x14ac:dyDescent="0.2">
      <c r="B108" s="14" t="s">
        <v>85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C108" s="4">
        <f t="shared" si="73"/>
        <v>0</v>
      </c>
      <c r="AD108" s="4">
        <f t="shared" si="74"/>
        <v>0</v>
      </c>
      <c r="AE108" s="4">
        <f t="shared" si="75"/>
        <v>0</v>
      </c>
      <c r="AF108" s="4">
        <f t="shared" si="76"/>
        <v>0</v>
      </c>
      <c r="AG108" s="4"/>
      <c r="AH108" s="4">
        <f t="shared" si="77"/>
        <v>0</v>
      </c>
      <c r="AI108" s="4">
        <f t="shared" si="78"/>
        <v>0</v>
      </c>
      <c r="AJ108" s="4">
        <f t="shared" si="79"/>
        <v>0</v>
      </c>
      <c r="AK108" s="4">
        <f t="shared" si="80"/>
        <v>0</v>
      </c>
      <c r="AL108" s="4"/>
      <c r="AM108" s="4">
        <f t="shared" si="81"/>
        <v>0</v>
      </c>
      <c r="AN108" s="4">
        <f t="shared" si="82"/>
        <v>0</v>
      </c>
      <c r="AO108" s="4"/>
      <c r="AP108" s="25">
        <f t="shared" si="83"/>
        <v>0</v>
      </c>
      <c r="AQ108" s="25">
        <f t="shared" si="84"/>
        <v>0</v>
      </c>
      <c r="AT108" s="17"/>
      <c r="AW108" s="17"/>
    </row>
    <row r="109" spans="2:49" x14ac:dyDescent="0.2">
      <c r="B109" s="14" t="s">
        <v>85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C109" s="4">
        <f t="shared" si="73"/>
        <v>0</v>
      </c>
      <c r="AD109" s="4">
        <f t="shared" si="74"/>
        <v>0</v>
      </c>
      <c r="AE109" s="4">
        <f t="shared" si="75"/>
        <v>0</v>
      </c>
      <c r="AF109" s="4">
        <f t="shared" si="76"/>
        <v>0</v>
      </c>
      <c r="AG109" s="4"/>
      <c r="AH109" s="4">
        <f t="shared" si="77"/>
        <v>0</v>
      </c>
      <c r="AI109" s="4">
        <f t="shared" si="78"/>
        <v>0</v>
      </c>
      <c r="AJ109" s="4">
        <f t="shared" si="79"/>
        <v>0</v>
      </c>
      <c r="AK109" s="4">
        <f t="shared" si="80"/>
        <v>0</v>
      </c>
      <c r="AL109" s="4"/>
      <c r="AM109" s="4">
        <f t="shared" si="81"/>
        <v>0</v>
      </c>
      <c r="AN109" s="4">
        <f t="shared" si="82"/>
        <v>0</v>
      </c>
      <c r="AO109" s="4"/>
      <c r="AP109" s="25">
        <f t="shared" si="83"/>
        <v>0</v>
      </c>
      <c r="AQ109" s="25">
        <f t="shared" si="84"/>
        <v>0</v>
      </c>
      <c r="AT109" s="17"/>
      <c r="AW109" s="17"/>
    </row>
    <row r="110" spans="2:49" x14ac:dyDescent="0.2">
      <c r="C110" s="17"/>
      <c r="D110" s="17"/>
      <c r="AP110" s="17"/>
      <c r="AQ110" s="17"/>
      <c r="AT110" s="17"/>
    </row>
    <row r="111" spans="2:49" x14ac:dyDescent="0.2">
      <c r="B111" s="28" t="s">
        <v>131</v>
      </c>
      <c r="C111" s="18">
        <f t="shared" ref="C111:N111" si="97">SUM(C94:C110)</f>
        <v>43402.15</v>
      </c>
      <c r="D111" s="18">
        <f t="shared" si="97"/>
        <v>56923.22</v>
      </c>
      <c r="E111" s="18">
        <f t="shared" si="97"/>
        <v>49015.880000000005</v>
      </c>
      <c r="F111" s="18">
        <f t="shared" si="97"/>
        <v>52268.69</v>
      </c>
      <c r="G111" s="18">
        <f t="shared" si="97"/>
        <v>58911.29</v>
      </c>
      <c r="H111" s="18">
        <f>SUM(H94:H110)</f>
        <v>60784</v>
      </c>
      <c r="I111" s="18">
        <f t="shared" si="97"/>
        <v>53257.33</v>
      </c>
      <c r="J111" s="18">
        <f t="shared" si="97"/>
        <v>49276.72</v>
      </c>
      <c r="K111" s="18">
        <f t="shared" si="97"/>
        <v>47069.09</v>
      </c>
      <c r="L111" s="18">
        <f t="shared" si="97"/>
        <v>46234.61</v>
      </c>
      <c r="M111" s="18">
        <f t="shared" si="97"/>
        <v>76078.569999999992</v>
      </c>
      <c r="N111" s="18">
        <f t="shared" si="97"/>
        <v>21461.95</v>
      </c>
      <c r="O111" s="18"/>
      <c r="P111" s="18">
        <f t="shared" ref="P111:AA111" si="98">SUM(P94:P110)</f>
        <v>35200</v>
      </c>
      <c r="Q111" s="18">
        <f t="shared" si="98"/>
        <v>35200</v>
      </c>
      <c r="R111" s="18">
        <f t="shared" si="98"/>
        <v>35200</v>
      </c>
      <c r="S111" s="18">
        <f t="shared" si="98"/>
        <v>35200</v>
      </c>
      <c r="T111" s="18">
        <f t="shared" si="98"/>
        <v>35200</v>
      </c>
      <c r="U111" s="18">
        <f t="shared" si="98"/>
        <v>35200</v>
      </c>
      <c r="V111" s="18">
        <f t="shared" si="98"/>
        <v>35200</v>
      </c>
      <c r="W111" s="18">
        <f t="shared" si="98"/>
        <v>35200</v>
      </c>
      <c r="X111" s="18">
        <f t="shared" si="98"/>
        <v>35200</v>
      </c>
      <c r="Y111" s="18">
        <f t="shared" si="98"/>
        <v>35200</v>
      </c>
      <c r="Z111" s="18">
        <f t="shared" si="98"/>
        <v>35200</v>
      </c>
      <c r="AA111" s="18">
        <f t="shared" si="98"/>
        <v>35200</v>
      </c>
      <c r="AB111" s="43"/>
      <c r="AC111" s="18">
        <f>SUM(AC94:AC110)</f>
        <v>149341.25</v>
      </c>
      <c r="AD111" s="18">
        <f>SUM(AD94:AD110)</f>
        <v>171963.98</v>
      </c>
      <c r="AE111" s="18">
        <f>SUM(AE94:AE110)</f>
        <v>149603.13999999998</v>
      </c>
      <c r="AF111" s="18">
        <f>SUM(AF94:AF110)</f>
        <v>143775.13</v>
      </c>
      <c r="AG111" s="18"/>
      <c r="AH111" s="18">
        <f t="shared" ref="AH111:AK111" si="99">SUM(AH94:AH110)</f>
        <v>105600</v>
      </c>
      <c r="AI111" s="18">
        <f t="shared" si="99"/>
        <v>105600</v>
      </c>
      <c r="AJ111" s="18">
        <f t="shared" si="99"/>
        <v>105600</v>
      </c>
      <c r="AK111" s="18">
        <f t="shared" si="99"/>
        <v>105600</v>
      </c>
      <c r="AL111" s="43"/>
      <c r="AM111" s="18">
        <f>SUM(AM94:AM110)</f>
        <v>614683.5</v>
      </c>
      <c r="AN111" s="18">
        <f>SUM(AN94:AN110)</f>
        <v>422400</v>
      </c>
      <c r="AP111" s="25">
        <f t="shared" ref="AP111" si="100">SUM(AC111:AF111)-AM111</f>
        <v>0</v>
      </c>
      <c r="AQ111" s="25">
        <f t="shared" ref="AQ111" si="101">SUM(AH111:AK111)-AN111</f>
        <v>0</v>
      </c>
      <c r="AT111" s="17"/>
      <c r="AW111" s="17"/>
    </row>
    <row r="112" spans="2:49" x14ac:dyDescent="0.2">
      <c r="AP112" s="17"/>
      <c r="AQ112" s="17"/>
      <c r="AT112" s="17"/>
    </row>
    <row r="113" spans="2:51" x14ac:dyDescent="0.2">
      <c r="AP113" s="17"/>
      <c r="AQ113" s="17"/>
      <c r="AT113" s="17"/>
    </row>
    <row r="114" spans="2:51" x14ac:dyDescent="0.2">
      <c r="B114" s="170" t="s">
        <v>132</v>
      </c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1"/>
      <c r="AH114" s="171"/>
      <c r="AI114" s="171"/>
      <c r="AJ114" s="171"/>
      <c r="AK114" s="171"/>
      <c r="AL114" s="171"/>
      <c r="AM114" s="171"/>
      <c r="AN114" s="172"/>
      <c r="AP114" s="17"/>
      <c r="AQ114" s="17"/>
      <c r="AT114" s="17"/>
    </row>
    <row r="115" spans="2:51" x14ac:dyDescent="0.2">
      <c r="AP115" s="17"/>
      <c r="AQ115" s="17"/>
      <c r="AT115" s="17"/>
    </row>
    <row r="116" spans="2:51" x14ac:dyDescent="0.2">
      <c r="B116" s="14" t="s">
        <v>114</v>
      </c>
      <c r="C116" s="4">
        <v>11600</v>
      </c>
      <c r="D116" s="4">
        <v>17200</v>
      </c>
      <c r="E116" s="4">
        <v>22100</v>
      </c>
      <c r="F116" s="4">
        <v>19900</v>
      </c>
      <c r="G116" s="4">
        <v>20583.330000000002</v>
      </c>
      <c r="H116" s="4">
        <v>20583.330000000002</v>
      </c>
      <c r="I116" s="4">
        <v>20583.330000000002</v>
      </c>
      <c r="J116" s="4">
        <v>20583.330000000002</v>
      </c>
      <c r="K116" s="4">
        <v>20583.330000000002</v>
      </c>
      <c r="L116" s="4">
        <v>20583.330000000002</v>
      </c>
      <c r="M116" s="4">
        <v>20583.330000000002</v>
      </c>
      <c r="N116" s="13">
        <v>20600</v>
      </c>
      <c r="P116" s="13">
        <v>20600</v>
      </c>
      <c r="Q116" s="13">
        <v>20600</v>
      </c>
      <c r="R116" s="13">
        <v>20600</v>
      </c>
      <c r="S116" s="13">
        <v>20600</v>
      </c>
      <c r="T116" s="13">
        <v>20600</v>
      </c>
      <c r="U116" s="13">
        <v>20600</v>
      </c>
      <c r="V116" s="13">
        <v>20600</v>
      </c>
      <c r="W116" s="13">
        <v>20600</v>
      </c>
      <c r="X116" s="13">
        <v>20600</v>
      </c>
      <c r="Y116" s="13">
        <v>20600</v>
      </c>
      <c r="Z116" s="13">
        <v>20600</v>
      </c>
      <c r="AA116" s="13">
        <v>20600</v>
      </c>
      <c r="AB116" s="17"/>
      <c r="AC116" s="4">
        <f t="shared" ref="AC116:AC127" si="102">SUM(C116:E116)</f>
        <v>50900</v>
      </c>
      <c r="AD116" s="4">
        <f t="shared" ref="AD116:AD127" si="103">SUM(F116:H116)</f>
        <v>61066.66</v>
      </c>
      <c r="AE116" s="4">
        <f t="shared" ref="AE116:AE127" si="104">SUM(I116:K116)</f>
        <v>61749.990000000005</v>
      </c>
      <c r="AF116" s="4">
        <f t="shared" ref="AF116:AF127" si="105">SUM(L116:N116)</f>
        <v>61766.66</v>
      </c>
      <c r="AG116" s="4"/>
      <c r="AH116" s="4">
        <f t="shared" ref="AH116:AH127" si="106">SUM(P116:R116)</f>
        <v>61800</v>
      </c>
      <c r="AI116" s="4">
        <f t="shared" ref="AI116:AI127" si="107">SUM(S116:U116)</f>
        <v>61800</v>
      </c>
      <c r="AJ116" s="4">
        <f t="shared" ref="AJ116:AJ127" si="108">SUM(V116:X116)</f>
        <v>61800</v>
      </c>
      <c r="AK116" s="4">
        <f t="shared" ref="AK116:AK127" si="109">SUM(Y116:AA116)</f>
        <v>61800</v>
      </c>
      <c r="AL116" s="4"/>
      <c r="AM116" s="4">
        <f t="shared" ref="AM116:AM127" si="110">SUM(C116:N116)</f>
        <v>235483.31000000006</v>
      </c>
      <c r="AN116" s="4">
        <f t="shared" ref="AN116:AN127" si="111">SUM(P116:AA116)</f>
        <v>247200</v>
      </c>
      <c r="AO116" s="4"/>
      <c r="AP116" s="25">
        <f t="shared" ref="AP116:AP127" si="112">SUM(AC116:AF116)-AM116</f>
        <v>0</v>
      </c>
      <c r="AQ116" s="25">
        <f t="shared" ref="AQ116:AQ127" si="113">SUM(AH116:AK116)-AN116</f>
        <v>0</v>
      </c>
      <c r="AS116" s="14" t="s">
        <v>361</v>
      </c>
      <c r="AT116" s="86">
        <v>20583.330000000002</v>
      </c>
    </row>
    <row r="117" spans="2:51" x14ac:dyDescent="0.2">
      <c r="B117" s="14" t="s">
        <v>665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595</v>
      </c>
      <c r="I117" s="4">
        <v>1147.5</v>
      </c>
      <c r="J117" s="4">
        <v>1700</v>
      </c>
      <c r="K117" s="4">
        <v>1402.5</v>
      </c>
      <c r="L117" s="4">
        <v>807.5</v>
      </c>
      <c r="M117" s="4">
        <v>977.5</v>
      </c>
      <c r="N117" s="13">
        <v>1000</v>
      </c>
      <c r="P117" s="13">
        <v>1000</v>
      </c>
      <c r="Q117" s="13">
        <v>1000</v>
      </c>
      <c r="R117" s="13">
        <v>1000</v>
      </c>
      <c r="S117" s="13">
        <v>1000</v>
      </c>
      <c r="T117" s="13">
        <v>1000</v>
      </c>
      <c r="U117" s="13">
        <v>1000</v>
      </c>
      <c r="V117" s="13">
        <v>1000</v>
      </c>
      <c r="W117" s="13">
        <v>1000</v>
      </c>
      <c r="X117" s="13">
        <v>1000</v>
      </c>
      <c r="Y117" s="13">
        <v>1000</v>
      </c>
      <c r="Z117" s="13">
        <v>1000</v>
      </c>
      <c r="AA117" s="13">
        <v>1000</v>
      </c>
      <c r="AB117" s="17"/>
      <c r="AC117" s="4">
        <f t="shared" si="102"/>
        <v>0</v>
      </c>
      <c r="AD117" s="4">
        <f t="shared" si="103"/>
        <v>595</v>
      </c>
      <c r="AE117" s="4">
        <f t="shared" si="104"/>
        <v>4250</v>
      </c>
      <c r="AF117" s="4">
        <f t="shared" si="105"/>
        <v>2785</v>
      </c>
      <c r="AG117" s="4"/>
      <c r="AH117" s="4">
        <f t="shared" si="106"/>
        <v>3000</v>
      </c>
      <c r="AI117" s="4">
        <f t="shared" si="107"/>
        <v>3000</v>
      </c>
      <c r="AJ117" s="4">
        <f t="shared" si="108"/>
        <v>3000</v>
      </c>
      <c r="AK117" s="4">
        <f t="shared" si="109"/>
        <v>3000</v>
      </c>
      <c r="AL117" s="4"/>
      <c r="AM117" s="4">
        <f t="shared" si="110"/>
        <v>7630</v>
      </c>
      <c r="AN117" s="4">
        <f t="shared" si="111"/>
        <v>12000</v>
      </c>
      <c r="AO117" s="4"/>
      <c r="AP117" s="25">
        <f t="shared" si="112"/>
        <v>0</v>
      </c>
      <c r="AQ117" s="25">
        <f t="shared" si="113"/>
        <v>0</v>
      </c>
      <c r="AS117" s="14" t="s">
        <v>361</v>
      </c>
      <c r="AT117" s="86">
        <v>977.5</v>
      </c>
    </row>
    <row r="118" spans="2:51" x14ac:dyDescent="0.2">
      <c r="B118" s="14" t="s">
        <v>287</v>
      </c>
      <c r="C118" s="4">
        <v>6029.9</v>
      </c>
      <c r="D118" s="4">
        <v>3570</v>
      </c>
      <c r="E118" s="4">
        <v>3090</v>
      </c>
      <c r="F118" s="4">
        <v>2610</v>
      </c>
      <c r="G118" s="4">
        <v>2550</v>
      </c>
      <c r="H118" s="4">
        <v>2220</v>
      </c>
      <c r="I118" s="4">
        <v>2610</v>
      </c>
      <c r="J118" s="4">
        <v>2010</v>
      </c>
      <c r="K118" s="4">
        <v>2250</v>
      </c>
      <c r="L118" s="4">
        <v>1710</v>
      </c>
      <c r="M118" s="4">
        <v>990</v>
      </c>
      <c r="N118" s="13">
        <v>1000</v>
      </c>
      <c r="P118" s="13">
        <v>1500</v>
      </c>
      <c r="Q118" s="13">
        <v>1500</v>
      </c>
      <c r="R118" s="13">
        <v>1500</v>
      </c>
      <c r="S118" s="13">
        <v>1000</v>
      </c>
      <c r="T118" s="13">
        <v>1000</v>
      </c>
      <c r="U118" s="13">
        <v>1000</v>
      </c>
      <c r="V118" s="13">
        <v>750</v>
      </c>
      <c r="W118" s="13">
        <v>750</v>
      </c>
      <c r="X118" s="13">
        <v>750</v>
      </c>
      <c r="Y118" s="13">
        <v>750</v>
      </c>
      <c r="Z118" s="13">
        <v>750</v>
      </c>
      <c r="AA118" s="13">
        <v>750</v>
      </c>
      <c r="AB118" s="17"/>
      <c r="AC118" s="4">
        <f t="shared" si="102"/>
        <v>12689.9</v>
      </c>
      <c r="AD118" s="4">
        <f t="shared" si="103"/>
        <v>7380</v>
      </c>
      <c r="AE118" s="4">
        <f t="shared" si="104"/>
        <v>6870</v>
      </c>
      <c r="AF118" s="4">
        <f t="shared" si="105"/>
        <v>3700</v>
      </c>
      <c r="AG118" s="4"/>
      <c r="AH118" s="4">
        <f t="shared" si="106"/>
        <v>4500</v>
      </c>
      <c r="AI118" s="4">
        <f t="shared" si="107"/>
        <v>3000</v>
      </c>
      <c r="AJ118" s="4">
        <f t="shared" si="108"/>
        <v>2250</v>
      </c>
      <c r="AK118" s="4">
        <f t="shared" si="109"/>
        <v>2250</v>
      </c>
      <c r="AL118" s="4"/>
      <c r="AM118" s="4">
        <f t="shared" si="110"/>
        <v>30639.9</v>
      </c>
      <c r="AN118" s="4">
        <f t="shared" si="111"/>
        <v>12000</v>
      </c>
      <c r="AO118" s="4"/>
      <c r="AP118" s="25">
        <f t="shared" si="112"/>
        <v>0</v>
      </c>
      <c r="AQ118" s="25">
        <f t="shared" si="113"/>
        <v>0</v>
      </c>
      <c r="AS118" s="14" t="s">
        <v>369</v>
      </c>
      <c r="AT118" s="86">
        <v>990</v>
      </c>
      <c r="AY118" s="149"/>
    </row>
    <row r="119" spans="2:51" x14ac:dyDescent="0.2">
      <c r="B119" s="14" t="s">
        <v>286</v>
      </c>
      <c r="C119" s="4">
        <v>0</v>
      </c>
      <c r="D119" s="4">
        <v>150</v>
      </c>
      <c r="E119" s="4">
        <v>2970</v>
      </c>
      <c r="F119" s="4">
        <v>2460</v>
      </c>
      <c r="G119" s="4">
        <v>2520</v>
      </c>
      <c r="H119" s="4">
        <v>2580</v>
      </c>
      <c r="I119" s="4">
        <v>1740</v>
      </c>
      <c r="J119" s="4">
        <v>720</v>
      </c>
      <c r="K119" s="4">
        <v>1230</v>
      </c>
      <c r="L119" s="4">
        <v>1590</v>
      </c>
      <c r="M119" s="4">
        <v>1890</v>
      </c>
      <c r="N119" s="13">
        <v>1800</v>
      </c>
      <c r="P119" s="13">
        <v>1500</v>
      </c>
      <c r="Q119" s="13">
        <v>1500</v>
      </c>
      <c r="R119" s="13">
        <v>1500</v>
      </c>
      <c r="S119" s="13">
        <v>1000</v>
      </c>
      <c r="T119" s="13">
        <v>1000</v>
      </c>
      <c r="U119" s="13">
        <v>1000</v>
      </c>
      <c r="V119" s="13">
        <v>750</v>
      </c>
      <c r="W119" s="13">
        <v>750</v>
      </c>
      <c r="X119" s="13">
        <v>750</v>
      </c>
      <c r="Y119" s="13">
        <v>750</v>
      </c>
      <c r="Z119" s="13">
        <v>750</v>
      </c>
      <c r="AA119" s="13">
        <v>750</v>
      </c>
      <c r="AB119" s="17"/>
      <c r="AC119" s="4">
        <f t="shared" si="102"/>
        <v>3120</v>
      </c>
      <c r="AD119" s="4">
        <f t="shared" si="103"/>
        <v>7560</v>
      </c>
      <c r="AE119" s="4">
        <f t="shared" si="104"/>
        <v>3690</v>
      </c>
      <c r="AF119" s="4">
        <f t="shared" si="105"/>
        <v>5280</v>
      </c>
      <c r="AG119" s="4"/>
      <c r="AH119" s="4">
        <f t="shared" si="106"/>
        <v>4500</v>
      </c>
      <c r="AI119" s="4">
        <f t="shared" si="107"/>
        <v>3000</v>
      </c>
      <c r="AJ119" s="4">
        <f t="shared" si="108"/>
        <v>2250</v>
      </c>
      <c r="AK119" s="4">
        <f t="shared" si="109"/>
        <v>2250</v>
      </c>
      <c r="AL119" s="4"/>
      <c r="AM119" s="4">
        <f t="shared" si="110"/>
        <v>19650</v>
      </c>
      <c r="AN119" s="4">
        <f t="shared" si="111"/>
        <v>12000</v>
      </c>
      <c r="AO119" s="4"/>
      <c r="AP119" s="25">
        <f t="shared" si="112"/>
        <v>0</v>
      </c>
      <c r="AQ119" s="25">
        <f t="shared" si="113"/>
        <v>0</v>
      </c>
      <c r="AS119" s="14" t="s">
        <v>369</v>
      </c>
      <c r="AT119" s="86">
        <v>1890</v>
      </c>
      <c r="AY119" s="149"/>
    </row>
    <row r="120" spans="2:51" x14ac:dyDescent="0.2">
      <c r="B120" s="14" t="s">
        <v>288</v>
      </c>
      <c r="C120" s="4">
        <v>0</v>
      </c>
      <c r="D120" s="4">
        <v>250</v>
      </c>
      <c r="E120" s="4">
        <v>1700</v>
      </c>
      <c r="F120" s="4">
        <v>1150</v>
      </c>
      <c r="G120" s="4">
        <v>875</v>
      </c>
      <c r="H120" s="4">
        <v>100</v>
      </c>
      <c r="I120" s="4">
        <v>900</v>
      </c>
      <c r="J120" s="4">
        <v>850</v>
      </c>
      <c r="K120" s="4">
        <v>850</v>
      </c>
      <c r="L120" s="4">
        <v>375</v>
      </c>
      <c r="M120" s="4">
        <v>0</v>
      </c>
      <c r="N120" s="13">
        <v>0</v>
      </c>
      <c r="P120" s="13">
        <v>500</v>
      </c>
      <c r="Q120" s="13">
        <v>500</v>
      </c>
      <c r="R120" s="13">
        <v>500</v>
      </c>
      <c r="S120" s="13">
        <v>500</v>
      </c>
      <c r="T120" s="13">
        <v>500</v>
      </c>
      <c r="U120" s="13">
        <v>500</v>
      </c>
      <c r="V120" s="13">
        <v>500</v>
      </c>
      <c r="W120" s="13">
        <v>500</v>
      </c>
      <c r="X120" s="13">
        <v>500</v>
      </c>
      <c r="Y120" s="13">
        <v>500</v>
      </c>
      <c r="Z120" s="13">
        <v>500</v>
      </c>
      <c r="AA120" s="13">
        <v>500</v>
      </c>
      <c r="AB120" s="17"/>
      <c r="AC120" s="4">
        <f t="shared" si="102"/>
        <v>1950</v>
      </c>
      <c r="AD120" s="4">
        <f t="shared" si="103"/>
        <v>2125</v>
      </c>
      <c r="AE120" s="4">
        <f t="shared" si="104"/>
        <v>2600</v>
      </c>
      <c r="AF120" s="4">
        <f t="shared" si="105"/>
        <v>375</v>
      </c>
      <c r="AG120" s="4"/>
      <c r="AH120" s="4">
        <f t="shared" si="106"/>
        <v>1500</v>
      </c>
      <c r="AI120" s="4">
        <f t="shared" si="107"/>
        <v>1500</v>
      </c>
      <c r="AJ120" s="4">
        <f t="shared" si="108"/>
        <v>1500</v>
      </c>
      <c r="AK120" s="4">
        <f t="shared" si="109"/>
        <v>1500</v>
      </c>
      <c r="AL120" s="4"/>
      <c r="AM120" s="4">
        <f t="shared" si="110"/>
        <v>7050</v>
      </c>
      <c r="AN120" s="4">
        <f t="shared" si="111"/>
        <v>6000</v>
      </c>
      <c r="AO120" s="4"/>
      <c r="AP120" s="25">
        <f t="shared" si="112"/>
        <v>0</v>
      </c>
      <c r="AQ120" s="25">
        <f t="shared" si="113"/>
        <v>0</v>
      </c>
      <c r="AS120" s="14" t="s">
        <v>369</v>
      </c>
      <c r="AT120" s="86">
        <v>0</v>
      </c>
      <c r="AY120" s="149"/>
    </row>
    <row r="121" spans="2:51" x14ac:dyDescent="0.2">
      <c r="B121" s="14" t="s">
        <v>1051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607.5</v>
      </c>
      <c r="K121" s="4">
        <v>967.5</v>
      </c>
      <c r="L121" s="4">
        <v>1395</v>
      </c>
      <c r="M121" s="4">
        <v>945</v>
      </c>
      <c r="N121" s="13">
        <v>1000</v>
      </c>
      <c r="P121" s="13">
        <v>1000</v>
      </c>
      <c r="Q121" s="13">
        <v>1000</v>
      </c>
      <c r="R121" s="13">
        <v>1000</v>
      </c>
      <c r="S121" s="13">
        <v>500</v>
      </c>
      <c r="T121" s="13">
        <v>500</v>
      </c>
      <c r="U121" s="13">
        <v>500</v>
      </c>
      <c r="V121" s="13">
        <v>500</v>
      </c>
      <c r="W121" s="13">
        <v>500</v>
      </c>
      <c r="X121" s="13">
        <v>500</v>
      </c>
      <c r="Y121" s="13">
        <v>500</v>
      </c>
      <c r="Z121" s="13">
        <v>500</v>
      </c>
      <c r="AA121" s="13">
        <v>500</v>
      </c>
      <c r="AB121" s="17"/>
      <c r="AC121" s="4">
        <f t="shared" si="102"/>
        <v>0</v>
      </c>
      <c r="AD121" s="4">
        <f t="shared" si="103"/>
        <v>0</v>
      </c>
      <c r="AE121" s="4">
        <f t="shared" si="104"/>
        <v>1575</v>
      </c>
      <c r="AF121" s="4">
        <f t="shared" si="105"/>
        <v>3340</v>
      </c>
      <c r="AG121" s="4"/>
      <c r="AH121" s="4">
        <f t="shared" si="106"/>
        <v>3000</v>
      </c>
      <c r="AI121" s="4">
        <f t="shared" si="107"/>
        <v>1500</v>
      </c>
      <c r="AJ121" s="4">
        <f t="shared" si="108"/>
        <v>1500</v>
      </c>
      <c r="AK121" s="4">
        <f t="shared" si="109"/>
        <v>1500</v>
      </c>
      <c r="AL121" s="4"/>
      <c r="AM121" s="4">
        <f t="shared" si="110"/>
        <v>4915</v>
      </c>
      <c r="AN121" s="4">
        <f t="shared" si="111"/>
        <v>7500</v>
      </c>
      <c r="AO121" s="4"/>
      <c r="AP121" s="25">
        <f t="shared" si="112"/>
        <v>0</v>
      </c>
      <c r="AQ121" s="25">
        <f t="shared" si="113"/>
        <v>0</v>
      </c>
      <c r="AS121" s="14" t="s">
        <v>369</v>
      </c>
      <c r="AT121" s="86">
        <v>945</v>
      </c>
      <c r="AY121" s="149"/>
    </row>
    <row r="122" spans="2:51" x14ac:dyDescent="0.2">
      <c r="B122" s="14" t="s">
        <v>85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7"/>
      <c r="AC122" s="4">
        <f t="shared" si="102"/>
        <v>0</v>
      </c>
      <c r="AD122" s="4">
        <f t="shared" si="103"/>
        <v>0</v>
      </c>
      <c r="AE122" s="4">
        <f t="shared" si="104"/>
        <v>0</v>
      </c>
      <c r="AF122" s="4">
        <f t="shared" si="105"/>
        <v>0</v>
      </c>
      <c r="AG122" s="4"/>
      <c r="AH122" s="4">
        <f t="shared" si="106"/>
        <v>0</v>
      </c>
      <c r="AI122" s="4">
        <f t="shared" si="107"/>
        <v>0</v>
      </c>
      <c r="AJ122" s="4">
        <f t="shared" si="108"/>
        <v>0</v>
      </c>
      <c r="AK122" s="4">
        <f t="shared" si="109"/>
        <v>0</v>
      </c>
      <c r="AL122" s="4"/>
      <c r="AM122" s="4">
        <f t="shared" si="110"/>
        <v>0</v>
      </c>
      <c r="AN122" s="4">
        <f t="shared" si="111"/>
        <v>0</v>
      </c>
      <c r="AO122" s="4"/>
      <c r="AP122" s="25">
        <f t="shared" si="112"/>
        <v>0</v>
      </c>
      <c r="AQ122" s="25">
        <f t="shared" si="113"/>
        <v>0</v>
      </c>
      <c r="AT122" s="17"/>
    </row>
    <row r="123" spans="2:51" x14ac:dyDescent="0.2">
      <c r="B123" s="14" t="s">
        <v>85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7"/>
      <c r="AC123" s="4">
        <f t="shared" si="102"/>
        <v>0</v>
      </c>
      <c r="AD123" s="4">
        <f t="shared" si="103"/>
        <v>0</v>
      </c>
      <c r="AE123" s="4">
        <f t="shared" si="104"/>
        <v>0</v>
      </c>
      <c r="AF123" s="4">
        <f t="shared" si="105"/>
        <v>0</v>
      </c>
      <c r="AG123" s="4"/>
      <c r="AH123" s="4">
        <f t="shared" si="106"/>
        <v>0</v>
      </c>
      <c r="AI123" s="4">
        <f t="shared" si="107"/>
        <v>0</v>
      </c>
      <c r="AJ123" s="4">
        <f t="shared" si="108"/>
        <v>0</v>
      </c>
      <c r="AK123" s="4">
        <f t="shared" si="109"/>
        <v>0</v>
      </c>
      <c r="AL123" s="4"/>
      <c r="AM123" s="4">
        <f t="shared" si="110"/>
        <v>0</v>
      </c>
      <c r="AN123" s="4">
        <f t="shared" si="111"/>
        <v>0</v>
      </c>
      <c r="AO123" s="4"/>
      <c r="AP123" s="25">
        <f t="shared" si="112"/>
        <v>0</v>
      </c>
      <c r="AQ123" s="25">
        <f t="shared" si="113"/>
        <v>0</v>
      </c>
      <c r="AT123" s="17"/>
    </row>
    <row r="124" spans="2:51" x14ac:dyDescent="0.2">
      <c r="B124" s="14" t="s">
        <v>85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7"/>
      <c r="AC124" s="4">
        <f t="shared" si="102"/>
        <v>0</v>
      </c>
      <c r="AD124" s="4">
        <f t="shared" si="103"/>
        <v>0</v>
      </c>
      <c r="AE124" s="4">
        <f t="shared" si="104"/>
        <v>0</v>
      </c>
      <c r="AF124" s="4">
        <f t="shared" si="105"/>
        <v>0</v>
      </c>
      <c r="AG124" s="4"/>
      <c r="AH124" s="4">
        <f t="shared" si="106"/>
        <v>0</v>
      </c>
      <c r="AI124" s="4">
        <f t="shared" si="107"/>
        <v>0</v>
      </c>
      <c r="AJ124" s="4">
        <f t="shared" si="108"/>
        <v>0</v>
      </c>
      <c r="AK124" s="4">
        <f t="shared" si="109"/>
        <v>0</v>
      </c>
      <c r="AL124" s="4"/>
      <c r="AM124" s="4">
        <f t="shared" si="110"/>
        <v>0</v>
      </c>
      <c r="AN124" s="4">
        <f t="shared" si="111"/>
        <v>0</v>
      </c>
      <c r="AO124" s="4"/>
      <c r="AP124" s="25">
        <f t="shared" si="112"/>
        <v>0</v>
      </c>
      <c r="AQ124" s="25">
        <f t="shared" si="113"/>
        <v>0</v>
      </c>
      <c r="AT124" s="17"/>
    </row>
    <row r="125" spans="2:51" x14ac:dyDescent="0.2">
      <c r="B125" s="14" t="s">
        <v>85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7"/>
      <c r="AC125" s="4">
        <f t="shared" si="102"/>
        <v>0</v>
      </c>
      <c r="AD125" s="4">
        <f t="shared" si="103"/>
        <v>0</v>
      </c>
      <c r="AE125" s="4">
        <f t="shared" si="104"/>
        <v>0</v>
      </c>
      <c r="AF125" s="4">
        <f t="shared" si="105"/>
        <v>0</v>
      </c>
      <c r="AG125" s="4"/>
      <c r="AH125" s="4">
        <f t="shared" si="106"/>
        <v>0</v>
      </c>
      <c r="AI125" s="4">
        <f t="shared" si="107"/>
        <v>0</v>
      </c>
      <c r="AJ125" s="4">
        <f t="shared" si="108"/>
        <v>0</v>
      </c>
      <c r="AK125" s="4">
        <f t="shared" si="109"/>
        <v>0</v>
      </c>
      <c r="AL125" s="4"/>
      <c r="AM125" s="4">
        <f t="shared" si="110"/>
        <v>0</v>
      </c>
      <c r="AN125" s="4">
        <f t="shared" si="111"/>
        <v>0</v>
      </c>
      <c r="AO125" s="4"/>
      <c r="AP125" s="25">
        <f t="shared" si="112"/>
        <v>0</v>
      </c>
      <c r="AQ125" s="25">
        <f t="shared" si="113"/>
        <v>0</v>
      </c>
      <c r="AT125" s="17"/>
    </row>
    <row r="126" spans="2:51" x14ac:dyDescent="0.2">
      <c r="B126" s="14" t="s">
        <v>85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7"/>
      <c r="AC126" s="4">
        <f t="shared" si="102"/>
        <v>0</v>
      </c>
      <c r="AD126" s="4">
        <f t="shared" si="103"/>
        <v>0</v>
      </c>
      <c r="AE126" s="4">
        <f t="shared" si="104"/>
        <v>0</v>
      </c>
      <c r="AF126" s="4">
        <f t="shared" si="105"/>
        <v>0</v>
      </c>
      <c r="AG126" s="4"/>
      <c r="AH126" s="4">
        <f t="shared" si="106"/>
        <v>0</v>
      </c>
      <c r="AI126" s="4">
        <f t="shared" si="107"/>
        <v>0</v>
      </c>
      <c r="AJ126" s="4">
        <f t="shared" si="108"/>
        <v>0</v>
      </c>
      <c r="AK126" s="4">
        <f t="shared" si="109"/>
        <v>0</v>
      </c>
      <c r="AL126" s="4"/>
      <c r="AM126" s="4">
        <f t="shared" si="110"/>
        <v>0</v>
      </c>
      <c r="AN126" s="4">
        <f t="shared" si="111"/>
        <v>0</v>
      </c>
      <c r="AO126" s="4"/>
      <c r="AP126" s="25">
        <f t="shared" si="112"/>
        <v>0</v>
      </c>
      <c r="AQ126" s="25">
        <f t="shared" si="113"/>
        <v>0</v>
      </c>
    </row>
    <row r="127" spans="2:51" x14ac:dyDescent="0.2">
      <c r="B127" s="14" t="s">
        <v>85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7"/>
      <c r="AC127" s="4">
        <f t="shared" si="102"/>
        <v>0</v>
      </c>
      <c r="AD127" s="4">
        <f t="shared" si="103"/>
        <v>0</v>
      </c>
      <c r="AE127" s="4">
        <f t="shared" si="104"/>
        <v>0</v>
      </c>
      <c r="AF127" s="4">
        <f t="shared" si="105"/>
        <v>0</v>
      </c>
      <c r="AG127" s="4"/>
      <c r="AH127" s="4">
        <f t="shared" si="106"/>
        <v>0</v>
      </c>
      <c r="AI127" s="4">
        <f t="shared" si="107"/>
        <v>0</v>
      </c>
      <c r="AJ127" s="4">
        <f t="shared" si="108"/>
        <v>0</v>
      </c>
      <c r="AK127" s="4">
        <f t="shared" si="109"/>
        <v>0</v>
      </c>
      <c r="AL127" s="4"/>
      <c r="AM127" s="4">
        <f t="shared" si="110"/>
        <v>0</v>
      </c>
      <c r="AN127" s="4">
        <f t="shared" si="111"/>
        <v>0</v>
      </c>
      <c r="AO127" s="4"/>
      <c r="AP127" s="25">
        <f t="shared" si="112"/>
        <v>0</v>
      </c>
      <c r="AQ127" s="25">
        <f t="shared" si="113"/>
        <v>0</v>
      </c>
    </row>
    <row r="128" spans="2:51" x14ac:dyDescent="0.2">
      <c r="C128" s="43"/>
      <c r="D128" s="43"/>
      <c r="AP128" s="17"/>
      <c r="AQ128" s="17"/>
      <c r="AT128" s="17"/>
    </row>
    <row r="129" spans="2:43" x14ac:dyDescent="0.2">
      <c r="B129" s="28" t="s">
        <v>133</v>
      </c>
      <c r="C129" s="18">
        <f t="shared" ref="C129:N129" si="114">SUM(C116:C128)</f>
        <v>17629.900000000001</v>
      </c>
      <c r="D129" s="18">
        <f t="shared" si="114"/>
        <v>21170</v>
      </c>
      <c r="E129" s="18">
        <f t="shared" si="114"/>
        <v>29860</v>
      </c>
      <c r="F129" s="18">
        <f t="shared" si="114"/>
        <v>26120</v>
      </c>
      <c r="G129" s="18">
        <f t="shared" si="114"/>
        <v>26528.33</v>
      </c>
      <c r="H129" s="18">
        <f t="shared" si="114"/>
        <v>26078.33</v>
      </c>
      <c r="I129" s="18">
        <f>SUM(I116:I128)</f>
        <v>26980.83</v>
      </c>
      <c r="J129" s="18">
        <f t="shared" si="114"/>
        <v>26470.83</v>
      </c>
      <c r="K129" s="18">
        <f t="shared" si="114"/>
        <v>27283.33</v>
      </c>
      <c r="L129" s="18">
        <f t="shared" si="114"/>
        <v>26460.83</v>
      </c>
      <c r="M129" s="18">
        <f t="shared" si="114"/>
        <v>25385.83</v>
      </c>
      <c r="N129" s="18">
        <f t="shared" si="114"/>
        <v>25400</v>
      </c>
      <c r="O129" s="18"/>
      <c r="P129" s="18">
        <f t="shared" ref="P129:AA129" si="115">SUM(P116:P128)</f>
        <v>26100</v>
      </c>
      <c r="Q129" s="18">
        <f t="shared" si="115"/>
        <v>26100</v>
      </c>
      <c r="R129" s="18">
        <f t="shared" si="115"/>
        <v>26100</v>
      </c>
      <c r="S129" s="18">
        <f t="shared" si="115"/>
        <v>24600</v>
      </c>
      <c r="T129" s="18">
        <f t="shared" si="115"/>
        <v>24600</v>
      </c>
      <c r="U129" s="18">
        <f t="shared" si="115"/>
        <v>24600</v>
      </c>
      <c r="V129" s="18">
        <f t="shared" si="115"/>
        <v>24100</v>
      </c>
      <c r="W129" s="18">
        <f t="shared" si="115"/>
        <v>24100</v>
      </c>
      <c r="X129" s="18">
        <f t="shared" si="115"/>
        <v>24100</v>
      </c>
      <c r="Y129" s="18">
        <f t="shared" si="115"/>
        <v>24100</v>
      </c>
      <c r="Z129" s="18">
        <f t="shared" si="115"/>
        <v>24100</v>
      </c>
      <c r="AA129" s="18">
        <f t="shared" si="115"/>
        <v>24100</v>
      </c>
      <c r="AC129" s="18">
        <f>SUM(AC116:AC128)</f>
        <v>68659.899999999994</v>
      </c>
      <c r="AD129" s="18">
        <f>SUM(AD116:AD128)</f>
        <v>78726.66</v>
      </c>
      <c r="AE129" s="18">
        <f>SUM(AE116:AE128)</f>
        <v>80734.990000000005</v>
      </c>
      <c r="AF129" s="18">
        <f>SUM(AF116:AF128)</f>
        <v>77246.66</v>
      </c>
      <c r="AG129" s="18"/>
      <c r="AH129" s="18">
        <f t="shared" ref="AH129:AK129" si="116">SUM(AH116:AH128)</f>
        <v>78300</v>
      </c>
      <c r="AI129" s="18">
        <f t="shared" si="116"/>
        <v>73800</v>
      </c>
      <c r="AJ129" s="18">
        <f t="shared" si="116"/>
        <v>72300</v>
      </c>
      <c r="AK129" s="18">
        <f t="shared" si="116"/>
        <v>72300</v>
      </c>
      <c r="AM129" s="18">
        <f>SUM(AM116:AM128)</f>
        <v>305368.21000000008</v>
      </c>
      <c r="AN129" s="18">
        <f>SUM(AN116:AN128)</f>
        <v>296700</v>
      </c>
      <c r="AP129" s="25">
        <f t="shared" ref="AP129" si="117">SUM(AC129:AF129)-AM129</f>
        <v>0</v>
      </c>
      <c r="AQ129" s="25">
        <f t="shared" ref="AQ129" si="118">SUM(AH129:AK129)-AN129</f>
        <v>0</v>
      </c>
    </row>
    <row r="130" spans="2:43" x14ac:dyDescent="0.2">
      <c r="C130" s="86"/>
      <c r="D130" s="86"/>
      <c r="AP130" s="17"/>
      <c r="AQ130" s="17"/>
    </row>
    <row r="131" spans="2:43" x14ac:dyDescent="0.2">
      <c r="B131" s="28" t="s">
        <v>846</v>
      </c>
      <c r="C131" s="18">
        <f t="shared" ref="C131:N131" si="119">+C29+C46+C63+C89+C111+C129</f>
        <v>180662.18</v>
      </c>
      <c r="D131" s="18">
        <f t="shared" si="119"/>
        <v>244157.07</v>
      </c>
      <c r="E131" s="18">
        <f t="shared" si="119"/>
        <v>250296.79</v>
      </c>
      <c r="F131" s="18">
        <f t="shared" si="119"/>
        <v>227182.54</v>
      </c>
      <c r="G131" s="18">
        <f t="shared" si="119"/>
        <v>207479.90000000002</v>
      </c>
      <c r="H131" s="18">
        <f t="shared" si="119"/>
        <v>195186.7</v>
      </c>
      <c r="I131" s="18">
        <f t="shared" si="119"/>
        <v>257499.39</v>
      </c>
      <c r="J131" s="18">
        <f t="shared" si="119"/>
        <v>156925.38</v>
      </c>
      <c r="K131" s="18">
        <f t="shared" si="119"/>
        <v>154440.41999999998</v>
      </c>
      <c r="L131" s="18">
        <f t="shared" si="119"/>
        <v>160255.32</v>
      </c>
      <c r="M131" s="18">
        <f t="shared" si="119"/>
        <v>197498.40000000002</v>
      </c>
      <c r="N131" s="18">
        <f t="shared" si="119"/>
        <v>161661.95000000001</v>
      </c>
      <c r="O131" s="18"/>
      <c r="P131" s="18">
        <f t="shared" ref="P131:AA131" si="120">+P29+P46+P63+P89+P111+P129</f>
        <v>152600</v>
      </c>
      <c r="Q131" s="18">
        <f t="shared" si="120"/>
        <v>152600</v>
      </c>
      <c r="R131" s="18">
        <f t="shared" si="120"/>
        <v>152600</v>
      </c>
      <c r="S131" s="18">
        <f t="shared" si="120"/>
        <v>132100</v>
      </c>
      <c r="T131" s="18">
        <f t="shared" si="120"/>
        <v>132100</v>
      </c>
      <c r="U131" s="18">
        <f t="shared" si="120"/>
        <v>132100</v>
      </c>
      <c r="V131" s="18">
        <f t="shared" si="120"/>
        <v>125100</v>
      </c>
      <c r="W131" s="18">
        <f t="shared" si="120"/>
        <v>125100</v>
      </c>
      <c r="X131" s="18">
        <f t="shared" si="120"/>
        <v>125100</v>
      </c>
      <c r="Y131" s="18">
        <f t="shared" si="120"/>
        <v>120600</v>
      </c>
      <c r="Z131" s="18">
        <f t="shared" si="120"/>
        <v>120600</v>
      </c>
      <c r="AA131" s="18">
        <f t="shared" si="120"/>
        <v>120600</v>
      </c>
      <c r="AC131" s="18">
        <f>+AC29+AC46+AC63+AC89+AC111+AC129</f>
        <v>675116.04</v>
      </c>
      <c r="AD131" s="18">
        <f>+AD29+AD46+AD63+AD89+AD111+AD129</f>
        <v>629849.14</v>
      </c>
      <c r="AE131" s="18">
        <f>+AE29+AE46+AE63+AE89+AE111+AE129</f>
        <v>568865.19000000006</v>
      </c>
      <c r="AF131" s="18">
        <f>+AF29+AF46+AF63+AF89+AF111+AF129</f>
        <v>519415.67000000004</v>
      </c>
      <c r="AG131" s="18"/>
      <c r="AH131" s="18">
        <f>+AH29+AH46+AH63+AH89+AH111+AH129</f>
        <v>457800</v>
      </c>
      <c r="AI131" s="18">
        <f>+AI29+AI46+AI63+AI89+AI111+AI129</f>
        <v>396300</v>
      </c>
      <c r="AJ131" s="18">
        <f>+AJ29+AJ46+AJ63+AJ89+AJ111+AJ129</f>
        <v>375300</v>
      </c>
      <c r="AK131" s="18">
        <f>+AK29+AK46+AK63+AK89+AK111+AK129</f>
        <v>361800</v>
      </c>
      <c r="AM131" s="18">
        <f>+AM29+AM46+AM63+AM89+AM111+AM129</f>
        <v>2393246.04</v>
      </c>
      <c r="AN131" s="18">
        <f>+AN29+AO46+AN63+AN89+AN111+AN129</f>
        <v>1591200</v>
      </c>
      <c r="AP131" s="25">
        <f t="shared" ref="AP131" si="121">SUM(AC131:AF131)-AM131</f>
        <v>0</v>
      </c>
      <c r="AQ131" s="25">
        <f t="shared" ref="AQ131" si="122">SUM(AH131:AK131)-AN131</f>
        <v>0</v>
      </c>
    </row>
    <row r="132" spans="2:43" x14ac:dyDescent="0.2">
      <c r="C132" s="86"/>
      <c r="D132" s="86"/>
    </row>
    <row r="134" spans="2:43" x14ac:dyDescent="0.2">
      <c r="B134" s="179" t="s">
        <v>196</v>
      </c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80"/>
      <c r="AI134" s="180"/>
      <c r="AJ134" s="180"/>
      <c r="AK134" s="180"/>
      <c r="AL134" s="180"/>
      <c r="AM134" s="180"/>
      <c r="AN134" s="181"/>
    </row>
    <row r="136" spans="2:43" x14ac:dyDescent="0.2">
      <c r="B136" s="14" t="s">
        <v>295</v>
      </c>
      <c r="C136" s="4">
        <f>+'(R) Billings'!E39</f>
        <v>157764.26666666666</v>
      </c>
      <c r="D136" s="4">
        <f>+'(R) Billings'!F39</f>
        <v>236719.26666666666</v>
      </c>
      <c r="E136" s="4">
        <f>+'(R) Billings'!G39</f>
        <v>265110.93333333335</v>
      </c>
      <c r="F136" s="4">
        <f>+'(R) Billings'!H39</f>
        <v>184394.26666666666</v>
      </c>
      <c r="G136" s="4">
        <f>+'(R) Billings'!I39</f>
        <v>203116.66666666669</v>
      </c>
      <c r="H136" s="4">
        <f>+'(R) Billings'!J39</f>
        <v>174250</v>
      </c>
      <c r="I136" s="4">
        <f>+'(R) Billings'!K39</f>
        <v>289625</v>
      </c>
      <c r="J136" s="4">
        <f>+'(R) Billings'!L39</f>
        <v>475375</v>
      </c>
      <c r="K136" s="4">
        <f>+'(R) Billings'!M39</f>
        <v>582041.66666666663</v>
      </c>
      <c r="L136" s="4">
        <f>+'(R) Billings'!N39</f>
        <v>677375</v>
      </c>
      <c r="M136" s="4">
        <f>+'(R) Billings'!O39</f>
        <v>673250</v>
      </c>
      <c r="N136" s="4">
        <f>+'(R) Billings'!P39</f>
        <v>630166.66666666663</v>
      </c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 spans="2:43" x14ac:dyDescent="0.2">
      <c r="B137" s="14" t="s">
        <v>197</v>
      </c>
      <c r="C137" s="44">
        <v>0.2</v>
      </c>
      <c r="D137" s="44">
        <v>0.2</v>
      </c>
      <c r="E137" s="44">
        <v>0.2</v>
      </c>
      <c r="F137" s="44">
        <v>0.3</v>
      </c>
      <c r="G137" s="44">
        <v>0.5</v>
      </c>
      <c r="H137" s="44">
        <v>0.5</v>
      </c>
      <c r="I137" s="44">
        <v>0.5</v>
      </c>
      <c r="J137" s="102">
        <v>0.5</v>
      </c>
      <c r="K137" s="102">
        <v>0.5</v>
      </c>
      <c r="L137" s="102">
        <v>0.5</v>
      </c>
      <c r="M137" s="102">
        <v>0.5</v>
      </c>
      <c r="N137" s="102">
        <v>0.5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 spans="2:43" x14ac:dyDescent="0.2">
      <c r="B138" s="14" t="s">
        <v>199</v>
      </c>
      <c r="C138" s="17">
        <f>+C136*(1-C137)</f>
        <v>126211.41333333333</v>
      </c>
      <c r="D138" s="17">
        <f t="shared" ref="D138:N138" si="123">+D136*(1-D137)</f>
        <v>189375.41333333333</v>
      </c>
      <c r="E138" s="17">
        <f t="shared" si="123"/>
        <v>212088.7466666667</v>
      </c>
      <c r="F138" s="17">
        <f t="shared" si="123"/>
        <v>129075.98666666665</v>
      </c>
      <c r="G138" s="17">
        <f t="shared" si="123"/>
        <v>101558.33333333334</v>
      </c>
      <c r="H138" s="17">
        <f t="shared" si="123"/>
        <v>87125</v>
      </c>
      <c r="I138" s="17">
        <f t="shared" ref="I138" si="124">+I136*(1-I137)</f>
        <v>144812.5</v>
      </c>
      <c r="J138" s="17">
        <f t="shared" si="123"/>
        <v>237687.5</v>
      </c>
      <c r="K138" s="17">
        <f t="shared" si="123"/>
        <v>291020.83333333331</v>
      </c>
      <c r="L138" s="17">
        <f t="shared" si="123"/>
        <v>338687.5</v>
      </c>
      <c r="M138" s="17">
        <f t="shared" si="123"/>
        <v>336625</v>
      </c>
      <c r="N138" s="17">
        <f t="shared" si="123"/>
        <v>315083.33333333331</v>
      </c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 spans="2:43" x14ac:dyDescent="0.2">
      <c r="B139" s="14" t="s">
        <v>198</v>
      </c>
      <c r="C139" s="4">
        <f>SUM('2025 Detail'!C17,'2025 Detail'!C23:C24)</f>
        <v>155026.30600000001</v>
      </c>
      <c r="D139" s="4">
        <f>SUM('2025 Detail'!D17,'2025 Detail'!D23:D24)</f>
        <v>274377.43800000002</v>
      </c>
      <c r="E139" s="4">
        <f>SUM('2025 Detail'!E17,'2025 Detail'!E23:E24)</f>
        <v>142183.00750000001</v>
      </c>
      <c r="F139" s="4">
        <f>SUM('2025 Detail'!F17,'2025 Detail'!F23:F24)</f>
        <v>129357.5305882353</v>
      </c>
      <c r="G139" s="4">
        <f>SUM('2025 Detail'!G17,'2025 Detail'!G23:G24)</f>
        <v>130449.549375</v>
      </c>
      <c r="H139" s="4">
        <f>SUM('2025 Detail'!H17,'2025 Detail'!H23:H24)</f>
        <v>137996.58117647062</v>
      </c>
      <c r="I139" s="4">
        <f>SUM('2025 Detail'!I17,'2025 Detail'!I23:I24)</f>
        <v>138828.92176470588</v>
      </c>
      <c r="J139" s="4">
        <f>SUM('2025 Detail'!J17,'2025 Detail'!J23:J24)</f>
        <v>136136.76222222223</v>
      </c>
      <c r="K139" s="4">
        <f>SUM('2025 Detail'!K17,'2025 Detail'!K23:K24)</f>
        <v>134638.38</v>
      </c>
      <c r="L139" s="4">
        <f>SUM('2025 Detail'!L17,'2025 Detail'!L23:L24)</f>
        <v>131642.68333333332</v>
      </c>
      <c r="M139" s="4">
        <f>SUM('2025 Detail'!M17,'2025 Detail'!M23:M24)</f>
        <v>125724.19500000001</v>
      </c>
      <c r="N139" s="4">
        <f>SUM('2025 Detail'!N17,'2025 Detail'!N23:N24)</f>
        <v>137110</v>
      </c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 spans="2:43" x14ac:dyDescent="0.2">
      <c r="B140" s="14" t="s">
        <v>200</v>
      </c>
      <c r="C140" s="4">
        <f t="shared" ref="C140:N140" si="125">+C29</f>
        <v>82068.38</v>
      </c>
      <c r="D140" s="4">
        <f t="shared" si="125"/>
        <v>99135.25</v>
      </c>
      <c r="E140" s="4">
        <f t="shared" si="125"/>
        <v>81353.75</v>
      </c>
      <c r="F140" s="4">
        <f t="shared" si="125"/>
        <v>58506.25</v>
      </c>
      <c r="G140" s="4">
        <f t="shared" si="125"/>
        <v>61313.5</v>
      </c>
      <c r="H140" s="4">
        <f t="shared" si="125"/>
        <v>59235.25</v>
      </c>
      <c r="I140" s="4">
        <f t="shared" si="125"/>
        <v>48960</v>
      </c>
      <c r="J140" s="4">
        <f t="shared" si="125"/>
        <v>49996.08</v>
      </c>
      <c r="K140" s="4">
        <f t="shared" si="125"/>
        <v>53887</v>
      </c>
      <c r="L140" s="4">
        <f t="shared" si="125"/>
        <v>63216.25</v>
      </c>
      <c r="M140" s="4">
        <f t="shared" si="125"/>
        <v>69388</v>
      </c>
      <c r="N140" s="4">
        <f t="shared" si="125"/>
        <v>57500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 spans="2:43" x14ac:dyDescent="0.2">
      <c r="B141" s="14" t="s">
        <v>201</v>
      </c>
      <c r="C141" s="4">
        <f>+C139+C140</f>
        <v>237094.68600000002</v>
      </c>
      <c r="D141" s="4">
        <f t="shared" ref="D141:N141" si="126">+D139+D140</f>
        <v>373512.68800000002</v>
      </c>
      <c r="E141" s="4">
        <f t="shared" si="126"/>
        <v>223536.75750000001</v>
      </c>
      <c r="F141" s="4">
        <f t="shared" si="126"/>
        <v>187863.7805882353</v>
      </c>
      <c r="G141" s="4">
        <f t="shared" si="126"/>
        <v>191763.049375</v>
      </c>
      <c r="H141" s="4">
        <f t="shared" si="126"/>
        <v>197231.83117647062</v>
      </c>
      <c r="I141" s="4">
        <f t="shared" ref="I141" si="127">+I139+I140</f>
        <v>187788.92176470588</v>
      </c>
      <c r="J141" s="4">
        <f t="shared" si="126"/>
        <v>186132.84222222224</v>
      </c>
      <c r="K141" s="4">
        <f t="shared" si="126"/>
        <v>188525.38</v>
      </c>
      <c r="L141" s="4">
        <f t="shared" si="126"/>
        <v>194858.93333333332</v>
      </c>
      <c r="M141" s="4">
        <f t="shared" si="126"/>
        <v>195112.19500000001</v>
      </c>
      <c r="N141" s="4">
        <f t="shared" si="126"/>
        <v>194610</v>
      </c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 spans="2:43" x14ac:dyDescent="0.2">
      <c r="B142" s="14" t="s">
        <v>191</v>
      </c>
      <c r="C142" s="45">
        <v>0</v>
      </c>
      <c r="D142" s="45">
        <v>0</v>
      </c>
      <c r="E142" s="45">
        <v>0</v>
      </c>
      <c r="F142" s="45">
        <v>0</v>
      </c>
      <c r="G142" s="45">
        <v>0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0</v>
      </c>
      <c r="N142" s="45">
        <v>0</v>
      </c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 spans="2:43" x14ac:dyDescent="0.2"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 spans="2:43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3:29" x14ac:dyDescent="0.2">
      <c r="C145" s="27">
        <f t="shared" ref="C145:N145" si="128">+C29+C46+C63+C89+C111+C129</f>
        <v>180662.18</v>
      </c>
      <c r="D145" s="27">
        <f t="shared" si="128"/>
        <v>244157.07</v>
      </c>
      <c r="E145" s="27">
        <f t="shared" si="128"/>
        <v>250296.79</v>
      </c>
      <c r="F145" s="27">
        <f t="shared" si="128"/>
        <v>227182.54</v>
      </c>
      <c r="G145" s="27">
        <f t="shared" si="128"/>
        <v>207479.90000000002</v>
      </c>
      <c r="H145" s="27">
        <f t="shared" si="128"/>
        <v>195186.7</v>
      </c>
      <c r="I145" s="27">
        <f t="shared" si="128"/>
        <v>257499.39</v>
      </c>
      <c r="J145" s="27">
        <f t="shared" si="128"/>
        <v>156925.38</v>
      </c>
      <c r="K145" s="27">
        <f t="shared" si="128"/>
        <v>154440.41999999998</v>
      </c>
      <c r="L145" s="27">
        <f t="shared" si="128"/>
        <v>160255.32</v>
      </c>
      <c r="M145" s="27">
        <f t="shared" si="128"/>
        <v>197498.40000000002</v>
      </c>
      <c r="N145" s="27">
        <f t="shared" si="128"/>
        <v>161661.95000000001</v>
      </c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spans="3:29" x14ac:dyDescent="0.2">
      <c r="C146" s="4">
        <v>-180662.18</v>
      </c>
      <c r="D146" s="4">
        <v>-244157.07</v>
      </c>
      <c r="E146" s="4">
        <v>-250296.79</v>
      </c>
      <c r="F146" s="4">
        <v>-227182.54</v>
      </c>
      <c r="G146" s="4">
        <f>+GETPIVOTDATA("Amount",PV!$A$3,"Year",2025,"Month",5,"Group","COGS","Category","Contract Labor")+GETPIVOTDATA("Amount",PV!$A$3,"Year",2025,"Month",5,"Group","COGS","Category","Contract Labor - AppIQ")+GETPIVOTDATA("Amount",PV!$A$3,"Year",2025,"Month",5,"Group","Vendors","Category","Contract Labor - Back Office")</f>
        <v>-207479.90000000002</v>
      </c>
      <c r="H146" s="4">
        <f>-195186.7</f>
        <v>-195186.7</v>
      </c>
      <c r="I146" s="4">
        <v>-257499.39</v>
      </c>
      <c r="J146" s="4">
        <v>-156925.38</v>
      </c>
      <c r="K146" s="4">
        <f>+PV!K39</f>
        <v>-154440.41999999998</v>
      </c>
      <c r="L146" s="4">
        <f>+PV!L39</f>
        <v>-160255.32</v>
      </c>
      <c r="M146" s="4">
        <f>+PV!M39</f>
        <v>-197498.39999999997</v>
      </c>
      <c r="N146" s="4">
        <v>0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3:29" x14ac:dyDescent="0.2">
      <c r="C147" s="4">
        <f>+C145+C146</f>
        <v>0</v>
      </c>
      <c r="D147" s="4">
        <f>+D145+D146</f>
        <v>0</v>
      </c>
      <c r="E147" s="4">
        <f t="shared" ref="E147:N147" si="129">+E145+E146</f>
        <v>0</v>
      </c>
      <c r="F147" s="4">
        <f t="shared" si="129"/>
        <v>0</v>
      </c>
      <c r="G147" s="4">
        <f t="shared" si="129"/>
        <v>0</v>
      </c>
      <c r="H147" s="4">
        <f t="shared" si="129"/>
        <v>0</v>
      </c>
      <c r="I147" s="4">
        <f t="shared" si="129"/>
        <v>0</v>
      </c>
      <c r="J147" s="4">
        <f t="shared" si="129"/>
        <v>0</v>
      </c>
      <c r="K147" s="4">
        <f t="shared" si="129"/>
        <v>0</v>
      </c>
      <c r="L147" s="4">
        <f t="shared" si="129"/>
        <v>0</v>
      </c>
      <c r="M147" s="4">
        <f t="shared" si="129"/>
        <v>0</v>
      </c>
      <c r="N147" s="4">
        <f t="shared" si="129"/>
        <v>161661.95000000001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50" spans="3:29" x14ac:dyDescent="0.2">
      <c r="C150" s="43">
        <f>+'2025 CF Basic'!E26+'2025 CF Basic'!E28</f>
        <v>180662.18</v>
      </c>
      <c r="D150" s="43">
        <f>+'2025 CF Basic'!F26+'2025 CF Basic'!F28</f>
        <v>244157.07</v>
      </c>
      <c r="E150" s="43">
        <f>+'2025 CF Basic'!G26+'2025 CF Basic'!G28</f>
        <v>250296.79</v>
      </c>
      <c r="F150" s="43">
        <f>+'2025 CF Basic'!H26+'2025 CF Basic'!H28</f>
        <v>227182.54</v>
      </c>
      <c r="G150" s="43">
        <f>+'2025 CF Basic'!I26+'2025 CF Basic'!I28</f>
        <v>207479.90000000002</v>
      </c>
      <c r="H150" s="43">
        <f>+'2025 CF Basic'!J26+'2025 CF Basic'!J28</f>
        <v>195143.58000000002</v>
      </c>
      <c r="I150" s="43">
        <f>+'2025 CF Basic'!K26+'2025 CF Basic'!K28</f>
        <v>257499.38999999998</v>
      </c>
      <c r="J150" s="43">
        <f>+'2025 CF Basic'!L26+'2025 CF Basic'!L28</f>
        <v>156925.38000000003</v>
      </c>
      <c r="K150" s="43">
        <f>+'2025 CF Basic'!M26+'2025 CF Basic'!M28</f>
        <v>154440.42000000001</v>
      </c>
      <c r="L150" s="43">
        <f>+'2025 CF Basic'!N26+'2025 CF Basic'!N28</f>
        <v>160255.32</v>
      </c>
      <c r="M150" s="43">
        <f>+'2025 CF Basic'!O26+'2025 CF Basic'!O28</f>
        <v>197498.4</v>
      </c>
      <c r="N150" s="43">
        <f>+'2025 CF Basic'!P26+'2025 CF Basic'!P28</f>
        <v>161661.95000000001</v>
      </c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2" spans="3:29" x14ac:dyDescent="0.2">
      <c r="C152" s="43">
        <f>+C150-C131</f>
        <v>0</v>
      </c>
      <c r="D152" s="43">
        <f t="shared" ref="D152:N152" si="130">+D150-D131</f>
        <v>0</v>
      </c>
      <c r="E152" s="43">
        <f t="shared" si="130"/>
        <v>0</v>
      </c>
      <c r="F152" s="43">
        <f t="shared" si="130"/>
        <v>0</v>
      </c>
      <c r="G152" s="43">
        <f t="shared" si="130"/>
        <v>0</v>
      </c>
      <c r="H152" s="43">
        <f t="shared" si="130"/>
        <v>-43.119999999995343</v>
      </c>
      <c r="I152" s="43">
        <f t="shared" si="130"/>
        <v>0</v>
      </c>
      <c r="J152" s="43">
        <f t="shared" si="130"/>
        <v>0</v>
      </c>
      <c r="K152" s="43">
        <f t="shared" si="130"/>
        <v>0</v>
      </c>
      <c r="L152" s="43">
        <f t="shared" si="130"/>
        <v>0</v>
      </c>
      <c r="M152" s="43">
        <f t="shared" si="130"/>
        <v>0</v>
      </c>
      <c r="N152" s="43">
        <f t="shared" si="130"/>
        <v>0</v>
      </c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</sheetData>
  <sortState xmlns:xlrd2="http://schemas.microsoft.com/office/spreadsheetml/2017/richdata2" ref="B7:AP27">
    <sortCondition ref="B7:B27"/>
  </sortState>
  <mergeCells count="7">
    <mergeCell ref="B134:AN134"/>
    <mergeCell ref="B114:AN114"/>
    <mergeCell ref="B5:AN5"/>
    <mergeCell ref="B32:AN32"/>
    <mergeCell ref="B49:AN49"/>
    <mergeCell ref="B66:AN66"/>
    <mergeCell ref="B92:AN9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6ABD-03F0-444B-B0F5-AF933305B540}">
  <dimension ref="A1:Y165"/>
  <sheetViews>
    <sheetView workbookViewId="0">
      <pane xSplit="2" ySplit="3" topLeftCell="C142" activePane="bottomRight" state="frozen"/>
      <selection activeCell="E20" sqref="E20"/>
      <selection pane="topRight" activeCell="E20" sqref="E20"/>
      <selection pane="bottomLeft" activeCell="E20" sqref="E20"/>
      <selection pane="bottomRight" activeCell="B20" sqref="B20:U20"/>
    </sheetView>
  </sheetViews>
  <sheetFormatPr baseColWidth="10" defaultColWidth="9.1640625" defaultRowHeight="14" x14ac:dyDescent="0.2"/>
  <cols>
    <col min="1" max="1" width="2.6640625" style="26" customWidth="1"/>
    <col min="2" max="2" width="30.6640625" style="26" customWidth="1"/>
    <col min="3" max="14" width="9.6640625" style="26" customWidth="1"/>
    <col min="15" max="15" width="2.6640625" style="26" customWidth="1"/>
    <col min="16" max="19" width="10.6640625" style="26" customWidth="1"/>
    <col min="20" max="20" width="2.6640625" style="26" customWidth="1"/>
    <col min="21" max="21" width="10.6640625" style="26" customWidth="1"/>
    <col min="22" max="22" width="2.6640625" style="26" customWidth="1"/>
    <col min="23" max="23" width="6.6640625" style="26" customWidth="1"/>
    <col min="24" max="16384" width="9.1640625" style="26"/>
  </cols>
  <sheetData>
    <row r="1" spans="1:25" ht="16" x14ac:dyDescent="0.2">
      <c r="A1" s="15" t="s">
        <v>116</v>
      </c>
    </row>
    <row r="3" spans="1:25" x14ac:dyDescent="0.2">
      <c r="B3" s="28"/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O3" s="10"/>
      <c r="P3" s="10" t="s">
        <v>36</v>
      </c>
      <c r="Q3" s="10" t="s">
        <v>37</v>
      </c>
      <c r="R3" s="10" t="s">
        <v>38</v>
      </c>
      <c r="S3" s="10" t="s">
        <v>39</v>
      </c>
      <c r="T3" s="10"/>
      <c r="U3" s="11">
        <v>2025</v>
      </c>
      <c r="V3" s="1"/>
      <c r="W3" s="3" t="s">
        <v>13</v>
      </c>
      <c r="Y3" s="3"/>
    </row>
    <row r="4" spans="1:25" x14ac:dyDescent="0.2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8"/>
      <c r="P4" s="10"/>
      <c r="Q4" s="10"/>
      <c r="R4" s="10"/>
      <c r="S4" s="10"/>
      <c r="T4" s="10"/>
      <c r="U4" s="11"/>
      <c r="V4" s="1"/>
      <c r="W4" s="3"/>
      <c r="Y4" s="3"/>
    </row>
    <row r="5" spans="1:25" x14ac:dyDescent="0.2">
      <c r="B5" s="176" t="s">
        <v>164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8"/>
      <c r="V5" s="1"/>
      <c r="W5" s="3"/>
      <c r="Y5" s="3"/>
    </row>
    <row r="6" spans="1:25" x14ac:dyDescent="0.2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  <c r="P6" s="10"/>
      <c r="Q6" s="10"/>
      <c r="R6" s="10"/>
      <c r="S6" s="10"/>
      <c r="T6" s="10"/>
      <c r="U6" s="11"/>
      <c r="V6" s="1"/>
      <c r="W6" s="3"/>
      <c r="Y6" s="3"/>
    </row>
    <row r="7" spans="1:25" x14ac:dyDescent="0.2">
      <c r="B7" s="30" t="s">
        <v>184</v>
      </c>
      <c r="C7" s="13">
        <f>+'2 Employees'!C10*0.4</f>
        <v>5616.3519999999999</v>
      </c>
      <c r="D7" s="13">
        <f>+'2 Employees'!D10*0.4</f>
        <v>5548.5520000000006</v>
      </c>
      <c r="E7" s="13">
        <f>+'2 Employees'!E10*0.4</f>
        <v>2774.2759999999998</v>
      </c>
      <c r="F7" s="13">
        <f>+'2 Employees'!F10*0.4</f>
        <v>0</v>
      </c>
      <c r="G7" s="13">
        <f>+'2 Employees'!G10*0.4</f>
        <v>0</v>
      </c>
      <c r="H7" s="13">
        <f>+'2 Employees'!H10*0.4</f>
        <v>0</v>
      </c>
      <c r="I7" s="13">
        <f>+'2 Employees'!I10*0.4</f>
        <v>0</v>
      </c>
      <c r="J7" s="13">
        <f>+'2 Employees'!J10*0.4</f>
        <v>0</v>
      </c>
      <c r="K7" s="13">
        <f>+'2 Employees'!K10*0.4</f>
        <v>0</v>
      </c>
      <c r="L7" s="13">
        <f>+'2 Employees'!L10*0.4</f>
        <v>0</v>
      </c>
      <c r="M7" s="13">
        <f>+'2 Employees'!M10*0.4</f>
        <v>0</v>
      </c>
      <c r="N7" s="13">
        <f>+'2 Employees'!N10*0.4</f>
        <v>0</v>
      </c>
      <c r="O7" s="8"/>
      <c r="P7" s="4">
        <f>SUM(C7:E7)</f>
        <v>13939.18</v>
      </c>
      <c r="Q7" s="4">
        <f>SUM(F7:H7)</f>
        <v>0</v>
      </c>
      <c r="R7" s="4">
        <f>SUM(I7:K7)</f>
        <v>0</v>
      </c>
      <c r="S7" s="4">
        <f>SUM(L7:N7)</f>
        <v>0</v>
      </c>
      <c r="T7" s="4"/>
      <c r="U7" s="4">
        <f>SUM(C7:N7)</f>
        <v>13939.18</v>
      </c>
      <c r="V7" s="1"/>
      <c r="W7" s="25">
        <f>ROUND(SUM(P7:S7)-U7,2)</f>
        <v>0</v>
      </c>
      <c r="Y7" s="3"/>
    </row>
    <row r="8" spans="1:25" x14ac:dyDescent="0.2">
      <c r="B8" s="30" t="s">
        <v>185</v>
      </c>
      <c r="C8" s="13">
        <f>+'2 Employees'!C35*0.4</f>
        <v>7714.1759999999995</v>
      </c>
      <c r="D8" s="13">
        <f>+'2 Employees'!D35*0.4</f>
        <v>20477.152000000002</v>
      </c>
      <c r="E8" s="13">
        <f>+'2 Employees'!E35*0.4</f>
        <v>6966.9880000000012</v>
      </c>
      <c r="F8" s="13">
        <f>+'2 Employees'!F35*0.4</f>
        <v>8212.1040000000012</v>
      </c>
      <c r="G8" s="13">
        <f>+'2 Employees'!G35*0.4</f>
        <v>8212.1040000000012</v>
      </c>
      <c r="H8" s="13">
        <f>+'2 Employees'!H35*0.4</f>
        <v>8212.1080000000002</v>
      </c>
      <c r="I8" s="13">
        <f>+'2 Employees'!I35*0.4</f>
        <v>8212.1119999999992</v>
      </c>
      <c r="J8" s="13">
        <f>+'2 Employees'!J35*0.4</f>
        <v>7881.9520000000011</v>
      </c>
      <c r="K8" s="13">
        <f>+'2 Employees'!K35*0.4</f>
        <v>7708.8960000000006</v>
      </c>
      <c r="L8" s="13">
        <f>+'2 Employees'!L35*0.4</f>
        <v>7708.8959999999997</v>
      </c>
      <c r="M8" s="13">
        <f>+'2 Employees'!M35*0.4</f>
        <v>7688.5359999999991</v>
      </c>
      <c r="N8" s="13">
        <f>+'2 Employees'!N35*0.4</f>
        <v>7880</v>
      </c>
      <c r="O8" s="8"/>
      <c r="P8" s="4">
        <f t="shared" ref="P8:P16" si="1">SUM(C8:E8)</f>
        <v>35158.316000000006</v>
      </c>
      <c r="Q8" s="4">
        <f t="shared" ref="Q8:Q16" si="2">SUM(F8:H8)</f>
        <v>24636.316000000003</v>
      </c>
      <c r="R8" s="4">
        <f t="shared" ref="R8:R16" si="3">SUM(I8:K8)</f>
        <v>23802.959999999999</v>
      </c>
      <c r="S8" s="4">
        <f t="shared" ref="S8:S16" si="4">SUM(L8:N8)</f>
        <v>23277.432000000001</v>
      </c>
      <c r="T8" s="4"/>
      <c r="U8" s="4">
        <f t="shared" ref="U8:U16" si="5">SUM(C8:N8)</f>
        <v>106875.02399999999</v>
      </c>
      <c r="V8" s="1"/>
      <c r="W8" s="25">
        <f t="shared" ref="W8:W16" si="6">ROUND(SUM(P8:S8)-U8,2)</f>
        <v>0</v>
      </c>
      <c r="Y8" s="3"/>
    </row>
    <row r="9" spans="1:25" x14ac:dyDescent="0.2">
      <c r="B9" s="30" t="s">
        <v>156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8"/>
      <c r="P9" s="4">
        <f t="shared" si="1"/>
        <v>0</v>
      </c>
      <c r="Q9" s="4">
        <f t="shared" si="2"/>
        <v>0</v>
      </c>
      <c r="R9" s="4">
        <f t="shared" si="3"/>
        <v>0</v>
      </c>
      <c r="S9" s="4">
        <f t="shared" si="4"/>
        <v>0</v>
      </c>
      <c r="T9" s="4"/>
      <c r="U9" s="4">
        <f t="shared" si="5"/>
        <v>0</v>
      </c>
      <c r="V9" s="1"/>
      <c r="W9" s="25">
        <f t="shared" si="6"/>
        <v>0</v>
      </c>
      <c r="Y9" s="3"/>
    </row>
    <row r="10" spans="1:25" x14ac:dyDescent="0.2">
      <c r="B10" s="30" t="s">
        <v>157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8"/>
      <c r="P10" s="4">
        <f t="shared" si="1"/>
        <v>0</v>
      </c>
      <c r="Q10" s="4">
        <f t="shared" si="2"/>
        <v>0</v>
      </c>
      <c r="R10" s="4">
        <f t="shared" si="3"/>
        <v>0</v>
      </c>
      <c r="S10" s="4">
        <f t="shared" si="4"/>
        <v>0</v>
      </c>
      <c r="T10" s="4"/>
      <c r="U10" s="4">
        <f t="shared" si="5"/>
        <v>0</v>
      </c>
      <c r="V10" s="1"/>
      <c r="W10" s="25">
        <f t="shared" si="6"/>
        <v>0</v>
      </c>
      <c r="Y10" s="3"/>
    </row>
    <row r="11" spans="1:25" x14ac:dyDescent="0.2">
      <c r="B11" s="30" t="s">
        <v>158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8"/>
      <c r="P11" s="4">
        <f t="shared" si="1"/>
        <v>0</v>
      </c>
      <c r="Q11" s="4">
        <f t="shared" si="2"/>
        <v>0</v>
      </c>
      <c r="R11" s="4">
        <f t="shared" si="3"/>
        <v>0</v>
      </c>
      <c r="S11" s="4">
        <f t="shared" si="4"/>
        <v>0</v>
      </c>
      <c r="T11" s="4"/>
      <c r="U11" s="4">
        <f t="shared" si="5"/>
        <v>0</v>
      </c>
      <c r="V11" s="1"/>
      <c r="W11" s="25">
        <f t="shared" si="6"/>
        <v>0</v>
      </c>
      <c r="Y11" s="3"/>
    </row>
    <row r="12" spans="1:25" x14ac:dyDescent="0.2">
      <c r="B12" s="30" t="s">
        <v>159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8"/>
      <c r="P12" s="4">
        <f t="shared" si="1"/>
        <v>0</v>
      </c>
      <c r="Q12" s="4">
        <f t="shared" si="2"/>
        <v>0</v>
      </c>
      <c r="R12" s="4">
        <f t="shared" si="3"/>
        <v>0</v>
      </c>
      <c r="S12" s="4">
        <f t="shared" si="4"/>
        <v>0</v>
      </c>
      <c r="T12" s="4"/>
      <c r="U12" s="4">
        <f t="shared" si="5"/>
        <v>0</v>
      </c>
      <c r="V12" s="1"/>
      <c r="W12" s="25">
        <f t="shared" si="6"/>
        <v>0</v>
      </c>
      <c r="Y12" s="3"/>
    </row>
    <row r="13" spans="1:25" x14ac:dyDescent="0.2">
      <c r="B13" s="30" t="s">
        <v>160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8"/>
      <c r="P13" s="4">
        <f t="shared" si="1"/>
        <v>0</v>
      </c>
      <c r="Q13" s="4">
        <f t="shared" si="2"/>
        <v>0</v>
      </c>
      <c r="R13" s="4">
        <f t="shared" si="3"/>
        <v>0</v>
      </c>
      <c r="S13" s="4">
        <f t="shared" si="4"/>
        <v>0</v>
      </c>
      <c r="T13" s="4"/>
      <c r="U13" s="4">
        <f t="shared" si="5"/>
        <v>0</v>
      </c>
      <c r="V13" s="1"/>
      <c r="W13" s="25">
        <f t="shared" si="6"/>
        <v>0</v>
      </c>
      <c r="Y13" s="3"/>
    </row>
    <row r="14" spans="1:25" x14ac:dyDescent="0.2">
      <c r="B14" s="30" t="s">
        <v>161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8"/>
      <c r="P14" s="4">
        <f t="shared" si="1"/>
        <v>0</v>
      </c>
      <c r="Q14" s="4">
        <f t="shared" si="2"/>
        <v>0</v>
      </c>
      <c r="R14" s="4">
        <f t="shared" si="3"/>
        <v>0</v>
      </c>
      <c r="S14" s="4">
        <f t="shared" si="4"/>
        <v>0</v>
      </c>
      <c r="T14" s="4"/>
      <c r="U14" s="4">
        <f t="shared" si="5"/>
        <v>0</v>
      </c>
      <c r="V14" s="1"/>
      <c r="W14" s="25">
        <f t="shared" si="6"/>
        <v>0</v>
      </c>
      <c r="Y14" s="3"/>
    </row>
    <row r="15" spans="1:25" x14ac:dyDescent="0.2">
      <c r="B15" s="30" t="s">
        <v>162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8"/>
      <c r="P15" s="4">
        <f t="shared" si="1"/>
        <v>0</v>
      </c>
      <c r="Q15" s="4">
        <f t="shared" si="2"/>
        <v>0</v>
      </c>
      <c r="R15" s="4">
        <f t="shared" si="3"/>
        <v>0</v>
      </c>
      <c r="S15" s="4">
        <f t="shared" si="4"/>
        <v>0</v>
      </c>
      <c r="T15" s="4"/>
      <c r="U15" s="4">
        <f t="shared" si="5"/>
        <v>0</v>
      </c>
      <c r="V15" s="1"/>
      <c r="W15" s="25">
        <f t="shared" si="6"/>
        <v>0</v>
      </c>
      <c r="Y15" s="3"/>
    </row>
    <row r="16" spans="1:25" x14ac:dyDescent="0.2">
      <c r="B16" s="30" t="s">
        <v>163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8"/>
      <c r="P16" s="4">
        <f t="shared" si="1"/>
        <v>0</v>
      </c>
      <c r="Q16" s="4">
        <f t="shared" si="2"/>
        <v>0</v>
      </c>
      <c r="R16" s="4">
        <f t="shared" si="3"/>
        <v>0</v>
      </c>
      <c r="S16" s="4">
        <f t="shared" si="4"/>
        <v>0</v>
      </c>
      <c r="T16" s="4"/>
      <c r="U16" s="4">
        <f t="shared" si="5"/>
        <v>0</v>
      </c>
      <c r="V16" s="1"/>
      <c r="W16" s="25">
        <f t="shared" si="6"/>
        <v>0</v>
      </c>
      <c r="Y16" s="3"/>
    </row>
    <row r="17" spans="2:25" x14ac:dyDescent="0.2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"/>
    </row>
    <row r="18" spans="2:25" x14ac:dyDescent="0.2">
      <c r="B18" s="28" t="s">
        <v>165</v>
      </c>
      <c r="C18" s="29">
        <f>SUM(C7:C17)</f>
        <v>13330.527999999998</v>
      </c>
      <c r="D18" s="29">
        <f t="shared" ref="D18:N18" si="7">SUM(D7:D17)</f>
        <v>26025.704000000002</v>
      </c>
      <c r="E18" s="29">
        <f t="shared" si="7"/>
        <v>9741.264000000001</v>
      </c>
      <c r="F18" s="29">
        <f t="shared" si="7"/>
        <v>8212.1040000000012</v>
      </c>
      <c r="G18" s="29">
        <f t="shared" si="7"/>
        <v>8212.1040000000012</v>
      </c>
      <c r="H18" s="29">
        <f t="shared" si="7"/>
        <v>8212.1080000000002</v>
      </c>
      <c r="I18" s="29">
        <f t="shared" si="7"/>
        <v>8212.1119999999992</v>
      </c>
      <c r="J18" s="29">
        <f t="shared" si="7"/>
        <v>7881.9520000000011</v>
      </c>
      <c r="K18" s="29">
        <f t="shared" si="7"/>
        <v>7708.8960000000006</v>
      </c>
      <c r="L18" s="29">
        <f t="shared" si="7"/>
        <v>7708.8959999999997</v>
      </c>
      <c r="M18" s="29">
        <f t="shared" si="7"/>
        <v>7688.5359999999991</v>
      </c>
      <c r="N18" s="29">
        <f t="shared" si="7"/>
        <v>7880</v>
      </c>
      <c r="O18" s="8"/>
      <c r="P18" s="29">
        <f t="shared" ref="P18" si="8">SUM(P7:P17)</f>
        <v>49097.496000000006</v>
      </c>
      <c r="Q18" s="29">
        <f t="shared" ref="Q18" si="9">SUM(Q7:Q17)</f>
        <v>24636.316000000003</v>
      </c>
      <c r="R18" s="29">
        <f t="shared" ref="R18" si="10">SUM(R7:R17)</f>
        <v>23802.959999999999</v>
      </c>
      <c r="S18" s="29">
        <f t="shared" ref="S18:U18" si="11">SUM(S7:S17)</f>
        <v>23277.432000000001</v>
      </c>
      <c r="T18" s="12"/>
      <c r="U18" s="29">
        <f t="shared" si="11"/>
        <v>120814.204</v>
      </c>
      <c r="V18" s="1"/>
      <c r="W18" s="25">
        <f>ROUND(SUM(P18:S18)-U18,2)</f>
        <v>0</v>
      </c>
      <c r="Y18" s="3"/>
    </row>
    <row r="19" spans="2:25" x14ac:dyDescent="0.2"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8"/>
      <c r="P19" s="29"/>
      <c r="Q19" s="29"/>
      <c r="R19" s="29"/>
      <c r="S19" s="29"/>
      <c r="T19" s="12"/>
      <c r="U19" s="29"/>
      <c r="V19" s="1"/>
      <c r="W19" s="25"/>
      <c r="Y19" s="3"/>
    </row>
    <row r="20" spans="2:25" x14ac:dyDescent="0.2">
      <c r="B20" s="176" t="s">
        <v>169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8"/>
      <c r="V20" s="1"/>
      <c r="W20" s="3"/>
      <c r="Y20" s="3"/>
    </row>
    <row r="21" spans="2:25" x14ac:dyDescent="0.2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8"/>
      <c r="P21" s="10"/>
      <c r="Q21" s="10"/>
      <c r="R21" s="10"/>
      <c r="S21" s="10"/>
      <c r="T21" s="10"/>
      <c r="U21" s="11"/>
      <c r="V21" s="1"/>
      <c r="W21" s="3"/>
      <c r="Y21" s="3"/>
    </row>
    <row r="22" spans="2:25" x14ac:dyDescent="0.2">
      <c r="B22" s="30" t="s">
        <v>154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8"/>
      <c r="P22" s="4">
        <f>SUM(C22:E22)</f>
        <v>0</v>
      </c>
      <c r="Q22" s="4">
        <f>SUM(F22:H22)</f>
        <v>0</v>
      </c>
      <c r="R22" s="4">
        <f>SUM(I22:K22)</f>
        <v>0</v>
      </c>
      <c r="S22" s="4">
        <f>SUM(L22:N22)</f>
        <v>0</v>
      </c>
      <c r="T22" s="4"/>
      <c r="U22" s="4">
        <f>SUM(C22:N22)</f>
        <v>0</v>
      </c>
      <c r="V22" s="1"/>
      <c r="W22" s="25">
        <f>ROUND(SUM(P22:S22)-U22,2)</f>
        <v>0</v>
      </c>
      <c r="Y22" s="3"/>
    </row>
    <row r="23" spans="2:25" x14ac:dyDescent="0.2">
      <c r="B23" s="30" t="s">
        <v>155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8"/>
      <c r="P23" s="4">
        <f t="shared" ref="P23:P31" si="12">SUM(C23:E23)</f>
        <v>0</v>
      </c>
      <c r="Q23" s="4">
        <f t="shared" ref="Q23:Q31" si="13">SUM(F23:H23)</f>
        <v>0</v>
      </c>
      <c r="R23" s="4">
        <f t="shared" ref="R23:R31" si="14">SUM(I23:K23)</f>
        <v>0</v>
      </c>
      <c r="S23" s="4">
        <f t="shared" ref="S23:S31" si="15">SUM(L23:N23)</f>
        <v>0</v>
      </c>
      <c r="T23" s="4"/>
      <c r="U23" s="4">
        <f t="shared" ref="U23:U31" si="16">SUM(C23:N23)</f>
        <v>0</v>
      </c>
      <c r="V23" s="1"/>
      <c r="W23" s="25">
        <f t="shared" ref="W23:W31" si="17">ROUND(SUM(P23:S23)-U23,2)</f>
        <v>0</v>
      </c>
      <c r="Y23" s="3"/>
    </row>
    <row r="24" spans="2:25" x14ac:dyDescent="0.2">
      <c r="B24" s="30" t="s">
        <v>156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8"/>
      <c r="P24" s="4">
        <f t="shared" si="12"/>
        <v>0</v>
      </c>
      <c r="Q24" s="4">
        <f t="shared" si="13"/>
        <v>0</v>
      </c>
      <c r="R24" s="4">
        <f t="shared" si="14"/>
        <v>0</v>
      </c>
      <c r="S24" s="4">
        <f t="shared" si="15"/>
        <v>0</v>
      </c>
      <c r="T24" s="4"/>
      <c r="U24" s="4">
        <f t="shared" si="16"/>
        <v>0</v>
      </c>
      <c r="V24" s="1"/>
      <c r="W24" s="25">
        <f t="shared" si="17"/>
        <v>0</v>
      </c>
      <c r="Y24" s="3"/>
    </row>
    <row r="25" spans="2:25" x14ac:dyDescent="0.2">
      <c r="B25" s="30" t="s">
        <v>157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8"/>
      <c r="P25" s="4">
        <f t="shared" si="12"/>
        <v>0</v>
      </c>
      <c r="Q25" s="4">
        <f t="shared" si="13"/>
        <v>0</v>
      </c>
      <c r="R25" s="4">
        <f t="shared" si="14"/>
        <v>0</v>
      </c>
      <c r="S25" s="4">
        <f t="shared" si="15"/>
        <v>0</v>
      </c>
      <c r="T25" s="4"/>
      <c r="U25" s="4">
        <f t="shared" si="16"/>
        <v>0</v>
      </c>
      <c r="V25" s="1"/>
      <c r="W25" s="25">
        <f t="shared" si="17"/>
        <v>0</v>
      </c>
      <c r="Y25" s="3"/>
    </row>
    <row r="26" spans="2:25" x14ac:dyDescent="0.2">
      <c r="B26" s="30" t="s">
        <v>158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8"/>
      <c r="P26" s="4">
        <f t="shared" si="12"/>
        <v>0</v>
      </c>
      <c r="Q26" s="4">
        <f t="shared" si="13"/>
        <v>0</v>
      </c>
      <c r="R26" s="4">
        <f t="shared" si="14"/>
        <v>0</v>
      </c>
      <c r="S26" s="4">
        <f t="shared" si="15"/>
        <v>0</v>
      </c>
      <c r="T26" s="4"/>
      <c r="U26" s="4">
        <f t="shared" si="16"/>
        <v>0</v>
      </c>
      <c r="V26" s="1"/>
      <c r="W26" s="25">
        <f t="shared" si="17"/>
        <v>0</v>
      </c>
      <c r="Y26" s="3"/>
    </row>
    <row r="27" spans="2:25" x14ac:dyDescent="0.2">
      <c r="B27" s="30" t="s">
        <v>159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8"/>
      <c r="P27" s="4">
        <f t="shared" si="12"/>
        <v>0</v>
      </c>
      <c r="Q27" s="4">
        <f t="shared" si="13"/>
        <v>0</v>
      </c>
      <c r="R27" s="4">
        <f t="shared" si="14"/>
        <v>0</v>
      </c>
      <c r="S27" s="4">
        <f t="shared" si="15"/>
        <v>0</v>
      </c>
      <c r="T27" s="4"/>
      <c r="U27" s="4">
        <f t="shared" si="16"/>
        <v>0</v>
      </c>
      <c r="V27" s="1"/>
      <c r="W27" s="25">
        <f t="shared" si="17"/>
        <v>0</v>
      </c>
      <c r="Y27" s="3"/>
    </row>
    <row r="28" spans="2:25" x14ac:dyDescent="0.2">
      <c r="B28" s="30" t="s">
        <v>160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8"/>
      <c r="P28" s="4">
        <f t="shared" si="12"/>
        <v>0</v>
      </c>
      <c r="Q28" s="4">
        <f t="shared" si="13"/>
        <v>0</v>
      </c>
      <c r="R28" s="4">
        <f t="shared" si="14"/>
        <v>0</v>
      </c>
      <c r="S28" s="4">
        <f t="shared" si="15"/>
        <v>0</v>
      </c>
      <c r="T28" s="4"/>
      <c r="U28" s="4">
        <f t="shared" si="16"/>
        <v>0</v>
      </c>
      <c r="V28" s="1"/>
      <c r="W28" s="25">
        <f t="shared" si="17"/>
        <v>0</v>
      </c>
      <c r="Y28" s="3"/>
    </row>
    <row r="29" spans="2:25" x14ac:dyDescent="0.2">
      <c r="B29" s="30" t="s">
        <v>161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8"/>
      <c r="P29" s="4">
        <f t="shared" si="12"/>
        <v>0</v>
      </c>
      <c r="Q29" s="4">
        <f t="shared" si="13"/>
        <v>0</v>
      </c>
      <c r="R29" s="4">
        <f t="shared" si="14"/>
        <v>0</v>
      </c>
      <c r="S29" s="4">
        <f t="shared" si="15"/>
        <v>0</v>
      </c>
      <c r="T29" s="4"/>
      <c r="U29" s="4">
        <f t="shared" si="16"/>
        <v>0</v>
      </c>
      <c r="V29" s="1"/>
      <c r="W29" s="25">
        <f t="shared" si="17"/>
        <v>0</v>
      </c>
      <c r="Y29" s="3"/>
    </row>
    <row r="30" spans="2:25" x14ac:dyDescent="0.2">
      <c r="B30" s="30" t="s">
        <v>162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8"/>
      <c r="P30" s="4">
        <f t="shared" si="12"/>
        <v>0</v>
      </c>
      <c r="Q30" s="4">
        <f t="shared" si="13"/>
        <v>0</v>
      </c>
      <c r="R30" s="4">
        <f t="shared" si="14"/>
        <v>0</v>
      </c>
      <c r="S30" s="4">
        <f t="shared" si="15"/>
        <v>0</v>
      </c>
      <c r="T30" s="4"/>
      <c r="U30" s="4">
        <f t="shared" si="16"/>
        <v>0</v>
      </c>
      <c r="V30" s="1"/>
      <c r="W30" s="25">
        <f t="shared" si="17"/>
        <v>0</v>
      </c>
      <c r="Y30" s="3"/>
    </row>
    <row r="31" spans="2:25" x14ac:dyDescent="0.2">
      <c r="B31" s="30" t="s">
        <v>163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8"/>
      <c r="P31" s="4">
        <f t="shared" si="12"/>
        <v>0</v>
      </c>
      <c r="Q31" s="4">
        <f t="shared" si="13"/>
        <v>0</v>
      </c>
      <c r="R31" s="4">
        <f t="shared" si="14"/>
        <v>0</v>
      </c>
      <c r="S31" s="4">
        <f t="shared" si="15"/>
        <v>0</v>
      </c>
      <c r="T31" s="4"/>
      <c r="U31" s="4">
        <f t="shared" si="16"/>
        <v>0</v>
      </c>
      <c r="V31" s="1"/>
      <c r="W31" s="25">
        <f t="shared" si="17"/>
        <v>0</v>
      </c>
      <c r="Y31" s="3"/>
    </row>
    <row r="32" spans="2:25" x14ac:dyDescent="0.2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Y32" s="3"/>
    </row>
    <row r="33" spans="2:25" x14ac:dyDescent="0.2">
      <c r="B33" s="28" t="s">
        <v>166</v>
      </c>
      <c r="C33" s="29">
        <f>SUM(C22:C32)</f>
        <v>0</v>
      </c>
      <c r="D33" s="29">
        <f t="shared" ref="D33" si="18">SUM(D22:D32)</f>
        <v>0</v>
      </c>
      <c r="E33" s="29">
        <f t="shared" ref="E33" si="19">SUM(E22:E32)</f>
        <v>0</v>
      </c>
      <c r="F33" s="29">
        <f t="shared" ref="F33" si="20">SUM(F22:F32)</f>
        <v>0</v>
      </c>
      <c r="G33" s="29">
        <f t="shared" ref="G33" si="21">SUM(G22:G32)</f>
        <v>0</v>
      </c>
      <c r="H33" s="29">
        <f t="shared" ref="H33" si="22">SUM(H22:H32)</f>
        <v>0</v>
      </c>
      <c r="I33" s="29">
        <f t="shared" ref="I33" si="23">SUM(I22:I32)</f>
        <v>0</v>
      </c>
      <c r="J33" s="29">
        <f t="shared" ref="J33" si="24">SUM(J22:J32)</f>
        <v>0</v>
      </c>
      <c r="K33" s="29">
        <f t="shared" ref="K33" si="25">SUM(K22:K32)</f>
        <v>0</v>
      </c>
      <c r="L33" s="29">
        <f t="shared" ref="L33" si="26">SUM(L22:L32)</f>
        <v>0</v>
      </c>
      <c r="M33" s="29">
        <f t="shared" ref="M33" si="27">SUM(M22:M32)</f>
        <v>0</v>
      </c>
      <c r="N33" s="29">
        <f t="shared" ref="N33" si="28">SUM(N22:N32)</f>
        <v>0</v>
      </c>
      <c r="O33" s="8"/>
      <c r="P33" s="29">
        <f t="shared" ref="P33" si="29">SUM(P22:P32)</f>
        <v>0</v>
      </c>
      <c r="Q33" s="29">
        <f t="shared" ref="Q33" si="30">SUM(Q22:Q32)</f>
        <v>0</v>
      </c>
      <c r="R33" s="29">
        <f t="shared" ref="R33" si="31">SUM(R22:R32)</f>
        <v>0</v>
      </c>
      <c r="S33" s="29">
        <f t="shared" ref="S33" si="32">SUM(S22:S32)</f>
        <v>0</v>
      </c>
      <c r="T33" s="12"/>
      <c r="U33" s="29">
        <f t="shared" ref="U33" si="33">SUM(U22:U32)</f>
        <v>0</v>
      </c>
      <c r="V33" s="1"/>
      <c r="W33" s="25">
        <f>ROUND(SUM(P33:S33)-U33,2)</f>
        <v>0</v>
      </c>
      <c r="Y33" s="3"/>
    </row>
    <row r="34" spans="2:25" x14ac:dyDescent="0.2"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8"/>
      <c r="P34" s="29"/>
      <c r="Q34" s="29"/>
      <c r="R34" s="29"/>
      <c r="S34" s="29"/>
      <c r="T34" s="12"/>
      <c r="U34" s="29"/>
      <c r="V34" s="1"/>
      <c r="W34" s="25"/>
      <c r="Y34" s="3"/>
    </row>
    <row r="35" spans="2:25" x14ac:dyDescent="0.2">
      <c r="B35" s="176" t="s">
        <v>167</v>
      </c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8"/>
      <c r="V35" s="1"/>
      <c r="W35" s="3"/>
    </row>
    <row r="36" spans="2:25" x14ac:dyDescent="0.2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8"/>
      <c r="P36" s="10"/>
      <c r="Q36" s="10"/>
      <c r="R36" s="10"/>
      <c r="S36" s="10"/>
      <c r="T36" s="10"/>
      <c r="U36" s="11"/>
      <c r="V36" s="1"/>
      <c r="W36" s="3"/>
    </row>
    <row r="37" spans="2:25" x14ac:dyDescent="0.2">
      <c r="B37" s="30" t="s">
        <v>186</v>
      </c>
      <c r="C37" s="13">
        <f>+'2 Employees'!C93*0.5</f>
        <v>5719.0599999999995</v>
      </c>
      <c r="D37" s="13">
        <f>+'2 Employees'!D93*0.5</f>
        <v>3959.6800000000003</v>
      </c>
      <c r="E37" s="13">
        <f>+'2 Employees'!E93*0.5</f>
        <v>3978.9500000000003</v>
      </c>
      <c r="F37" s="13">
        <f>+'2 Employees'!F93*0.5</f>
        <v>3978.9500000000003</v>
      </c>
      <c r="G37" s="13">
        <f>+'2 Employees'!G93*0.5</f>
        <v>3978.9500000000003</v>
      </c>
      <c r="H37" s="13">
        <f>+'2 Employees'!H93*0.5</f>
        <v>3978.95</v>
      </c>
      <c r="I37" s="13">
        <f>+'2 Employees'!I93*0.5</f>
        <v>3978.95</v>
      </c>
      <c r="J37" s="13">
        <f>+'2 Employees'!J93*0.5</f>
        <v>3978.9500000000003</v>
      </c>
      <c r="K37" s="13">
        <f>+'2 Employees'!K93*0.5</f>
        <v>3978.9500000000003</v>
      </c>
      <c r="L37" s="13">
        <f>+'2 Employees'!L93*0.5</f>
        <v>3978.9500000000003</v>
      </c>
      <c r="M37" s="13">
        <f>+'2 Employees'!M93*0.5</f>
        <v>3978.9450000000002</v>
      </c>
      <c r="N37" s="13">
        <f>+'2 Employees'!N93*0.5</f>
        <v>4000</v>
      </c>
      <c r="O37" s="8"/>
      <c r="P37" s="4">
        <f>SUM(C37:E37)</f>
        <v>13657.69</v>
      </c>
      <c r="Q37" s="4">
        <f>SUM(F37:H37)</f>
        <v>11936.85</v>
      </c>
      <c r="R37" s="4">
        <f>SUM(I37:K37)</f>
        <v>11936.85</v>
      </c>
      <c r="S37" s="4">
        <f>SUM(L37:N37)</f>
        <v>11957.895</v>
      </c>
      <c r="T37" s="4"/>
      <c r="U37" s="4">
        <f>SUM(C37:N37)</f>
        <v>49489.284999999996</v>
      </c>
      <c r="V37" s="1"/>
      <c r="W37" s="25">
        <f>ROUND(SUM(P37:S37)-U37,2)</f>
        <v>0</v>
      </c>
    </row>
    <row r="38" spans="2:25" x14ac:dyDescent="0.2">
      <c r="B38" s="30" t="s">
        <v>155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8"/>
      <c r="P38" s="4">
        <f t="shared" ref="P38:P46" si="34">SUM(C38:E38)</f>
        <v>0</v>
      </c>
      <c r="Q38" s="4">
        <f t="shared" ref="Q38:Q46" si="35">SUM(F38:H38)</f>
        <v>0</v>
      </c>
      <c r="R38" s="4">
        <f t="shared" ref="R38:R46" si="36">SUM(I38:K38)</f>
        <v>0</v>
      </c>
      <c r="S38" s="4">
        <f t="shared" ref="S38:S46" si="37">SUM(L38:N38)</f>
        <v>0</v>
      </c>
      <c r="T38" s="4"/>
      <c r="U38" s="4">
        <f t="shared" ref="U38:U46" si="38">SUM(C38:N38)</f>
        <v>0</v>
      </c>
      <c r="V38" s="1"/>
      <c r="W38" s="25">
        <f t="shared" ref="W38:W46" si="39">ROUND(SUM(P38:S38)-U38,2)</f>
        <v>0</v>
      </c>
    </row>
    <row r="39" spans="2:25" x14ac:dyDescent="0.2">
      <c r="B39" s="30" t="s">
        <v>156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8"/>
      <c r="P39" s="4">
        <f t="shared" si="34"/>
        <v>0</v>
      </c>
      <c r="Q39" s="4">
        <f t="shared" si="35"/>
        <v>0</v>
      </c>
      <c r="R39" s="4">
        <f t="shared" si="36"/>
        <v>0</v>
      </c>
      <c r="S39" s="4">
        <f t="shared" si="37"/>
        <v>0</v>
      </c>
      <c r="T39" s="4"/>
      <c r="U39" s="4">
        <f t="shared" si="38"/>
        <v>0</v>
      </c>
      <c r="V39" s="1"/>
      <c r="W39" s="25">
        <f t="shared" si="39"/>
        <v>0</v>
      </c>
    </row>
    <row r="40" spans="2:25" x14ac:dyDescent="0.2">
      <c r="B40" s="30" t="s">
        <v>157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8"/>
      <c r="P40" s="4">
        <f t="shared" si="34"/>
        <v>0</v>
      </c>
      <c r="Q40" s="4">
        <f t="shared" si="35"/>
        <v>0</v>
      </c>
      <c r="R40" s="4">
        <f t="shared" si="36"/>
        <v>0</v>
      </c>
      <c r="S40" s="4">
        <f t="shared" si="37"/>
        <v>0</v>
      </c>
      <c r="T40" s="4"/>
      <c r="U40" s="4">
        <f t="shared" si="38"/>
        <v>0</v>
      </c>
      <c r="V40" s="1"/>
      <c r="W40" s="25">
        <f t="shared" si="39"/>
        <v>0</v>
      </c>
    </row>
    <row r="41" spans="2:25" x14ac:dyDescent="0.2">
      <c r="B41" s="30" t="s">
        <v>158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8"/>
      <c r="P41" s="4">
        <f t="shared" si="34"/>
        <v>0</v>
      </c>
      <c r="Q41" s="4">
        <f t="shared" si="35"/>
        <v>0</v>
      </c>
      <c r="R41" s="4">
        <f t="shared" si="36"/>
        <v>0</v>
      </c>
      <c r="S41" s="4">
        <f t="shared" si="37"/>
        <v>0</v>
      </c>
      <c r="T41" s="4"/>
      <c r="U41" s="4">
        <f t="shared" si="38"/>
        <v>0</v>
      </c>
      <c r="V41" s="1"/>
      <c r="W41" s="25">
        <f t="shared" si="39"/>
        <v>0</v>
      </c>
    </row>
    <row r="42" spans="2:25" x14ac:dyDescent="0.2">
      <c r="B42" s="30" t="s">
        <v>159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8"/>
      <c r="P42" s="4">
        <f t="shared" si="34"/>
        <v>0</v>
      </c>
      <c r="Q42" s="4">
        <f t="shared" si="35"/>
        <v>0</v>
      </c>
      <c r="R42" s="4">
        <f t="shared" si="36"/>
        <v>0</v>
      </c>
      <c r="S42" s="4">
        <f t="shared" si="37"/>
        <v>0</v>
      </c>
      <c r="T42" s="4"/>
      <c r="U42" s="4">
        <f t="shared" si="38"/>
        <v>0</v>
      </c>
      <c r="V42" s="1"/>
      <c r="W42" s="25">
        <f t="shared" si="39"/>
        <v>0</v>
      </c>
    </row>
    <row r="43" spans="2:25" x14ac:dyDescent="0.2">
      <c r="B43" s="30" t="s">
        <v>160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8"/>
      <c r="P43" s="4">
        <f t="shared" si="34"/>
        <v>0</v>
      </c>
      <c r="Q43" s="4">
        <f t="shared" si="35"/>
        <v>0</v>
      </c>
      <c r="R43" s="4">
        <f t="shared" si="36"/>
        <v>0</v>
      </c>
      <c r="S43" s="4">
        <f t="shared" si="37"/>
        <v>0</v>
      </c>
      <c r="T43" s="4"/>
      <c r="U43" s="4">
        <f t="shared" si="38"/>
        <v>0</v>
      </c>
      <c r="V43" s="1"/>
      <c r="W43" s="25">
        <f t="shared" si="39"/>
        <v>0</v>
      </c>
    </row>
    <row r="44" spans="2:25" x14ac:dyDescent="0.2">
      <c r="B44" s="30" t="s">
        <v>161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8"/>
      <c r="P44" s="4">
        <f t="shared" si="34"/>
        <v>0</v>
      </c>
      <c r="Q44" s="4">
        <f t="shared" si="35"/>
        <v>0</v>
      </c>
      <c r="R44" s="4">
        <f t="shared" si="36"/>
        <v>0</v>
      </c>
      <c r="S44" s="4">
        <f t="shared" si="37"/>
        <v>0</v>
      </c>
      <c r="T44" s="4"/>
      <c r="U44" s="4">
        <f t="shared" si="38"/>
        <v>0</v>
      </c>
      <c r="V44" s="1"/>
      <c r="W44" s="25">
        <f t="shared" si="39"/>
        <v>0</v>
      </c>
    </row>
    <row r="45" spans="2:25" x14ac:dyDescent="0.2">
      <c r="B45" s="30" t="s">
        <v>162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8"/>
      <c r="P45" s="4">
        <f t="shared" si="34"/>
        <v>0</v>
      </c>
      <c r="Q45" s="4">
        <f t="shared" si="35"/>
        <v>0</v>
      </c>
      <c r="R45" s="4">
        <f t="shared" si="36"/>
        <v>0</v>
      </c>
      <c r="S45" s="4">
        <f t="shared" si="37"/>
        <v>0</v>
      </c>
      <c r="T45" s="4"/>
      <c r="U45" s="4">
        <f t="shared" si="38"/>
        <v>0</v>
      </c>
      <c r="V45" s="1"/>
      <c r="W45" s="25">
        <f t="shared" si="39"/>
        <v>0</v>
      </c>
    </row>
    <row r="46" spans="2:25" x14ac:dyDescent="0.2">
      <c r="B46" s="30" t="s">
        <v>163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8"/>
      <c r="P46" s="4">
        <f t="shared" si="34"/>
        <v>0</v>
      </c>
      <c r="Q46" s="4">
        <f t="shared" si="35"/>
        <v>0</v>
      </c>
      <c r="R46" s="4">
        <f t="shared" si="36"/>
        <v>0</v>
      </c>
      <c r="S46" s="4">
        <f t="shared" si="37"/>
        <v>0</v>
      </c>
      <c r="T46" s="4"/>
      <c r="U46" s="4">
        <f t="shared" si="38"/>
        <v>0</v>
      </c>
      <c r="V46" s="1"/>
      <c r="W46" s="25">
        <f t="shared" si="39"/>
        <v>0</v>
      </c>
    </row>
    <row r="47" spans="2:25" x14ac:dyDescent="0.2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2:25" x14ac:dyDescent="0.2">
      <c r="B48" s="28" t="s">
        <v>170</v>
      </c>
      <c r="C48" s="29">
        <f>SUM(C37:C47)</f>
        <v>5719.0599999999995</v>
      </c>
      <c r="D48" s="29">
        <f t="shared" ref="D48" si="40">SUM(D37:D47)</f>
        <v>3959.6800000000003</v>
      </c>
      <c r="E48" s="29">
        <f t="shared" ref="E48" si="41">SUM(E37:E47)</f>
        <v>3978.9500000000003</v>
      </c>
      <c r="F48" s="29">
        <f t="shared" ref="F48" si="42">SUM(F37:F47)</f>
        <v>3978.9500000000003</v>
      </c>
      <c r="G48" s="29">
        <f t="shared" ref="G48" si="43">SUM(G37:G47)</f>
        <v>3978.9500000000003</v>
      </c>
      <c r="H48" s="29">
        <f t="shared" ref="H48" si="44">SUM(H37:H47)</f>
        <v>3978.95</v>
      </c>
      <c r="I48" s="29">
        <f t="shared" ref="I48" si="45">SUM(I37:I47)</f>
        <v>3978.95</v>
      </c>
      <c r="J48" s="29">
        <f t="shared" ref="J48" si="46">SUM(J37:J47)</f>
        <v>3978.9500000000003</v>
      </c>
      <c r="K48" s="29">
        <f t="shared" ref="K48" si="47">SUM(K37:K47)</f>
        <v>3978.9500000000003</v>
      </c>
      <c r="L48" s="29">
        <f t="shared" ref="L48" si="48">SUM(L37:L47)</f>
        <v>3978.9500000000003</v>
      </c>
      <c r="M48" s="29">
        <f t="shared" ref="M48" si="49">SUM(M37:M47)</f>
        <v>3978.9450000000002</v>
      </c>
      <c r="N48" s="29">
        <f t="shared" ref="N48" si="50">SUM(N37:N47)</f>
        <v>4000</v>
      </c>
      <c r="O48" s="8"/>
      <c r="P48" s="29">
        <f t="shared" ref="P48" si="51">SUM(P37:P47)</f>
        <v>13657.69</v>
      </c>
      <c r="Q48" s="29">
        <f t="shared" ref="Q48" si="52">SUM(Q37:Q47)</f>
        <v>11936.85</v>
      </c>
      <c r="R48" s="29">
        <f t="shared" ref="R48" si="53">SUM(R37:R47)</f>
        <v>11936.85</v>
      </c>
      <c r="S48" s="29">
        <f t="shared" ref="S48" si="54">SUM(S37:S47)</f>
        <v>11957.895</v>
      </c>
      <c r="T48" s="12"/>
      <c r="U48" s="29">
        <f t="shared" ref="U48" si="55">SUM(U37:U47)</f>
        <v>49489.284999999996</v>
      </c>
      <c r="V48" s="1"/>
      <c r="W48" s="25">
        <f>ROUND(SUM(P48:S48)-U48,2)</f>
        <v>0</v>
      </c>
    </row>
    <row r="49" spans="2:23" x14ac:dyDescent="0.2">
      <c r="B49" s="28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8"/>
      <c r="P49" s="29"/>
      <c r="Q49" s="29"/>
      <c r="R49" s="29"/>
      <c r="S49" s="29"/>
      <c r="T49" s="12"/>
      <c r="U49" s="29"/>
      <c r="V49" s="1"/>
      <c r="W49" s="25"/>
    </row>
    <row r="50" spans="2:23" x14ac:dyDescent="0.2">
      <c r="B50" s="176" t="s">
        <v>168</v>
      </c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8"/>
      <c r="V50" s="1"/>
      <c r="W50" s="3"/>
    </row>
    <row r="51" spans="2:23" x14ac:dyDescent="0.2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8"/>
      <c r="P51" s="10"/>
      <c r="Q51" s="10"/>
      <c r="R51" s="10"/>
      <c r="S51" s="10"/>
      <c r="T51" s="10"/>
      <c r="U51" s="11"/>
      <c r="V51" s="1"/>
      <c r="W51" s="3"/>
    </row>
    <row r="52" spans="2:23" x14ac:dyDescent="0.2">
      <c r="B52" s="30" t="s">
        <v>154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8"/>
      <c r="P52" s="4">
        <f>SUM(C52:E52)</f>
        <v>0</v>
      </c>
      <c r="Q52" s="4">
        <f>SUM(F52:H52)</f>
        <v>0</v>
      </c>
      <c r="R52" s="4">
        <f>SUM(I52:K52)</f>
        <v>0</v>
      </c>
      <c r="S52" s="4">
        <f>SUM(L52:N52)</f>
        <v>0</v>
      </c>
      <c r="T52" s="4"/>
      <c r="U52" s="4">
        <f>SUM(C52:N52)</f>
        <v>0</v>
      </c>
      <c r="V52" s="1"/>
      <c r="W52" s="25">
        <f>ROUND(SUM(P52:S52)-U52,2)</f>
        <v>0</v>
      </c>
    </row>
    <row r="53" spans="2:23" x14ac:dyDescent="0.2">
      <c r="B53" s="30" t="s">
        <v>155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8"/>
      <c r="P53" s="4">
        <f t="shared" ref="P53:P61" si="56">SUM(C53:E53)</f>
        <v>0</v>
      </c>
      <c r="Q53" s="4">
        <f t="shared" ref="Q53:Q61" si="57">SUM(F53:H53)</f>
        <v>0</v>
      </c>
      <c r="R53" s="4">
        <f t="shared" ref="R53:R61" si="58">SUM(I53:K53)</f>
        <v>0</v>
      </c>
      <c r="S53" s="4">
        <f t="shared" ref="S53:S61" si="59">SUM(L53:N53)</f>
        <v>0</v>
      </c>
      <c r="T53" s="4"/>
      <c r="U53" s="4">
        <f t="shared" ref="U53:U61" si="60">SUM(C53:N53)</f>
        <v>0</v>
      </c>
      <c r="V53" s="1"/>
      <c r="W53" s="25">
        <f t="shared" ref="W53:W61" si="61">ROUND(SUM(P53:S53)-U53,2)</f>
        <v>0</v>
      </c>
    </row>
    <row r="54" spans="2:23" x14ac:dyDescent="0.2">
      <c r="B54" s="30" t="s">
        <v>156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8"/>
      <c r="P54" s="4">
        <f t="shared" si="56"/>
        <v>0</v>
      </c>
      <c r="Q54" s="4">
        <f t="shared" si="57"/>
        <v>0</v>
      </c>
      <c r="R54" s="4">
        <f t="shared" si="58"/>
        <v>0</v>
      </c>
      <c r="S54" s="4">
        <f t="shared" si="59"/>
        <v>0</v>
      </c>
      <c r="T54" s="4"/>
      <c r="U54" s="4">
        <f t="shared" si="60"/>
        <v>0</v>
      </c>
      <c r="V54" s="1"/>
      <c r="W54" s="25">
        <f t="shared" si="61"/>
        <v>0</v>
      </c>
    </row>
    <row r="55" spans="2:23" x14ac:dyDescent="0.2">
      <c r="B55" s="30" t="s">
        <v>157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8"/>
      <c r="P55" s="4">
        <f t="shared" si="56"/>
        <v>0</v>
      </c>
      <c r="Q55" s="4">
        <f t="shared" si="57"/>
        <v>0</v>
      </c>
      <c r="R55" s="4">
        <f t="shared" si="58"/>
        <v>0</v>
      </c>
      <c r="S55" s="4">
        <f t="shared" si="59"/>
        <v>0</v>
      </c>
      <c r="T55" s="4"/>
      <c r="U55" s="4">
        <f t="shared" si="60"/>
        <v>0</v>
      </c>
      <c r="V55" s="1"/>
      <c r="W55" s="25">
        <f t="shared" si="61"/>
        <v>0</v>
      </c>
    </row>
    <row r="56" spans="2:23" x14ac:dyDescent="0.2">
      <c r="B56" s="30" t="s">
        <v>158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8"/>
      <c r="P56" s="4">
        <f t="shared" si="56"/>
        <v>0</v>
      </c>
      <c r="Q56" s="4">
        <f t="shared" si="57"/>
        <v>0</v>
      </c>
      <c r="R56" s="4">
        <f t="shared" si="58"/>
        <v>0</v>
      </c>
      <c r="S56" s="4">
        <f t="shared" si="59"/>
        <v>0</v>
      </c>
      <c r="T56" s="4"/>
      <c r="U56" s="4">
        <f t="shared" si="60"/>
        <v>0</v>
      </c>
      <c r="V56" s="1"/>
      <c r="W56" s="25">
        <f t="shared" si="61"/>
        <v>0</v>
      </c>
    </row>
    <row r="57" spans="2:23" x14ac:dyDescent="0.2">
      <c r="B57" s="30" t="s">
        <v>159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8"/>
      <c r="P57" s="4">
        <f t="shared" si="56"/>
        <v>0</v>
      </c>
      <c r="Q57" s="4">
        <f t="shared" si="57"/>
        <v>0</v>
      </c>
      <c r="R57" s="4">
        <f t="shared" si="58"/>
        <v>0</v>
      </c>
      <c r="S57" s="4">
        <f t="shared" si="59"/>
        <v>0</v>
      </c>
      <c r="T57" s="4"/>
      <c r="U57" s="4">
        <f t="shared" si="60"/>
        <v>0</v>
      </c>
      <c r="V57" s="1"/>
      <c r="W57" s="25">
        <f t="shared" si="61"/>
        <v>0</v>
      </c>
    </row>
    <row r="58" spans="2:23" x14ac:dyDescent="0.2">
      <c r="B58" s="30" t="s">
        <v>160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8"/>
      <c r="P58" s="4">
        <f t="shared" si="56"/>
        <v>0</v>
      </c>
      <c r="Q58" s="4">
        <f t="shared" si="57"/>
        <v>0</v>
      </c>
      <c r="R58" s="4">
        <f t="shared" si="58"/>
        <v>0</v>
      </c>
      <c r="S58" s="4">
        <f t="shared" si="59"/>
        <v>0</v>
      </c>
      <c r="T58" s="4"/>
      <c r="U58" s="4">
        <f t="shared" si="60"/>
        <v>0</v>
      </c>
      <c r="V58" s="1"/>
      <c r="W58" s="25">
        <f t="shared" si="61"/>
        <v>0</v>
      </c>
    </row>
    <row r="59" spans="2:23" x14ac:dyDescent="0.2">
      <c r="B59" s="30" t="s">
        <v>161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8"/>
      <c r="P59" s="4">
        <f t="shared" si="56"/>
        <v>0</v>
      </c>
      <c r="Q59" s="4">
        <f t="shared" si="57"/>
        <v>0</v>
      </c>
      <c r="R59" s="4">
        <f t="shared" si="58"/>
        <v>0</v>
      </c>
      <c r="S59" s="4">
        <f t="shared" si="59"/>
        <v>0</v>
      </c>
      <c r="T59" s="4"/>
      <c r="U59" s="4">
        <f t="shared" si="60"/>
        <v>0</v>
      </c>
      <c r="V59" s="1"/>
      <c r="W59" s="25">
        <f t="shared" si="61"/>
        <v>0</v>
      </c>
    </row>
    <row r="60" spans="2:23" x14ac:dyDescent="0.2">
      <c r="B60" s="30" t="s">
        <v>162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8"/>
      <c r="P60" s="4">
        <f t="shared" si="56"/>
        <v>0</v>
      </c>
      <c r="Q60" s="4">
        <f t="shared" si="57"/>
        <v>0</v>
      </c>
      <c r="R60" s="4">
        <f t="shared" si="58"/>
        <v>0</v>
      </c>
      <c r="S60" s="4">
        <f t="shared" si="59"/>
        <v>0</v>
      </c>
      <c r="T60" s="4"/>
      <c r="U60" s="4">
        <f t="shared" si="60"/>
        <v>0</v>
      </c>
      <c r="V60" s="1"/>
      <c r="W60" s="25">
        <f t="shared" si="61"/>
        <v>0</v>
      </c>
    </row>
    <row r="61" spans="2:23" x14ac:dyDescent="0.2">
      <c r="B61" s="30" t="s">
        <v>163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8"/>
      <c r="P61" s="4">
        <f t="shared" si="56"/>
        <v>0</v>
      </c>
      <c r="Q61" s="4">
        <f t="shared" si="57"/>
        <v>0</v>
      </c>
      <c r="R61" s="4">
        <f t="shared" si="58"/>
        <v>0</v>
      </c>
      <c r="S61" s="4">
        <f t="shared" si="59"/>
        <v>0</v>
      </c>
      <c r="T61" s="4"/>
      <c r="U61" s="4">
        <f t="shared" si="60"/>
        <v>0</v>
      </c>
      <c r="V61" s="1"/>
      <c r="W61" s="25">
        <f t="shared" si="61"/>
        <v>0</v>
      </c>
    </row>
    <row r="62" spans="2:23" x14ac:dyDescent="0.2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spans="2:23" x14ac:dyDescent="0.2">
      <c r="B63" s="28" t="s">
        <v>171</v>
      </c>
      <c r="C63" s="29">
        <f>SUM(C52:C62)</f>
        <v>0</v>
      </c>
      <c r="D63" s="29">
        <f t="shared" ref="D63" si="62">SUM(D52:D62)</f>
        <v>0</v>
      </c>
      <c r="E63" s="29">
        <f t="shared" ref="E63" si="63">SUM(E52:E62)</f>
        <v>0</v>
      </c>
      <c r="F63" s="29">
        <f t="shared" ref="F63" si="64">SUM(F52:F62)</f>
        <v>0</v>
      </c>
      <c r="G63" s="29">
        <f t="shared" ref="G63" si="65">SUM(G52:G62)</f>
        <v>0</v>
      </c>
      <c r="H63" s="29">
        <f t="shared" ref="H63" si="66">SUM(H52:H62)</f>
        <v>0</v>
      </c>
      <c r="I63" s="29">
        <f t="shared" ref="I63" si="67">SUM(I52:I62)</f>
        <v>0</v>
      </c>
      <c r="J63" s="29">
        <f t="shared" ref="J63" si="68">SUM(J52:J62)</f>
        <v>0</v>
      </c>
      <c r="K63" s="29">
        <f t="shared" ref="K63" si="69">SUM(K52:K62)</f>
        <v>0</v>
      </c>
      <c r="L63" s="29">
        <f t="shared" ref="L63" si="70">SUM(L52:L62)</f>
        <v>0</v>
      </c>
      <c r="M63" s="29">
        <f t="shared" ref="M63" si="71">SUM(M52:M62)</f>
        <v>0</v>
      </c>
      <c r="N63" s="29">
        <f t="shared" ref="N63" si="72">SUM(N52:N62)</f>
        <v>0</v>
      </c>
      <c r="O63" s="8"/>
      <c r="P63" s="29">
        <f t="shared" ref="P63" si="73">SUM(P52:P62)</f>
        <v>0</v>
      </c>
      <c r="Q63" s="29">
        <f t="shared" ref="Q63" si="74">SUM(Q52:Q62)</f>
        <v>0</v>
      </c>
      <c r="R63" s="29">
        <f t="shared" ref="R63" si="75">SUM(R52:R62)</f>
        <v>0</v>
      </c>
      <c r="S63" s="29">
        <f t="shared" ref="S63" si="76">SUM(S52:S62)</f>
        <v>0</v>
      </c>
      <c r="T63" s="12"/>
      <c r="U63" s="29">
        <f t="shared" ref="U63" si="77">SUM(U52:U62)</f>
        <v>0</v>
      </c>
      <c r="V63" s="1"/>
      <c r="W63" s="25">
        <f>ROUND(SUM(P63:S63)-U63,2)</f>
        <v>0</v>
      </c>
    </row>
    <row r="65" spans="2:23" x14ac:dyDescent="0.2">
      <c r="B65" s="167" t="s">
        <v>172</v>
      </c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9"/>
    </row>
    <row r="66" spans="2:23" x14ac:dyDescent="0.2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8"/>
      <c r="P66" s="10"/>
      <c r="Q66" s="10"/>
      <c r="R66" s="10"/>
      <c r="S66" s="10"/>
      <c r="T66" s="10"/>
      <c r="U66" s="11"/>
    </row>
    <row r="67" spans="2:23" x14ac:dyDescent="0.2">
      <c r="B67" s="30" t="s">
        <v>154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8"/>
      <c r="P67" s="4">
        <f>SUM(C67:E67)</f>
        <v>0</v>
      </c>
      <c r="Q67" s="4">
        <f>SUM(F67:H67)</f>
        <v>0</v>
      </c>
      <c r="R67" s="4">
        <f>SUM(I67:K67)</f>
        <v>0</v>
      </c>
      <c r="S67" s="4">
        <f>SUM(L67:N67)</f>
        <v>0</v>
      </c>
      <c r="T67" s="4"/>
      <c r="U67" s="4">
        <f>SUM(C67:N67)</f>
        <v>0</v>
      </c>
      <c r="W67" s="25">
        <f>ROUND(SUM(P67:S67)-U67,2)</f>
        <v>0</v>
      </c>
    </row>
    <row r="68" spans="2:23" x14ac:dyDescent="0.2">
      <c r="B68" s="30" t="s">
        <v>155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8"/>
      <c r="P68" s="4">
        <f t="shared" ref="P68:P76" si="78">SUM(C68:E68)</f>
        <v>0</v>
      </c>
      <c r="Q68" s="4">
        <f t="shared" ref="Q68:Q76" si="79">SUM(F68:H68)</f>
        <v>0</v>
      </c>
      <c r="R68" s="4">
        <f t="shared" ref="R68:R76" si="80">SUM(I68:K68)</f>
        <v>0</v>
      </c>
      <c r="S68" s="4">
        <f t="shared" ref="S68:S76" si="81">SUM(L68:N68)</f>
        <v>0</v>
      </c>
      <c r="T68" s="4"/>
      <c r="U68" s="4">
        <f t="shared" ref="U68:U76" si="82">SUM(C68:N68)</f>
        <v>0</v>
      </c>
      <c r="W68" s="25">
        <f t="shared" ref="W68:W76" si="83">ROUND(SUM(P68:S68)-U68,2)</f>
        <v>0</v>
      </c>
    </row>
    <row r="69" spans="2:23" x14ac:dyDescent="0.2">
      <c r="B69" s="30" t="s">
        <v>156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8"/>
      <c r="P69" s="4">
        <f t="shared" si="78"/>
        <v>0</v>
      </c>
      <c r="Q69" s="4">
        <f t="shared" si="79"/>
        <v>0</v>
      </c>
      <c r="R69" s="4">
        <f t="shared" si="80"/>
        <v>0</v>
      </c>
      <c r="S69" s="4">
        <f t="shared" si="81"/>
        <v>0</v>
      </c>
      <c r="T69" s="4"/>
      <c r="U69" s="4">
        <f t="shared" si="82"/>
        <v>0</v>
      </c>
      <c r="W69" s="25">
        <f t="shared" si="83"/>
        <v>0</v>
      </c>
    </row>
    <row r="70" spans="2:23" x14ac:dyDescent="0.2">
      <c r="B70" s="30" t="s">
        <v>157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8"/>
      <c r="P70" s="4">
        <f t="shared" si="78"/>
        <v>0</v>
      </c>
      <c r="Q70" s="4">
        <f t="shared" si="79"/>
        <v>0</v>
      </c>
      <c r="R70" s="4">
        <f t="shared" si="80"/>
        <v>0</v>
      </c>
      <c r="S70" s="4">
        <f t="shared" si="81"/>
        <v>0</v>
      </c>
      <c r="T70" s="4"/>
      <c r="U70" s="4">
        <f t="shared" si="82"/>
        <v>0</v>
      </c>
      <c r="W70" s="25">
        <f t="shared" si="83"/>
        <v>0</v>
      </c>
    </row>
    <row r="71" spans="2:23" x14ac:dyDescent="0.2">
      <c r="B71" s="30" t="s">
        <v>158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8"/>
      <c r="P71" s="4">
        <f t="shared" si="78"/>
        <v>0</v>
      </c>
      <c r="Q71" s="4">
        <f t="shared" si="79"/>
        <v>0</v>
      </c>
      <c r="R71" s="4">
        <f t="shared" si="80"/>
        <v>0</v>
      </c>
      <c r="S71" s="4">
        <f t="shared" si="81"/>
        <v>0</v>
      </c>
      <c r="T71" s="4"/>
      <c r="U71" s="4">
        <f t="shared" si="82"/>
        <v>0</v>
      </c>
      <c r="W71" s="25">
        <f t="shared" si="83"/>
        <v>0</v>
      </c>
    </row>
    <row r="72" spans="2:23" x14ac:dyDescent="0.2">
      <c r="B72" s="30" t="s">
        <v>159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8"/>
      <c r="P72" s="4">
        <f t="shared" si="78"/>
        <v>0</v>
      </c>
      <c r="Q72" s="4">
        <f t="shared" si="79"/>
        <v>0</v>
      </c>
      <c r="R72" s="4">
        <f t="shared" si="80"/>
        <v>0</v>
      </c>
      <c r="S72" s="4">
        <f t="shared" si="81"/>
        <v>0</v>
      </c>
      <c r="T72" s="4"/>
      <c r="U72" s="4">
        <f t="shared" si="82"/>
        <v>0</v>
      </c>
      <c r="W72" s="25">
        <f t="shared" si="83"/>
        <v>0</v>
      </c>
    </row>
    <row r="73" spans="2:23" x14ac:dyDescent="0.2">
      <c r="B73" s="30" t="s">
        <v>160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8"/>
      <c r="P73" s="4">
        <f t="shared" si="78"/>
        <v>0</v>
      </c>
      <c r="Q73" s="4">
        <f t="shared" si="79"/>
        <v>0</v>
      </c>
      <c r="R73" s="4">
        <f t="shared" si="80"/>
        <v>0</v>
      </c>
      <c r="S73" s="4">
        <f t="shared" si="81"/>
        <v>0</v>
      </c>
      <c r="T73" s="4"/>
      <c r="U73" s="4">
        <f t="shared" si="82"/>
        <v>0</v>
      </c>
      <c r="W73" s="25">
        <f t="shared" si="83"/>
        <v>0</v>
      </c>
    </row>
    <row r="74" spans="2:23" x14ac:dyDescent="0.2">
      <c r="B74" s="30" t="s">
        <v>161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8"/>
      <c r="P74" s="4">
        <f t="shared" si="78"/>
        <v>0</v>
      </c>
      <c r="Q74" s="4">
        <f t="shared" si="79"/>
        <v>0</v>
      </c>
      <c r="R74" s="4">
        <f t="shared" si="80"/>
        <v>0</v>
      </c>
      <c r="S74" s="4">
        <f t="shared" si="81"/>
        <v>0</v>
      </c>
      <c r="T74" s="4"/>
      <c r="U74" s="4">
        <f t="shared" si="82"/>
        <v>0</v>
      </c>
      <c r="W74" s="25">
        <f t="shared" si="83"/>
        <v>0</v>
      </c>
    </row>
    <row r="75" spans="2:23" x14ac:dyDescent="0.2">
      <c r="B75" s="30" t="s">
        <v>162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8"/>
      <c r="P75" s="4">
        <f t="shared" si="78"/>
        <v>0</v>
      </c>
      <c r="Q75" s="4">
        <f t="shared" si="79"/>
        <v>0</v>
      </c>
      <c r="R75" s="4">
        <f t="shared" si="80"/>
        <v>0</v>
      </c>
      <c r="S75" s="4">
        <f t="shared" si="81"/>
        <v>0</v>
      </c>
      <c r="T75" s="4"/>
      <c r="U75" s="4">
        <f t="shared" si="82"/>
        <v>0</v>
      </c>
      <c r="W75" s="25">
        <f t="shared" si="83"/>
        <v>0</v>
      </c>
    </row>
    <row r="76" spans="2:23" x14ac:dyDescent="0.2">
      <c r="B76" s="30" t="s">
        <v>163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8"/>
      <c r="P76" s="4">
        <f t="shared" si="78"/>
        <v>0</v>
      </c>
      <c r="Q76" s="4">
        <f t="shared" si="79"/>
        <v>0</v>
      </c>
      <c r="R76" s="4">
        <f t="shared" si="80"/>
        <v>0</v>
      </c>
      <c r="S76" s="4">
        <f t="shared" si="81"/>
        <v>0</v>
      </c>
      <c r="T76" s="4"/>
      <c r="U76" s="4">
        <f t="shared" si="82"/>
        <v>0</v>
      </c>
      <c r="W76" s="25">
        <f t="shared" si="83"/>
        <v>0</v>
      </c>
    </row>
    <row r="77" spans="2:23" x14ac:dyDescent="0.2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W77" s="30"/>
    </row>
    <row r="78" spans="2:23" x14ac:dyDescent="0.2">
      <c r="B78" s="28" t="s">
        <v>174</v>
      </c>
      <c r="C78" s="29">
        <f>SUM(C67:C77)</f>
        <v>0</v>
      </c>
      <c r="D78" s="29">
        <f t="shared" ref="D78" si="84">SUM(D67:D77)</f>
        <v>0</v>
      </c>
      <c r="E78" s="29">
        <f t="shared" ref="E78" si="85">SUM(E67:E77)</f>
        <v>0</v>
      </c>
      <c r="F78" s="29">
        <f t="shared" ref="F78" si="86">SUM(F67:F77)</f>
        <v>0</v>
      </c>
      <c r="G78" s="29">
        <f t="shared" ref="G78" si="87">SUM(G67:G77)</f>
        <v>0</v>
      </c>
      <c r="H78" s="29">
        <f t="shared" ref="H78" si="88">SUM(H67:H77)</f>
        <v>0</v>
      </c>
      <c r="I78" s="29">
        <f t="shared" ref="I78" si="89">SUM(I67:I77)</f>
        <v>0</v>
      </c>
      <c r="J78" s="29">
        <f t="shared" ref="J78" si="90">SUM(J67:J77)</f>
        <v>0</v>
      </c>
      <c r="K78" s="29">
        <f t="shared" ref="K78" si="91">SUM(K67:K77)</f>
        <v>0</v>
      </c>
      <c r="L78" s="29">
        <f t="shared" ref="L78" si="92">SUM(L67:L77)</f>
        <v>0</v>
      </c>
      <c r="M78" s="29">
        <f t="shared" ref="M78" si="93">SUM(M67:M77)</f>
        <v>0</v>
      </c>
      <c r="N78" s="29">
        <f t="shared" ref="N78" si="94">SUM(N67:N77)</f>
        <v>0</v>
      </c>
      <c r="O78" s="8"/>
      <c r="P78" s="29">
        <f t="shared" ref="P78" si="95">SUM(P67:P77)</f>
        <v>0</v>
      </c>
      <c r="Q78" s="29">
        <f t="shared" ref="Q78" si="96">SUM(Q67:Q77)</f>
        <v>0</v>
      </c>
      <c r="R78" s="29">
        <f t="shared" ref="R78" si="97">SUM(R67:R77)</f>
        <v>0</v>
      </c>
      <c r="S78" s="29">
        <f t="shared" ref="S78" si="98">SUM(S67:S77)</f>
        <v>0</v>
      </c>
      <c r="T78" s="12"/>
      <c r="U78" s="29">
        <f t="shared" ref="U78" si="99">SUM(U67:U77)</f>
        <v>0</v>
      </c>
      <c r="W78" s="25">
        <f>ROUND(SUM(P78:S78)-U78,2)</f>
        <v>0</v>
      </c>
    </row>
    <row r="79" spans="2:23" x14ac:dyDescent="0.2">
      <c r="B79" s="28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8"/>
      <c r="P79" s="29"/>
      <c r="Q79" s="29"/>
      <c r="R79" s="29"/>
      <c r="S79" s="29"/>
      <c r="T79" s="12"/>
      <c r="U79" s="29"/>
    </row>
    <row r="80" spans="2:23" x14ac:dyDescent="0.2">
      <c r="B80" s="167" t="s">
        <v>173</v>
      </c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9"/>
    </row>
    <row r="81" spans="2:23" x14ac:dyDescent="0.2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8"/>
      <c r="P81" s="10"/>
      <c r="Q81" s="10"/>
      <c r="R81" s="10"/>
      <c r="S81" s="10"/>
      <c r="T81" s="10"/>
      <c r="U81" s="11"/>
    </row>
    <row r="82" spans="2:23" x14ac:dyDescent="0.2">
      <c r="B82" s="30" t="s">
        <v>154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8"/>
      <c r="P82" s="4">
        <f>SUM(C82:E82)</f>
        <v>0</v>
      </c>
      <c r="Q82" s="4">
        <f>SUM(F82:H82)</f>
        <v>0</v>
      </c>
      <c r="R82" s="4">
        <f>SUM(I82:K82)</f>
        <v>0</v>
      </c>
      <c r="S82" s="4">
        <f>SUM(L82:N82)</f>
        <v>0</v>
      </c>
      <c r="T82" s="4"/>
      <c r="U82" s="4">
        <f>SUM(C82:N82)</f>
        <v>0</v>
      </c>
      <c r="W82" s="25">
        <f>ROUND(SUM(P82:S82)-U82,2)</f>
        <v>0</v>
      </c>
    </row>
    <row r="83" spans="2:23" x14ac:dyDescent="0.2">
      <c r="B83" s="30" t="s">
        <v>155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8"/>
      <c r="P83" s="4">
        <f t="shared" ref="P83:P91" si="100">SUM(C83:E83)</f>
        <v>0</v>
      </c>
      <c r="Q83" s="4">
        <f t="shared" ref="Q83:Q91" si="101">SUM(F83:H83)</f>
        <v>0</v>
      </c>
      <c r="R83" s="4">
        <f t="shared" ref="R83:R91" si="102">SUM(I83:K83)</f>
        <v>0</v>
      </c>
      <c r="S83" s="4">
        <f t="shared" ref="S83:S91" si="103">SUM(L83:N83)</f>
        <v>0</v>
      </c>
      <c r="T83" s="4"/>
      <c r="U83" s="4">
        <f t="shared" ref="U83:U91" si="104">SUM(C83:N83)</f>
        <v>0</v>
      </c>
      <c r="W83" s="25">
        <f t="shared" ref="W83:W91" si="105">ROUND(SUM(P83:S83)-U83,2)</f>
        <v>0</v>
      </c>
    </row>
    <row r="84" spans="2:23" x14ac:dyDescent="0.2">
      <c r="B84" s="30" t="s">
        <v>156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8"/>
      <c r="P84" s="4">
        <f t="shared" si="100"/>
        <v>0</v>
      </c>
      <c r="Q84" s="4">
        <f t="shared" si="101"/>
        <v>0</v>
      </c>
      <c r="R84" s="4">
        <f t="shared" si="102"/>
        <v>0</v>
      </c>
      <c r="S84" s="4">
        <f t="shared" si="103"/>
        <v>0</v>
      </c>
      <c r="T84" s="4"/>
      <c r="U84" s="4">
        <f t="shared" si="104"/>
        <v>0</v>
      </c>
      <c r="W84" s="25">
        <f t="shared" si="105"/>
        <v>0</v>
      </c>
    </row>
    <row r="85" spans="2:23" x14ac:dyDescent="0.2">
      <c r="B85" s="30" t="s">
        <v>157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8"/>
      <c r="P85" s="4">
        <f t="shared" si="100"/>
        <v>0</v>
      </c>
      <c r="Q85" s="4">
        <f t="shared" si="101"/>
        <v>0</v>
      </c>
      <c r="R85" s="4">
        <f t="shared" si="102"/>
        <v>0</v>
      </c>
      <c r="S85" s="4">
        <f t="shared" si="103"/>
        <v>0</v>
      </c>
      <c r="T85" s="4"/>
      <c r="U85" s="4">
        <f t="shared" si="104"/>
        <v>0</v>
      </c>
      <c r="W85" s="25">
        <f t="shared" si="105"/>
        <v>0</v>
      </c>
    </row>
    <row r="86" spans="2:23" x14ac:dyDescent="0.2">
      <c r="B86" s="30" t="s">
        <v>158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8"/>
      <c r="P86" s="4">
        <f t="shared" si="100"/>
        <v>0</v>
      </c>
      <c r="Q86" s="4">
        <f t="shared" si="101"/>
        <v>0</v>
      </c>
      <c r="R86" s="4">
        <f t="shared" si="102"/>
        <v>0</v>
      </c>
      <c r="S86" s="4">
        <f t="shared" si="103"/>
        <v>0</v>
      </c>
      <c r="T86" s="4"/>
      <c r="U86" s="4">
        <f t="shared" si="104"/>
        <v>0</v>
      </c>
      <c r="W86" s="25">
        <f t="shared" si="105"/>
        <v>0</v>
      </c>
    </row>
    <row r="87" spans="2:23" x14ac:dyDescent="0.2">
      <c r="B87" s="30" t="s">
        <v>159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8"/>
      <c r="P87" s="4">
        <f t="shared" si="100"/>
        <v>0</v>
      </c>
      <c r="Q87" s="4">
        <f t="shared" si="101"/>
        <v>0</v>
      </c>
      <c r="R87" s="4">
        <f t="shared" si="102"/>
        <v>0</v>
      </c>
      <c r="S87" s="4">
        <f t="shared" si="103"/>
        <v>0</v>
      </c>
      <c r="T87" s="4"/>
      <c r="U87" s="4">
        <f t="shared" si="104"/>
        <v>0</v>
      </c>
      <c r="W87" s="25">
        <f t="shared" si="105"/>
        <v>0</v>
      </c>
    </row>
    <row r="88" spans="2:23" x14ac:dyDescent="0.2">
      <c r="B88" s="30" t="s">
        <v>160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8"/>
      <c r="P88" s="4">
        <f t="shared" si="100"/>
        <v>0</v>
      </c>
      <c r="Q88" s="4">
        <f t="shared" si="101"/>
        <v>0</v>
      </c>
      <c r="R88" s="4">
        <f t="shared" si="102"/>
        <v>0</v>
      </c>
      <c r="S88" s="4">
        <f t="shared" si="103"/>
        <v>0</v>
      </c>
      <c r="T88" s="4"/>
      <c r="U88" s="4">
        <f t="shared" si="104"/>
        <v>0</v>
      </c>
      <c r="W88" s="25">
        <f t="shared" si="105"/>
        <v>0</v>
      </c>
    </row>
    <row r="89" spans="2:23" x14ac:dyDescent="0.2">
      <c r="B89" s="30" t="s">
        <v>161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8"/>
      <c r="P89" s="4">
        <f t="shared" si="100"/>
        <v>0</v>
      </c>
      <c r="Q89" s="4">
        <f t="shared" si="101"/>
        <v>0</v>
      </c>
      <c r="R89" s="4">
        <f t="shared" si="102"/>
        <v>0</v>
      </c>
      <c r="S89" s="4">
        <f t="shared" si="103"/>
        <v>0</v>
      </c>
      <c r="T89" s="4"/>
      <c r="U89" s="4">
        <f t="shared" si="104"/>
        <v>0</v>
      </c>
      <c r="W89" s="25">
        <f t="shared" si="105"/>
        <v>0</v>
      </c>
    </row>
    <row r="90" spans="2:23" x14ac:dyDescent="0.2">
      <c r="B90" s="30" t="s">
        <v>162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8"/>
      <c r="P90" s="4">
        <f t="shared" si="100"/>
        <v>0</v>
      </c>
      <c r="Q90" s="4">
        <f t="shared" si="101"/>
        <v>0</v>
      </c>
      <c r="R90" s="4">
        <f t="shared" si="102"/>
        <v>0</v>
      </c>
      <c r="S90" s="4">
        <f t="shared" si="103"/>
        <v>0</v>
      </c>
      <c r="T90" s="4"/>
      <c r="U90" s="4">
        <f t="shared" si="104"/>
        <v>0</v>
      </c>
      <c r="W90" s="25">
        <f t="shared" si="105"/>
        <v>0</v>
      </c>
    </row>
    <row r="91" spans="2:23" x14ac:dyDescent="0.2">
      <c r="B91" s="30" t="s">
        <v>163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8"/>
      <c r="P91" s="4">
        <f t="shared" si="100"/>
        <v>0</v>
      </c>
      <c r="Q91" s="4">
        <f t="shared" si="101"/>
        <v>0</v>
      </c>
      <c r="R91" s="4">
        <f t="shared" si="102"/>
        <v>0</v>
      </c>
      <c r="S91" s="4">
        <f t="shared" si="103"/>
        <v>0</v>
      </c>
      <c r="T91" s="4"/>
      <c r="U91" s="4">
        <f t="shared" si="104"/>
        <v>0</v>
      </c>
      <c r="W91" s="25">
        <f t="shared" si="105"/>
        <v>0</v>
      </c>
    </row>
    <row r="92" spans="2:23" x14ac:dyDescent="0.2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W92" s="30"/>
    </row>
    <row r="93" spans="2:23" x14ac:dyDescent="0.2">
      <c r="B93" s="28" t="s">
        <v>175</v>
      </c>
      <c r="C93" s="29">
        <f>SUM(C82:C92)</f>
        <v>0</v>
      </c>
      <c r="D93" s="29">
        <f t="shared" ref="D93" si="106">SUM(D82:D92)</f>
        <v>0</v>
      </c>
      <c r="E93" s="29">
        <f t="shared" ref="E93" si="107">SUM(E82:E92)</f>
        <v>0</v>
      </c>
      <c r="F93" s="29">
        <f t="shared" ref="F93" si="108">SUM(F82:F92)</f>
        <v>0</v>
      </c>
      <c r="G93" s="29">
        <f t="shared" ref="G93" si="109">SUM(G82:G92)</f>
        <v>0</v>
      </c>
      <c r="H93" s="29">
        <f t="shared" ref="H93" si="110">SUM(H82:H92)</f>
        <v>0</v>
      </c>
      <c r="I93" s="29">
        <f t="shared" ref="I93" si="111">SUM(I82:I92)</f>
        <v>0</v>
      </c>
      <c r="J93" s="29">
        <f t="shared" ref="J93" si="112">SUM(J82:J92)</f>
        <v>0</v>
      </c>
      <c r="K93" s="29">
        <f t="shared" ref="K93" si="113">SUM(K82:K92)</f>
        <v>0</v>
      </c>
      <c r="L93" s="29">
        <f t="shared" ref="L93" si="114">SUM(L82:L92)</f>
        <v>0</v>
      </c>
      <c r="M93" s="29">
        <f t="shared" ref="M93" si="115">SUM(M82:M92)</f>
        <v>0</v>
      </c>
      <c r="N93" s="29">
        <f t="shared" ref="N93" si="116">SUM(N82:N92)</f>
        <v>0</v>
      </c>
      <c r="O93" s="8"/>
      <c r="P93" s="29">
        <f t="shared" ref="P93" si="117">SUM(P82:P92)</f>
        <v>0</v>
      </c>
      <c r="Q93" s="29">
        <f t="shared" ref="Q93" si="118">SUM(Q82:Q92)</f>
        <v>0</v>
      </c>
      <c r="R93" s="29">
        <f t="shared" ref="R93" si="119">SUM(R82:R92)</f>
        <v>0</v>
      </c>
      <c r="S93" s="29">
        <f t="shared" ref="S93" si="120">SUM(S82:S92)</f>
        <v>0</v>
      </c>
      <c r="T93" s="12"/>
      <c r="U93" s="29">
        <f t="shared" ref="U93" si="121">SUM(U82:U92)</f>
        <v>0</v>
      </c>
      <c r="W93" s="25">
        <f>ROUND(SUM(P93:S93)-U93,2)</f>
        <v>0</v>
      </c>
    </row>
    <row r="95" spans="2:23" x14ac:dyDescent="0.2">
      <c r="B95" s="167" t="s">
        <v>176</v>
      </c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9"/>
    </row>
    <row r="96" spans="2:23" x14ac:dyDescent="0.2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8"/>
      <c r="P96" s="10"/>
      <c r="Q96" s="10"/>
      <c r="R96" s="10"/>
      <c r="S96" s="10"/>
      <c r="T96" s="10"/>
      <c r="U96" s="11"/>
    </row>
    <row r="97" spans="2:23" x14ac:dyDescent="0.2">
      <c r="B97" s="30" t="s">
        <v>154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8"/>
      <c r="P97" s="4">
        <f>SUM(C97:E97)</f>
        <v>0</v>
      </c>
      <c r="Q97" s="4">
        <f>SUM(F97:H97)</f>
        <v>0</v>
      </c>
      <c r="R97" s="4">
        <f>SUM(I97:K97)</f>
        <v>0</v>
      </c>
      <c r="S97" s="4">
        <f>SUM(L97:N97)</f>
        <v>0</v>
      </c>
      <c r="T97" s="4"/>
      <c r="U97" s="4">
        <f>SUM(C97:N97)</f>
        <v>0</v>
      </c>
      <c r="W97" s="25">
        <f>ROUND(SUM(P97:S97)-U97,2)</f>
        <v>0</v>
      </c>
    </row>
    <row r="98" spans="2:23" x14ac:dyDescent="0.2">
      <c r="B98" s="30" t="s">
        <v>155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8"/>
      <c r="P98" s="4">
        <f t="shared" ref="P98:P106" si="122">SUM(C98:E98)</f>
        <v>0</v>
      </c>
      <c r="Q98" s="4">
        <f t="shared" ref="Q98:Q106" si="123">SUM(F98:H98)</f>
        <v>0</v>
      </c>
      <c r="R98" s="4">
        <f t="shared" ref="R98:R106" si="124">SUM(I98:K98)</f>
        <v>0</v>
      </c>
      <c r="S98" s="4">
        <f t="shared" ref="S98:S106" si="125">SUM(L98:N98)</f>
        <v>0</v>
      </c>
      <c r="T98" s="4"/>
      <c r="U98" s="4">
        <f t="shared" ref="U98:U106" si="126">SUM(C98:N98)</f>
        <v>0</v>
      </c>
      <c r="W98" s="25">
        <f t="shared" ref="W98:W106" si="127">ROUND(SUM(P98:S98)-U98,2)</f>
        <v>0</v>
      </c>
    </row>
    <row r="99" spans="2:23" x14ac:dyDescent="0.2">
      <c r="B99" s="30" t="s">
        <v>156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8"/>
      <c r="P99" s="4">
        <f t="shared" si="122"/>
        <v>0</v>
      </c>
      <c r="Q99" s="4">
        <f t="shared" si="123"/>
        <v>0</v>
      </c>
      <c r="R99" s="4">
        <f t="shared" si="124"/>
        <v>0</v>
      </c>
      <c r="S99" s="4">
        <f t="shared" si="125"/>
        <v>0</v>
      </c>
      <c r="T99" s="4"/>
      <c r="U99" s="4">
        <f t="shared" si="126"/>
        <v>0</v>
      </c>
      <c r="W99" s="25">
        <f t="shared" si="127"/>
        <v>0</v>
      </c>
    </row>
    <row r="100" spans="2:23" x14ac:dyDescent="0.2">
      <c r="B100" s="30" t="s">
        <v>157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8"/>
      <c r="P100" s="4">
        <f t="shared" si="122"/>
        <v>0</v>
      </c>
      <c r="Q100" s="4">
        <f t="shared" si="123"/>
        <v>0</v>
      </c>
      <c r="R100" s="4">
        <f t="shared" si="124"/>
        <v>0</v>
      </c>
      <c r="S100" s="4">
        <f t="shared" si="125"/>
        <v>0</v>
      </c>
      <c r="T100" s="4"/>
      <c r="U100" s="4">
        <f t="shared" si="126"/>
        <v>0</v>
      </c>
      <c r="W100" s="25">
        <f t="shared" si="127"/>
        <v>0</v>
      </c>
    </row>
    <row r="101" spans="2:23" x14ac:dyDescent="0.2">
      <c r="B101" s="30" t="s">
        <v>158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8"/>
      <c r="P101" s="4">
        <f t="shared" si="122"/>
        <v>0</v>
      </c>
      <c r="Q101" s="4">
        <f t="shared" si="123"/>
        <v>0</v>
      </c>
      <c r="R101" s="4">
        <f t="shared" si="124"/>
        <v>0</v>
      </c>
      <c r="S101" s="4">
        <f t="shared" si="125"/>
        <v>0</v>
      </c>
      <c r="T101" s="4"/>
      <c r="U101" s="4">
        <f t="shared" si="126"/>
        <v>0</v>
      </c>
      <c r="W101" s="25">
        <f t="shared" si="127"/>
        <v>0</v>
      </c>
    </row>
    <row r="102" spans="2:23" x14ac:dyDescent="0.2">
      <c r="B102" s="30" t="s">
        <v>159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8"/>
      <c r="P102" s="4">
        <f t="shared" si="122"/>
        <v>0</v>
      </c>
      <c r="Q102" s="4">
        <f t="shared" si="123"/>
        <v>0</v>
      </c>
      <c r="R102" s="4">
        <f t="shared" si="124"/>
        <v>0</v>
      </c>
      <c r="S102" s="4">
        <f t="shared" si="125"/>
        <v>0</v>
      </c>
      <c r="T102" s="4"/>
      <c r="U102" s="4">
        <f t="shared" si="126"/>
        <v>0</v>
      </c>
      <c r="W102" s="25">
        <f t="shared" si="127"/>
        <v>0</v>
      </c>
    </row>
    <row r="103" spans="2:23" x14ac:dyDescent="0.2">
      <c r="B103" s="30" t="s">
        <v>160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8"/>
      <c r="P103" s="4">
        <f t="shared" si="122"/>
        <v>0</v>
      </c>
      <c r="Q103" s="4">
        <f t="shared" si="123"/>
        <v>0</v>
      </c>
      <c r="R103" s="4">
        <f t="shared" si="124"/>
        <v>0</v>
      </c>
      <c r="S103" s="4">
        <f t="shared" si="125"/>
        <v>0</v>
      </c>
      <c r="T103" s="4"/>
      <c r="U103" s="4">
        <f t="shared" si="126"/>
        <v>0</v>
      </c>
      <c r="W103" s="25">
        <f t="shared" si="127"/>
        <v>0</v>
      </c>
    </row>
    <row r="104" spans="2:23" x14ac:dyDescent="0.2">
      <c r="B104" s="30" t="s">
        <v>161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8"/>
      <c r="P104" s="4">
        <f t="shared" si="122"/>
        <v>0</v>
      </c>
      <c r="Q104" s="4">
        <f t="shared" si="123"/>
        <v>0</v>
      </c>
      <c r="R104" s="4">
        <f t="shared" si="124"/>
        <v>0</v>
      </c>
      <c r="S104" s="4">
        <f t="shared" si="125"/>
        <v>0</v>
      </c>
      <c r="T104" s="4"/>
      <c r="U104" s="4">
        <f t="shared" si="126"/>
        <v>0</v>
      </c>
      <c r="W104" s="25">
        <f t="shared" si="127"/>
        <v>0</v>
      </c>
    </row>
    <row r="105" spans="2:23" x14ac:dyDescent="0.2">
      <c r="B105" s="30" t="s">
        <v>162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8"/>
      <c r="P105" s="4">
        <f t="shared" si="122"/>
        <v>0</v>
      </c>
      <c r="Q105" s="4">
        <f t="shared" si="123"/>
        <v>0</v>
      </c>
      <c r="R105" s="4">
        <f t="shared" si="124"/>
        <v>0</v>
      </c>
      <c r="S105" s="4">
        <f t="shared" si="125"/>
        <v>0</v>
      </c>
      <c r="T105" s="4"/>
      <c r="U105" s="4">
        <f t="shared" si="126"/>
        <v>0</v>
      </c>
      <c r="W105" s="25">
        <f t="shared" si="127"/>
        <v>0</v>
      </c>
    </row>
    <row r="106" spans="2:23" x14ac:dyDescent="0.2">
      <c r="B106" s="30" t="s">
        <v>163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8"/>
      <c r="P106" s="4">
        <f t="shared" si="122"/>
        <v>0</v>
      </c>
      <c r="Q106" s="4">
        <f t="shared" si="123"/>
        <v>0</v>
      </c>
      <c r="R106" s="4">
        <f t="shared" si="124"/>
        <v>0</v>
      </c>
      <c r="S106" s="4">
        <f t="shared" si="125"/>
        <v>0</v>
      </c>
      <c r="T106" s="4"/>
      <c r="U106" s="4">
        <f t="shared" si="126"/>
        <v>0</v>
      </c>
      <c r="W106" s="25">
        <f t="shared" si="127"/>
        <v>0</v>
      </c>
    </row>
    <row r="107" spans="2:23" x14ac:dyDescent="0.2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W107" s="30"/>
    </row>
    <row r="108" spans="2:23" x14ac:dyDescent="0.2">
      <c r="B108" s="28" t="s">
        <v>178</v>
      </c>
      <c r="C108" s="29">
        <f>SUM(C97:C107)</f>
        <v>0</v>
      </c>
      <c r="D108" s="29">
        <f t="shared" ref="D108" si="128">SUM(D97:D107)</f>
        <v>0</v>
      </c>
      <c r="E108" s="29">
        <f t="shared" ref="E108" si="129">SUM(E97:E107)</f>
        <v>0</v>
      </c>
      <c r="F108" s="29">
        <f t="shared" ref="F108" si="130">SUM(F97:F107)</f>
        <v>0</v>
      </c>
      <c r="G108" s="29">
        <f t="shared" ref="G108" si="131">SUM(G97:G107)</f>
        <v>0</v>
      </c>
      <c r="H108" s="29">
        <f t="shared" ref="H108" si="132">SUM(H97:H107)</f>
        <v>0</v>
      </c>
      <c r="I108" s="29">
        <f t="shared" ref="I108" si="133">SUM(I97:I107)</f>
        <v>0</v>
      </c>
      <c r="J108" s="29">
        <f t="shared" ref="J108" si="134">SUM(J97:J107)</f>
        <v>0</v>
      </c>
      <c r="K108" s="29">
        <f t="shared" ref="K108" si="135">SUM(K97:K107)</f>
        <v>0</v>
      </c>
      <c r="L108" s="29">
        <f t="shared" ref="L108" si="136">SUM(L97:L107)</f>
        <v>0</v>
      </c>
      <c r="M108" s="29">
        <f t="shared" ref="M108" si="137">SUM(M97:M107)</f>
        <v>0</v>
      </c>
      <c r="N108" s="29">
        <f t="shared" ref="N108" si="138">SUM(N97:N107)</f>
        <v>0</v>
      </c>
      <c r="O108" s="8"/>
      <c r="P108" s="29">
        <f t="shared" ref="P108" si="139">SUM(P97:P107)</f>
        <v>0</v>
      </c>
      <c r="Q108" s="29">
        <f t="shared" ref="Q108" si="140">SUM(Q97:Q107)</f>
        <v>0</v>
      </c>
      <c r="R108" s="29">
        <f t="shared" ref="R108" si="141">SUM(R97:R107)</f>
        <v>0</v>
      </c>
      <c r="S108" s="29">
        <f t="shared" ref="S108" si="142">SUM(S97:S107)</f>
        <v>0</v>
      </c>
      <c r="T108" s="12"/>
      <c r="U108" s="29">
        <f t="shared" ref="U108" si="143">SUM(U97:U107)</f>
        <v>0</v>
      </c>
      <c r="W108" s="25">
        <f>ROUND(SUM(P108:S108)-U108,2)</f>
        <v>0</v>
      </c>
    </row>
    <row r="109" spans="2:23" x14ac:dyDescent="0.2">
      <c r="B109" s="28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8"/>
      <c r="P109" s="29"/>
      <c r="Q109" s="29"/>
      <c r="R109" s="29"/>
      <c r="S109" s="29"/>
      <c r="T109" s="12"/>
      <c r="U109" s="29"/>
    </row>
    <row r="110" spans="2:23" x14ac:dyDescent="0.2">
      <c r="B110" s="167" t="s">
        <v>177</v>
      </c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9"/>
    </row>
    <row r="111" spans="2:23" x14ac:dyDescent="0.2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8"/>
      <c r="P111" s="10"/>
      <c r="Q111" s="10"/>
      <c r="R111" s="10"/>
      <c r="S111" s="10"/>
      <c r="T111" s="10"/>
      <c r="U111" s="11"/>
    </row>
    <row r="112" spans="2:23" x14ac:dyDescent="0.2">
      <c r="B112" s="30" t="s">
        <v>154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8"/>
      <c r="P112" s="4">
        <f>SUM(C112:E112)</f>
        <v>0</v>
      </c>
      <c r="Q112" s="4">
        <f>SUM(F112:H112)</f>
        <v>0</v>
      </c>
      <c r="R112" s="4">
        <f>SUM(I112:K112)</f>
        <v>0</v>
      </c>
      <c r="S112" s="4">
        <f>SUM(L112:N112)</f>
        <v>0</v>
      </c>
      <c r="T112" s="4"/>
      <c r="U112" s="4">
        <f>SUM(C112:N112)</f>
        <v>0</v>
      </c>
      <c r="W112" s="25">
        <f>ROUND(SUM(P112:S112)-U112,2)</f>
        <v>0</v>
      </c>
    </row>
    <row r="113" spans="2:23" x14ac:dyDescent="0.2">
      <c r="B113" s="30" t="s">
        <v>155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8"/>
      <c r="P113" s="4">
        <f t="shared" ref="P113:P121" si="144">SUM(C113:E113)</f>
        <v>0</v>
      </c>
      <c r="Q113" s="4">
        <f t="shared" ref="Q113:Q121" si="145">SUM(F113:H113)</f>
        <v>0</v>
      </c>
      <c r="R113" s="4">
        <f t="shared" ref="R113:R121" si="146">SUM(I113:K113)</f>
        <v>0</v>
      </c>
      <c r="S113" s="4">
        <f t="shared" ref="S113:S121" si="147">SUM(L113:N113)</f>
        <v>0</v>
      </c>
      <c r="T113" s="4"/>
      <c r="U113" s="4">
        <f t="shared" ref="U113:U121" si="148">SUM(C113:N113)</f>
        <v>0</v>
      </c>
      <c r="W113" s="25">
        <f t="shared" ref="W113:W121" si="149">ROUND(SUM(P113:S113)-U113,2)</f>
        <v>0</v>
      </c>
    </row>
    <row r="114" spans="2:23" x14ac:dyDescent="0.2">
      <c r="B114" s="30" t="s">
        <v>156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8"/>
      <c r="P114" s="4">
        <f t="shared" si="144"/>
        <v>0</v>
      </c>
      <c r="Q114" s="4">
        <f t="shared" si="145"/>
        <v>0</v>
      </c>
      <c r="R114" s="4">
        <f t="shared" si="146"/>
        <v>0</v>
      </c>
      <c r="S114" s="4">
        <f t="shared" si="147"/>
        <v>0</v>
      </c>
      <c r="T114" s="4"/>
      <c r="U114" s="4">
        <f t="shared" si="148"/>
        <v>0</v>
      </c>
      <c r="W114" s="25">
        <f t="shared" si="149"/>
        <v>0</v>
      </c>
    </row>
    <row r="115" spans="2:23" x14ac:dyDescent="0.2">
      <c r="B115" s="30" t="s">
        <v>157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8"/>
      <c r="P115" s="4">
        <f t="shared" si="144"/>
        <v>0</v>
      </c>
      <c r="Q115" s="4">
        <f t="shared" si="145"/>
        <v>0</v>
      </c>
      <c r="R115" s="4">
        <f t="shared" si="146"/>
        <v>0</v>
      </c>
      <c r="S115" s="4">
        <f t="shared" si="147"/>
        <v>0</v>
      </c>
      <c r="T115" s="4"/>
      <c r="U115" s="4">
        <f t="shared" si="148"/>
        <v>0</v>
      </c>
      <c r="W115" s="25">
        <f t="shared" si="149"/>
        <v>0</v>
      </c>
    </row>
    <row r="116" spans="2:23" x14ac:dyDescent="0.2">
      <c r="B116" s="30" t="s">
        <v>158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8"/>
      <c r="P116" s="4">
        <f t="shared" si="144"/>
        <v>0</v>
      </c>
      <c r="Q116" s="4">
        <f t="shared" si="145"/>
        <v>0</v>
      </c>
      <c r="R116" s="4">
        <f t="shared" si="146"/>
        <v>0</v>
      </c>
      <c r="S116" s="4">
        <f t="shared" si="147"/>
        <v>0</v>
      </c>
      <c r="T116" s="4"/>
      <c r="U116" s="4">
        <f t="shared" si="148"/>
        <v>0</v>
      </c>
      <c r="W116" s="25">
        <f t="shared" si="149"/>
        <v>0</v>
      </c>
    </row>
    <row r="117" spans="2:23" x14ac:dyDescent="0.2">
      <c r="B117" s="30" t="s">
        <v>159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8"/>
      <c r="P117" s="4">
        <f t="shared" si="144"/>
        <v>0</v>
      </c>
      <c r="Q117" s="4">
        <f t="shared" si="145"/>
        <v>0</v>
      </c>
      <c r="R117" s="4">
        <f t="shared" si="146"/>
        <v>0</v>
      </c>
      <c r="S117" s="4">
        <f t="shared" si="147"/>
        <v>0</v>
      </c>
      <c r="T117" s="4"/>
      <c r="U117" s="4">
        <f t="shared" si="148"/>
        <v>0</v>
      </c>
      <c r="W117" s="25">
        <f t="shared" si="149"/>
        <v>0</v>
      </c>
    </row>
    <row r="118" spans="2:23" x14ac:dyDescent="0.2">
      <c r="B118" s="30" t="s">
        <v>160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8"/>
      <c r="P118" s="4">
        <f t="shared" si="144"/>
        <v>0</v>
      </c>
      <c r="Q118" s="4">
        <f t="shared" si="145"/>
        <v>0</v>
      </c>
      <c r="R118" s="4">
        <f t="shared" si="146"/>
        <v>0</v>
      </c>
      <c r="S118" s="4">
        <f t="shared" si="147"/>
        <v>0</v>
      </c>
      <c r="T118" s="4"/>
      <c r="U118" s="4">
        <f t="shared" si="148"/>
        <v>0</v>
      </c>
      <c r="W118" s="25">
        <f t="shared" si="149"/>
        <v>0</v>
      </c>
    </row>
    <row r="119" spans="2:23" x14ac:dyDescent="0.2">
      <c r="B119" s="30" t="s">
        <v>161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8"/>
      <c r="P119" s="4">
        <f t="shared" si="144"/>
        <v>0</v>
      </c>
      <c r="Q119" s="4">
        <f t="shared" si="145"/>
        <v>0</v>
      </c>
      <c r="R119" s="4">
        <f t="shared" si="146"/>
        <v>0</v>
      </c>
      <c r="S119" s="4">
        <f t="shared" si="147"/>
        <v>0</v>
      </c>
      <c r="T119" s="4"/>
      <c r="U119" s="4">
        <f t="shared" si="148"/>
        <v>0</v>
      </c>
      <c r="W119" s="25">
        <f t="shared" si="149"/>
        <v>0</v>
      </c>
    </row>
    <row r="120" spans="2:23" x14ac:dyDescent="0.2">
      <c r="B120" s="30" t="s">
        <v>162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8"/>
      <c r="P120" s="4">
        <f t="shared" si="144"/>
        <v>0</v>
      </c>
      <c r="Q120" s="4">
        <f t="shared" si="145"/>
        <v>0</v>
      </c>
      <c r="R120" s="4">
        <f t="shared" si="146"/>
        <v>0</v>
      </c>
      <c r="S120" s="4">
        <f t="shared" si="147"/>
        <v>0</v>
      </c>
      <c r="T120" s="4"/>
      <c r="U120" s="4">
        <f t="shared" si="148"/>
        <v>0</v>
      </c>
      <c r="W120" s="25">
        <f t="shared" si="149"/>
        <v>0</v>
      </c>
    </row>
    <row r="121" spans="2:23" x14ac:dyDescent="0.2">
      <c r="B121" s="30" t="s">
        <v>163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8"/>
      <c r="P121" s="4">
        <f t="shared" si="144"/>
        <v>0</v>
      </c>
      <c r="Q121" s="4">
        <f t="shared" si="145"/>
        <v>0</v>
      </c>
      <c r="R121" s="4">
        <f t="shared" si="146"/>
        <v>0</v>
      </c>
      <c r="S121" s="4">
        <f t="shared" si="147"/>
        <v>0</v>
      </c>
      <c r="T121" s="4"/>
      <c r="U121" s="4">
        <f t="shared" si="148"/>
        <v>0</v>
      </c>
      <c r="W121" s="25">
        <f t="shared" si="149"/>
        <v>0</v>
      </c>
    </row>
    <row r="122" spans="2:23" x14ac:dyDescent="0.2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W122" s="30"/>
    </row>
    <row r="123" spans="2:23" x14ac:dyDescent="0.2">
      <c r="B123" s="28" t="s">
        <v>179</v>
      </c>
      <c r="C123" s="29">
        <f>SUM(C112:C122)</f>
        <v>0</v>
      </c>
      <c r="D123" s="29">
        <f t="shared" ref="D123" si="150">SUM(D112:D122)</f>
        <v>0</v>
      </c>
      <c r="E123" s="29">
        <f t="shared" ref="E123" si="151">SUM(E112:E122)</f>
        <v>0</v>
      </c>
      <c r="F123" s="29">
        <f t="shared" ref="F123" si="152">SUM(F112:F122)</f>
        <v>0</v>
      </c>
      <c r="G123" s="29">
        <f t="shared" ref="G123" si="153">SUM(G112:G122)</f>
        <v>0</v>
      </c>
      <c r="H123" s="29">
        <f t="shared" ref="H123" si="154">SUM(H112:H122)</f>
        <v>0</v>
      </c>
      <c r="I123" s="29">
        <f t="shared" ref="I123" si="155">SUM(I112:I122)</f>
        <v>0</v>
      </c>
      <c r="J123" s="29">
        <f t="shared" ref="J123" si="156">SUM(J112:J122)</f>
        <v>0</v>
      </c>
      <c r="K123" s="29">
        <f t="shared" ref="K123" si="157">SUM(K112:K122)</f>
        <v>0</v>
      </c>
      <c r="L123" s="29">
        <f t="shared" ref="L123" si="158">SUM(L112:L122)</f>
        <v>0</v>
      </c>
      <c r="M123" s="29">
        <f t="shared" ref="M123" si="159">SUM(M112:M122)</f>
        <v>0</v>
      </c>
      <c r="N123" s="29">
        <f t="shared" ref="N123" si="160">SUM(N112:N122)</f>
        <v>0</v>
      </c>
      <c r="O123" s="8"/>
      <c r="P123" s="29">
        <f t="shared" ref="P123" si="161">SUM(P112:P122)</f>
        <v>0</v>
      </c>
      <c r="Q123" s="29">
        <f t="shared" ref="Q123" si="162">SUM(Q112:Q122)</f>
        <v>0</v>
      </c>
      <c r="R123" s="29">
        <f t="shared" ref="R123" si="163">SUM(R112:R122)</f>
        <v>0</v>
      </c>
      <c r="S123" s="29">
        <f t="shared" ref="S123" si="164">SUM(S112:S122)</f>
        <v>0</v>
      </c>
      <c r="T123" s="12"/>
      <c r="U123" s="29">
        <f t="shared" ref="U123" si="165">SUM(U112:U122)</f>
        <v>0</v>
      </c>
      <c r="W123" s="25">
        <f>ROUND(SUM(P123:S123)-U123,2)</f>
        <v>0</v>
      </c>
    </row>
    <row r="125" spans="2:23" x14ac:dyDescent="0.2">
      <c r="B125" s="167" t="s">
        <v>180</v>
      </c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9"/>
    </row>
    <row r="126" spans="2:23" x14ac:dyDescent="0.2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8"/>
      <c r="P126" s="10"/>
      <c r="Q126" s="10"/>
      <c r="R126" s="10"/>
      <c r="S126" s="10"/>
      <c r="T126" s="10"/>
      <c r="U126" s="11"/>
    </row>
    <row r="127" spans="2:23" x14ac:dyDescent="0.2">
      <c r="B127" s="30" t="s">
        <v>154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8"/>
      <c r="P127" s="4">
        <f>SUM(C127:E127)</f>
        <v>0</v>
      </c>
      <c r="Q127" s="4">
        <f>SUM(F127:H127)</f>
        <v>0</v>
      </c>
      <c r="R127" s="4">
        <f>SUM(I127:K127)</f>
        <v>0</v>
      </c>
      <c r="S127" s="4">
        <f>SUM(L127:N127)</f>
        <v>0</v>
      </c>
      <c r="T127" s="4"/>
      <c r="U127" s="4">
        <f>SUM(C127:N127)</f>
        <v>0</v>
      </c>
      <c r="W127" s="25">
        <f>ROUND(SUM(P127:S127)-U127,2)</f>
        <v>0</v>
      </c>
    </row>
    <row r="128" spans="2:23" x14ac:dyDescent="0.2">
      <c r="B128" s="30" t="s">
        <v>155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8"/>
      <c r="P128" s="4">
        <f t="shared" ref="P128:P136" si="166">SUM(C128:E128)</f>
        <v>0</v>
      </c>
      <c r="Q128" s="4">
        <f t="shared" ref="Q128:Q136" si="167">SUM(F128:H128)</f>
        <v>0</v>
      </c>
      <c r="R128" s="4">
        <f t="shared" ref="R128:R136" si="168">SUM(I128:K128)</f>
        <v>0</v>
      </c>
      <c r="S128" s="4">
        <f t="shared" ref="S128:S136" si="169">SUM(L128:N128)</f>
        <v>0</v>
      </c>
      <c r="T128" s="4"/>
      <c r="U128" s="4">
        <f t="shared" ref="U128:U136" si="170">SUM(C128:N128)</f>
        <v>0</v>
      </c>
      <c r="W128" s="25">
        <f t="shared" ref="W128:W136" si="171">ROUND(SUM(P128:S128)-U128,2)</f>
        <v>0</v>
      </c>
    </row>
    <row r="129" spans="2:23" x14ac:dyDescent="0.2">
      <c r="B129" s="30" t="s">
        <v>156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8"/>
      <c r="P129" s="4">
        <f t="shared" si="166"/>
        <v>0</v>
      </c>
      <c r="Q129" s="4">
        <f t="shared" si="167"/>
        <v>0</v>
      </c>
      <c r="R129" s="4">
        <f t="shared" si="168"/>
        <v>0</v>
      </c>
      <c r="S129" s="4">
        <f t="shared" si="169"/>
        <v>0</v>
      </c>
      <c r="T129" s="4"/>
      <c r="U129" s="4">
        <f t="shared" si="170"/>
        <v>0</v>
      </c>
      <c r="W129" s="25">
        <f t="shared" si="171"/>
        <v>0</v>
      </c>
    </row>
    <row r="130" spans="2:23" x14ac:dyDescent="0.2">
      <c r="B130" s="30" t="s">
        <v>157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8"/>
      <c r="P130" s="4">
        <f t="shared" si="166"/>
        <v>0</v>
      </c>
      <c r="Q130" s="4">
        <f t="shared" si="167"/>
        <v>0</v>
      </c>
      <c r="R130" s="4">
        <f t="shared" si="168"/>
        <v>0</v>
      </c>
      <c r="S130" s="4">
        <f t="shared" si="169"/>
        <v>0</v>
      </c>
      <c r="T130" s="4"/>
      <c r="U130" s="4">
        <f t="shared" si="170"/>
        <v>0</v>
      </c>
      <c r="W130" s="25">
        <f t="shared" si="171"/>
        <v>0</v>
      </c>
    </row>
    <row r="131" spans="2:23" x14ac:dyDescent="0.2">
      <c r="B131" s="30" t="s">
        <v>158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8"/>
      <c r="P131" s="4">
        <f t="shared" si="166"/>
        <v>0</v>
      </c>
      <c r="Q131" s="4">
        <f t="shared" si="167"/>
        <v>0</v>
      </c>
      <c r="R131" s="4">
        <f t="shared" si="168"/>
        <v>0</v>
      </c>
      <c r="S131" s="4">
        <f t="shared" si="169"/>
        <v>0</v>
      </c>
      <c r="T131" s="4"/>
      <c r="U131" s="4">
        <f t="shared" si="170"/>
        <v>0</v>
      </c>
      <c r="W131" s="25">
        <f t="shared" si="171"/>
        <v>0</v>
      </c>
    </row>
    <row r="132" spans="2:23" x14ac:dyDescent="0.2">
      <c r="B132" s="30" t="s">
        <v>159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8"/>
      <c r="P132" s="4">
        <f t="shared" si="166"/>
        <v>0</v>
      </c>
      <c r="Q132" s="4">
        <f t="shared" si="167"/>
        <v>0</v>
      </c>
      <c r="R132" s="4">
        <f t="shared" si="168"/>
        <v>0</v>
      </c>
      <c r="S132" s="4">
        <f t="shared" si="169"/>
        <v>0</v>
      </c>
      <c r="T132" s="4"/>
      <c r="U132" s="4">
        <f t="shared" si="170"/>
        <v>0</v>
      </c>
      <c r="W132" s="25">
        <f t="shared" si="171"/>
        <v>0</v>
      </c>
    </row>
    <row r="133" spans="2:23" x14ac:dyDescent="0.2">
      <c r="B133" s="30" t="s">
        <v>160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8"/>
      <c r="P133" s="4">
        <f t="shared" si="166"/>
        <v>0</v>
      </c>
      <c r="Q133" s="4">
        <f t="shared" si="167"/>
        <v>0</v>
      </c>
      <c r="R133" s="4">
        <f t="shared" si="168"/>
        <v>0</v>
      </c>
      <c r="S133" s="4">
        <f t="shared" si="169"/>
        <v>0</v>
      </c>
      <c r="T133" s="4"/>
      <c r="U133" s="4">
        <f t="shared" si="170"/>
        <v>0</v>
      </c>
      <c r="W133" s="25">
        <f t="shared" si="171"/>
        <v>0</v>
      </c>
    </row>
    <row r="134" spans="2:23" x14ac:dyDescent="0.2">
      <c r="B134" s="30" t="s">
        <v>161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8"/>
      <c r="P134" s="4">
        <f t="shared" si="166"/>
        <v>0</v>
      </c>
      <c r="Q134" s="4">
        <f t="shared" si="167"/>
        <v>0</v>
      </c>
      <c r="R134" s="4">
        <f t="shared" si="168"/>
        <v>0</v>
      </c>
      <c r="S134" s="4">
        <f t="shared" si="169"/>
        <v>0</v>
      </c>
      <c r="T134" s="4"/>
      <c r="U134" s="4">
        <f t="shared" si="170"/>
        <v>0</v>
      </c>
      <c r="W134" s="25">
        <f t="shared" si="171"/>
        <v>0</v>
      </c>
    </row>
    <row r="135" spans="2:23" x14ac:dyDescent="0.2">
      <c r="B135" s="30" t="s">
        <v>162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8"/>
      <c r="P135" s="4">
        <f t="shared" si="166"/>
        <v>0</v>
      </c>
      <c r="Q135" s="4">
        <f t="shared" si="167"/>
        <v>0</v>
      </c>
      <c r="R135" s="4">
        <f t="shared" si="168"/>
        <v>0</v>
      </c>
      <c r="S135" s="4">
        <f t="shared" si="169"/>
        <v>0</v>
      </c>
      <c r="T135" s="4"/>
      <c r="U135" s="4">
        <f t="shared" si="170"/>
        <v>0</v>
      </c>
      <c r="W135" s="25">
        <f t="shared" si="171"/>
        <v>0</v>
      </c>
    </row>
    <row r="136" spans="2:23" x14ac:dyDescent="0.2">
      <c r="B136" s="30" t="s">
        <v>163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8"/>
      <c r="P136" s="4">
        <f t="shared" si="166"/>
        <v>0</v>
      </c>
      <c r="Q136" s="4">
        <f t="shared" si="167"/>
        <v>0</v>
      </c>
      <c r="R136" s="4">
        <f t="shared" si="168"/>
        <v>0</v>
      </c>
      <c r="S136" s="4">
        <f t="shared" si="169"/>
        <v>0</v>
      </c>
      <c r="T136" s="4"/>
      <c r="U136" s="4">
        <f t="shared" si="170"/>
        <v>0</v>
      </c>
      <c r="W136" s="25">
        <f t="shared" si="171"/>
        <v>0</v>
      </c>
    </row>
    <row r="137" spans="2:23" x14ac:dyDescent="0.2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W137" s="30"/>
    </row>
    <row r="138" spans="2:23" x14ac:dyDescent="0.2">
      <c r="B138" s="28" t="s">
        <v>182</v>
      </c>
      <c r="C138" s="29">
        <f>SUM(C127:C137)</f>
        <v>0</v>
      </c>
      <c r="D138" s="29">
        <f t="shared" ref="D138" si="172">SUM(D127:D137)</f>
        <v>0</v>
      </c>
      <c r="E138" s="29">
        <f t="shared" ref="E138" si="173">SUM(E127:E137)</f>
        <v>0</v>
      </c>
      <c r="F138" s="29">
        <f t="shared" ref="F138" si="174">SUM(F127:F137)</f>
        <v>0</v>
      </c>
      <c r="G138" s="29">
        <f t="shared" ref="G138" si="175">SUM(G127:G137)</f>
        <v>0</v>
      </c>
      <c r="H138" s="29">
        <f t="shared" ref="H138" si="176">SUM(H127:H137)</f>
        <v>0</v>
      </c>
      <c r="I138" s="29">
        <f t="shared" ref="I138" si="177">SUM(I127:I137)</f>
        <v>0</v>
      </c>
      <c r="J138" s="29">
        <f t="shared" ref="J138" si="178">SUM(J127:J137)</f>
        <v>0</v>
      </c>
      <c r="K138" s="29">
        <f t="shared" ref="K138" si="179">SUM(K127:K137)</f>
        <v>0</v>
      </c>
      <c r="L138" s="29">
        <f t="shared" ref="L138" si="180">SUM(L127:L137)</f>
        <v>0</v>
      </c>
      <c r="M138" s="29">
        <f t="shared" ref="M138" si="181">SUM(M127:M137)</f>
        <v>0</v>
      </c>
      <c r="N138" s="29">
        <f t="shared" ref="N138" si="182">SUM(N127:N137)</f>
        <v>0</v>
      </c>
      <c r="O138" s="8"/>
      <c r="P138" s="29">
        <f t="shared" ref="P138" si="183">SUM(P127:P137)</f>
        <v>0</v>
      </c>
      <c r="Q138" s="29">
        <f t="shared" ref="Q138" si="184">SUM(Q127:Q137)</f>
        <v>0</v>
      </c>
      <c r="R138" s="29">
        <f t="shared" ref="R138" si="185">SUM(R127:R137)</f>
        <v>0</v>
      </c>
      <c r="S138" s="29">
        <f t="shared" ref="S138" si="186">SUM(S127:S137)</f>
        <v>0</v>
      </c>
      <c r="T138" s="12"/>
      <c r="U138" s="29">
        <f t="shared" ref="U138" si="187">SUM(U127:U137)</f>
        <v>0</v>
      </c>
      <c r="W138" s="25">
        <f>ROUND(SUM(P138:S138)-U138,2)</f>
        <v>0</v>
      </c>
    </row>
    <row r="139" spans="2:23" x14ac:dyDescent="0.2">
      <c r="B139" s="28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8"/>
      <c r="P139" s="29"/>
      <c r="Q139" s="29"/>
      <c r="R139" s="29"/>
      <c r="S139" s="29"/>
      <c r="T139" s="12"/>
      <c r="U139" s="29"/>
    </row>
    <row r="140" spans="2:23" x14ac:dyDescent="0.2">
      <c r="B140" s="167" t="s">
        <v>181</v>
      </c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9"/>
    </row>
    <row r="141" spans="2:23" x14ac:dyDescent="0.2"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8"/>
      <c r="P141" s="10"/>
      <c r="Q141" s="10"/>
      <c r="R141" s="10"/>
      <c r="S141" s="10"/>
      <c r="T141" s="10"/>
      <c r="U141" s="11"/>
    </row>
    <row r="142" spans="2:23" x14ac:dyDescent="0.2">
      <c r="B142" s="30" t="s">
        <v>154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8"/>
      <c r="P142" s="4">
        <f>SUM(C142:E142)</f>
        <v>0</v>
      </c>
      <c r="Q142" s="4">
        <f>SUM(F142:H142)</f>
        <v>0</v>
      </c>
      <c r="R142" s="4">
        <f>SUM(I142:K142)</f>
        <v>0</v>
      </c>
      <c r="S142" s="4">
        <f>SUM(L142:N142)</f>
        <v>0</v>
      </c>
      <c r="T142" s="4"/>
      <c r="U142" s="4">
        <f>SUM(C142:N142)</f>
        <v>0</v>
      </c>
      <c r="W142" s="25">
        <f>ROUND(SUM(P142:S142)-U142,2)</f>
        <v>0</v>
      </c>
    </row>
    <row r="143" spans="2:23" x14ac:dyDescent="0.2">
      <c r="B143" s="30" t="s">
        <v>155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8"/>
      <c r="P143" s="4">
        <f t="shared" ref="P143:P151" si="188">SUM(C143:E143)</f>
        <v>0</v>
      </c>
      <c r="Q143" s="4">
        <f t="shared" ref="Q143:Q151" si="189">SUM(F143:H143)</f>
        <v>0</v>
      </c>
      <c r="R143" s="4">
        <f t="shared" ref="R143:R151" si="190">SUM(I143:K143)</f>
        <v>0</v>
      </c>
      <c r="S143" s="4">
        <f t="shared" ref="S143:S151" si="191">SUM(L143:N143)</f>
        <v>0</v>
      </c>
      <c r="T143" s="4"/>
      <c r="U143" s="4">
        <f t="shared" ref="U143:U151" si="192">SUM(C143:N143)</f>
        <v>0</v>
      </c>
      <c r="W143" s="25">
        <f t="shared" ref="W143:W151" si="193">ROUND(SUM(P143:S143)-U143,2)</f>
        <v>0</v>
      </c>
    </row>
    <row r="144" spans="2:23" x14ac:dyDescent="0.2">
      <c r="B144" s="30" t="s">
        <v>156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8"/>
      <c r="P144" s="4">
        <f t="shared" si="188"/>
        <v>0</v>
      </c>
      <c r="Q144" s="4">
        <f t="shared" si="189"/>
        <v>0</v>
      </c>
      <c r="R144" s="4">
        <f t="shared" si="190"/>
        <v>0</v>
      </c>
      <c r="S144" s="4">
        <f t="shared" si="191"/>
        <v>0</v>
      </c>
      <c r="T144" s="4"/>
      <c r="U144" s="4">
        <f t="shared" si="192"/>
        <v>0</v>
      </c>
      <c r="W144" s="25">
        <f t="shared" si="193"/>
        <v>0</v>
      </c>
    </row>
    <row r="145" spans="2:23" x14ac:dyDescent="0.2">
      <c r="B145" s="30" t="s">
        <v>157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8"/>
      <c r="P145" s="4">
        <f t="shared" si="188"/>
        <v>0</v>
      </c>
      <c r="Q145" s="4">
        <f t="shared" si="189"/>
        <v>0</v>
      </c>
      <c r="R145" s="4">
        <f t="shared" si="190"/>
        <v>0</v>
      </c>
      <c r="S145" s="4">
        <f t="shared" si="191"/>
        <v>0</v>
      </c>
      <c r="T145" s="4"/>
      <c r="U145" s="4">
        <f t="shared" si="192"/>
        <v>0</v>
      </c>
      <c r="W145" s="25">
        <f t="shared" si="193"/>
        <v>0</v>
      </c>
    </row>
    <row r="146" spans="2:23" x14ac:dyDescent="0.2">
      <c r="B146" s="30" t="s">
        <v>158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8"/>
      <c r="P146" s="4">
        <f t="shared" si="188"/>
        <v>0</v>
      </c>
      <c r="Q146" s="4">
        <f t="shared" si="189"/>
        <v>0</v>
      </c>
      <c r="R146" s="4">
        <f t="shared" si="190"/>
        <v>0</v>
      </c>
      <c r="S146" s="4">
        <f t="shared" si="191"/>
        <v>0</v>
      </c>
      <c r="T146" s="4"/>
      <c r="U146" s="4">
        <f t="shared" si="192"/>
        <v>0</v>
      </c>
      <c r="W146" s="25">
        <f t="shared" si="193"/>
        <v>0</v>
      </c>
    </row>
    <row r="147" spans="2:23" x14ac:dyDescent="0.2">
      <c r="B147" s="30" t="s">
        <v>159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8"/>
      <c r="P147" s="4">
        <f t="shared" si="188"/>
        <v>0</v>
      </c>
      <c r="Q147" s="4">
        <f t="shared" si="189"/>
        <v>0</v>
      </c>
      <c r="R147" s="4">
        <f t="shared" si="190"/>
        <v>0</v>
      </c>
      <c r="S147" s="4">
        <f t="shared" si="191"/>
        <v>0</v>
      </c>
      <c r="T147" s="4"/>
      <c r="U147" s="4">
        <f t="shared" si="192"/>
        <v>0</v>
      </c>
      <c r="W147" s="25">
        <f t="shared" si="193"/>
        <v>0</v>
      </c>
    </row>
    <row r="148" spans="2:23" x14ac:dyDescent="0.2">
      <c r="B148" s="30" t="s">
        <v>160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8"/>
      <c r="P148" s="4">
        <f t="shared" si="188"/>
        <v>0</v>
      </c>
      <c r="Q148" s="4">
        <f t="shared" si="189"/>
        <v>0</v>
      </c>
      <c r="R148" s="4">
        <f t="shared" si="190"/>
        <v>0</v>
      </c>
      <c r="S148" s="4">
        <f t="shared" si="191"/>
        <v>0</v>
      </c>
      <c r="T148" s="4"/>
      <c r="U148" s="4">
        <f t="shared" si="192"/>
        <v>0</v>
      </c>
      <c r="W148" s="25">
        <f t="shared" si="193"/>
        <v>0</v>
      </c>
    </row>
    <row r="149" spans="2:23" x14ac:dyDescent="0.2">
      <c r="B149" s="30" t="s">
        <v>161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8"/>
      <c r="P149" s="4">
        <f t="shared" si="188"/>
        <v>0</v>
      </c>
      <c r="Q149" s="4">
        <f t="shared" si="189"/>
        <v>0</v>
      </c>
      <c r="R149" s="4">
        <f t="shared" si="190"/>
        <v>0</v>
      </c>
      <c r="S149" s="4">
        <f t="shared" si="191"/>
        <v>0</v>
      </c>
      <c r="T149" s="4"/>
      <c r="U149" s="4">
        <f t="shared" si="192"/>
        <v>0</v>
      </c>
      <c r="W149" s="25">
        <f t="shared" si="193"/>
        <v>0</v>
      </c>
    </row>
    <row r="150" spans="2:23" x14ac:dyDescent="0.2">
      <c r="B150" s="30" t="s">
        <v>162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8"/>
      <c r="P150" s="4">
        <f t="shared" si="188"/>
        <v>0</v>
      </c>
      <c r="Q150" s="4">
        <f t="shared" si="189"/>
        <v>0</v>
      </c>
      <c r="R150" s="4">
        <f t="shared" si="190"/>
        <v>0</v>
      </c>
      <c r="S150" s="4">
        <f t="shared" si="191"/>
        <v>0</v>
      </c>
      <c r="T150" s="4"/>
      <c r="U150" s="4">
        <f t="shared" si="192"/>
        <v>0</v>
      </c>
      <c r="W150" s="25">
        <f t="shared" si="193"/>
        <v>0</v>
      </c>
    </row>
    <row r="151" spans="2:23" x14ac:dyDescent="0.2">
      <c r="B151" s="30" t="s">
        <v>163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8"/>
      <c r="P151" s="4">
        <f t="shared" si="188"/>
        <v>0</v>
      </c>
      <c r="Q151" s="4">
        <f t="shared" si="189"/>
        <v>0</v>
      </c>
      <c r="R151" s="4">
        <f t="shared" si="190"/>
        <v>0</v>
      </c>
      <c r="S151" s="4">
        <f t="shared" si="191"/>
        <v>0</v>
      </c>
      <c r="T151" s="4"/>
      <c r="U151" s="4">
        <f t="shared" si="192"/>
        <v>0</v>
      </c>
      <c r="W151" s="25">
        <f t="shared" si="193"/>
        <v>0</v>
      </c>
    </row>
    <row r="152" spans="2:23" x14ac:dyDescent="0.2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W152" s="30"/>
    </row>
    <row r="153" spans="2:23" x14ac:dyDescent="0.2">
      <c r="B153" s="28" t="s">
        <v>183</v>
      </c>
      <c r="C153" s="29">
        <f>SUM(C142:C152)</f>
        <v>0</v>
      </c>
      <c r="D153" s="29">
        <f t="shared" ref="D153" si="194">SUM(D142:D152)</f>
        <v>0</v>
      </c>
      <c r="E153" s="29">
        <f t="shared" ref="E153" si="195">SUM(E142:E152)</f>
        <v>0</v>
      </c>
      <c r="F153" s="29">
        <f t="shared" ref="F153" si="196">SUM(F142:F152)</f>
        <v>0</v>
      </c>
      <c r="G153" s="29">
        <f t="shared" ref="G153" si="197">SUM(G142:G152)</f>
        <v>0</v>
      </c>
      <c r="H153" s="29">
        <f t="shared" ref="H153" si="198">SUM(H142:H152)</f>
        <v>0</v>
      </c>
      <c r="I153" s="29">
        <f t="shared" ref="I153" si="199">SUM(I142:I152)</f>
        <v>0</v>
      </c>
      <c r="J153" s="29">
        <f t="shared" ref="J153" si="200">SUM(J142:J152)</f>
        <v>0</v>
      </c>
      <c r="K153" s="29">
        <f t="shared" ref="K153" si="201">SUM(K142:K152)</f>
        <v>0</v>
      </c>
      <c r="L153" s="29">
        <f t="shared" ref="L153" si="202">SUM(L142:L152)</f>
        <v>0</v>
      </c>
      <c r="M153" s="29">
        <f t="shared" ref="M153" si="203">SUM(M142:M152)</f>
        <v>0</v>
      </c>
      <c r="N153" s="29">
        <f t="shared" ref="N153" si="204">SUM(N142:N152)</f>
        <v>0</v>
      </c>
      <c r="O153" s="8"/>
      <c r="P153" s="29">
        <f t="shared" ref="P153" si="205">SUM(P142:P152)</f>
        <v>0</v>
      </c>
      <c r="Q153" s="29">
        <f t="shared" ref="Q153" si="206">SUM(Q142:Q152)</f>
        <v>0</v>
      </c>
      <c r="R153" s="29">
        <f t="shared" ref="R153" si="207">SUM(R142:R152)</f>
        <v>0</v>
      </c>
      <c r="S153" s="29">
        <f t="shared" ref="S153" si="208">SUM(S142:S152)</f>
        <v>0</v>
      </c>
      <c r="T153" s="12"/>
      <c r="U153" s="29">
        <f t="shared" ref="U153" si="209">SUM(U142:U152)</f>
        <v>0</v>
      </c>
      <c r="W153" s="25">
        <f>ROUND(SUM(P153:S153)-U153,2)</f>
        <v>0</v>
      </c>
    </row>
    <row r="156" spans="2:23" x14ac:dyDescent="0.2">
      <c r="B156" s="26" t="s">
        <v>165</v>
      </c>
      <c r="C156" s="4">
        <f>+C18</f>
        <v>13330.527999999998</v>
      </c>
      <c r="D156" s="4">
        <f t="shared" ref="D156:N156" si="210">+D18</f>
        <v>26025.704000000002</v>
      </c>
      <c r="E156" s="4">
        <f t="shared" si="210"/>
        <v>9741.264000000001</v>
      </c>
      <c r="F156" s="4">
        <f t="shared" si="210"/>
        <v>8212.1040000000012</v>
      </c>
      <c r="G156" s="4">
        <f t="shared" si="210"/>
        <v>8212.1040000000012</v>
      </c>
      <c r="H156" s="4">
        <f t="shared" si="210"/>
        <v>8212.1080000000002</v>
      </c>
      <c r="I156" s="4">
        <f t="shared" si="210"/>
        <v>8212.1119999999992</v>
      </c>
      <c r="J156" s="4">
        <f t="shared" si="210"/>
        <v>7881.9520000000011</v>
      </c>
      <c r="K156" s="4">
        <f t="shared" si="210"/>
        <v>7708.8960000000006</v>
      </c>
      <c r="L156" s="4">
        <f t="shared" si="210"/>
        <v>7708.8959999999997</v>
      </c>
      <c r="M156" s="4">
        <f t="shared" si="210"/>
        <v>7688.5359999999991</v>
      </c>
      <c r="N156" s="4">
        <f t="shared" si="210"/>
        <v>7880</v>
      </c>
      <c r="O156" s="8"/>
      <c r="P156" s="4">
        <f t="shared" ref="P156:P165" si="211">SUM(C156:E156)</f>
        <v>49097.496000000006</v>
      </c>
      <c r="Q156" s="4">
        <f t="shared" ref="Q156:Q165" si="212">SUM(F156:H156)</f>
        <v>24636.316000000003</v>
      </c>
      <c r="R156" s="4">
        <f t="shared" ref="R156:R165" si="213">SUM(I156:K156)</f>
        <v>23802.959999999999</v>
      </c>
      <c r="S156" s="4">
        <f t="shared" ref="S156:S165" si="214">SUM(L156:N156)</f>
        <v>23277.432000000001</v>
      </c>
      <c r="T156" s="4"/>
      <c r="U156" s="4">
        <f t="shared" ref="U156:U165" si="215">SUM(C156:N156)</f>
        <v>120814.20399999998</v>
      </c>
      <c r="W156" s="25">
        <f t="shared" ref="W156:W165" si="216">ROUND(SUM(P156:S156)-U156,2)</f>
        <v>0</v>
      </c>
    </row>
    <row r="157" spans="2:23" x14ac:dyDescent="0.2">
      <c r="B157" s="26" t="s">
        <v>166</v>
      </c>
      <c r="C157" s="4">
        <f>+C33</f>
        <v>0</v>
      </c>
      <c r="D157" s="4">
        <f t="shared" ref="D157:N157" si="217">+D33</f>
        <v>0</v>
      </c>
      <c r="E157" s="4">
        <f t="shared" si="217"/>
        <v>0</v>
      </c>
      <c r="F157" s="4">
        <f t="shared" si="217"/>
        <v>0</v>
      </c>
      <c r="G157" s="4">
        <f t="shared" si="217"/>
        <v>0</v>
      </c>
      <c r="H157" s="4">
        <f t="shared" si="217"/>
        <v>0</v>
      </c>
      <c r="I157" s="4">
        <f t="shared" si="217"/>
        <v>0</v>
      </c>
      <c r="J157" s="4">
        <f t="shared" si="217"/>
        <v>0</v>
      </c>
      <c r="K157" s="4">
        <f t="shared" si="217"/>
        <v>0</v>
      </c>
      <c r="L157" s="4">
        <f t="shared" si="217"/>
        <v>0</v>
      </c>
      <c r="M157" s="4">
        <f t="shared" si="217"/>
        <v>0</v>
      </c>
      <c r="N157" s="4">
        <f t="shared" si="217"/>
        <v>0</v>
      </c>
      <c r="O157" s="8"/>
      <c r="P157" s="4">
        <f t="shared" si="211"/>
        <v>0</v>
      </c>
      <c r="Q157" s="4">
        <f t="shared" si="212"/>
        <v>0</v>
      </c>
      <c r="R157" s="4">
        <f t="shared" si="213"/>
        <v>0</v>
      </c>
      <c r="S157" s="4">
        <f t="shared" si="214"/>
        <v>0</v>
      </c>
      <c r="T157" s="4"/>
      <c r="U157" s="4">
        <f t="shared" si="215"/>
        <v>0</v>
      </c>
      <c r="W157" s="25">
        <f t="shared" si="216"/>
        <v>0</v>
      </c>
    </row>
    <row r="158" spans="2:23" x14ac:dyDescent="0.2">
      <c r="B158" s="26" t="s">
        <v>170</v>
      </c>
      <c r="C158" s="4">
        <f>+C48</f>
        <v>5719.0599999999995</v>
      </c>
      <c r="D158" s="4">
        <f t="shared" ref="D158:N158" si="218">+D48</f>
        <v>3959.6800000000003</v>
      </c>
      <c r="E158" s="4">
        <f t="shared" si="218"/>
        <v>3978.9500000000003</v>
      </c>
      <c r="F158" s="4">
        <f t="shared" si="218"/>
        <v>3978.9500000000003</v>
      </c>
      <c r="G158" s="4">
        <f t="shared" si="218"/>
        <v>3978.9500000000003</v>
      </c>
      <c r="H158" s="4">
        <f t="shared" si="218"/>
        <v>3978.95</v>
      </c>
      <c r="I158" s="4">
        <f t="shared" si="218"/>
        <v>3978.95</v>
      </c>
      <c r="J158" s="4">
        <f t="shared" si="218"/>
        <v>3978.9500000000003</v>
      </c>
      <c r="K158" s="4">
        <f t="shared" si="218"/>
        <v>3978.9500000000003</v>
      </c>
      <c r="L158" s="4">
        <f t="shared" si="218"/>
        <v>3978.9500000000003</v>
      </c>
      <c r="M158" s="4">
        <f t="shared" si="218"/>
        <v>3978.9450000000002</v>
      </c>
      <c r="N158" s="4">
        <f t="shared" si="218"/>
        <v>4000</v>
      </c>
      <c r="O158" s="8"/>
      <c r="P158" s="4">
        <f t="shared" si="211"/>
        <v>13657.69</v>
      </c>
      <c r="Q158" s="4">
        <f t="shared" si="212"/>
        <v>11936.85</v>
      </c>
      <c r="R158" s="4">
        <f t="shared" si="213"/>
        <v>11936.85</v>
      </c>
      <c r="S158" s="4">
        <f t="shared" si="214"/>
        <v>11957.895</v>
      </c>
      <c r="T158" s="4"/>
      <c r="U158" s="4">
        <f t="shared" si="215"/>
        <v>49489.284999999996</v>
      </c>
      <c r="W158" s="25">
        <f t="shared" si="216"/>
        <v>0</v>
      </c>
    </row>
    <row r="159" spans="2:23" x14ac:dyDescent="0.2">
      <c r="B159" s="26" t="s">
        <v>171</v>
      </c>
      <c r="C159" s="4">
        <f>+C63</f>
        <v>0</v>
      </c>
      <c r="D159" s="4">
        <f t="shared" ref="D159:N159" si="219">+D63</f>
        <v>0</v>
      </c>
      <c r="E159" s="4">
        <f t="shared" si="219"/>
        <v>0</v>
      </c>
      <c r="F159" s="4">
        <f t="shared" si="219"/>
        <v>0</v>
      </c>
      <c r="G159" s="4">
        <f t="shared" si="219"/>
        <v>0</v>
      </c>
      <c r="H159" s="4">
        <f t="shared" si="219"/>
        <v>0</v>
      </c>
      <c r="I159" s="4">
        <f t="shared" si="219"/>
        <v>0</v>
      </c>
      <c r="J159" s="4">
        <f t="shared" si="219"/>
        <v>0</v>
      </c>
      <c r="K159" s="4">
        <f t="shared" si="219"/>
        <v>0</v>
      </c>
      <c r="L159" s="4">
        <f t="shared" si="219"/>
        <v>0</v>
      </c>
      <c r="M159" s="4">
        <f t="shared" si="219"/>
        <v>0</v>
      </c>
      <c r="N159" s="4">
        <f t="shared" si="219"/>
        <v>0</v>
      </c>
      <c r="O159" s="8"/>
      <c r="P159" s="4">
        <f t="shared" si="211"/>
        <v>0</v>
      </c>
      <c r="Q159" s="4">
        <f t="shared" si="212"/>
        <v>0</v>
      </c>
      <c r="R159" s="4">
        <f t="shared" si="213"/>
        <v>0</v>
      </c>
      <c r="S159" s="4">
        <f t="shared" si="214"/>
        <v>0</v>
      </c>
      <c r="T159" s="4"/>
      <c r="U159" s="4">
        <f t="shared" si="215"/>
        <v>0</v>
      </c>
      <c r="W159" s="25">
        <f t="shared" si="216"/>
        <v>0</v>
      </c>
    </row>
    <row r="160" spans="2:23" x14ac:dyDescent="0.2">
      <c r="B160" s="26" t="s">
        <v>174</v>
      </c>
      <c r="C160" s="4">
        <f>+C78</f>
        <v>0</v>
      </c>
      <c r="D160" s="4">
        <f t="shared" ref="D160:N160" si="220">+D78</f>
        <v>0</v>
      </c>
      <c r="E160" s="4">
        <f t="shared" si="220"/>
        <v>0</v>
      </c>
      <c r="F160" s="4">
        <f t="shared" si="220"/>
        <v>0</v>
      </c>
      <c r="G160" s="4">
        <f t="shared" si="220"/>
        <v>0</v>
      </c>
      <c r="H160" s="4">
        <f t="shared" si="220"/>
        <v>0</v>
      </c>
      <c r="I160" s="4">
        <f t="shared" si="220"/>
        <v>0</v>
      </c>
      <c r="J160" s="4">
        <f t="shared" si="220"/>
        <v>0</v>
      </c>
      <c r="K160" s="4">
        <f t="shared" si="220"/>
        <v>0</v>
      </c>
      <c r="L160" s="4">
        <f t="shared" si="220"/>
        <v>0</v>
      </c>
      <c r="M160" s="4">
        <f t="shared" si="220"/>
        <v>0</v>
      </c>
      <c r="N160" s="4">
        <f t="shared" si="220"/>
        <v>0</v>
      </c>
      <c r="O160" s="8"/>
      <c r="P160" s="4">
        <f t="shared" si="211"/>
        <v>0</v>
      </c>
      <c r="Q160" s="4">
        <f t="shared" si="212"/>
        <v>0</v>
      </c>
      <c r="R160" s="4">
        <f t="shared" si="213"/>
        <v>0</v>
      </c>
      <c r="S160" s="4">
        <f t="shared" si="214"/>
        <v>0</v>
      </c>
      <c r="T160" s="4"/>
      <c r="U160" s="4">
        <f t="shared" si="215"/>
        <v>0</v>
      </c>
      <c r="W160" s="25">
        <f t="shared" si="216"/>
        <v>0</v>
      </c>
    </row>
    <row r="161" spans="2:23" x14ac:dyDescent="0.2">
      <c r="B161" s="26" t="s">
        <v>175</v>
      </c>
      <c r="C161" s="4">
        <f>+C93</f>
        <v>0</v>
      </c>
      <c r="D161" s="4">
        <f t="shared" ref="D161:N161" si="221">+D93</f>
        <v>0</v>
      </c>
      <c r="E161" s="4">
        <f t="shared" si="221"/>
        <v>0</v>
      </c>
      <c r="F161" s="4">
        <f t="shared" si="221"/>
        <v>0</v>
      </c>
      <c r="G161" s="4">
        <f t="shared" si="221"/>
        <v>0</v>
      </c>
      <c r="H161" s="4">
        <f t="shared" si="221"/>
        <v>0</v>
      </c>
      <c r="I161" s="4">
        <f t="shared" si="221"/>
        <v>0</v>
      </c>
      <c r="J161" s="4">
        <f t="shared" si="221"/>
        <v>0</v>
      </c>
      <c r="K161" s="4">
        <f t="shared" si="221"/>
        <v>0</v>
      </c>
      <c r="L161" s="4">
        <f t="shared" si="221"/>
        <v>0</v>
      </c>
      <c r="M161" s="4">
        <f t="shared" si="221"/>
        <v>0</v>
      </c>
      <c r="N161" s="4">
        <f t="shared" si="221"/>
        <v>0</v>
      </c>
      <c r="O161" s="8"/>
      <c r="P161" s="4">
        <f t="shared" si="211"/>
        <v>0</v>
      </c>
      <c r="Q161" s="4">
        <f t="shared" si="212"/>
        <v>0</v>
      </c>
      <c r="R161" s="4">
        <f t="shared" si="213"/>
        <v>0</v>
      </c>
      <c r="S161" s="4">
        <f t="shared" si="214"/>
        <v>0</v>
      </c>
      <c r="T161" s="4"/>
      <c r="U161" s="4">
        <f t="shared" si="215"/>
        <v>0</v>
      </c>
      <c r="W161" s="25">
        <f t="shared" si="216"/>
        <v>0</v>
      </c>
    </row>
    <row r="162" spans="2:23" x14ac:dyDescent="0.2">
      <c r="B162" s="26" t="s">
        <v>178</v>
      </c>
      <c r="C162" s="4">
        <f>+C108</f>
        <v>0</v>
      </c>
      <c r="D162" s="4">
        <f t="shared" ref="D162:N162" si="222">+D108</f>
        <v>0</v>
      </c>
      <c r="E162" s="4">
        <f t="shared" si="222"/>
        <v>0</v>
      </c>
      <c r="F162" s="4">
        <f t="shared" si="222"/>
        <v>0</v>
      </c>
      <c r="G162" s="4">
        <f t="shared" si="222"/>
        <v>0</v>
      </c>
      <c r="H162" s="4">
        <f t="shared" si="222"/>
        <v>0</v>
      </c>
      <c r="I162" s="4">
        <f t="shared" si="222"/>
        <v>0</v>
      </c>
      <c r="J162" s="4">
        <f t="shared" si="222"/>
        <v>0</v>
      </c>
      <c r="K162" s="4">
        <f t="shared" si="222"/>
        <v>0</v>
      </c>
      <c r="L162" s="4">
        <f t="shared" si="222"/>
        <v>0</v>
      </c>
      <c r="M162" s="4">
        <f t="shared" si="222"/>
        <v>0</v>
      </c>
      <c r="N162" s="4">
        <f t="shared" si="222"/>
        <v>0</v>
      </c>
      <c r="O162" s="8"/>
      <c r="P162" s="4">
        <f t="shared" si="211"/>
        <v>0</v>
      </c>
      <c r="Q162" s="4">
        <f t="shared" si="212"/>
        <v>0</v>
      </c>
      <c r="R162" s="4">
        <f t="shared" si="213"/>
        <v>0</v>
      </c>
      <c r="S162" s="4">
        <f t="shared" si="214"/>
        <v>0</v>
      </c>
      <c r="T162" s="4"/>
      <c r="U162" s="4">
        <f t="shared" si="215"/>
        <v>0</v>
      </c>
      <c r="W162" s="25">
        <f t="shared" si="216"/>
        <v>0</v>
      </c>
    </row>
    <row r="163" spans="2:23" x14ac:dyDescent="0.2">
      <c r="B163" s="26" t="s">
        <v>179</v>
      </c>
      <c r="C163" s="4">
        <f>+C123</f>
        <v>0</v>
      </c>
      <c r="D163" s="4">
        <f t="shared" ref="D163:N163" si="223">+D123</f>
        <v>0</v>
      </c>
      <c r="E163" s="4">
        <f t="shared" si="223"/>
        <v>0</v>
      </c>
      <c r="F163" s="4">
        <f t="shared" si="223"/>
        <v>0</v>
      </c>
      <c r="G163" s="4">
        <f t="shared" si="223"/>
        <v>0</v>
      </c>
      <c r="H163" s="4">
        <f t="shared" si="223"/>
        <v>0</v>
      </c>
      <c r="I163" s="4">
        <f t="shared" si="223"/>
        <v>0</v>
      </c>
      <c r="J163" s="4">
        <f t="shared" si="223"/>
        <v>0</v>
      </c>
      <c r="K163" s="4">
        <f t="shared" si="223"/>
        <v>0</v>
      </c>
      <c r="L163" s="4">
        <f t="shared" si="223"/>
        <v>0</v>
      </c>
      <c r="M163" s="4">
        <f t="shared" si="223"/>
        <v>0</v>
      </c>
      <c r="N163" s="4">
        <f t="shared" si="223"/>
        <v>0</v>
      </c>
      <c r="O163" s="8"/>
      <c r="P163" s="4">
        <f t="shared" si="211"/>
        <v>0</v>
      </c>
      <c r="Q163" s="4">
        <f t="shared" si="212"/>
        <v>0</v>
      </c>
      <c r="R163" s="4">
        <f t="shared" si="213"/>
        <v>0</v>
      </c>
      <c r="S163" s="4">
        <f t="shared" si="214"/>
        <v>0</v>
      </c>
      <c r="T163" s="4"/>
      <c r="U163" s="4">
        <f t="shared" si="215"/>
        <v>0</v>
      </c>
      <c r="W163" s="25">
        <f t="shared" si="216"/>
        <v>0</v>
      </c>
    </row>
    <row r="164" spans="2:23" x14ac:dyDescent="0.2">
      <c r="B164" s="26" t="s">
        <v>182</v>
      </c>
      <c r="C164" s="4">
        <f>+C138</f>
        <v>0</v>
      </c>
      <c r="D164" s="4">
        <f t="shared" ref="D164:N164" si="224">+D138</f>
        <v>0</v>
      </c>
      <c r="E164" s="4">
        <f t="shared" si="224"/>
        <v>0</v>
      </c>
      <c r="F164" s="4">
        <f t="shared" si="224"/>
        <v>0</v>
      </c>
      <c r="G164" s="4">
        <f t="shared" si="224"/>
        <v>0</v>
      </c>
      <c r="H164" s="4">
        <f t="shared" si="224"/>
        <v>0</v>
      </c>
      <c r="I164" s="4">
        <f t="shared" si="224"/>
        <v>0</v>
      </c>
      <c r="J164" s="4">
        <f t="shared" si="224"/>
        <v>0</v>
      </c>
      <c r="K164" s="4">
        <f t="shared" si="224"/>
        <v>0</v>
      </c>
      <c r="L164" s="4">
        <f t="shared" si="224"/>
        <v>0</v>
      </c>
      <c r="M164" s="4">
        <f t="shared" si="224"/>
        <v>0</v>
      </c>
      <c r="N164" s="4">
        <f t="shared" si="224"/>
        <v>0</v>
      </c>
      <c r="O164" s="8"/>
      <c r="P164" s="4">
        <f t="shared" si="211"/>
        <v>0</v>
      </c>
      <c r="Q164" s="4">
        <f t="shared" si="212"/>
        <v>0</v>
      </c>
      <c r="R164" s="4">
        <f t="shared" si="213"/>
        <v>0</v>
      </c>
      <c r="S164" s="4">
        <f t="shared" si="214"/>
        <v>0</v>
      </c>
      <c r="T164" s="4"/>
      <c r="U164" s="4">
        <f t="shared" si="215"/>
        <v>0</v>
      </c>
      <c r="W164" s="25">
        <f t="shared" si="216"/>
        <v>0</v>
      </c>
    </row>
    <row r="165" spans="2:23" x14ac:dyDescent="0.2">
      <c r="B165" s="26" t="s">
        <v>183</v>
      </c>
      <c r="C165" s="4">
        <f>+C153</f>
        <v>0</v>
      </c>
      <c r="D165" s="4">
        <f t="shared" ref="D165:N165" si="225">+D153</f>
        <v>0</v>
      </c>
      <c r="E165" s="4">
        <f t="shared" si="225"/>
        <v>0</v>
      </c>
      <c r="F165" s="4">
        <f t="shared" si="225"/>
        <v>0</v>
      </c>
      <c r="G165" s="4">
        <f t="shared" si="225"/>
        <v>0</v>
      </c>
      <c r="H165" s="4">
        <f t="shared" si="225"/>
        <v>0</v>
      </c>
      <c r="I165" s="4">
        <f t="shared" si="225"/>
        <v>0</v>
      </c>
      <c r="J165" s="4">
        <f t="shared" si="225"/>
        <v>0</v>
      </c>
      <c r="K165" s="4">
        <f t="shared" si="225"/>
        <v>0</v>
      </c>
      <c r="L165" s="4">
        <f t="shared" si="225"/>
        <v>0</v>
      </c>
      <c r="M165" s="4">
        <f t="shared" si="225"/>
        <v>0</v>
      </c>
      <c r="N165" s="4">
        <f t="shared" si="225"/>
        <v>0</v>
      </c>
      <c r="O165" s="8"/>
      <c r="P165" s="4">
        <f t="shared" si="211"/>
        <v>0</v>
      </c>
      <c r="Q165" s="4">
        <f t="shared" si="212"/>
        <v>0</v>
      </c>
      <c r="R165" s="4">
        <f t="shared" si="213"/>
        <v>0</v>
      </c>
      <c r="S165" s="4">
        <f t="shared" si="214"/>
        <v>0</v>
      </c>
      <c r="T165" s="4"/>
      <c r="U165" s="4">
        <f t="shared" si="215"/>
        <v>0</v>
      </c>
      <c r="W165" s="25">
        <f t="shared" si="216"/>
        <v>0</v>
      </c>
    </row>
  </sheetData>
  <mergeCells count="10">
    <mergeCell ref="B95:U95"/>
    <mergeCell ref="B110:U110"/>
    <mergeCell ref="B125:U125"/>
    <mergeCell ref="B140:U140"/>
    <mergeCell ref="B5:U5"/>
    <mergeCell ref="B20:U20"/>
    <mergeCell ref="B35:U35"/>
    <mergeCell ref="B50:U50"/>
    <mergeCell ref="B65:U65"/>
    <mergeCell ref="B80:U80"/>
  </mergeCells>
  <phoneticPr fontId="1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126E-6729-43E3-BEDF-DBB20DE181F7}">
  <sheetPr>
    <pageSetUpPr fitToPage="1"/>
  </sheetPr>
  <dimension ref="A1:AV50"/>
  <sheetViews>
    <sheetView workbookViewId="0">
      <pane xSplit="2" ySplit="3" topLeftCell="D4" activePane="bottomRight" state="frozen"/>
      <selection activeCell="D1" sqref="D1"/>
      <selection pane="topRight" activeCell="E1" sqref="E1"/>
      <selection pane="bottomLeft" activeCell="D4" sqref="D4"/>
      <selection pane="bottomRight" activeCell="N9" sqref="N9"/>
    </sheetView>
  </sheetViews>
  <sheetFormatPr baseColWidth="10" defaultColWidth="9.1640625" defaultRowHeight="14" x14ac:dyDescent="0.2"/>
  <cols>
    <col min="1" max="1" width="2.5" style="1" customWidth="1"/>
    <col min="2" max="2" width="30.6640625" style="1" customWidth="1"/>
    <col min="3" max="14" width="9.6640625" style="1" customWidth="1"/>
    <col min="15" max="15" width="2.6640625" style="1" customWidth="1"/>
    <col min="16" max="27" width="9.6640625" style="1" customWidth="1"/>
    <col min="28" max="28" width="2.5" style="1" customWidth="1"/>
    <col min="29" max="32" width="10.6640625" style="1" customWidth="1"/>
    <col min="33" max="33" width="2.6640625" style="1" customWidth="1"/>
    <col min="34" max="37" width="10.6640625" style="1" customWidth="1"/>
    <col min="38" max="38" width="2.5" style="1" customWidth="1"/>
    <col min="39" max="40" width="10.6640625" style="1" customWidth="1"/>
    <col min="41" max="41" width="2.5" style="1" customWidth="1"/>
    <col min="42" max="43" width="6.6640625" style="1" customWidth="1"/>
    <col min="44" max="44" width="7.5" style="1" customWidth="1"/>
    <col min="45" max="45" width="24.6640625" style="1" customWidth="1"/>
    <col min="46" max="46" width="13.33203125" style="1" customWidth="1"/>
    <col min="47" max="16384" width="9.1640625" style="1"/>
  </cols>
  <sheetData>
    <row r="1" spans="1:48" ht="16" x14ac:dyDescent="0.2">
      <c r="A1" s="15" t="s">
        <v>141</v>
      </c>
    </row>
    <row r="3" spans="1:48" x14ac:dyDescent="0.2">
      <c r="B3" s="8"/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P3" s="9">
        <f>EDATE(N3,1)</f>
        <v>46023</v>
      </c>
      <c r="Q3" s="9">
        <f>EDATE(P3,1)</f>
        <v>46054</v>
      </c>
      <c r="R3" s="9">
        <f t="shared" ref="R3" si="1">EDATE(Q3,1)</f>
        <v>46082</v>
      </c>
      <c r="S3" s="9">
        <f t="shared" ref="S3" si="2">EDATE(R3,1)</f>
        <v>46113</v>
      </c>
      <c r="T3" s="9">
        <f t="shared" ref="T3" si="3">EDATE(S3,1)</f>
        <v>46143</v>
      </c>
      <c r="U3" s="9">
        <f t="shared" ref="U3" si="4">EDATE(T3,1)</f>
        <v>46174</v>
      </c>
      <c r="V3" s="9">
        <f t="shared" ref="V3" si="5">EDATE(U3,1)</f>
        <v>46204</v>
      </c>
      <c r="W3" s="9">
        <f t="shared" ref="W3" si="6">EDATE(V3,1)</f>
        <v>46235</v>
      </c>
      <c r="X3" s="9">
        <f t="shared" ref="X3" si="7">EDATE(W3,1)</f>
        <v>46266</v>
      </c>
      <c r="Y3" s="9">
        <f t="shared" ref="Y3" si="8">EDATE(X3,1)</f>
        <v>46296</v>
      </c>
      <c r="Z3" s="9">
        <f t="shared" ref="Z3" si="9">EDATE(Y3,1)</f>
        <v>46327</v>
      </c>
      <c r="AA3" s="9">
        <f t="shared" ref="AA3" si="10">EDATE(Z3,1)</f>
        <v>46357</v>
      </c>
      <c r="AB3" s="8"/>
      <c r="AC3" s="10" t="s">
        <v>1200</v>
      </c>
      <c r="AD3" s="10" t="s">
        <v>1201</v>
      </c>
      <c r="AE3" s="10" t="s">
        <v>1202</v>
      </c>
      <c r="AF3" s="10" t="s">
        <v>1203</v>
      </c>
      <c r="AG3" s="10"/>
      <c r="AH3" s="10" t="s">
        <v>1204</v>
      </c>
      <c r="AI3" s="10" t="s">
        <v>1205</v>
      </c>
      <c r="AJ3" s="10" t="s">
        <v>1206</v>
      </c>
      <c r="AK3" s="10" t="s">
        <v>1207</v>
      </c>
      <c r="AL3" s="10"/>
      <c r="AM3" s="11">
        <v>2025</v>
      </c>
      <c r="AN3" s="11">
        <v>2026</v>
      </c>
      <c r="AP3" s="3" t="s">
        <v>13</v>
      </c>
      <c r="AQ3" s="3" t="s">
        <v>13</v>
      </c>
    </row>
    <row r="4" spans="1:48" x14ac:dyDescent="0.2">
      <c r="B4" s="24"/>
      <c r="AP4" s="3"/>
      <c r="AQ4" s="3"/>
    </row>
    <row r="5" spans="1:48" x14ac:dyDescent="0.2">
      <c r="B5" s="2" t="s">
        <v>34</v>
      </c>
      <c r="C5" s="4">
        <v>0</v>
      </c>
      <c r="D5" s="4">
        <v>0</v>
      </c>
      <c r="E5" s="4">
        <v>0</v>
      </c>
      <c r="F5" s="4">
        <v>0</v>
      </c>
      <c r="G5" s="4">
        <v>3545.63</v>
      </c>
      <c r="H5" s="4">
        <v>3545.63</v>
      </c>
      <c r="I5" s="4">
        <v>7091.26</v>
      </c>
      <c r="J5" s="4">
        <v>3545.63</v>
      </c>
      <c r="K5" s="4">
        <v>3545.63</v>
      </c>
      <c r="L5" s="4">
        <v>3545.63</v>
      </c>
      <c r="M5" s="4">
        <v>3545.63</v>
      </c>
      <c r="N5" s="13">
        <v>3550</v>
      </c>
      <c r="P5" s="13">
        <v>3550</v>
      </c>
      <c r="Q5" s="13">
        <v>3550</v>
      </c>
      <c r="R5" s="13">
        <v>3550</v>
      </c>
      <c r="S5" s="13">
        <v>3550</v>
      </c>
      <c r="T5" s="13">
        <v>3550</v>
      </c>
      <c r="U5" s="13">
        <v>3550</v>
      </c>
      <c r="V5" s="13">
        <v>3550</v>
      </c>
      <c r="W5" s="13">
        <v>3550</v>
      </c>
      <c r="X5" s="13">
        <v>3550</v>
      </c>
      <c r="Y5" s="13">
        <v>3550</v>
      </c>
      <c r="Z5" s="13">
        <v>3550</v>
      </c>
      <c r="AA5" s="13">
        <v>3550</v>
      </c>
      <c r="AB5" s="4"/>
      <c r="AC5" s="4">
        <f t="shared" ref="AC5:AC13" si="11">SUM(C5:E5)</f>
        <v>0</v>
      </c>
      <c r="AD5" s="4">
        <f t="shared" ref="AD5:AD13" si="12">SUM(F5:H5)</f>
        <v>7091.26</v>
      </c>
      <c r="AE5" s="4">
        <f t="shared" ref="AE5:AE13" si="13">SUM(I5:K5)</f>
        <v>14182.52</v>
      </c>
      <c r="AF5" s="4">
        <f t="shared" ref="AF5:AF13" si="14">SUM(L5:N5)</f>
        <v>10641.26</v>
      </c>
      <c r="AG5" s="4"/>
      <c r="AH5" s="4">
        <f>SUM(P5:R5)</f>
        <v>10650</v>
      </c>
      <c r="AI5" s="4">
        <f>SUM(S5:U5)</f>
        <v>10650</v>
      </c>
      <c r="AJ5" s="4">
        <f>SUM(V5:X5)</f>
        <v>10650</v>
      </c>
      <c r="AK5" s="4">
        <f>SUM(Y5:AA5)</f>
        <v>10650</v>
      </c>
      <c r="AL5" s="4"/>
      <c r="AM5" s="4">
        <f t="shared" ref="AM5:AM13" si="15">SUM(C5:N5)</f>
        <v>31915.040000000005</v>
      </c>
      <c r="AN5" s="4">
        <f>SUM(P5:AA5)</f>
        <v>42600</v>
      </c>
      <c r="AP5" s="25">
        <f t="shared" ref="AP5:AP13" si="16">ROUND(SUM(AC5:AF5)-AM5,2)</f>
        <v>0</v>
      </c>
      <c r="AQ5" s="25">
        <f>ROUND(SUM(AH5:AK5)-AN5,2)</f>
        <v>0</v>
      </c>
      <c r="AV5" s="4"/>
    </row>
    <row r="6" spans="1:48" x14ac:dyDescent="0.2">
      <c r="B6" s="2" t="s">
        <v>17</v>
      </c>
      <c r="C6" s="4">
        <v>3866.9</v>
      </c>
      <c r="D6" s="4">
        <v>4575.8999999999996</v>
      </c>
      <c r="E6" s="4">
        <v>12536.15</v>
      </c>
      <c r="F6" s="4">
        <v>11114.35</v>
      </c>
      <c r="G6" s="4">
        <v>24774.020000000004</v>
      </c>
      <c r="H6" s="4">
        <v>23118.32</v>
      </c>
      <c r="I6" s="4">
        <v>22036.41</v>
      </c>
      <c r="J6" s="4">
        <v>91840.73</v>
      </c>
      <c r="K6" s="4">
        <v>10289.469999999998</v>
      </c>
      <c r="L6" s="4">
        <v>24251.63</v>
      </c>
      <c r="M6" s="4">
        <v>12056.23</v>
      </c>
      <c r="N6" s="13">
        <v>12000</v>
      </c>
      <c r="P6" s="13">
        <f>+C6*1.05</f>
        <v>4060.2450000000003</v>
      </c>
      <c r="Q6" s="13">
        <f t="shared" ref="Q6:AA6" si="17">+D6*1.05</f>
        <v>4804.6949999999997</v>
      </c>
      <c r="R6" s="13">
        <f t="shared" si="17"/>
        <v>13162.9575</v>
      </c>
      <c r="S6" s="13">
        <f t="shared" si="17"/>
        <v>11670.067500000001</v>
      </c>
      <c r="T6" s="13">
        <f t="shared" si="17"/>
        <v>26012.721000000005</v>
      </c>
      <c r="U6" s="13">
        <f t="shared" si="17"/>
        <v>24274.236000000001</v>
      </c>
      <c r="V6" s="13">
        <f t="shared" si="17"/>
        <v>23138.230500000001</v>
      </c>
      <c r="W6" s="13">
        <f t="shared" si="17"/>
        <v>96432.766499999998</v>
      </c>
      <c r="X6" s="13">
        <f t="shared" si="17"/>
        <v>10803.943499999998</v>
      </c>
      <c r="Y6" s="13">
        <f t="shared" si="17"/>
        <v>25464.211500000001</v>
      </c>
      <c r="Z6" s="13">
        <f t="shared" si="17"/>
        <v>12659.041499999999</v>
      </c>
      <c r="AA6" s="13">
        <f t="shared" si="17"/>
        <v>12600</v>
      </c>
      <c r="AB6" s="4"/>
      <c r="AC6" s="4">
        <f t="shared" si="11"/>
        <v>20978.949999999997</v>
      </c>
      <c r="AD6" s="4">
        <f t="shared" si="12"/>
        <v>59006.69</v>
      </c>
      <c r="AE6" s="4">
        <f t="shared" si="13"/>
        <v>124166.61</v>
      </c>
      <c r="AF6" s="4">
        <f t="shared" si="14"/>
        <v>48307.86</v>
      </c>
      <c r="AG6" s="4"/>
      <c r="AH6" s="4">
        <f t="shared" ref="AH6:AH13" si="18">SUM(P6:R6)</f>
        <v>22027.897499999999</v>
      </c>
      <c r="AI6" s="4">
        <f t="shared" ref="AI6:AI13" si="19">SUM(S6:U6)</f>
        <v>61957.024500000014</v>
      </c>
      <c r="AJ6" s="4">
        <f t="shared" ref="AJ6:AJ13" si="20">SUM(V6:X6)</f>
        <v>130374.9405</v>
      </c>
      <c r="AK6" s="4">
        <f t="shared" ref="AK6:AK13" si="21">SUM(Y6:AA6)</f>
        <v>50723.252999999997</v>
      </c>
      <c r="AL6" s="4"/>
      <c r="AM6" s="4">
        <f t="shared" si="15"/>
        <v>252460.11000000002</v>
      </c>
      <c r="AN6" s="4">
        <f t="shared" ref="AN6:AN13" si="22">SUM(P6:AA6)</f>
        <v>265083.11549999996</v>
      </c>
      <c r="AP6" s="25">
        <f t="shared" si="16"/>
        <v>0</v>
      </c>
      <c r="AQ6" s="25">
        <f t="shared" ref="AQ6:AQ12" si="23">ROUND(SUM(AH6:AK6)-AN6,2)</f>
        <v>0</v>
      </c>
      <c r="AV6" s="4"/>
    </row>
    <row r="7" spans="1:48" x14ac:dyDescent="0.2">
      <c r="B7" s="2" t="s">
        <v>28</v>
      </c>
      <c r="C7" s="4">
        <v>263.76</v>
      </c>
      <c r="D7" s="4">
        <v>807.23</v>
      </c>
      <c r="E7" s="4">
        <v>556.55999999999995</v>
      </c>
      <c r="F7" s="4">
        <v>556</v>
      </c>
      <c r="G7" s="4">
        <v>354.79</v>
      </c>
      <c r="H7" s="4">
        <v>1130.5700000000002</v>
      </c>
      <c r="I7" s="4">
        <v>355.28000000000003</v>
      </c>
      <c r="J7" s="4">
        <v>1606.02</v>
      </c>
      <c r="K7" s="4">
        <v>1215.05</v>
      </c>
      <c r="L7" s="4">
        <v>127.22999999999999</v>
      </c>
      <c r="M7" s="4">
        <v>4393.6299999999992</v>
      </c>
      <c r="N7" s="13">
        <v>500</v>
      </c>
      <c r="P7" s="13">
        <v>750</v>
      </c>
      <c r="Q7" s="13">
        <v>750</v>
      </c>
      <c r="R7" s="13">
        <v>750</v>
      </c>
      <c r="S7" s="13">
        <v>750</v>
      </c>
      <c r="T7" s="13">
        <v>750</v>
      </c>
      <c r="U7" s="13">
        <v>750</v>
      </c>
      <c r="V7" s="13">
        <v>750</v>
      </c>
      <c r="W7" s="13">
        <v>750</v>
      </c>
      <c r="X7" s="13">
        <v>750</v>
      </c>
      <c r="Y7" s="13">
        <v>750</v>
      </c>
      <c r="Z7" s="13">
        <v>750</v>
      </c>
      <c r="AA7" s="13">
        <v>750</v>
      </c>
      <c r="AB7" s="4"/>
      <c r="AC7" s="4">
        <f t="shared" si="11"/>
        <v>1627.55</v>
      </c>
      <c r="AD7" s="4">
        <f t="shared" si="12"/>
        <v>2041.3600000000001</v>
      </c>
      <c r="AE7" s="4">
        <f t="shared" si="13"/>
        <v>3176.35</v>
      </c>
      <c r="AF7" s="4">
        <f t="shared" si="14"/>
        <v>5020.8599999999988</v>
      </c>
      <c r="AG7" s="4"/>
      <c r="AH7" s="4">
        <f t="shared" si="18"/>
        <v>2250</v>
      </c>
      <c r="AI7" s="4">
        <f t="shared" si="19"/>
        <v>2250</v>
      </c>
      <c r="AJ7" s="4">
        <f t="shared" si="20"/>
        <v>2250</v>
      </c>
      <c r="AK7" s="4">
        <f t="shared" si="21"/>
        <v>2250</v>
      </c>
      <c r="AL7" s="4"/>
      <c r="AM7" s="4">
        <f t="shared" si="15"/>
        <v>11866.119999999999</v>
      </c>
      <c r="AN7" s="4">
        <f t="shared" si="22"/>
        <v>9000</v>
      </c>
      <c r="AP7" s="25">
        <f t="shared" si="16"/>
        <v>0</v>
      </c>
      <c r="AQ7" s="25">
        <f t="shared" si="23"/>
        <v>0</v>
      </c>
      <c r="AV7" s="4"/>
    </row>
    <row r="8" spans="1:48" x14ac:dyDescent="0.2">
      <c r="B8" s="2" t="s">
        <v>18</v>
      </c>
      <c r="C8" s="4">
        <v>496.97</v>
      </c>
      <c r="D8" s="4">
        <v>8280.18</v>
      </c>
      <c r="E8" s="4">
        <v>3089.8900000000003</v>
      </c>
      <c r="F8" s="4">
        <v>8984.89</v>
      </c>
      <c r="G8" s="4">
        <v>1547.5500000000002</v>
      </c>
      <c r="H8" s="4">
        <v>3039.49</v>
      </c>
      <c r="I8" s="4">
        <v>5580.2400000000007</v>
      </c>
      <c r="J8" s="4">
        <v>1783.2400000000002</v>
      </c>
      <c r="K8" s="4">
        <v>3039.49</v>
      </c>
      <c r="L8" s="4">
        <v>5817.8</v>
      </c>
      <c r="M8" s="4">
        <v>1783.2400000000002</v>
      </c>
      <c r="N8" s="13">
        <v>2500</v>
      </c>
      <c r="P8" s="13">
        <f>+C8*1.03</f>
        <v>511.87910000000005</v>
      </c>
      <c r="Q8" s="13">
        <f t="shared" ref="Q8:AA8" si="24">+D8*1.03</f>
        <v>8528.5853999999999</v>
      </c>
      <c r="R8" s="13">
        <f t="shared" si="24"/>
        <v>3182.5867000000003</v>
      </c>
      <c r="S8" s="13">
        <f t="shared" si="24"/>
        <v>9254.4367000000002</v>
      </c>
      <c r="T8" s="13">
        <f t="shared" si="24"/>
        <v>1593.9765000000002</v>
      </c>
      <c r="U8" s="13">
        <f t="shared" si="24"/>
        <v>3130.6747</v>
      </c>
      <c r="V8" s="13">
        <f t="shared" si="24"/>
        <v>5747.6472000000012</v>
      </c>
      <c r="W8" s="13">
        <f t="shared" si="24"/>
        <v>1836.7372000000003</v>
      </c>
      <c r="X8" s="13">
        <f t="shared" si="24"/>
        <v>3130.6747</v>
      </c>
      <c r="Y8" s="13">
        <f t="shared" si="24"/>
        <v>5992.3340000000007</v>
      </c>
      <c r="Z8" s="13">
        <f t="shared" si="24"/>
        <v>1836.7372000000003</v>
      </c>
      <c r="AA8" s="13">
        <f t="shared" si="24"/>
        <v>2575</v>
      </c>
      <c r="AB8" s="4"/>
      <c r="AC8" s="4">
        <f t="shared" si="11"/>
        <v>11867.04</v>
      </c>
      <c r="AD8" s="4">
        <f t="shared" si="12"/>
        <v>13571.929999999998</v>
      </c>
      <c r="AE8" s="4">
        <f t="shared" si="13"/>
        <v>10402.970000000001</v>
      </c>
      <c r="AF8" s="4">
        <f t="shared" si="14"/>
        <v>10101.040000000001</v>
      </c>
      <c r="AG8" s="4"/>
      <c r="AH8" s="4">
        <f t="shared" si="18"/>
        <v>12223.0512</v>
      </c>
      <c r="AI8" s="4">
        <f t="shared" si="19"/>
        <v>13979.0879</v>
      </c>
      <c r="AJ8" s="4">
        <f t="shared" si="20"/>
        <v>10715.059100000002</v>
      </c>
      <c r="AK8" s="4">
        <f t="shared" si="21"/>
        <v>10404.071200000002</v>
      </c>
      <c r="AL8" s="4"/>
      <c r="AM8" s="4">
        <f t="shared" si="15"/>
        <v>45942.98</v>
      </c>
      <c r="AN8" s="4">
        <f t="shared" si="22"/>
        <v>47321.269400000012</v>
      </c>
      <c r="AP8" s="25">
        <f t="shared" si="16"/>
        <v>0</v>
      </c>
      <c r="AQ8" s="25">
        <f t="shared" si="23"/>
        <v>0</v>
      </c>
      <c r="AV8" s="4"/>
    </row>
    <row r="9" spans="1:48" x14ac:dyDescent="0.2">
      <c r="B9" s="2" t="s">
        <v>29</v>
      </c>
      <c r="C9" s="4">
        <v>10550</v>
      </c>
      <c r="D9" s="4">
        <v>15467.5</v>
      </c>
      <c r="E9" s="4">
        <v>18866</v>
      </c>
      <c r="F9" s="4">
        <v>28130</v>
      </c>
      <c r="G9" s="4">
        <v>23029.4</v>
      </c>
      <c r="H9" s="4">
        <v>10386.450000000001</v>
      </c>
      <c r="I9" s="4">
        <v>9005.5</v>
      </c>
      <c r="J9" s="4">
        <v>1950.5</v>
      </c>
      <c r="K9" s="4">
        <v>8001</v>
      </c>
      <c r="L9" s="4">
        <v>9200.7000000000007</v>
      </c>
      <c r="M9" s="4">
        <v>1426</v>
      </c>
      <c r="N9" s="13">
        <v>11000</v>
      </c>
      <c r="P9" s="13">
        <v>12500</v>
      </c>
      <c r="Q9" s="13">
        <v>12500</v>
      </c>
      <c r="R9" s="13">
        <v>12500</v>
      </c>
      <c r="S9" s="13">
        <v>10000</v>
      </c>
      <c r="T9" s="13">
        <v>10000</v>
      </c>
      <c r="U9" s="13">
        <v>10000</v>
      </c>
      <c r="V9" s="13">
        <v>8000</v>
      </c>
      <c r="W9" s="13">
        <v>8000</v>
      </c>
      <c r="X9" s="13">
        <v>8000</v>
      </c>
      <c r="Y9" s="13">
        <v>8000</v>
      </c>
      <c r="Z9" s="13">
        <v>8000</v>
      </c>
      <c r="AA9" s="13">
        <v>8000</v>
      </c>
      <c r="AB9" s="4"/>
      <c r="AC9" s="4">
        <f t="shared" si="11"/>
        <v>44883.5</v>
      </c>
      <c r="AD9" s="4">
        <f t="shared" si="12"/>
        <v>61545.850000000006</v>
      </c>
      <c r="AE9" s="4">
        <f t="shared" si="13"/>
        <v>18957</v>
      </c>
      <c r="AF9" s="4">
        <f t="shared" si="14"/>
        <v>21626.7</v>
      </c>
      <c r="AG9" s="4"/>
      <c r="AH9" s="4">
        <f t="shared" si="18"/>
        <v>37500</v>
      </c>
      <c r="AI9" s="4">
        <f t="shared" si="19"/>
        <v>30000</v>
      </c>
      <c r="AJ9" s="4">
        <f t="shared" si="20"/>
        <v>24000</v>
      </c>
      <c r="AK9" s="4">
        <f t="shared" si="21"/>
        <v>24000</v>
      </c>
      <c r="AL9" s="4"/>
      <c r="AM9" s="4">
        <f t="shared" si="15"/>
        <v>147013.04999999999</v>
      </c>
      <c r="AN9" s="4">
        <f t="shared" si="22"/>
        <v>115500</v>
      </c>
      <c r="AP9" s="25">
        <f t="shared" si="16"/>
        <v>0</v>
      </c>
      <c r="AQ9" s="25">
        <f t="shared" si="23"/>
        <v>0</v>
      </c>
      <c r="AV9" s="4"/>
    </row>
    <row r="10" spans="1:48" x14ac:dyDescent="0.2">
      <c r="B10" s="2" t="s">
        <v>32</v>
      </c>
      <c r="C10" s="4">
        <v>0</v>
      </c>
      <c r="D10" s="4">
        <v>0</v>
      </c>
      <c r="E10" s="4">
        <v>0</v>
      </c>
      <c r="F10" s="4">
        <v>0</v>
      </c>
      <c r="G10" s="4">
        <v>22482.5</v>
      </c>
      <c r="H10" s="4">
        <v>287.5</v>
      </c>
      <c r="I10" s="4">
        <v>535</v>
      </c>
      <c r="J10" s="4">
        <v>0</v>
      </c>
      <c r="K10" s="4">
        <v>565</v>
      </c>
      <c r="L10" s="4">
        <v>0</v>
      </c>
      <c r="M10" s="4">
        <v>0</v>
      </c>
      <c r="N10" s="13">
        <v>12500</v>
      </c>
      <c r="P10" s="13">
        <v>2500</v>
      </c>
      <c r="Q10" s="13">
        <v>1500</v>
      </c>
      <c r="R10" s="13">
        <v>2000</v>
      </c>
      <c r="S10" s="13">
        <v>1500</v>
      </c>
      <c r="T10" s="13">
        <v>1500</v>
      </c>
      <c r="U10" s="13">
        <v>2000</v>
      </c>
      <c r="V10" s="13">
        <v>1500</v>
      </c>
      <c r="W10" s="13">
        <v>1500</v>
      </c>
      <c r="X10" s="13">
        <v>2000</v>
      </c>
      <c r="Y10" s="13">
        <v>1500</v>
      </c>
      <c r="Z10" s="13">
        <v>1500</v>
      </c>
      <c r="AA10" s="13">
        <v>2000</v>
      </c>
      <c r="AB10" s="4"/>
      <c r="AC10" s="4">
        <f t="shared" si="11"/>
        <v>0</v>
      </c>
      <c r="AD10" s="4">
        <f t="shared" si="12"/>
        <v>22770</v>
      </c>
      <c r="AE10" s="4">
        <f t="shared" si="13"/>
        <v>1100</v>
      </c>
      <c r="AF10" s="4">
        <f t="shared" si="14"/>
        <v>12500</v>
      </c>
      <c r="AG10" s="4"/>
      <c r="AH10" s="4">
        <f t="shared" si="18"/>
        <v>6000</v>
      </c>
      <c r="AI10" s="4">
        <f t="shared" si="19"/>
        <v>5000</v>
      </c>
      <c r="AJ10" s="4">
        <f t="shared" si="20"/>
        <v>5000</v>
      </c>
      <c r="AK10" s="4">
        <f t="shared" si="21"/>
        <v>5000</v>
      </c>
      <c r="AL10" s="4"/>
      <c r="AM10" s="4">
        <f t="shared" si="15"/>
        <v>36370</v>
      </c>
      <c r="AN10" s="4">
        <f t="shared" si="22"/>
        <v>21000</v>
      </c>
      <c r="AP10" s="25">
        <f t="shared" si="16"/>
        <v>0</v>
      </c>
      <c r="AQ10" s="25">
        <f t="shared" si="23"/>
        <v>0</v>
      </c>
      <c r="AV10" s="4"/>
    </row>
    <row r="11" spans="1:48" x14ac:dyDescent="0.2">
      <c r="B11" s="2" t="s">
        <v>275</v>
      </c>
      <c r="C11" s="4">
        <v>0</v>
      </c>
      <c r="D11" s="4">
        <v>0</v>
      </c>
      <c r="E11" s="4">
        <v>63750</v>
      </c>
      <c r="F11" s="4">
        <v>0</v>
      </c>
      <c r="G11" s="4">
        <v>25000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13">
        <v>35000</v>
      </c>
      <c r="P11" s="13">
        <v>5000</v>
      </c>
      <c r="Q11" s="13">
        <v>5000</v>
      </c>
      <c r="R11" s="13">
        <v>5000</v>
      </c>
      <c r="S11" s="13">
        <v>5000</v>
      </c>
      <c r="T11" s="13">
        <v>5000</v>
      </c>
      <c r="U11" s="13">
        <v>5000</v>
      </c>
      <c r="V11" s="13">
        <v>5000</v>
      </c>
      <c r="W11" s="13">
        <v>5000</v>
      </c>
      <c r="X11" s="13">
        <v>5000</v>
      </c>
      <c r="Y11" s="13">
        <v>5000</v>
      </c>
      <c r="Z11" s="13">
        <v>5000</v>
      </c>
      <c r="AA11" s="13">
        <v>5000</v>
      </c>
      <c r="AB11" s="4"/>
      <c r="AC11" s="4">
        <f t="shared" si="11"/>
        <v>63750</v>
      </c>
      <c r="AD11" s="4">
        <f t="shared" si="12"/>
        <v>25000</v>
      </c>
      <c r="AE11" s="4">
        <f t="shared" si="13"/>
        <v>0</v>
      </c>
      <c r="AF11" s="4">
        <f t="shared" si="14"/>
        <v>35000</v>
      </c>
      <c r="AG11" s="4"/>
      <c r="AH11" s="4">
        <f t="shared" si="18"/>
        <v>15000</v>
      </c>
      <c r="AI11" s="4">
        <f t="shared" si="19"/>
        <v>15000</v>
      </c>
      <c r="AJ11" s="4">
        <f t="shared" si="20"/>
        <v>15000</v>
      </c>
      <c r="AK11" s="4">
        <f t="shared" si="21"/>
        <v>15000</v>
      </c>
      <c r="AL11" s="4"/>
      <c r="AM11" s="4">
        <f t="shared" si="15"/>
        <v>123750</v>
      </c>
      <c r="AN11" s="4">
        <f t="shared" si="22"/>
        <v>60000</v>
      </c>
      <c r="AP11" s="25">
        <f t="shared" si="16"/>
        <v>0</v>
      </c>
      <c r="AQ11" s="25">
        <f t="shared" si="23"/>
        <v>0</v>
      </c>
      <c r="AV11" s="4"/>
    </row>
    <row r="12" spans="1:48" x14ac:dyDescent="0.2">
      <c r="B12" s="2" t="s">
        <v>62</v>
      </c>
      <c r="C12" s="4">
        <v>0</v>
      </c>
      <c r="D12" s="4">
        <v>0</v>
      </c>
      <c r="E12" s="4">
        <v>4036</v>
      </c>
      <c r="F12" s="4">
        <v>20</v>
      </c>
      <c r="G12" s="4">
        <v>-326.17</v>
      </c>
      <c r="H12" s="4">
        <v>196</v>
      </c>
      <c r="I12" s="4">
        <v>112.92</v>
      </c>
      <c r="J12" s="4">
        <v>0</v>
      </c>
      <c r="K12" s="4">
        <v>-32</v>
      </c>
      <c r="L12" s="4">
        <v>188.43</v>
      </c>
      <c r="M12" s="4">
        <v>0</v>
      </c>
      <c r="N12" s="13">
        <v>250</v>
      </c>
      <c r="P12" s="13">
        <v>250</v>
      </c>
      <c r="Q12" s="13">
        <v>250</v>
      </c>
      <c r="R12" s="13">
        <v>250</v>
      </c>
      <c r="S12" s="13">
        <v>250</v>
      </c>
      <c r="T12" s="13">
        <v>250</v>
      </c>
      <c r="U12" s="13">
        <v>250</v>
      </c>
      <c r="V12" s="13">
        <v>250</v>
      </c>
      <c r="W12" s="13">
        <v>250</v>
      </c>
      <c r="X12" s="13">
        <v>250</v>
      </c>
      <c r="Y12" s="13">
        <v>250</v>
      </c>
      <c r="Z12" s="13">
        <v>250</v>
      </c>
      <c r="AA12" s="13">
        <v>250</v>
      </c>
      <c r="AB12" s="4"/>
      <c r="AC12" s="4">
        <f t="shared" si="11"/>
        <v>4036</v>
      </c>
      <c r="AD12" s="4">
        <f t="shared" si="12"/>
        <v>-110.17000000000002</v>
      </c>
      <c r="AE12" s="4">
        <f t="shared" si="13"/>
        <v>80.92</v>
      </c>
      <c r="AF12" s="4">
        <f t="shared" si="14"/>
        <v>438.43</v>
      </c>
      <c r="AG12" s="4"/>
      <c r="AH12" s="4">
        <f t="shared" si="18"/>
        <v>750</v>
      </c>
      <c r="AI12" s="4">
        <f t="shared" si="19"/>
        <v>750</v>
      </c>
      <c r="AJ12" s="4">
        <f t="shared" si="20"/>
        <v>750</v>
      </c>
      <c r="AK12" s="4">
        <f t="shared" si="21"/>
        <v>750</v>
      </c>
      <c r="AL12" s="4"/>
      <c r="AM12" s="4">
        <f t="shared" si="15"/>
        <v>4445.18</v>
      </c>
      <c r="AN12" s="4">
        <f t="shared" si="22"/>
        <v>3000</v>
      </c>
      <c r="AP12" s="25">
        <f t="shared" si="16"/>
        <v>0</v>
      </c>
      <c r="AQ12" s="25">
        <f t="shared" si="23"/>
        <v>0</v>
      </c>
      <c r="AV12" s="4"/>
    </row>
    <row r="13" spans="1:48" x14ac:dyDescent="0.2">
      <c r="B13" s="2" t="s">
        <v>273</v>
      </c>
      <c r="C13" s="4">
        <v>24863.58</v>
      </c>
      <c r="D13" s="4">
        <v>829.94</v>
      </c>
      <c r="E13" s="4">
        <v>2230.5</v>
      </c>
      <c r="F13" s="4">
        <v>13849.7</v>
      </c>
      <c r="G13" s="4">
        <v>20024.030000000002</v>
      </c>
      <c r="H13" s="4">
        <v>38178.86000000003</v>
      </c>
      <c r="I13" s="4">
        <v>9873.2099999999991</v>
      </c>
      <c r="J13" s="4">
        <v>21014.370000000003</v>
      </c>
      <c r="K13" s="4">
        <v>32093.19</v>
      </c>
      <c r="L13" s="4">
        <v>21464.5</v>
      </c>
      <c r="M13" s="4">
        <v>12742</v>
      </c>
      <c r="N13" s="13">
        <v>8500</v>
      </c>
      <c r="P13" s="13">
        <v>15000</v>
      </c>
      <c r="Q13" s="13">
        <f>+P13</f>
        <v>15000</v>
      </c>
      <c r="R13" s="13">
        <f t="shared" ref="R13:AA13" si="25">+Q13</f>
        <v>15000</v>
      </c>
      <c r="S13" s="13">
        <f t="shared" si="25"/>
        <v>15000</v>
      </c>
      <c r="T13" s="13">
        <f t="shared" si="25"/>
        <v>15000</v>
      </c>
      <c r="U13" s="13">
        <f t="shared" si="25"/>
        <v>15000</v>
      </c>
      <c r="V13" s="13">
        <f t="shared" si="25"/>
        <v>15000</v>
      </c>
      <c r="W13" s="13">
        <f t="shared" si="25"/>
        <v>15000</v>
      </c>
      <c r="X13" s="13">
        <f t="shared" si="25"/>
        <v>15000</v>
      </c>
      <c r="Y13" s="13">
        <f t="shared" si="25"/>
        <v>15000</v>
      </c>
      <c r="Z13" s="13">
        <f t="shared" si="25"/>
        <v>15000</v>
      </c>
      <c r="AA13" s="13">
        <f t="shared" si="25"/>
        <v>15000</v>
      </c>
      <c r="AB13" s="4"/>
      <c r="AC13" s="4">
        <f t="shared" si="11"/>
        <v>27924.02</v>
      </c>
      <c r="AD13" s="4">
        <f t="shared" si="12"/>
        <v>72052.590000000026</v>
      </c>
      <c r="AE13" s="4">
        <f t="shared" si="13"/>
        <v>62980.770000000004</v>
      </c>
      <c r="AF13" s="4">
        <f t="shared" si="14"/>
        <v>42706.5</v>
      </c>
      <c r="AG13" s="4"/>
      <c r="AH13" s="4">
        <f t="shared" si="18"/>
        <v>45000</v>
      </c>
      <c r="AI13" s="4">
        <f t="shared" si="19"/>
        <v>45000</v>
      </c>
      <c r="AJ13" s="4">
        <f t="shared" si="20"/>
        <v>45000</v>
      </c>
      <c r="AK13" s="4">
        <f t="shared" si="21"/>
        <v>45000</v>
      </c>
      <c r="AL13" s="4"/>
      <c r="AM13" s="4">
        <f t="shared" si="15"/>
        <v>205663.88000000003</v>
      </c>
      <c r="AN13" s="4">
        <f t="shared" si="22"/>
        <v>180000</v>
      </c>
      <c r="AP13" s="25">
        <f t="shared" si="16"/>
        <v>0</v>
      </c>
      <c r="AQ13" s="25">
        <f>ROUND(SUM(AH13:AK13)-AN13,2)</f>
        <v>0</v>
      </c>
      <c r="AV13" s="4"/>
    </row>
    <row r="14" spans="1:48" x14ac:dyDescent="0.2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8" x14ac:dyDescent="0.2">
      <c r="B15" s="8" t="s">
        <v>97</v>
      </c>
      <c r="C15" s="34">
        <f t="shared" ref="C15:N15" si="26">SUM(C5:C14)</f>
        <v>40041.210000000006</v>
      </c>
      <c r="D15" s="34">
        <f t="shared" si="26"/>
        <v>29960.749999999996</v>
      </c>
      <c r="E15" s="34">
        <f t="shared" si="26"/>
        <v>105065.1</v>
      </c>
      <c r="F15" s="34">
        <f t="shared" si="26"/>
        <v>62654.94</v>
      </c>
      <c r="G15" s="34">
        <f t="shared" si="26"/>
        <v>120431.75000000001</v>
      </c>
      <c r="H15" s="34">
        <f t="shared" si="26"/>
        <v>79882.820000000036</v>
      </c>
      <c r="I15" s="34">
        <f t="shared" si="26"/>
        <v>54589.819999999992</v>
      </c>
      <c r="J15" s="34">
        <f t="shared" si="26"/>
        <v>121740.49000000002</v>
      </c>
      <c r="K15" s="34">
        <f t="shared" si="26"/>
        <v>58716.83</v>
      </c>
      <c r="L15" s="34">
        <f t="shared" si="26"/>
        <v>64595.920000000006</v>
      </c>
      <c r="M15" s="34">
        <f t="shared" si="26"/>
        <v>35946.729999999996</v>
      </c>
      <c r="N15" s="34">
        <f t="shared" si="26"/>
        <v>85800</v>
      </c>
      <c r="P15" s="34">
        <f t="shared" ref="P15:AA15" si="27">SUM(P5:P14)</f>
        <v>44122.124100000001</v>
      </c>
      <c r="Q15" s="34">
        <f t="shared" si="27"/>
        <v>51883.280400000003</v>
      </c>
      <c r="R15" s="34">
        <f t="shared" si="27"/>
        <v>55395.544200000004</v>
      </c>
      <c r="S15" s="34">
        <f t="shared" si="27"/>
        <v>56974.504200000003</v>
      </c>
      <c r="T15" s="34">
        <f t="shared" si="27"/>
        <v>63656.697500000009</v>
      </c>
      <c r="U15" s="34">
        <f t="shared" si="27"/>
        <v>63954.9107</v>
      </c>
      <c r="V15" s="34">
        <f t="shared" si="27"/>
        <v>62935.877700000005</v>
      </c>
      <c r="W15" s="34">
        <f t="shared" si="27"/>
        <v>132319.5037</v>
      </c>
      <c r="X15" s="34">
        <f t="shared" si="27"/>
        <v>48484.618199999997</v>
      </c>
      <c r="Y15" s="34">
        <f t="shared" si="27"/>
        <v>65506.5455</v>
      </c>
      <c r="Z15" s="34">
        <f t="shared" si="27"/>
        <v>48545.778699999995</v>
      </c>
      <c r="AA15" s="34">
        <f t="shared" si="27"/>
        <v>49725</v>
      </c>
      <c r="AB15" s="34"/>
      <c r="AC15" s="34">
        <f>SUM(AC5:AC14)</f>
        <v>175067.05999999997</v>
      </c>
      <c r="AD15" s="34">
        <f>SUM(AD5:AD14)</f>
        <v>262969.51</v>
      </c>
      <c r="AE15" s="34">
        <f>SUM(AE5:AE14)</f>
        <v>235047.14</v>
      </c>
      <c r="AF15" s="34">
        <f>SUM(AF5:AF14)</f>
        <v>186342.65</v>
      </c>
      <c r="AG15" s="34"/>
      <c r="AH15" s="34">
        <f>SUM(AH5:AH14)</f>
        <v>151400.94870000001</v>
      </c>
      <c r="AI15" s="34">
        <f>SUM(AI5:AI14)</f>
        <v>184586.11240000001</v>
      </c>
      <c r="AJ15" s="34">
        <f>SUM(AJ5:AJ14)</f>
        <v>243739.99960000001</v>
      </c>
      <c r="AK15" s="34">
        <f>SUM(AK5:AK14)</f>
        <v>163777.3242</v>
      </c>
      <c r="AL15" s="34"/>
      <c r="AM15" s="34">
        <f>SUM(AM5:AM14)</f>
        <v>859426.3600000001</v>
      </c>
      <c r="AN15" s="34">
        <f>SUM(AN5:AN14)</f>
        <v>743504.38489999995</v>
      </c>
      <c r="AP15" s="25">
        <f>ROUND(SUM(AC15:AF15)-AM15,2)</f>
        <v>0</v>
      </c>
      <c r="AQ15" s="25">
        <f>ROUND(SUM(AH15:AK15)-AN15,2)</f>
        <v>0</v>
      </c>
    </row>
    <row r="17" spans="2:48" x14ac:dyDescent="0.2">
      <c r="I17" s="4"/>
      <c r="J17" s="4"/>
      <c r="K17" s="4"/>
      <c r="L17" s="4"/>
      <c r="M17" s="4"/>
      <c r="V17" s="4"/>
      <c r="W17" s="4"/>
    </row>
    <row r="18" spans="2:48" x14ac:dyDescent="0.2">
      <c r="B18" s="7" t="s">
        <v>33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4"/>
      <c r="AC18" s="4">
        <f t="shared" ref="AC18:AC24" si="28">SUM(C18:E18)</f>
        <v>0</v>
      </c>
      <c r="AD18" s="4">
        <f t="shared" ref="AD18:AD24" si="29">SUM(F18:H18)</f>
        <v>0</v>
      </c>
      <c r="AE18" s="4">
        <f t="shared" ref="AE18:AE24" si="30">SUM(I18:K18)</f>
        <v>0</v>
      </c>
      <c r="AF18" s="4">
        <f t="shared" ref="AF18:AF24" si="31">SUM(L18:N18)</f>
        <v>0</v>
      </c>
      <c r="AG18" s="4"/>
      <c r="AH18" s="4">
        <f t="shared" ref="AH18:AH24" si="32">SUM(P18:R18)</f>
        <v>0</v>
      </c>
      <c r="AI18" s="4">
        <f t="shared" ref="AI18:AI24" si="33">SUM(S18:U18)</f>
        <v>0</v>
      </c>
      <c r="AJ18" s="4">
        <f t="shared" ref="AJ18:AJ24" si="34">SUM(V18:X18)</f>
        <v>0</v>
      </c>
      <c r="AK18" s="4">
        <f t="shared" ref="AK18:AK24" si="35">SUM(Y18:AA18)</f>
        <v>0</v>
      </c>
      <c r="AL18" s="4"/>
      <c r="AM18" s="4">
        <f t="shared" ref="AM18:AM24" si="36">SUM(C18:N18)</f>
        <v>0</v>
      </c>
      <c r="AN18" s="4">
        <f t="shared" ref="AN18:AN24" si="37">SUM(P18:AA18)</f>
        <v>0</v>
      </c>
      <c r="AP18" s="25">
        <f t="shared" ref="AP18:AP24" si="38">ROUND(SUM(AC18:AF18)-AM18,2)</f>
        <v>0</v>
      </c>
      <c r="AQ18" s="25">
        <f t="shared" ref="AQ18:AQ24" si="39">ROUND(SUM(AH18:AK18)-AN18,2)</f>
        <v>0</v>
      </c>
    </row>
    <row r="19" spans="2:48" x14ac:dyDescent="0.2">
      <c r="B19" s="7" t="s">
        <v>35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4"/>
      <c r="AC19" s="4">
        <f t="shared" si="28"/>
        <v>0</v>
      </c>
      <c r="AD19" s="4">
        <f t="shared" si="29"/>
        <v>0</v>
      </c>
      <c r="AE19" s="4">
        <f t="shared" si="30"/>
        <v>0</v>
      </c>
      <c r="AF19" s="4">
        <f t="shared" si="31"/>
        <v>0</v>
      </c>
      <c r="AG19" s="4"/>
      <c r="AH19" s="4">
        <f t="shared" si="32"/>
        <v>0</v>
      </c>
      <c r="AI19" s="4">
        <f t="shared" si="33"/>
        <v>0</v>
      </c>
      <c r="AJ19" s="4">
        <f t="shared" si="34"/>
        <v>0</v>
      </c>
      <c r="AK19" s="4">
        <f t="shared" si="35"/>
        <v>0</v>
      </c>
      <c r="AL19" s="4"/>
      <c r="AM19" s="4">
        <f t="shared" si="36"/>
        <v>0</v>
      </c>
      <c r="AN19" s="4">
        <f t="shared" si="37"/>
        <v>0</v>
      </c>
      <c r="AP19" s="25">
        <f t="shared" si="38"/>
        <v>0</v>
      </c>
      <c r="AQ19" s="25">
        <f t="shared" si="39"/>
        <v>0</v>
      </c>
    </row>
    <row r="20" spans="2:48" x14ac:dyDescent="0.2">
      <c r="B20" s="7" t="s">
        <v>16</v>
      </c>
      <c r="C20" s="4">
        <v>-5043.37</v>
      </c>
      <c r="D20" s="4">
        <v>-5518.34</v>
      </c>
      <c r="E20" s="4">
        <v>-4685.37</v>
      </c>
      <c r="F20" s="4">
        <v>-3686.29</v>
      </c>
      <c r="G20" s="4">
        <v>-2521.11</v>
      </c>
      <c r="H20" s="4">
        <v>-957.06</v>
      </c>
      <c r="I20" s="4">
        <v>-183.94</v>
      </c>
      <c r="J20" s="4">
        <v>0</v>
      </c>
      <c r="K20" s="4">
        <v>0</v>
      </c>
      <c r="L20" s="4">
        <v>0</v>
      </c>
      <c r="M20" s="4">
        <v>0</v>
      </c>
      <c r="N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4"/>
      <c r="AC20" s="4">
        <f t="shared" si="28"/>
        <v>-15247.079999999998</v>
      </c>
      <c r="AD20" s="4">
        <f t="shared" si="29"/>
        <v>-7164.4599999999991</v>
      </c>
      <c r="AE20" s="4">
        <f t="shared" si="30"/>
        <v>-183.94</v>
      </c>
      <c r="AF20" s="4">
        <f t="shared" si="31"/>
        <v>0</v>
      </c>
      <c r="AG20" s="4"/>
      <c r="AH20" s="4">
        <f t="shared" si="32"/>
        <v>0</v>
      </c>
      <c r="AI20" s="4">
        <f t="shared" si="33"/>
        <v>0</v>
      </c>
      <c r="AJ20" s="4">
        <f t="shared" si="34"/>
        <v>0</v>
      </c>
      <c r="AK20" s="4">
        <f t="shared" si="35"/>
        <v>0</v>
      </c>
      <c r="AL20" s="4"/>
      <c r="AM20" s="4">
        <f t="shared" si="36"/>
        <v>-22595.48</v>
      </c>
      <c r="AN20" s="4">
        <f t="shared" si="37"/>
        <v>0</v>
      </c>
      <c r="AP20" s="25">
        <f t="shared" si="38"/>
        <v>0</v>
      </c>
      <c r="AQ20" s="25">
        <f t="shared" si="39"/>
        <v>0</v>
      </c>
      <c r="AV20" s="4"/>
    </row>
    <row r="21" spans="2:48" x14ac:dyDescent="0.2">
      <c r="B21" s="7" t="s">
        <v>0</v>
      </c>
      <c r="C21" s="4">
        <v>0</v>
      </c>
      <c r="D21" s="4">
        <v>-1010.7</v>
      </c>
      <c r="E21" s="4">
        <v>0</v>
      </c>
      <c r="F21" s="4">
        <v>-1222.92</v>
      </c>
      <c r="G21" s="4">
        <v>-2784.15</v>
      </c>
      <c r="H21" s="4">
        <v>-1124.19</v>
      </c>
      <c r="I21" s="4">
        <v>-1126.1100000000001</v>
      </c>
      <c r="J21" s="4">
        <v>-105.74</v>
      </c>
      <c r="K21" s="4">
        <v>0</v>
      </c>
      <c r="L21" s="4">
        <v>0</v>
      </c>
      <c r="M21" s="4">
        <v>0</v>
      </c>
      <c r="N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4"/>
      <c r="AC21" s="4">
        <f t="shared" si="28"/>
        <v>-1010.7</v>
      </c>
      <c r="AD21" s="4">
        <f t="shared" si="29"/>
        <v>-5131.26</v>
      </c>
      <c r="AE21" s="4">
        <f t="shared" si="30"/>
        <v>-1231.8500000000001</v>
      </c>
      <c r="AF21" s="4">
        <f t="shared" si="31"/>
        <v>0</v>
      </c>
      <c r="AG21" s="4"/>
      <c r="AH21" s="4">
        <f t="shared" si="32"/>
        <v>0</v>
      </c>
      <c r="AI21" s="4">
        <f t="shared" si="33"/>
        <v>0</v>
      </c>
      <c r="AJ21" s="4">
        <f t="shared" si="34"/>
        <v>0</v>
      </c>
      <c r="AK21" s="4">
        <f t="shared" si="35"/>
        <v>0</v>
      </c>
      <c r="AL21" s="4"/>
      <c r="AM21" s="4">
        <f t="shared" si="36"/>
        <v>-7373.8100000000013</v>
      </c>
      <c r="AN21" s="4">
        <f t="shared" si="37"/>
        <v>0</v>
      </c>
      <c r="AP21" s="25">
        <f t="shared" si="38"/>
        <v>0</v>
      </c>
      <c r="AQ21" s="25">
        <f t="shared" si="39"/>
        <v>0</v>
      </c>
      <c r="AV21" s="4"/>
    </row>
    <row r="22" spans="2:48" x14ac:dyDescent="0.2">
      <c r="B22" s="7" t="s">
        <v>840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4"/>
      <c r="AC22" s="4">
        <f t="shared" si="28"/>
        <v>0</v>
      </c>
      <c r="AD22" s="4">
        <f t="shared" si="29"/>
        <v>0</v>
      </c>
      <c r="AE22" s="4">
        <f t="shared" si="30"/>
        <v>0</v>
      </c>
      <c r="AF22" s="4">
        <f t="shared" si="31"/>
        <v>0</v>
      </c>
      <c r="AG22" s="4"/>
      <c r="AH22" s="4">
        <f t="shared" si="32"/>
        <v>0</v>
      </c>
      <c r="AI22" s="4">
        <f t="shared" si="33"/>
        <v>0</v>
      </c>
      <c r="AJ22" s="4">
        <f t="shared" si="34"/>
        <v>0</v>
      </c>
      <c r="AK22" s="4">
        <f t="shared" si="35"/>
        <v>0</v>
      </c>
      <c r="AL22" s="4"/>
      <c r="AM22" s="4">
        <f t="shared" si="36"/>
        <v>0</v>
      </c>
      <c r="AN22" s="4">
        <f t="shared" si="37"/>
        <v>0</v>
      </c>
      <c r="AP22" s="25">
        <f t="shared" si="38"/>
        <v>0</v>
      </c>
      <c r="AQ22" s="25">
        <f t="shared" si="39"/>
        <v>0</v>
      </c>
      <c r="AV22" s="4"/>
    </row>
    <row r="23" spans="2:48" x14ac:dyDescent="0.2">
      <c r="B23" s="7" t="s">
        <v>26</v>
      </c>
      <c r="C23" s="4">
        <v>-246.35</v>
      </c>
      <c r="D23" s="4">
        <v>-433.54</v>
      </c>
      <c r="E23" s="4">
        <v>-471.18</v>
      </c>
      <c r="F23" s="4">
        <v>-346.98</v>
      </c>
      <c r="G23" s="4">
        <v>-328.78999999999996</v>
      </c>
      <c r="H23" s="4">
        <v>-692</v>
      </c>
      <c r="I23" s="4">
        <v>-386.11</v>
      </c>
      <c r="J23" s="4">
        <v>-335.21</v>
      </c>
      <c r="K23" s="4">
        <v>-324.17</v>
      </c>
      <c r="L23" s="4">
        <v>-341.29</v>
      </c>
      <c r="M23" s="4">
        <v>-311.16000000000003</v>
      </c>
      <c r="N23" s="13">
        <v>-400</v>
      </c>
      <c r="P23" s="13">
        <v>-400</v>
      </c>
      <c r="Q23" s="13">
        <v>-400</v>
      </c>
      <c r="R23" s="13">
        <v>-400</v>
      </c>
      <c r="S23" s="13">
        <v>-400</v>
      </c>
      <c r="T23" s="13">
        <v>-400</v>
      </c>
      <c r="U23" s="13">
        <v>-400</v>
      </c>
      <c r="V23" s="13">
        <v>-400</v>
      </c>
      <c r="W23" s="13">
        <v>-400</v>
      </c>
      <c r="X23" s="13">
        <v>-400</v>
      </c>
      <c r="Y23" s="13">
        <v>-400</v>
      </c>
      <c r="Z23" s="13">
        <v>-400</v>
      </c>
      <c r="AA23" s="13">
        <v>-400</v>
      </c>
      <c r="AB23" s="4"/>
      <c r="AC23" s="4">
        <f t="shared" si="28"/>
        <v>-1151.07</v>
      </c>
      <c r="AD23" s="4">
        <f t="shared" si="29"/>
        <v>-1367.77</v>
      </c>
      <c r="AE23" s="4">
        <f t="shared" si="30"/>
        <v>-1045.49</v>
      </c>
      <c r="AF23" s="4">
        <f t="shared" si="31"/>
        <v>-1052.45</v>
      </c>
      <c r="AG23" s="4"/>
      <c r="AH23" s="4">
        <f t="shared" si="32"/>
        <v>-1200</v>
      </c>
      <c r="AI23" s="4">
        <f t="shared" si="33"/>
        <v>-1200</v>
      </c>
      <c r="AJ23" s="4">
        <f t="shared" si="34"/>
        <v>-1200</v>
      </c>
      <c r="AK23" s="4">
        <f t="shared" si="35"/>
        <v>-1200</v>
      </c>
      <c r="AL23" s="4"/>
      <c r="AM23" s="4">
        <f t="shared" si="36"/>
        <v>-4616.7800000000007</v>
      </c>
      <c r="AN23" s="4">
        <f t="shared" si="37"/>
        <v>-4800</v>
      </c>
      <c r="AP23" s="25">
        <f t="shared" si="38"/>
        <v>0</v>
      </c>
      <c r="AQ23" s="25">
        <f t="shared" si="39"/>
        <v>0</v>
      </c>
      <c r="AV23" s="4"/>
    </row>
    <row r="24" spans="2:48" x14ac:dyDescent="0.2">
      <c r="B24" s="7" t="s">
        <v>48</v>
      </c>
      <c r="C24" s="4">
        <v>7748.71</v>
      </c>
      <c r="D24" s="4">
        <v>8351.2900000000009</v>
      </c>
      <c r="E24" s="4">
        <v>8145.22</v>
      </c>
      <c r="F24" s="4">
        <v>6912.1</v>
      </c>
      <c r="G24" s="4">
        <v>5204.78</v>
      </c>
      <c r="H24" s="4">
        <v>3887.72</v>
      </c>
      <c r="I24" s="4">
        <v>3150.25</v>
      </c>
      <c r="J24" s="4">
        <v>2155.66</v>
      </c>
      <c r="K24" s="4">
        <v>1083.05</v>
      </c>
      <c r="L24" s="4">
        <v>613.20000000000005</v>
      </c>
      <c r="M24" s="4">
        <v>312.41000000000003</v>
      </c>
      <c r="N24" s="13">
        <f>ROUND(('2025 Detail'!N56*0.0005),-2)</f>
        <v>300</v>
      </c>
      <c r="P24" s="13">
        <f>ROUND(('2026 Detail'!C56*0.0005),-2)</f>
        <v>500</v>
      </c>
      <c r="Q24" s="13">
        <f>ROUND(('2026 Detail'!D56*0.0005),-2)</f>
        <v>400</v>
      </c>
      <c r="R24" s="13">
        <f>ROUND(('2026 Detail'!E56*0.0005),-2)</f>
        <v>100</v>
      </c>
      <c r="S24" s="13">
        <f>ROUND(('2026 Detail'!F56*0.0005),-2)</f>
        <v>200</v>
      </c>
      <c r="T24" s="13">
        <f>ROUND(('2026 Detail'!G56*0.0005),-2)</f>
        <v>300</v>
      </c>
      <c r="U24" s="13">
        <f>ROUND(('2026 Detail'!H56*0.0005),-2)</f>
        <v>200</v>
      </c>
      <c r="V24" s="13">
        <f>ROUND(('2026 Detail'!I56*0.0005),-2)</f>
        <v>200</v>
      </c>
      <c r="W24" s="13">
        <f>ROUND(('2026 Detail'!J56*0.0005),-2)</f>
        <v>200</v>
      </c>
      <c r="X24" s="13">
        <f>ROUND(('2026 Detail'!K56*0.0005),-2)</f>
        <v>200</v>
      </c>
      <c r="Y24" s="13">
        <f>ROUND(('2026 Detail'!L56*0.0005),-2)</f>
        <v>200</v>
      </c>
      <c r="Z24" s="13">
        <f>ROUND(('2026 Detail'!M56*0.0005),-2)</f>
        <v>300</v>
      </c>
      <c r="AA24" s="13">
        <f>ROUND(('2026 Detail'!N56*0.0005),-2)</f>
        <v>400</v>
      </c>
      <c r="AB24" s="4"/>
      <c r="AC24" s="4">
        <f t="shared" si="28"/>
        <v>24245.22</v>
      </c>
      <c r="AD24" s="4">
        <f t="shared" si="29"/>
        <v>16004.6</v>
      </c>
      <c r="AE24" s="4">
        <f t="shared" si="30"/>
        <v>6388.96</v>
      </c>
      <c r="AF24" s="4">
        <f t="shared" si="31"/>
        <v>1225.6100000000001</v>
      </c>
      <c r="AG24" s="4"/>
      <c r="AH24" s="4">
        <f t="shared" si="32"/>
        <v>1000</v>
      </c>
      <c r="AI24" s="4">
        <f t="shared" si="33"/>
        <v>700</v>
      </c>
      <c r="AJ24" s="4">
        <f t="shared" si="34"/>
        <v>600</v>
      </c>
      <c r="AK24" s="4">
        <f t="shared" si="35"/>
        <v>900</v>
      </c>
      <c r="AL24" s="4"/>
      <c r="AM24" s="4">
        <f t="shared" si="36"/>
        <v>47864.39</v>
      </c>
      <c r="AN24" s="4">
        <f t="shared" si="37"/>
        <v>3200</v>
      </c>
      <c r="AP24" s="25">
        <f t="shared" si="38"/>
        <v>0</v>
      </c>
      <c r="AQ24" s="25">
        <f t="shared" si="39"/>
        <v>0</v>
      </c>
    </row>
    <row r="26" spans="2:48" x14ac:dyDescent="0.2">
      <c r="B26" s="8" t="s">
        <v>142</v>
      </c>
      <c r="C26" s="34">
        <f>SUM(C18:C25)</f>
        <v>2458.9899999999998</v>
      </c>
      <c r="D26" s="34">
        <f>SUM(D18:D25)</f>
        <v>1388.7100000000009</v>
      </c>
      <c r="E26" s="34">
        <f t="shared" ref="E26:N26" si="40">SUM(E18:E25)</f>
        <v>2988.67</v>
      </c>
      <c r="F26" s="34">
        <f t="shared" si="40"/>
        <v>1655.9099999999999</v>
      </c>
      <c r="G26" s="34">
        <f t="shared" si="40"/>
        <v>-429.27000000000044</v>
      </c>
      <c r="H26" s="34">
        <f>SUM(H18:H25)</f>
        <v>1114.4699999999998</v>
      </c>
      <c r="I26" s="34">
        <f>SUM(I18:I25)</f>
        <v>1454.0899999999997</v>
      </c>
      <c r="J26" s="34">
        <f t="shared" si="40"/>
        <v>1714.7099999999998</v>
      </c>
      <c r="K26" s="34">
        <f t="shared" si="40"/>
        <v>758.87999999999988</v>
      </c>
      <c r="L26" s="34">
        <f t="shared" si="40"/>
        <v>271.91000000000003</v>
      </c>
      <c r="M26" s="34">
        <f t="shared" si="40"/>
        <v>1.25</v>
      </c>
      <c r="N26" s="34">
        <f t="shared" si="40"/>
        <v>-100</v>
      </c>
      <c r="P26" s="34">
        <f>SUM(P18:P25)</f>
        <v>100</v>
      </c>
      <c r="Q26" s="34">
        <f>SUM(Q18:Q25)</f>
        <v>0</v>
      </c>
      <c r="R26" s="34">
        <f t="shared" ref="R26:T26" si="41">SUM(R18:R25)</f>
        <v>-300</v>
      </c>
      <c r="S26" s="34">
        <f t="shared" si="41"/>
        <v>-200</v>
      </c>
      <c r="T26" s="34">
        <f t="shared" si="41"/>
        <v>-100</v>
      </c>
      <c r="U26" s="34">
        <f>SUM(U18:U25)</f>
        <v>-200</v>
      </c>
      <c r="V26" s="34">
        <f>SUM(V18:V25)</f>
        <v>-200</v>
      </c>
      <c r="W26" s="34">
        <f t="shared" ref="W26:AA26" si="42">SUM(W18:W25)</f>
        <v>-200</v>
      </c>
      <c r="X26" s="34">
        <f t="shared" si="42"/>
        <v>-200</v>
      </c>
      <c r="Y26" s="34">
        <f t="shared" si="42"/>
        <v>-200</v>
      </c>
      <c r="Z26" s="34">
        <f t="shared" si="42"/>
        <v>-100</v>
      </c>
      <c r="AA26" s="34">
        <f t="shared" si="42"/>
        <v>0</v>
      </c>
      <c r="AB26" s="34"/>
      <c r="AC26" s="34">
        <f t="shared" ref="AC26" si="43">SUM(AC18:AC25)</f>
        <v>6836.3700000000026</v>
      </c>
      <c r="AD26" s="34">
        <f t="shared" ref="AD26" si="44">SUM(AD18:AD25)</f>
        <v>2341.1100000000006</v>
      </c>
      <c r="AE26" s="34">
        <f t="shared" ref="AE26" si="45">SUM(AE18:AE25)</f>
        <v>3927.68</v>
      </c>
      <c r="AF26" s="34">
        <f t="shared" ref="AF26:AM26" si="46">SUM(AF18:AF25)</f>
        <v>173.16000000000008</v>
      </c>
      <c r="AG26" s="34"/>
      <c r="AH26" s="34">
        <f t="shared" ref="AH26:AK26" si="47">SUM(AH18:AH25)</f>
        <v>-200</v>
      </c>
      <c r="AI26" s="34">
        <f t="shared" si="47"/>
        <v>-500</v>
      </c>
      <c r="AJ26" s="34">
        <f t="shared" si="47"/>
        <v>-600</v>
      </c>
      <c r="AK26" s="34">
        <f t="shared" si="47"/>
        <v>-300</v>
      </c>
      <c r="AL26" s="34"/>
      <c r="AM26" s="34">
        <f t="shared" si="46"/>
        <v>13278.32</v>
      </c>
      <c r="AN26" s="34">
        <f t="shared" ref="AN26" si="48">SUM(AN18:AN25)</f>
        <v>-1600</v>
      </c>
      <c r="AP26" s="25">
        <f>ROUND(SUM(AC26:AF26)-AM26,2)</f>
        <v>0</v>
      </c>
      <c r="AQ26" s="25">
        <f>ROUND(SUM(AH26:AK26)-AN26,2)</f>
        <v>0</v>
      </c>
    </row>
    <row r="29" spans="2:48" x14ac:dyDescent="0.2">
      <c r="B29" s="7" t="s">
        <v>50</v>
      </c>
      <c r="C29" s="4">
        <v>199999.41999999998</v>
      </c>
      <c r="D29" s="4">
        <v>749999.44</v>
      </c>
      <c r="E29" s="4">
        <v>0</v>
      </c>
      <c r="F29" s="4">
        <v>0</v>
      </c>
      <c r="G29" s="4">
        <v>0</v>
      </c>
      <c r="H29" s="4">
        <v>-25000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13">
        <v>-25000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4"/>
      <c r="AC29" s="4">
        <f>SUM(C29:E29)</f>
        <v>949998.85999999987</v>
      </c>
      <c r="AD29" s="4">
        <f>SUM(F29:H29)</f>
        <v>-25000</v>
      </c>
      <c r="AE29" s="4">
        <f>SUM(I29:K29)</f>
        <v>0</v>
      </c>
      <c r="AF29" s="4">
        <f>SUM(L29:N29)</f>
        <v>-25000</v>
      </c>
      <c r="AG29" s="4"/>
      <c r="AH29" s="4">
        <f>SUM(P29:R29)</f>
        <v>0</v>
      </c>
      <c r="AI29" s="4">
        <f>SUM(S29:U29)</f>
        <v>0</v>
      </c>
      <c r="AJ29" s="4">
        <f>SUM(V29:X29)</f>
        <v>0</v>
      </c>
      <c r="AK29" s="4">
        <f>SUM(Y29:AA29)</f>
        <v>0</v>
      </c>
      <c r="AL29" s="4"/>
      <c r="AM29" s="4">
        <f>SUM(C29:N29)</f>
        <v>899998.85999999987</v>
      </c>
      <c r="AN29" s="4">
        <f>SUM(P29:AA29)</f>
        <v>0</v>
      </c>
      <c r="AP29" s="25">
        <f>ROUND(SUM(AC29:AF29)-AM29,2)</f>
        <v>0</v>
      </c>
      <c r="AQ29" s="25">
        <f>ROUND(SUM(AH29:AK29)-AN29,2)</f>
        <v>0</v>
      </c>
    </row>
    <row r="30" spans="2:48" x14ac:dyDescent="0.2">
      <c r="AT30" s="4"/>
    </row>
    <row r="31" spans="2:48" x14ac:dyDescent="0.2">
      <c r="B31" s="8" t="s">
        <v>143</v>
      </c>
      <c r="C31" s="34">
        <f>SUM(C29:C30)</f>
        <v>199999.41999999998</v>
      </c>
      <c r="D31" s="34">
        <f t="shared" ref="D31:N31" si="49">SUM(D29:D30)</f>
        <v>749999.44</v>
      </c>
      <c r="E31" s="34">
        <f t="shared" si="49"/>
        <v>0</v>
      </c>
      <c r="F31" s="34">
        <f t="shared" si="49"/>
        <v>0</v>
      </c>
      <c r="G31" s="34">
        <f t="shared" si="49"/>
        <v>0</v>
      </c>
      <c r="H31" s="34">
        <f t="shared" si="49"/>
        <v>-25000</v>
      </c>
      <c r="I31" s="34">
        <f t="shared" si="49"/>
        <v>0</v>
      </c>
      <c r="J31" s="34">
        <f t="shared" si="49"/>
        <v>0</v>
      </c>
      <c r="K31" s="34">
        <f t="shared" si="49"/>
        <v>0</v>
      </c>
      <c r="L31" s="34">
        <f t="shared" si="49"/>
        <v>0</v>
      </c>
      <c r="M31" s="34">
        <f t="shared" si="49"/>
        <v>0</v>
      </c>
      <c r="N31" s="34">
        <f t="shared" si="49"/>
        <v>-25000</v>
      </c>
      <c r="P31" s="34">
        <f>SUM(P29:P30)</f>
        <v>0</v>
      </c>
      <c r="Q31" s="34">
        <f t="shared" ref="Q31:AA31" si="50">SUM(Q29:Q30)</f>
        <v>0</v>
      </c>
      <c r="R31" s="34">
        <f t="shared" si="50"/>
        <v>0</v>
      </c>
      <c r="S31" s="34">
        <f t="shared" si="50"/>
        <v>0</v>
      </c>
      <c r="T31" s="34">
        <f t="shared" si="50"/>
        <v>0</v>
      </c>
      <c r="U31" s="34">
        <f t="shared" si="50"/>
        <v>0</v>
      </c>
      <c r="V31" s="34">
        <f t="shared" si="50"/>
        <v>0</v>
      </c>
      <c r="W31" s="34">
        <f t="shared" si="50"/>
        <v>0</v>
      </c>
      <c r="X31" s="34">
        <f t="shared" si="50"/>
        <v>0</v>
      </c>
      <c r="Y31" s="34">
        <f t="shared" si="50"/>
        <v>0</v>
      </c>
      <c r="Z31" s="34">
        <f t="shared" si="50"/>
        <v>0</v>
      </c>
      <c r="AA31" s="34">
        <f t="shared" si="50"/>
        <v>0</v>
      </c>
      <c r="AB31" s="34"/>
      <c r="AC31" s="34">
        <f t="shared" ref="AC31" si="51">SUM(AC29:AC30)</f>
        <v>949998.85999999987</v>
      </c>
      <c r="AD31" s="34">
        <f t="shared" ref="AD31" si="52">SUM(AD29:AD30)</f>
        <v>-25000</v>
      </c>
      <c r="AE31" s="34">
        <f t="shared" ref="AE31" si="53">SUM(AE29:AE30)</f>
        <v>0</v>
      </c>
      <c r="AF31" s="34">
        <f t="shared" ref="AF31:AM31" si="54">SUM(AF29:AF30)</f>
        <v>-25000</v>
      </c>
      <c r="AG31" s="34"/>
      <c r="AH31" s="34">
        <f t="shared" ref="AH31:AK31" si="55">SUM(AH29:AH30)</f>
        <v>0</v>
      </c>
      <c r="AI31" s="34">
        <f t="shared" si="55"/>
        <v>0</v>
      </c>
      <c r="AJ31" s="34">
        <f t="shared" si="55"/>
        <v>0</v>
      </c>
      <c r="AK31" s="34">
        <f t="shared" si="55"/>
        <v>0</v>
      </c>
      <c r="AL31" s="34"/>
      <c r="AM31" s="34">
        <f t="shared" si="54"/>
        <v>899998.85999999987</v>
      </c>
      <c r="AN31" s="34">
        <f t="shared" ref="AN31" si="56">SUM(AN29:AN30)</f>
        <v>0</v>
      </c>
      <c r="AP31" s="25">
        <f>ROUND(SUM(AC31:AF31)-AM31,2)</f>
        <v>0</v>
      </c>
      <c r="AQ31" s="25">
        <f>ROUND(SUM(AH31:AK31)-AN31,2)</f>
        <v>0</v>
      </c>
    </row>
    <row r="34" spans="2:27" x14ac:dyDescent="0.2">
      <c r="B34" s="1" t="s">
        <v>32</v>
      </c>
      <c r="C34" s="87">
        <v>0</v>
      </c>
      <c r="D34" s="87">
        <f>+C34*-1</f>
        <v>0</v>
      </c>
      <c r="E34" s="5"/>
      <c r="F34" s="2" t="s">
        <v>34</v>
      </c>
      <c r="H34" s="13">
        <f>+D42</f>
        <v>3545.63</v>
      </c>
      <c r="I34" s="5"/>
      <c r="J34" s="5"/>
      <c r="K34" s="5"/>
      <c r="L34" s="5"/>
      <c r="M34" s="5"/>
      <c r="N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2:27" x14ac:dyDescent="0.2">
      <c r="B35" s="1" t="s">
        <v>21</v>
      </c>
      <c r="C35" s="87">
        <v>0</v>
      </c>
      <c r="D35" s="87">
        <f t="shared" ref="D35:D43" si="57">+C35*-1</f>
        <v>0</v>
      </c>
      <c r="F35" s="2" t="s">
        <v>17</v>
      </c>
      <c r="H35" s="13">
        <f>+D37</f>
        <v>12056.23</v>
      </c>
    </row>
    <row r="36" spans="2:27" x14ac:dyDescent="0.2">
      <c r="B36" s="1" t="s">
        <v>360</v>
      </c>
      <c r="C36" s="87">
        <v>-25385.83</v>
      </c>
      <c r="D36" s="87">
        <f t="shared" si="57"/>
        <v>25385.83</v>
      </c>
      <c r="F36" s="2" t="s">
        <v>28</v>
      </c>
      <c r="H36" s="13">
        <f>+D40</f>
        <v>4393.6299999999992</v>
      </c>
    </row>
    <row r="37" spans="2:27" x14ac:dyDescent="0.2">
      <c r="B37" s="1" t="s">
        <v>17</v>
      </c>
      <c r="C37" s="87">
        <v>-12056.23</v>
      </c>
      <c r="D37" s="87">
        <f t="shared" si="57"/>
        <v>12056.23</v>
      </c>
      <c r="F37" s="2" t="s">
        <v>18</v>
      </c>
      <c r="H37" s="13">
        <f>+D38</f>
        <v>1783.2400000000002</v>
      </c>
    </row>
    <row r="38" spans="2:27" x14ac:dyDescent="0.2">
      <c r="B38" s="1" t="s">
        <v>18</v>
      </c>
      <c r="C38" s="87">
        <v>-1783.2400000000002</v>
      </c>
      <c r="D38" s="87">
        <f t="shared" si="57"/>
        <v>1783.2400000000002</v>
      </c>
      <c r="F38" s="2" t="s">
        <v>29</v>
      </c>
      <c r="H38" s="13">
        <f>+D39</f>
        <v>1426</v>
      </c>
    </row>
    <row r="39" spans="2:27" x14ac:dyDescent="0.2">
      <c r="B39" s="1" t="s">
        <v>29</v>
      </c>
      <c r="C39" s="87">
        <v>-1426</v>
      </c>
      <c r="D39" s="87">
        <f t="shared" si="57"/>
        <v>1426</v>
      </c>
      <c r="F39" s="2" t="s">
        <v>32</v>
      </c>
      <c r="H39" s="13">
        <f>+D34</f>
        <v>0</v>
      </c>
    </row>
    <row r="40" spans="2:27" x14ac:dyDescent="0.2">
      <c r="B40" s="1" t="s">
        <v>28</v>
      </c>
      <c r="C40" s="87">
        <v>-4393.6299999999992</v>
      </c>
      <c r="D40" s="87">
        <f t="shared" si="57"/>
        <v>4393.6299999999992</v>
      </c>
      <c r="F40" s="2" t="s">
        <v>275</v>
      </c>
      <c r="H40" s="13">
        <f>+D41</f>
        <v>0</v>
      </c>
    </row>
    <row r="41" spans="2:27" x14ac:dyDescent="0.2">
      <c r="B41" s="1" t="s">
        <v>31</v>
      </c>
      <c r="C41" s="87">
        <v>0</v>
      </c>
      <c r="D41" s="87">
        <f t="shared" si="57"/>
        <v>0</v>
      </c>
      <c r="F41" s="2" t="s">
        <v>62</v>
      </c>
      <c r="H41" s="13">
        <f>+D35</f>
        <v>0</v>
      </c>
    </row>
    <row r="42" spans="2:27" x14ac:dyDescent="0.2">
      <c r="B42" s="1" t="s">
        <v>34</v>
      </c>
      <c r="C42" s="87">
        <v>-3545.63</v>
      </c>
      <c r="D42" s="87">
        <f t="shared" si="57"/>
        <v>3545.63</v>
      </c>
      <c r="F42" s="2" t="s">
        <v>273</v>
      </c>
      <c r="H42" s="13">
        <f>+D43</f>
        <v>12742</v>
      </c>
    </row>
    <row r="43" spans="2:27" x14ac:dyDescent="0.2">
      <c r="B43" s="1" t="s">
        <v>22</v>
      </c>
      <c r="C43" s="87">
        <v>-12742</v>
      </c>
      <c r="D43" s="87">
        <f t="shared" si="57"/>
        <v>12742</v>
      </c>
    </row>
    <row r="44" spans="2:27" x14ac:dyDescent="0.2">
      <c r="C44" s="87"/>
      <c r="D44" s="87"/>
    </row>
    <row r="45" spans="2:27" x14ac:dyDescent="0.2">
      <c r="C45" s="87"/>
      <c r="D45" s="87">
        <f>SUM(D34:D35,D37:D43)</f>
        <v>35946.729999999996</v>
      </c>
      <c r="H45" s="87">
        <f>SUM(H34:H42)</f>
        <v>35946.729999999996</v>
      </c>
    </row>
    <row r="46" spans="2:27" x14ac:dyDescent="0.2">
      <c r="C46" s="87"/>
      <c r="D46" s="87"/>
    </row>
    <row r="47" spans="2:27" x14ac:dyDescent="0.2">
      <c r="B47" s="1" t="s">
        <v>26</v>
      </c>
      <c r="C47" s="87">
        <v>-311.16000000000003</v>
      </c>
      <c r="D47" s="87"/>
    </row>
    <row r="48" spans="2:27" x14ac:dyDescent="0.2">
      <c r="B48" s="1" t="s">
        <v>296</v>
      </c>
      <c r="C48" s="87">
        <v>69776.89</v>
      </c>
      <c r="D48" s="87"/>
    </row>
    <row r="49" spans="2:4" x14ac:dyDescent="0.2">
      <c r="B49" s="1" t="s">
        <v>48</v>
      </c>
      <c r="C49" s="87">
        <v>312.41000000000003</v>
      </c>
      <c r="D49" s="87"/>
    </row>
    <row r="50" spans="2:4" x14ac:dyDescent="0.2">
      <c r="B50" s="1" t="s">
        <v>50</v>
      </c>
      <c r="C50" s="87">
        <v>0</v>
      </c>
      <c r="D50" s="87"/>
    </row>
  </sheetData>
  <pageMargins left="0.25" right="0.25" top="0.75" bottom="0.75" header="0.3" footer="0.3"/>
  <pageSetup scale="7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9A1A-1045-45E6-9511-CC9D6FF4CB80}">
  <dimension ref="A3:Q43"/>
  <sheetViews>
    <sheetView workbookViewId="0">
      <selection activeCell="H45" sqref="H45"/>
    </sheetView>
  </sheetViews>
  <sheetFormatPr baseColWidth="10" defaultColWidth="9.1640625" defaultRowHeight="14" x14ac:dyDescent="0.2"/>
  <cols>
    <col min="1" max="1" width="37" style="14" bestFit="1" customWidth="1"/>
    <col min="2" max="14" width="12.6640625" style="14" customWidth="1"/>
    <col min="15" max="17" width="10.6640625" style="14" customWidth="1"/>
    <col min="18" max="16384" width="9.1640625" style="14"/>
  </cols>
  <sheetData>
    <row r="3" spans="1:17" x14ac:dyDescent="0.2">
      <c r="A3" s="83" t="s">
        <v>439</v>
      </c>
      <c r="B3" s="83" t="s">
        <v>436</v>
      </c>
    </row>
    <row r="4" spans="1:17" x14ac:dyDescent="0.2">
      <c r="B4" s="94">
        <v>2024</v>
      </c>
      <c r="C4" s="94">
        <v>2025</v>
      </c>
      <c r="D4" s="94"/>
      <c r="E4" s="94"/>
      <c r="F4" s="94"/>
      <c r="G4" s="94"/>
      <c r="H4" s="94"/>
      <c r="I4" s="94"/>
      <c r="J4" s="94"/>
      <c r="K4" s="94"/>
      <c r="L4" s="94"/>
      <c r="M4" s="94"/>
      <c r="N4" s="94" t="s">
        <v>437</v>
      </c>
    </row>
    <row r="5" spans="1:17" x14ac:dyDescent="0.2">
      <c r="A5" s="83" t="s">
        <v>438</v>
      </c>
      <c r="C5" s="94">
        <v>1</v>
      </c>
      <c r="D5" s="94">
        <v>2</v>
      </c>
      <c r="E5" s="94">
        <v>3</v>
      </c>
      <c r="F5" s="94">
        <v>4</v>
      </c>
      <c r="G5" s="94">
        <v>5</v>
      </c>
      <c r="H5" s="94">
        <v>6</v>
      </c>
      <c r="I5" s="94">
        <v>7</v>
      </c>
      <c r="J5" s="94">
        <v>8</v>
      </c>
      <c r="K5" s="94">
        <v>9</v>
      </c>
      <c r="L5" s="94">
        <v>10</v>
      </c>
      <c r="M5" s="94">
        <v>11</v>
      </c>
      <c r="N5" s="94"/>
    </row>
    <row r="6" spans="1:17" x14ac:dyDescent="0.2">
      <c r="A6" s="84" t="s">
        <v>350</v>
      </c>
      <c r="B6" s="86">
        <v>0</v>
      </c>
      <c r="C6" s="86">
        <v>-163032.28</v>
      </c>
      <c r="D6" s="86">
        <v>-222987.07</v>
      </c>
      <c r="E6" s="86">
        <v>-220436.79</v>
      </c>
      <c r="F6" s="86">
        <v>-201062.54</v>
      </c>
      <c r="G6" s="86">
        <v>-180951.57</v>
      </c>
      <c r="H6" s="86">
        <v>-169065.25</v>
      </c>
      <c r="I6" s="86">
        <v>-230518.56</v>
      </c>
      <c r="J6" s="86">
        <v>-130454.55</v>
      </c>
      <c r="K6" s="86">
        <v>-127157.09</v>
      </c>
      <c r="L6" s="86">
        <v>-133794.49</v>
      </c>
      <c r="M6" s="86">
        <v>-172112.56999999998</v>
      </c>
      <c r="N6" s="86">
        <v>-1951572.76</v>
      </c>
    </row>
    <row r="7" spans="1:17" x14ac:dyDescent="0.2">
      <c r="A7" s="85" t="s">
        <v>27</v>
      </c>
      <c r="B7" s="86">
        <v>0</v>
      </c>
      <c r="C7" s="86">
        <v>-94189.64</v>
      </c>
      <c r="D7" s="86">
        <v>-111135.25</v>
      </c>
      <c r="E7" s="86">
        <v>-99655.3</v>
      </c>
      <c r="F7" s="86">
        <v>-73530.25</v>
      </c>
      <c r="G7" s="86">
        <v>-76942.760000000009</v>
      </c>
      <c r="H7" s="86">
        <v>-83356.25</v>
      </c>
      <c r="I7" s="86">
        <v>-73361.25</v>
      </c>
      <c r="J7" s="86">
        <v>-65258.58</v>
      </c>
      <c r="K7" s="86">
        <v>-71922.25</v>
      </c>
      <c r="L7" s="86">
        <v>-80373.75</v>
      </c>
      <c r="M7" s="86">
        <v>-80023.75</v>
      </c>
      <c r="N7" s="86">
        <v>-909749.02999999991</v>
      </c>
    </row>
    <row r="8" spans="1:17" x14ac:dyDescent="0.2">
      <c r="A8" s="85" t="s">
        <v>353</v>
      </c>
      <c r="B8" s="86">
        <v>0</v>
      </c>
      <c r="C8" s="86">
        <v>-68842.64</v>
      </c>
      <c r="D8" s="86">
        <v>-106851.82</v>
      </c>
      <c r="E8" s="86">
        <v>-120781.49</v>
      </c>
      <c r="F8" s="86">
        <v>-127532.29000000001</v>
      </c>
      <c r="G8" s="86">
        <v>-104008.81000000001</v>
      </c>
      <c r="H8" s="86">
        <v>-85709</v>
      </c>
      <c r="I8" s="86">
        <v>-156594.23000000001</v>
      </c>
      <c r="J8" s="86">
        <v>-64602.799999999996</v>
      </c>
      <c r="K8" s="86">
        <v>-54641.5</v>
      </c>
      <c r="L8" s="86">
        <v>-51343.380000000005</v>
      </c>
      <c r="M8" s="86">
        <v>-91081.05</v>
      </c>
      <c r="N8" s="86">
        <v>-1031989.0100000001</v>
      </c>
    </row>
    <row r="9" spans="1:17" x14ac:dyDescent="0.2">
      <c r="A9" s="85" t="s">
        <v>477</v>
      </c>
      <c r="B9" s="86">
        <v>0</v>
      </c>
      <c r="C9" s="86">
        <v>0</v>
      </c>
      <c r="D9" s="86">
        <v>-5000</v>
      </c>
      <c r="E9" s="86">
        <v>0</v>
      </c>
      <c r="F9" s="86">
        <v>0</v>
      </c>
      <c r="G9" s="86">
        <v>0</v>
      </c>
      <c r="H9" s="86">
        <v>0</v>
      </c>
      <c r="I9" s="86">
        <v>-563.07999999999993</v>
      </c>
      <c r="J9" s="86">
        <v>-593.17000000000007</v>
      </c>
      <c r="K9" s="86">
        <v>-593.33999999999992</v>
      </c>
      <c r="L9" s="86">
        <v>-2077.36</v>
      </c>
      <c r="M9" s="86">
        <v>-1007.77</v>
      </c>
      <c r="N9" s="86">
        <v>-9834.7200000000012</v>
      </c>
    </row>
    <row r="10" spans="1:17" x14ac:dyDescent="0.2">
      <c r="A10" s="84" t="s">
        <v>312</v>
      </c>
      <c r="B10" s="86">
        <v>0</v>
      </c>
      <c r="C10" s="86">
        <v>-5043.37</v>
      </c>
      <c r="D10" s="86">
        <v>-6529.04</v>
      </c>
      <c r="E10" s="86">
        <v>-4685.37</v>
      </c>
      <c r="F10" s="86">
        <v>-4909.21</v>
      </c>
      <c r="G10" s="86">
        <v>-5305.26</v>
      </c>
      <c r="H10" s="86">
        <v>-2081.25</v>
      </c>
      <c r="I10" s="86">
        <v>-1310.0500000000002</v>
      </c>
      <c r="J10" s="86">
        <v>-105.74</v>
      </c>
      <c r="K10" s="86">
        <v>0</v>
      </c>
      <c r="L10" s="86">
        <v>0</v>
      </c>
      <c r="M10" s="86">
        <v>0</v>
      </c>
      <c r="N10" s="86">
        <v>-29969.29</v>
      </c>
    </row>
    <row r="11" spans="1:17" x14ac:dyDescent="0.2">
      <c r="A11" s="85" t="s">
        <v>16</v>
      </c>
      <c r="B11" s="86">
        <v>0</v>
      </c>
      <c r="C11" s="86">
        <v>-5043.37</v>
      </c>
      <c r="D11" s="86">
        <v>-5518.34</v>
      </c>
      <c r="E11" s="86">
        <v>-4685.37</v>
      </c>
      <c r="F11" s="86">
        <v>-3686.29</v>
      </c>
      <c r="G11" s="86">
        <v>-2784.15</v>
      </c>
      <c r="H11" s="86">
        <v>-957.06</v>
      </c>
      <c r="I11" s="86">
        <v>-183.94</v>
      </c>
      <c r="J11" s="86">
        <v>0</v>
      </c>
      <c r="K11" s="86">
        <v>0</v>
      </c>
      <c r="L11" s="86">
        <v>0</v>
      </c>
      <c r="M11" s="86">
        <v>0</v>
      </c>
      <c r="N11" s="86">
        <v>-22858.52</v>
      </c>
    </row>
    <row r="12" spans="1:17" x14ac:dyDescent="0.2">
      <c r="A12" s="85" t="s">
        <v>0</v>
      </c>
      <c r="B12" s="86">
        <v>0</v>
      </c>
      <c r="C12" s="86">
        <v>0</v>
      </c>
      <c r="D12" s="86">
        <v>-1010.7</v>
      </c>
      <c r="E12" s="86">
        <v>0</v>
      </c>
      <c r="F12" s="86">
        <v>-1222.92</v>
      </c>
      <c r="G12" s="86">
        <v>-2521.11</v>
      </c>
      <c r="H12" s="86">
        <v>-1124.19</v>
      </c>
      <c r="I12" s="86">
        <v>-1126.1100000000001</v>
      </c>
      <c r="J12" s="86">
        <v>-105.74</v>
      </c>
      <c r="K12" s="86">
        <v>0</v>
      </c>
      <c r="L12" s="86">
        <v>0</v>
      </c>
      <c r="M12" s="86">
        <v>0</v>
      </c>
      <c r="N12" s="86">
        <v>-7110.77</v>
      </c>
      <c r="Q12" s="86"/>
    </row>
    <row r="13" spans="1:17" x14ac:dyDescent="0.2">
      <c r="A13" s="85" t="s">
        <v>840</v>
      </c>
      <c r="B13" s="86">
        <v>0</v>
      </c>
      <c r="C13" s="86">
        <v>0</v>
      </c>
      <c r="D13" s="86">
        <v>0</v>
      </c>
      <c r="E13" s="86">
        <v>0</v>
      </c>
      <c r="F13" s="86">
        <v>0</v>
      </c>
      <c r="G13" s="86">
        <v>0</v>
      </c>
      <c r="H13" s="86">
        <v>0</v>
      </c>
      <c r="I13" s="86">
        <v>0</v>
      </c>
      <c r="J13" s="86">
        <v>0</v>
      </c>
      <c r="K13" s="86">
        <v>0</v>
      </c>
      <c r="L13" s="86">
        <v>0</v>
      </c>
      <c r="M13" s="86">
        <v>0</v>
      </c>
      <c r="N13" s="86">
        <v>0</v>
      </c>
      <c r="Q13" s="86"/>
    </row>
    <row r="14" spans="1:17" x14ac:dyDescent="0.2">
      <c r="A14" s="84" t="s">
        <v>315</v>
      </c>
      <c r="B14" s="86">
        <v>0</v>
      </c>
      <c r="C14" s="86">
        <v>276138.86</v>
      </c>
      <c r="D14" s="86">
        <v>353659.1</v>
      </c>
      <c r="E14" s="86">
        <v>275252.47999999998</v>
      </c>
      <c r="F14" s="86">
        <v>212032.7</v>
      </c>
      <c r="G14" s="86">
        <v>192782.4</v>
      </c>
      <c r="H14" s="86">
        <v>116067.4</v>
      </c>
      <c r="I14" s="86">
        <v>325181</v>
      </c>
      <c r="J14" s="86">
        <v>185438.6</v>
      </c>
      <c r="K14" s="86">
        <v>108977.5</v>
      </c>
      <c r="L14" s="86">
        <v>274333.2</v>
      </c>
      <c r="M14" s="86">
        <v>424510.1</v>
      </c>
      <c r="N14" s="86">
        <v>2744373.34</v>
      </c>
      <c r="Q14" s="86"/>
    </row>
    <row r="15" spans="1:17" x14ac:dyDescent="0.2">
      <c r="A15" s="85" t="s">
        <v>23</v>
      </c>
      <c r="B15" s="86">
        <v>0</v>
      </c>
      <c r="C15" s="86">
        <v>276138.86</v>
      </c>
      <c r="D15" s="86">
        <v>353659.1</v>
      </c>
      <c r="E15" s="86">
        <v>275252.47999999998</v>
      </c>
      <c r="F15" s="86">
        <v>212032.7</v>
      </c>
      <c r="G15" s="86">
        <v>192782.4</v>
      </c>
      <c r="H15" s="86">
        <v>116067.4</v>
      </c>
      <c r="I15" s="86">
        <v>325181</v>
      </c>
      <c r="J15" s="86">
        <v>185438.6</v>
      </c>
      <c r="K15" s="86">
        <v>108977.5</v>
      </c>
      <c r="L15" s="86">
        <v>274333.2</v>
      </c>
      <c r="M15" s="86">
        <v>424510.1</v>
      </c>
      <c r="N15" s="86">
        <v>2744373.34</v>
      </c>
      <c r="Q15" s="86"/>
    </row>
    <row r="16" spans="1:17" x14ac:dyDescent="0.2">
      <c r="A16" s="84" t="s">
        <v>297</v>
      </c>
      <c r="B16" s="86">
        <v>-24304.26</v>
      </c>
      <c r="C16" s="86">
        <v>224817.49999999994</v>
      </c>
      <c r="D16" s="86">
        <v>398756.65999999992</v>
      </c>
      <c r="E16" s="86">
        <v>357972.23999999993</v>
      </c>
      <c r="F16" s="86">
        <v>376518.14999999997</v>
      </c>
      <c r="G16" s="86">
        <v>434539.24</v>
      </c>
      <c r="H16" s="86">
        <v>469696.15999999992</v>
      </c>
      <c r="I16" s="86">
        <v>292582.46999999997</v>
      </c>
      <c r="J16" s="86">
        <v>392302.76999999996</v>
      </c>
      <c r="K16" s="86">
        <v>423973.83</v>
      </c>
      <c r="L16" s="86">
        <v>178482.43</v>
      </c>
      <c r="M16" s="86">
        <v>69778.14</v>
      </c>
      <c r="N16" s="86">
        <v>3619419.5900000003</v>
      </c>
      <c r="Q16" s="86"/>
    </row>
    <row r="17" spans="1:17" x14ac:dyDescent="0.2">
      <c r="A17" s="85" t="s">
        <v>26</v>
      </c>
      <c r="B17" s="86">
        <v>0</v>
      </c>
      <c r="C17" s="86">
        <v>-246.35</v>
      </c>
      <c r="D17" s="86">
        <v>-433.54</v>
      </c>
      <c r="E17" s="86">
        <v>-471.18</v>
      </c>
      <c r="F17" s="86">
        <v>-346.98</v>
      </c>
      <c r="G17" s="86">
        <v>-328.78999999999996</v>
      </c>
      <c r="H17" s="86">
        <v>-692</v>
      </c>
      <c r="I17" s="86">
        <v>-386.11</v>
      </c>
      <c r="J17" s="86">
        <v>-335.21</v>
      </c>
      <c r="K17" s="86">
        <v>-324.17</v>
      </c>
      <c r="L17" s="86">
        <v>-341.29</v>
      </c>
      <c r="M17" s="86">
        <v>-311.16000000000003</v>
      </c>
      <c r="N17" s="86">
        <v>-4216.7800000000007</v>
      </c>
      <c r="Q17" s="86"/>
    </row>
    <row r="18" spans="1:17" x14ac:dyDescent="0.2">
      <c r="A18" s="85" t="s">
        <v>296</v>
      </c>
      <c r="B18" s="86">
        <v>-24304.26</v>
      </c>
      <c r="C18" s="86">
        <v>17315.719999999972</v>
      </c>
      <c r="D18" s="86">
        <v>-359160.53</v>
      </c>
      <c r="E18" s="86">
        <v>350298.19999999995</v>
      </c>
      <c r="F18" s="86">
        <v>369953.02999999997</v>
      </c>
      <c r="G18" s="86">
        <v>429663.24999999994</v>
      </c>
      <c r="H18" s="86">
        <v>491500.43999999994</v>
      </c>
      <c r="I18" s="86">
        <v>289818.32999999996</v>
      </c>
      <c r="J18" s="86">
        <v>390482.32</v>
      </c>
      <c r="K18" s="86">
        <v>423214.95</v>
      </c>
      <c r="L18" s="86">
        <v>178210.52</v>
      </c>
      <c r="M18" s="86">
        <v>69776.89</v>
      </c>
      <c r="N18" s="86">
        <v>2651073.12</v>
      </c>
      <c r="Q18" s="86"/>
    </row>
    <row r="19" spans="1:17" x14ac:dyDescent="0.2">
      <c r="A19" s="85" t="s">
        <v>48</v>
      </c>
      <c r="B19" s="86">
        <v>0</v>
      </c>
      <c r="C19" s="86">
        <v>7748.71</v>
      </c>
      <c r="D19" s="86">
        <v>8351.2900000000009</v>
      </c>
      <c r="E19" s="86">
        <v>8145.22</v>
      </c>
      <c r="F19" s="86">
        <v>6912.1</v>
      </c>
      <c r="G19" s="86">
        <v>5204.78</v>
      </c>
      <c r="H19" s="86">
        <v>3887.72</v>
      </c>
      <c r="I19" s="86">
        <v>3150.25</v>
      </c>
      <c r="J19" s="86">
        <v>2155.66</v>
      </c>
      <c r="K19" s="86">
        <v>1083.05</v>
      </c>
      <c r="L19" s="86">
        <v>613.20000000000005</v>
      </c>
      <c r="M19" s="86">
        <v>312.41000000000003</v>
      </c>
      <c r="N19" s="86">
        <v>47564.39</v>
      </c>
      <c r="Q19" s="86"/>
    </row>
    <row r="20" spans="1:17" x14ac:dyDescent="0.2">
      <c r="A20" s="85" t="s">
        <v>50</v>
      </c>
      <c r="B20" s="86">
        <v>0</v>
      </c>
      <c r="C20" s="86">
        <v>199999.41999999998</v>
      </c>
      <c r="D20" s="86">
        <v>749999.44</v>
      </c>
      <c r="E20" s="86">
        <v>0</v>
      </c>
      <c r="F20" s="86">
        <v>0</v>
      </c>
      <c r="G20" s="86">
        <v>0</v>
      </c>
      <c r="H20" s="86">
        <v>-25000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924998.85999999987</v>
      </c>
      <c r="Q20" s="86"/>
    </row>
    <row r="21" spans="1:17" x14ac:dyDescent="0.2">
      <c r="A21" s="84" t="s">
        <v>301</v>
      </c>
      <c r="B21" s="86">
        <v>0</v>
      </c>
      <c r="C21" s="86">
        <v>-275123.86</v>
      </c>
      <c r="D21" s="86">
        <v>-470970.6</v>
      </c>
      <c r="E21" s="86">
        <v>-273975.76</v>
      </c>
      <c r="F21" s="86">
        <v>-293804.16000000003</v>
      </c>
      <c r="G21" s="86">
        <v>-300208.81</v>
      </c>
      <c r="H21" s="86">
        <v>-314082.07999999996</v>
      </c>
      <c r="I21" s="86">
        <v>-311724.5</v>
      </c>
      <c r="J21" s="86">
        <v>-305033.19</v>
      </c>
      <c r="K21" s="86">
        <v>-271952.24</v>
      </c>
      <c r="L21" s="86">
        <v>-267380.69</v>
      </c>
      <c r="M21" s="86">
        <v>-257475.11999999997</v>
      </c>
      <c r="N21" s="86">
        <v>-3341731.0100000002</v>
      </c>
      <c r="Q21" s="86"/>
    </row>
    <row r="22" spans="1:17" x14ac:dyDescent="0.2">
      <c r="A22" s="85" t="s">
        <v>11</v>
      </c>
      <c r="B22" s="86">
        <v>0</v>
      </c>
      <c r="C22" s="86">
        <v>-37722.29</v>
      </c>
      <c r="D22" s="86">
        <v>-37866.079999999994</v>
      </c>
      <c r="E22" s="86">
        <v>-44726.64</v>
      </c>
      <c r="F22" s="86">
        <v>-51593.510000000009</v>
      </c>
      <c r="G22" s="86">
        <v>-50077.07</v>
      </c>
      <c r="H22" s="86">
        <v>-58876.359999999993</v>
      </c>
      <c r="I22" s="86">
        <v>-53677.049999999996</v>
      </c>
      <c r="J22" s="86">
        <v>-54921.93</v>
      </c>
      <c r="K22" s="86">
        <v>-48527.89</v>
      </c>
      <c r="L22" s="86">
        <v>-46206.87999999999</v>
      </c>
      <c r="M22" s="86">
        <v>-46462.34</v>
      </c>
      <c r="N22" s="86">
        <v>-530658.04</v>
      </c>
      <c r="Q22" s="86"/>
    </row>
    <row r="23" spans="1:17" x14ac:dyDescent="0.2">
      <c r="A23" s="85" t="s">
        <v>19</v>
      </c>
      <c r="B23" s="86">
        <v>0</v>
      </c>
      <c r="C23" s="86">
        <v>-332.12</v>
      </c>
      <c r="D23" s="86">
        <v>-732.25</v>
      </c>
      <c r="E23" s="86">
        <v>-463.56</v>
      </c>
      <c r="F23" s="86">
        <v>-454.25</v>
      </c>
      <c r="G23" s="86">
        <v>-477.1</v>
      </c>
      <c r="H23" s="86">
        <v>-496.07</v>
      </c>
      <c r="I23" s="86">
        <v>-529.29999999999995</v>
      </c>
      <c r="J23" s="86">
        <v>-498.78999999999996</v>
      </c>
      <c r="K23" s="86">
        <v>-465.39</v>
      </c>
      <c r="L23" s="86">
        <v>-313.27</v>
      </c>
      <c r="M23" s="86">
        <v>-469.17</v>
      </c>
      <c r="N23" s="86">
        <v>-5231.2700000000004</v>
      </c>
    </row>
    <row r="24" spans="1:17" x14ac:dyDescent="0.2">
      <c r="A24" s="85" t="s">
        <v>20</v>
      </c>
      <c r="B24" s="86">
        <v>0</v>
      </c>
      <c r="C24" s="86">
        <v>-84529.69</v>
      </c>
      <c r="D24" s="86">
        <v>-169583.91</v>
      </c>
      <c r="E24" s="86">
        <v>-80658.850000000006</v>
      </c>
      <c r="F24" s="86">
        <v>-82593.290000000008</v>
      </c>
      <c r="G24" s="86">
        <v>-80882.52</v>
      </c>
      <c r="H24" s="86">
        <v>-84662.51999999999</v>
      </c>
      <c r="I24" s="86">
        <v>-86163.32</v>
      </c>
      <c r="J24" s="86">
        <v>-83002.170000000013</v>
      </c>
      <c r="K24" s="86">
        <v>-73710.559999999998</v>
      </c>
      <c r="L24" s="86">
        <v>-70666.760000000009</v>
      </c>
      <c r="M24" s="86">
        <v>-66294.64</v>
      </c>
      <c r="N24" s="86">
        <v>-962748.2300000001</v>
      </c>
    </row>
    <row r="25" spans="1:17" x14ac:dyDescent="0.2">
      <c r="A25" s="85" t="s">
        <v>24</v>
      </c>
      <c r="B25" s="86">
        <v>0</v>
      </c>
      <c r="C25" s="86">
        <v>-152539.76</v>
      </c>
      <c r="D25" s="86">
        <v>-262788.36</v>
      </c>
      <c r="E25" s="86">
        <v>-148126.71000000002</v>
      </c>
      <c r="F25" s="86">
        <v>-159163.10999999999</v>
      </c>
      <c r="G25" s="86">
        <v>-168772.12</v>
      </c>
      <c r="H25" s="86">
        <v>-170047.13</v>
      </c>
      <c r="I25" s="86">
        <v>-171354.83000000002</v>
      </c>
      <c r="J25" s="86">
        <v>-166610.29999999999</v>
      </c>
      <c r="K25" s="86">
        <v>-149248.40000000002</v>
      </c>
      <c r="L25" s="86">
        <v>-150193.78</v>
      </c>
      <c r="M25" s="86">
        <v>-144248.96999999997</v>
      </c>
      <c r="N25" s="86">
        <v>-1843093.4700000002</v>
      </c>
    </row>
    <row r="26" spans="1:17" x14ac:dyDescent="0.2">
      <c r="A26" s="84" t="s">
        <v>316</v>
      </c>
      <c r="B26" s="86">
        <v>0</v>
      </c>
      <c r="C26" s="86">
        <v>-57671.110000000008</v>
      </c>
      <c r="D26" s="86">
        <v>-51130.750000000007</v>
      </c>
      <c r="E26" s="86">
        <v>-134925.1</v>
      </c>
      <c r="F26" s="86">
        <v>-88774.939999999988</v>
      </c>
      <c r="G26" s="86">
        <v>-146960.08000000002</v>
      </c>
      <c r="H26" s="86">
        <v>-106004.27000000003</v>
      </c>
      <c r="I26" s="86">
        <v>-81570.649999999994</v>
      </c>
      <c r="J26" s="86">
        <v>-148211.32</v>
      </c>
      <c r="K26" s="86">
        <v>-86000.16</v>
      </c>
      <c r="L26" s="86">
        <v>-91056.75</v>
      </c>
      <c r="M26" s="86">
        <v>-61332.55999999999</v>
      </c>
      <c r="N26" s="86">
        <v>-1053637.6900000002</v>
      </c>
    </row>
    <row r="27" spans="1:17" x14ac:dyDescent="0.2">
      <c r="A27" s="85" t="s">
        <v>32</v>
      </c>
      <c r="B27" s="86">
        <v>0</v>
      </c>
      <c r="C27" s="86">
        <v>0</v>
      </c>
      <c r="D27" s="86">
        <v>0</v>
      </c>
      <c r="E27" s="86">
        <v>0</v>
      </c>
      <c r="F27" s="86">
        <v>0</v>
      </c>
      <c r="G27" s="86">
        <v>-22482.5</v>
      </c>
      <c r="H27" s="86">
        <v>-287.5</v>
      </c>
      <c r="I27" s="86">
        <v>-535</v>
      </c>
      <c r="J27" s="86">
        <v>0</v>
      </c>
      <c r="K27" s="86">
        <v>-565</v>
      </c>
      <c r="L27" s="86">
        <v>0</v>
      </c>
      <c r="M27" s="86">
        <v>0</v>
      </c>
      <c r="N27" s="86">
        <v>-23870</v>
      </c>
    </row>
    <row r="28" spans="1:17" x14ac:dyDescent="0.2">
      <c r="A28" s="85" t="s">
        <v>21</v>
      </c>
      <c r="B28" s="86">
        <v>0</v>
      </c>
      <c r="C28" s="86">
        <v>0</v>
      </c>
      <c r="D28" s="86">
        <v>0</v>
      </c>
      <c r="E28" s="86">
        <v>-4036</v>
      </c>
      <c r="F28" s="86">
        <v>-20</v>
      </c>
      <c r="G28" s="86">
        <v>326.17</v>
      </c>
      <c r="H28" s="86">
        <v>-196</v>
      </c>
      <c r="I28" s="86">
        <v>-112.92</v>
      </c>
      <c r="J28" s="86">
        <v>0</v>
      </c>
      <c r="K28" s="86">
        <v>32</v>
      </c>
      <c r="L28" s="86">
        <v>-188.43</v>
      </c>
      <c r="M28" s="86">
        <v>0</v>
      </c>
      <c r="N28" s="86">
        <v>-4195.18</v>
      </c>
    </row>
    <row r="29" spans="1:17" x14ac:dyDescent="0.2">
      <c r="A29" s="85" t="s">
        <v>360</v>
      </c>
      <c r="B29" s="86">
        <v>0</v>
      </c>
      <c r="C29" s="86">
        <v>-17629.900000000001</v>
      </c>
      <c r="D29" s="86">
        <v>-21170</v>
      </c>
      <c r="E29" s="86">
        <v>-29860</v>
      </c>
      <c r="F29" s="86">
        <v>-26120</v>
      </c>
      <c r="G29" s="86">
        <v>-26528.33</v>
      </c>
      <c r="H29" s="86">
        <v>-26078.33</v>
      </c>
      <c r="I29" s="86">
        <v>-26980.83</v>
      </c>
      <c r="J29" s="86">
        <v>-26470.83</v>
      </c>
      <c r="K29" s="86">
        <v>-27283.33</v>
      </c>
      <c r="L29" s="86">
        <v>-26460.83</v>
      </c>
      <c r="M29" s="86">
        <v>-25385.83</v>
      </c>
      <c r="N29" s="86">
        <v>-279968.21000000008</v>
      </c>
    </row>
    <row r="30" spans="1:17" x14ac:dyDescent="0.2">
      <c r="A30" s="85" t="s">
        <v>17</v>
      </c>
      <c r="B30" s="86">
        <v>0</v>
      </c>
      <c r="C30" s="86">
        <v>-3866.9</v>
      </c>
      <c r="D30" s="86">
        <v>-4575.8999999999996</v>
      </c>
      <c r="E30" s="86">
        <v>-12536.15</v>
      </c>
      <c r="F30" s="86">
        <v>-11114.35</v>
      </c>
      <c r="G30" s="86">
        <v>-24774.020000000004</v>
      </c>
      <c r="H30" s="86">
        <v>-23118.32</v>
      </c>
      <c r="I30" s="86">
        <v>-22225.4</v>
      </c>
      <c r="J30" s="86">
        <v>-91840.73</v>
      </c>
      <c r="K30" s="86">
        <v>-10289.469999999998</v>
      </c>
      <c r="L30" s="86">
        <v>-24251.63</v>
      </c>
      <c r="M30" s="86">
        <v>-12056.23</v>
      </c>
      <c r="N30" s="86">
        <v>-240649.10000000003</v>
      </c>
    </row>
    <row r="31" spans="1:17" x14ac:dyDescent="0.2">
      <c r="A31" s="85" t="s">
        <v>18</v>
      </c>
      <c r="B31" s="86">
        <v>0</v>
      </c>
      <c r="C31" s="86">
        <v>-496.97</v>
      </c>
      <c r="D31" s="86">
        <v>-8280.18</v>
      </c>
      <c r="E31" s="86">
        <v>-3089.8900000000003</v>
      </c>
      <c r="F31" s="86">
        <v>-8984.89</v>
      </c>
      <c r="G31" s="86">
        <v>-1547.5500000000002</v>
      </c>
      <c r="H31" s="86">
        <v>-3039.49</v>
      </c>
      <c r="I31" s="86">
        <v>-5580.2400000000007</v>
      </c>
      <c r="J31" s="86">
        <v>-1783.2400000000002</v>
      </c>
      <c r="K31" s="86">
        <v>-3039.49</v>
      </c>
      <c r="L31" s="86">
        <v>-5817.8</v>
      </c>
      <c r="M31" s="86">
        <v>-1783.2400000000002</v>
      </c>
      <c r="N31" s="86">
        <v>-43442.98</v>
      </c>
    </row>
    <row r="32" spans="1:17" x14ac:dyDescent="0.2">
      <c r="A32" s="85" t="s">
        <v>29</v>
      </c>
      <c r="B32" s="86">
        <v>0</v>
      </c>
      <c r="C32" s="86">
        <v>-10550</v>
      </c>
      <c r="D32" s="86">
        <v>-15467.5</v>
      </c>
      <c r="E32" s="86">
        <v>-18866</v>
      </c>
      <c r="F32" s="86">
        <v>-28130</v>
      </c>
      <c r="G32" s="86">
        <v>-23029.4</v>
      </c>
      <c r="H32" s="86">
        <v>-10386.450000000001</v>
      </c>
      <c r="I32" s="86">
        <v>-9005.5</v>
      </c>
      <c r="J32" s="86">
        <v>-1950.5</v>
      </c>
      <c r="K32" s="86">
        <v>-8001</v>
      </c>
      <c r="L32" s="86">
        <v>-9200.7000000000007</v>
      </c>
      <c r="M32" s="86">
        <v>-1426</v>
      </c>
      <c r="N32" s="86">
        <v>-136013.04999999999</v>
      </c>
    </row>
    <row r="33" spans="1:14" x14ac:dyDescent="0.2">
      <c r="A33" s="85" t="s">
        <v>28</v>
      </c>
      <c r="B33" s="86">
        <v>0</v>
      </c>
      <c r="C33" s="86">
        <v>-263.76</v>
      </c>
      <c r="D33" s="86">
        <v>-807.23</v>
      </c>
      <c r="E33" s="86">
        <v>-556.55999999999995</v>
      </c>
      <c r="F33" s="86">
        <v>-556</v>
      </c>
      <c r="G33" s="86">
        <v>-354.79</v>
      </c>
      <c r="H33" s="86">
        <v>-1173.69</v>
      </c>
      <c r="I33" s="86">
        <v>-355.28000000000003</v>
      </c>
      <c r="J33" s="86">
        <v>-1606.02</v>
      </c>
      <c r="K33" s="86">
        <v>-1215.05</v>
      </c>
      <c r="L33" s="86">
        <v>-127.22999999999999</v>
      </c>
      <c r="M33" s="86">
        <v>-4393.6299999999992</v>
      </c>
      <c r="N33" s="86">
        <v>-11409.239999999998</v>
      </c>
    </row>
    <row r="34" spans="1:14" x14ac:dyDescent="0.2">
      <c r="A34" s="85" t="s">
        <v>31</v>
      </c>
      <c r="B34" s="86">
        <v>0</v>
      </c>
      <c r="C34" s="86">
        <v>0</v>
      </c>
      <c r="D34" s="86">
        <v>0</v>
      </c>
      <c r="E34" s="86">
        <v>-63750</v>
      </c>
      <c r="F34" s="86">
        <v>0</v>
      </c>
      <c r="G34" s="86">
        <v>-25000</v>
      </c>
      <c r="H34" s="86">
        <v>0</v>
      </c>
      <c r="I34" s="86">
        <v>0</v>
      </c>
      <c r="J34" s="86">
        <v>0</v>
      </c>
      <c r="K34" s="86">
        <v>0</v>
      </c>
      <c r="L34" s="86">
        <v>0</v>
      </c>
      <c r="M34" s="86">
        <v>0</v>
      </c>
      <c r="N34" s="86">
        <v>-88750</v>
      </c>
    </row>
    <row r="35" spans="1:14" x14ac:dyDescent="0.2">
      <c r="A35" s="85" t="s">
        <v>34</v>
      </c>
      <c r="B35" s="86">
        <v>0</v>
      </c>
      <c r="C35" s="86">
        <v>0</v>
      </c>
      <c r="D35" s="86">
        <v>0</v>
      </c>
      <c r="E35" s="86">
        <v>0</v>
      </c>
      <c r="F35" s="86">
        <v>0</v>
      </c>
      <c r="G35" s="86">
        <v>-3545.63</v>
      </c>
      <c r="H35" s="86">
        <v>-3545.63</v>
      </c>
      <c r="I35" s="86">
        <v>-7091.26</v>
      </c>
      <c r="J35" s="86">
        <v>-3545.63</v>
      </c>
      <c r="K35" s="86">
        <v>-3545.63</v>
      </c>
      <c r="L35" s="86">
        <v>-3545.63</v>
      </c>
      <c r="M35" s="86">
        <v>-3545.63</v>
      </c>
      <c r="N35" s="86">
        <v>-28365.040000000005</v>
      </c>
    </row>
    <row r="36" spans="1:14" x14ac:dyDescent="0.2">
      <c r="A36" s="85" t="s">
        <v>22</v>
      </c>
      <c r="B36" s="86">
        <v>0</v>
      </c>
      <c r="C36" s="86">
        <v>-24863.58</v>
      </c>
      <c r="D36" s="86">
        <v>-829.94</v>
      </c>
      <c r="E36" s="86">
        <v>-2230.5</v>
      </c>
      <c r="F36" s="86">
        <v>-13849.7</v>
      </c>
      <c r="G36" s="86">
        <v>-20024.030000000002</v>
      </c>
      <c r="H36" s="86">
        <v>-38178.86000000003</v>
      </c>
      <c r="I36" s="86">
        <v>-9684.2199999999993</v>
      </c>
      <c r="J36" s="86">
        <v>-21014.370000000003</v>
      </c>
      <c r="K36" s="86">
        <v>-32093.19</v>
      </c>
      <c r="L36" s="86">
        <v>-21464.5</v>
      </c>
      <c r="M36" s="86">
        <v>-12742</v>
      </c>
      <c r="N36" s="86">
        <v>-196974.89000000004</v>
      </c>
    </row>
    <row r="37" spans="1:14" x14ac:dyDescent="0.2">
      <c r="A37" s="84" t="s">
        <v>152</v>
      </c>
      <c r="B37" s="86">
        <v>-24304.26</v>
      </c>
      <c r="C37" s="86">
        <v>85.739999999972497</v>
      </c>
      <c r="D37" s="86">
        <v>798.29999999992833</v>
      </c>
      <c r="E37" s="86">
        <v>-798.30000000011933</v>
      </c>
      <c r="F37" s="86">
        <v>-8.3673512563109398E-11</v>
      </c>
      <c r="G37" s="86">
        <v>-6104.0800000000163</v>
      </c>
      <c r="H37" s="86">
        <v>-5469.2900000000482</v>
      </c>
      <c r="I37" s="86">
        <v>-7360.2900000000172</v>
      </c>
      <c r="J37" s="86">
        <v>-6063.4300000000476</v>
      </c>
      <c r="K37" s="86">
        <v>47841.839999999924</v>
      </c>
      <c r="L37" s="86">
        <v>-39416.300000000017</v>
      </c>
      <c r="M37" s="86">
        <v>3367.989999999987</v>
      </c>
      <c r="N37" s="86">
        <v>-13117.820000000531</v>
      </c>
    </row>
    <row r="38" spans="1:14" x14ac:dyDescent="0.2">
      <c r="A38"/>
      <c r="B38"/>
      <c r="C38"/>
      <c r="D38"/>
      <c r="E38"/>
      <c r="F38"/>
      <c r="G38"/>
      <c r="H38"/>
      <c r="I38"/>
      <c r="J38"/>
      <c r="K38"/>
      <c r="L38"/>
    </row>
    <row r="39" spans="1:14" x14ac:dyDescent="0.2">
      <c r="A39"/>
      <c r="B39"/>
      <c r="C39"/>
      <c r="D39"/>
      <c r="E39"/>
      <c r="F39"/>
      <c r="G39"/>
      <c r="H39"/>
      <c r="I39"/>
      <c r="J39">
        <f>+GETPIVOTDATA("Amount",$A$3,"Year",2025,"Month",8,"Group","COGS","Category","Contract Labor")+GETPIVOTDATA("Amount",$A$3,"Year",2025,"Month",8,"Group","COGS","Category","Contract Labor - AppIQ")+GETPIVOTDATA("Amount",$A$3,"Year",2025,"Month",8,"Group","COGS","Category","Hosting &amp; 3rd Party")+GETPIVOTDATA("Amount",$A$3,"Year",2025,"Month",8,"Group","Vendors","Category","Contract Labor - Back Office")</f>
        <v>-156925.38</v>
      </c>
      <c r="K39">
        <f>+GETPIVOTDATA("Amount",$A$3,"Year",2025,"Month",9,"Group","COGS","Category","Contract Labor")+GETPIVOTDATA("Amount",$A$3,"Year",2025,"Month",9,"Group","COGS","Category","Contract Labor - AppIQ")+GETPIVOTDATA("Amount",$A$3,"Year",2025,"Month",9,"Group","COGS","Category","Hosting &amp; 3rd Party")+GETPIVOTDATA("Amount",$A$3,"Year",2025,"Month",9,"Group","Vendors","Category","Contract Labor - Back Office")</f>
        <v>-154440.41999999998</v>
      </c>
      <c r="L39">
        <f>+GETPIVOTDATA("Amount",$A$3,"Year",2025,"Month",10,"Group","COGS")+GETPIVOTDATA("Amount",$A$3,"Year",2025,"Month",10,"Group","Vendors","Category","Contract Labor - Back Office")</f>
        <v>-160255.32</v>
      </c>
      <c r="M39" s="14">
        <f>+GETPIVOTDATA("Amount",$A$3,"Year",2025,"Month",11,"Group","COGS")+GETPIVOTDATA("Amount",$A$3,"Year",2025,"Month",11,"Group","Vendors","Category","Contract Labor - Back Office")</f>
        <v>-197498.39999999997</v>
      </c>
    </row>
    <row r="40" spans="1:14" x14ac:dyDescent="0.2">
      <c r="A40"/>
      <c r="B40"/>
      <c r="C40"/>
      <c r="D40"/>
      <c r="E40"/>
      <c r="F40"/>
      <c r="G40"/>
      <c r="H40"/>
      <c r="I40"/>
      <c r="J40"/>
      <c r="K40" s="14">
        <f>+GETPIVOTDATA("Amount",$A$3,"Year",2025,"Month",9,"Group","Payroll","Category","Benefits")+GETPIVOTDATA("Amount",$A$3,"Year",2025,"Month",9,"Group","Payroll","Category","Fees")</f>
        <v>-48993.279999999999</v>
      </c>
      <c r="L40" s="14">
        <f>+GETPIVOTDATA("Amount",$A$3,"Year",2025,"Month",10,"Group","Payroll","Category","Benefits")+GETPIVOTDATA("Amount",$A$3,"Year",2025,"Month",10,"Group","Payroll","Category","Fees")</f>
        <v>-46520.149999999987</v>
      </c>
      <c r="M40" s="14">
        <f>+GETPIVOTDATA("Amount",$A$3,"Year",2025,"Month",11,"Group","Payroll","Category","Fees")+GETPIVOTDATA("Amount",$A$3,"Year",2025,"Month",11,"Group","Payroll","Category","Benefits")</f>
        <v>-46931.509999999995</v>
      </c>
    </row>
    <row r="41" spans="1:14" x14ac:dyDescent="0.2">
      <c r="A41"/>
      <c r="B41"/>
      <c r="C41"/>
      <c r="D41"/>
      <c r="E41"/>
      <c r="F41"/>
      <c r="G41"/>
      <c r="H41"/>
      <c r="I41"/>
      <c r="J41"/>
    </row>
    <row r="42" spans="1:14" x14ac:dyDescent="0.2">
      <c r="A42"/>
      <c r="B42"/>
      <c r="C42"/>
      <c r="D42"/>
      <c r="E42"/>
      <c r="F42"/>
      <c r="G42"/>
      <c r="H42"/>
      <c r="I42"/>
      <c r="J42"/>
      <c r="K42" s="14">
        <f>+GETPIVOTDATA("Amount",$A$3,"Year",2025,"Month",9,"Group","Vendors","Category","Office &amp; Supplies")*-1</f>
        <v>1215.05</v>
      </c>
    </row>
    <row r="43" spans="1:14" x14ac:dyDescent="0.2">
      <c r="A43"/>
      <c r="B43"/>
      <c r="C43"/>
      <c r="D43"/>
      <c r="E43"/>
      <c r="F43"/>
      <c r="G43"/>
      <c r="H43"/>
      <c r="I43"/>
      <c r="J4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D2AA-A650-47B1-8F9F-F58448860831}">
  <dimension ref="A1:P4041"/>
  <sheetViews>
    <sheetView workbookViewId="0">
      <pane ySplit="1" topLeftCell="A2621" activePane="bottomLeft" state="frozen"/>
      <selection pane="bottomLeft" activeCell="J2646" sqref="J2646"/>
    </sheetView>
  </sheetViews>
  <sheetFormatPr baseColWidth="10" defaultColWidth="9.1640625" defaultRowHeight="14" x14ac:dyDescent="0.2"/>
  <cols>
    <col min="1" max="2" width="10.5" style="1" customWidth="1"/>
    <col min="3" max="3" width="6.5" style="1" customWidth="1"/>
    <col min="4" max="4" width="12.5" style="1" customWidth="1"/>
    <col min="5" max="5" width="5" style="1" customWidth="1"/>
    <col min="6" max="6" width="12.6640625" style="1" bestFit="1" customWidth="1"/>
    <col min="7" max="7" width="21.5" style="1" customWidth="1"/>
    <col min="8" max="8" width="48" style="1" customWidth="1"/>
    <col min="9" max="9" width="20.5" style="1" customWidth="1"/>
    <col min="10" max="10" width="23.6640625" style="1" customWidth="1"/>
    <col min="11" max="12" width="14.6640625" style="1" customWidth="1"/>
    <col min="13" max="15" width="14.5" style="1" customWidth="1"/>
    <col min="16" max="16" width="13.1640625" style="1" customWidth="1"/>
    <col min="17" max="16384" width="9.1640625" style="1"/>
  </cols>
  <sheetData>
    <row r="1" spans="1:14" x14ac:dyDescent="0.2">
      <c r="A1" s="81" t="s">
        <v>405</v>
      </c>
      <c r="B1" s="81" t="s">
        <v>435</v>
      </c>
      <c r="C1" s="81" t="s">
        <v>404</v>
      </c>
      <c r="D1" s="81" t="s">
        <v>403</v>
      </c>
      <c r="E1" s="81" t="s">
        <v>402</v>
      </c>
      <c r="F1" s="81" t="s">
        <v>207</v>
      </c>
      <c r="G1" s="81" t="s">
        <v>401</v>
      </c>
      <c r="H1" s="81" t="s">
        <v>400</v>
      </c>
      <c r="I1" s="81" t="s">
        <v>399</v>
      </c>
      <c r="J1" s="81" t="s">
        <v>398</v>
      </c>
      <c r="K1" s="81" t="s">
        <v>397</v>
      </c>
      <c r="L1" s="81" t="s">
        <v>396</v>
      </c>
      <c r="M1" s="81" t="s">
        <v>395</v>
      </c>
      <c r="N1" s="81" t="s">
        <v>394</v>
      </c>
    </row>
    <row r="2" spans="1:14" x14ac:dyDescent="0.2">
      <c r="A2" s="77">
        <v>45657</v>
      </c>
      <c r="B2" s="78">
        <f t="shared" ref="B2:B65" si="0">YEAR(A2)</f>
        <v>2024</v>
      </c>
      <c r="C2" s="78">
        <f t="shared" ref="C2:C65" si="1">MONTH(A2)</f>
        <v>12</v>
      </c>
      <c r="D2" s="77" t="s">
        <v>300</v>
      </c>
      <c r="E2" s="76"/>
      <c r="F2" s="76" t="s">
        <v>299</v>
      </c>
      <c r="G2" s="76"/>
      <c r="H2" s="76" t="s">
        <v>298</v>
      </c>
      <c r="I2" s="76" t="s">
        <v>297</v>
      </c>
      <c r="J2" s="76" t="s">
        <v>296</v>
      </c>
      <c r="K2" s="74">
        <v>24304.26</v>
      </c>
      <c r="L2" s="75"/>
      <c r="M2" s="74">
        <f t="shared" ref="M2:M65" si="2">IF(ISBLANK(L2),K2*-1,L2)</f>
        <v>-24304.26</v>
      </c>
      <c r="N2" s="74">
        <v>499914.25999999983</v>
      </c>
    </row>
    <row r="3" spans="1:14" x14ac:dyDescent="0.2">
      <c r="A3" s="73">
        <v>45747</v>
      </c>
      <c r="B3" s="3">
        <f t="shared" si="0"/>
        <v>2025</v>
      </c>
      <c r="C3" s="3">
        <f t="shared" si="1"/>
        <v>3</v>
      </c>
      <c r="D3" s="73" t="s">
        <v>300</v>
      </c>
      <c r="E3" s="2"/>
      <c r="F3" s="2" t="s">
        <v>325</v>
      </c>
      <c r="G3" s="2" t="s">
        <v>5</v>
      </c>
      <c r="H3" s="2" t="s">
        <v>323</v>
      </c>
      <c r="I3" s="2" t="s">
        <v>301</v>
      </c>
      <c r="J3" s="2" t="s">
        <v>11</v>
      </c>
      <c r="K3" s="72">
        <v>30</v>
      </c>
      <c r="L3" s="39"/>
      <c r="M3" s="72">
        <f t="shared" si="2"/>
        <v>-30</v>
      </c>
      <c r="N3" s="72">
        <f t="shared" ref="N3:N66" si="3">+N2+M3</f>
        <v>499884.25999999983</v>
      </c>
    </row>
    <row r="4" spans="1:14" x14ac:dyDescent="0.2">
      <c r="A4" s="73" t="s">
        <v>434</v>
      </c>
      <c r="B4" s="3">
        <f t="shared" si="0"/>
        <v>2025</v>
      </c>
      <c r="C4" s="3">
        <f t="shared" si="1"/>
        <v>1</v>
      </c>
      <c r="D4" s="73" t="s">
        <v>300</v>
      </c>
      <c r="E4" s="2"/>
      <c r="F4" s="2" t="s">
        <v>304</v>
      </c>
      <c r="G4" s="2" t="s">
        <v>373</v>
      </c>
      <c r="H4" s="2" t="s">
        <v>372</v>
      </c>
      <c r="I4" s="2" t="s">
        <v>301</v>
      </c>
      <c r="J4" s="2" t="s">
        <v>11</v>
      </c>
      <c r="K4" s="72">
        <v>14063.28</v>
      </c>
      <c r="L4" s="39"/>
      <c r="M4" s="72">
        <f t="shared" si="2"/>
        <v>-14063.28</v>
      </c>
      <c r="N4" s="72">
        <f t="shared" si="3"/>
        <v>485820.97999999981</v>
      </c>
    </row>
    <row r="5" spans="1:14" x14ac:dyDescent="0.2">
      <c r="A5" s="73" t="s">
        <v>434</v>
      </c>
      <c r="B5" s="3">
        <f t="shared" si="0"/>
        <v>2025</v>
      </c>
      <c r="C5" s="3">
        <f t="shared" si="1"/>
        <v>1</v>
      </c>
      <c r="D5" s="73" t="s">
        <v>300</v>
      </c>
      <c r="E5" s="2"/>
      <c r="F5" s="2" t="s">
        <v>304</v>
      </c>
      <c r="G5" s="2" t="s">
        <v>303</v>
      </c>
      <c r="H5" s="2" t="s">
        <v>302</v>
      </c>
      <c r="I5" s="2" t="s">
        <v>301</v>
      </c>
      <c r="J5" s="2" t="s">
        <v>11</v>
      </c>
      <c r="K5" s="72">
        <v>1102.0999999999999</v>
      </c>
      <c r="L5" s="39"/>
      <c r="M5" s="72">
        <f t="shared" si="2"/>
        <v>-1102.0999999999999</v>
      </c>
      <c r="N5" s="72">
        <f t="shared" si="3"/>
        <v>484718.87999999983</v>
      </c>
    </row>
    <row r="6" spans="1:14" x14ac:dyDescent="0.2">
      <c r="A6" s="73" t="s">
        <v>434</v>
      </c>
      <c r="B6" s="3">
        <f t="shared" si="0"/>
        <v>2025</v>
      </c>
      <c r="C6" s="3">
        <f t="shared" si="1"/>
        <v>1</v>
      </c>
      <c r="D6" s="73" t="s">
        <v>300</v>
      </c>
      <c r="E6" s="2"/>
      <c r="F6" s="2" t="s">
        <v>299</v>
      </c>
      <c r="G6" s="2"/>
      <c r="H6" s="2" t="s">
        <v>298</v>
      </c>
      <c r="I6" s="2" t="s">
        <v>297</v>
      </c>
      <c r="J6" s="2" t="s">
        <v>296</v>
      </c>
      <c r="K6" s="72"/>
      <c r="L6" s="39">
        <v>15251.12</v>
      </c>
      <c r="M6" s="72">
        <f t="shared" si="2"/>
        <v>15251.12</v>
      </c>
      <c r="N6" s="72">
        <f t="shared" si="3"/>
        <v>499969.99999999983</v>
      </c>
    </row>
    <row r="7" spans="1:14" x14ac:dyDescent="0.2">
      <c r="A7" s="73" t="s">
        <v>433</v>
      </c>
      <c r="B7" s="3">
        <f t="shared" si="0"/>
        <v>2025</v>
      </c>
      <c r="C7" s="3">
        <f t="shared" si="1"/>
        <v>1</v>
      </c>
      <c r="D7" s="73" t="s">
        <v>300</v>
      </c>
      <c r="E7" s="2"/>
      <c r="F7" s="2" t="s">
        <v>321</v>
      </c>
      <c r="G7" s="2" t="s">
        <v>332</v>
      </c>
      <c r="H7" s="2" t="s">
        <v>319</v>
      </c>
      <c r="I7" s="2" t="s">
        <v>315</v>
      </c>
      <c r="J7" s="2" t="s">
        <v>23</v>
      </c>
      <c r="K7" s="72"/>
      <c r="L7" s="39">
        <v>10066.200000000001</v>
      </c>
      <c r="M7" s="72">
        <f t="shared" si="2"/>
        <v>10066.200000000001</v>
      </c>
      <c r="N7" s="72">
        <f t="shared" si="3"/>
        <v>510036.19999999984</v>
      </c>
    </row>
    <row r="8" spans="1:14" x14ac:dyDescent="0.2">
      <c r="A8" s="73" t="s">
        <v>433</v>
      </c>
      <c r="B8" s="3">
        <f t="shared" si="0"/>
        <v>2025</v>
      </c>
      <c r="C8" s="3">
        <f t="shared" si="1"/>
        <v>1</v>
      </c>
      <c r="D8" s="73" t="s">
        <v>300</v>
      </c>
      <c r="E8" s="2"/>
      <c r="F8" s="2" t="s">
        <v>321</v>
      </c>
      <c r="G8" s="2" t="s">
        <v>332</v>
      </c>
      <c r="H8" s="2" t="s">
        <v>319</v>
      </c>
      <c r="I8" s="2" t="s">
        <v>315</v>
      </c>
      <c r="J8" s="2" t="s">
        <v>23</v>
      </c>
      <c r="K8" s="72"/>
      <c r="L8" s="39">
        <v>10947</v>
      </c>
      <c r="M8" s="72">
        <f t="shared" si="2"/>
        <v>10947</v>
      </c>
      <c r="N8" s="72">
        <f t="shared" si="3"/>
        <v>520983.19999999984</v>
      </c>
    </row>
    <row r="9" spans="1:14" x14ac:dyDescent="0.2">
      <c r="A9" s="73" t="s">
        <v>433</v>
      </c>
      <c r="B9" s="3">
        <f t="shared" si="0"/>
        <v>2025</v>
      </c>
      <c r="C9" s="3">
        <f t="shared" si="1"/>
        <v>1</v>
      </c>
      <c r="D9" s="73" t="s">
        <v>300</v>
      </c>
      <c r="E9" s="2"/>
      <c r="F9" s="2" t="s">
        <v>304</v>
      </c>
      <c r="G9" s="2" t="s">
        <v>306</v>
      </c>
      <c r="H9" s="2" t="s">
        <v>384</v>
      </c>
      <c r="I9" s="2" t="s">
        <v>301</v>
      </c>
      <c r="J9" s="2" t="s">
        <v>19</v>
      </c>
      <c r="K9" s="72">
        <v>4</v>
      </c>
      <c r="L9" s="39"/>
      <c r="M9" s="72">
        <f t="shared" si="2"/>
        <v>-4</v>
      </c>
      <c r="N9" s="72">
        <f t="shared" si="3"/>
        <v>520979.19999999984</v>
      </c>
    </row>
    <row r="10" spans="1:14" x14ac:dyDescent="0.2">
      <c r="A10" s="73" t="s">
        <v>433</v>
      </c>
      <c r="B10" s="3">
        <f t="shared" si="0"/>
        <v>2025</v>
      </c>
      <c r="C10" s="3">
        <f t="shared" si="1"/>
        <v>1</v>
      </c>
      <c r="D10" s="73" t="s">
        <v>300</v>
      </c>
      <c r="E10" s="2"/>
      <c r="F10" s="2" t="s">
        <v>321</v>
      </c>
      <c r="G10" s="2" t="s">
        <v>348</v>
      </c>
      <c r="H10" s="2" t="s">
        <v>319</v>
      </c>
      <c r="I10" s="2" t="s">
        <v>315</v>
      </c>
      <c r="J10" s="2" t="s">
        <v>23</v>
      </c>
      <c r="K10" s="72"/>
      <c r="L10" s="39">
        <v>13640</v>
      </c>
      <c r="M10" s="72">
        <f t="shared" si="2"/>
        <v>13640</v>
      </c>
      <c r="N10" s="72">
        <f t="shared" si="3"/>
        <v>534619.19999999984</v>
      </c>
    </row>
    <row r="11" spans="1:14" x14ac:dyDescent="0.2">
      <c r="A11" s="73" t="s">
        <v>433</v>
      </c>
      <c r="B11" s="3">
        <f t="shared" si="0"/>
        <v>2025</v>
      </c>
      <c r="C11" s="3">
        <f t="shared" si="1"/>
        <v>1</v>
      </c>
      <c r="D11" s="73" t="s">
        <v>300</v>
      </c>
      <c r="E11" s="2"/>
      <c r="F11" s="2" t="s">
        <v>304</v>
      </c>
      <c r="G11" s="2" t="s">
        <v>344</v>
      </c>
      <c r="H11" s="2" t="s">
        <v>343</v>
      </c>
      <c r="I11" s="2" t="s">
        <v>301</v>
      </c>
      <c r="J11" s="2" t="s">
        <v>11</v>
      </c>
      <c r="K11" s="72">
        <v>9796.0499999999993</v>
      </c>
      <c r="L11" s="39"/>
      <c r="M11" s="72">
        <f t="shared" si="2"/>
        <v>-9796.0499999999993</v>
      </c>
      <c r="N11" s="72">
        <f t="shared" si="3"/>
        <v>524823.14999999979</v>
      </c>
    </row>
    <row r="12" spans="1:14" x14ac:dyDescent="0.2">
      <c r="A12" s="73" t="s">
        <v>433</v>
      </c>
      <c r="B12" s="3">
        <f t="shared" si="0"/>
        <v>2025</v>
      </c>
      <c r="C12" s="3">
        <f t="shared" si="1"/>
        <v>1</v>
      </c>
      <c r="D12" s="73" t="s">
        <v>300</v>
      </c>
      <c r="E12" s="2"/>
      <c r="F12" s="2" t="s">
        <v>299</v>
      </c>
      <c r="G12" s="2"/>
      <c r="H12" s="2" t="s">
        <v>298</v>
      </c>
      <c r="I12" s="2" t="s">
        <v>297</v>
      </c>
      <c r="J12" s="2" t="s">
        <v>296</v>
      </c>
      <c r="K12" s="72">
        <v>24853.15</v>
      </c>
      <c r="L12" s="39"/>
      <c r="M12" s="72">
        <f t="shared" si="2"/>
        <v>-24853.15</v>
      </c>
      <c r="N12" s="72">
        <f t="shared" si="3"/>
        <v>499969.99999999977</v>
      </c>
    </row>
    <row r="13" spans="1:14" x14ac:dyDescent="0.2">
      <c r="A13" s="73" t="s">
        <v>432</v>
      </c>
      <c r="B13" s="3">
        <f t="shared" si="0"/>
        <v>2025</v>
      </c>
      <c r="C13" s="3">
        <f t="shared" si="1"/>
        <v>1</v>
      </c>
      <c r="D13" s="73" t="s">
        <v>300</v>
      </c>
      <c r="E13" s="2"/>
      <c r="F13" s="2" t="s">
        <v>325</v>
      </c>
      <c r="G13" s="2" t="s">
        <v>345</v>
      </c>
      <c r="H13" s="2" t="s">
        <v>323</v>
      </c>
      <c r="I13" s="2" t="s">
        <v>316</v>
      </c>
      <c r="J13" s="2" t="s">
        <v>22</v>
      </c>
      <c r="K13" s="72">
        <v>20.2</v>
      </c>
      <c r="L13" s="39"/>
      <c r="M13" s="72">
        <f t="shared" si="2"/>
        <v>-20.2</v>
      </c>
      <c r="N13" s="72">
        <f t="shared" si="3"/>
        <v>499949.79999999976</v>
      </c>
    </row>
    <row r="14" spans="1:14" x14ac:dyDescent="0.2">
      <c r="A14" s="73" t="s">
        <v>432</v>
      </c>
      <c r="B14" s="3">
        <f t="shared" si="0"/>
        <v>2025</v>
      </c>
      <c r="C14" s="3">
        <f t="shared" si="1"/>
        <v>1</v>
      </c>
      <c r="D14" s="73" t="s">
        <v>300</v>
      </c>
      <c r="E14" s="2"/>
      <c r="F14" s="2" t="s">
        <v>325</v>
      </c>
      <c r="G14" s="2" t="s">
        <v>330</v>
      </c>
      <c r="H14" s="2" t="s">
        <v>323</v>
      </c>
      <c r="I14" s="2" t="s">
        <v>316</v>
      </c>
      <c r="J14" s="2" t="s">
        <v>22</v>
      </c>
      <c r="K14" s="72">
        <v>780.16</v>
      </c>
      <c r="L14" s="39"/>
      <c r="M14" s="72">
        <f t="shared" si="2"/>
        <v>-780.16</v>
      </c>
      <c r="N14" s="72">
        <f t="shared" si="3"/>
        <v>499169.63999999978</v>
      </c>
    </row>
    <row r="15" spans="1:14" x14ac:dyDescent="0.2">
      <c r="A15" s="73" t="s">
        <v>432</v>
      </c>
      <c r="B15" s="3">
        <f t="shared" si="0"/>
        <v>2025</v>
      </c>
      <c r="C15" s="3">
        <f t="shared" si="1"/>
        <v>1</v>
      </c>
      <c r="D15" s="73" t="s">
        <v>300</v>
      </c>
      <c r="E15" s="2"/>
      <c r="F15" s="2" t="s">
        <v>299</v>
      </c>
      <c r="G15" s="2"/>
      <c r="H15" s="2" t="s">
        <v>298</v>
      </c>
      <c r="I15" s="2" t="s">
        <v>297</v>
      </c>
      <c r="J15" s="2" t="s">
        <v>296</v>
      </c>
      <c r="K15" s="72"/>
      <c r="L15" s="39">
        <v>800.36</v>
      </c>
      <c r="M15" s="72">
        <f t="shared" si="2"/>
        <v>800.36</v>
      </c>
      <c r="N15" s="72">
        <f t="shared" si="3"/>
        <v>499969.99999999977</v>
      </c>
    </row>
    <row r="16" spans="1:14" x14ac:dyDescent="0.2">
      <c r="A16" s="73" t="s">
        <v>431</v>
      </c>
      <c r="B16" s="3">
        <f t="shared" si="0"/>
        <v>2025</v>
      </c>
      <c r="C16" s="3">
        <f t="shared" si="1"/>
        <v>1</v>
      </c>
      <c r="D16" s="73" t="s">
        <v>300</v>
      </c>
      <c r="E16" s="2"/>
      <c r="F16" s="2" t="s">
        <v>304</v>
      </c>
      <c r="G16" s="2" t="s">
        <v>311</v>
      </c>
      <c r="H16" s="2" t="s">
        <v>310</v>
      </c>
      <c r="I16" s="2" t="s">
        <v>301</v>
      </c>
      <c r="J16" s="2" t="s">
        <v>11</v>
      </c>
      <c r="K16" s="72">
        <v>4.16</v>
      </c>
      <c r="L16" s="39"/>
      <c r="M16" s="72">
        <f t="shared" si="2"/>
        <v>-4.16</v>
      </c>
      <c r="N16" s="72">
        <f t="shared" si="3"/>
        <v>499965.83999999979</v>
      </c>
    </row>
    <row r="17" spans="1:14" x14ac:dyDescent="0.2">
      <c r="A17" s="73" t="s">
        <v>431</v>
      </c>
      <c r="B17" s="3">
        <f t="shared" si="0"/>
        <v>2025</v>
      </c>
      <c r="C17" s="3">
        <f t="shared" si="1"/>
        <v>1</v>
      </c>
      <c r="D17" s="73" t="s">
        <v>300</v>
      </c>
      <c r="E17" s="2"/>
      <c r="F17" s="2" t="s">
        <v>299</v>
      </c>
      <c r="G17" s="2"/>
      <c r="H17" s="2" t="s">
        <v>298</v>
      </c>
      <c r="I17" s="2" t="s">
        <v>297</v>
      </c>
      <c r="J17" s="2" t="s">
        <v>296</v>
      </c>
      <c r="K17" s="72"/>
      <c r="L17" s="39">
        <v>4.16</v>
      </c>
      <c r="M17" s="72">
        <f t="shared" si="2"/>
        <v>4.16</v>
      </c>
      <c r="N17" s="72">
        <f t="shared" si="3"/>
        <v>499969.99999999977</v>
      </c>
    </row>
    <row r="18" spans="1:14" x14ac:dyDescent="0.2">
      <c r="A18" s="73" t="s">
        <v>430</v>
      </c>
      <c r="B18" s="3">
        <f t="shared" si="0"/>
        <v>2025</v>
      </c>
      <c r="C18" s="3">
        <f t="shared" si="1"/>
        <v>1</v>
      </c>
      <c r="D18" s="73" t="s">
        <v>300</v>
      </c>
      <c r="E18" s="2"/>
      <c r="F18" s="2" t="s">
        <v>325</v>
      </c>
      <c r="G18" s="2" t="s">
        <v>375</v>
      </c>
      <c r="H18" s="2" t="s">
        <v>323</v>
      </c>
      <c r="I18" s="2" t="s">
        <v>316</v>
      </c>
      <c r="J18" s="2" t="s">
        <v>29</v>
      </c>
      <c r="K18" s="72">
        <v>1955</v>
      </c>
      <c r="L18" s="39"/>
      <c r="M18" s="72">
        <f t="shared" si="2"/>
        <v>-1955</v>
      </c>
      <c r="N18" s="72">
        <f t="shared" si="3"/>
        <v>498014.99999999977</v>
      </c>
    </row>
    <row r="19" spans="1:14" x14ac:dyDescent="0.2">
      <c r="A19" s="73" t="s">
        <v>430</v>
      </c>
      <c r="B19" s="3">
        <f t="shared" si="0"/>
        <v>2025</v>
      </c>
      <c r="C19" s="3">
        <f t="shared" si="1"/>
        <v>1</v>
      </c>
      <c r="D19" s="73" t="s">
        <v>300</v>
      </c>
      <c r="E19" s="2"/>
      <c r="F19" s="2" t="s">
        <v>325</v>
      </c>
      <c r="G19" s="2" t="s">
        <v>375</v>
      </c>
      <c r="H19" s="2" t="s">
        <v>323</v>
      </c>
      <c r="I19" s="2" t="s">
        <v>316</v>
      </c>
      <c r="J19" s="2" t="s">
        <v>29</v>
      </c>
      <c r="K19" s="72">
        <v>1900</v>
      </c>
      <c r="L19" s="39"/>
      <c r="M19" s="72">
        <f t="shared" si="2"/>
        <v>-1900</v>
      </c>
      <c r="N19" s="72">
        <f t="shared" si="3"/>
        <v>496114.99999999977</v>
      </c>
    </row>
    <row r="20" spans="1:14" x14ac:dyDescent="0.2">
      <c r="A20" s="73" t="s">
        <v>430</v>
      </c>
      <c r="B20" s="3">
        <f t="shared" si="0"/>
        <v>2025</v>
      </c>
      <c r="C20" s="3">
        <f t="shared" si="1"/>
        <v>1</v>
      </c>
      <c r="D20" s="73" t="s">
        <v>300</v>
      </c>
      <c r="E20" s="2"/>
      <c r="F20" s="2" t="s">
        <v>325</v>
      </c>
      <c r="G20" s="2" t="s">
        <v>375</v>
      </c>
      <c r="H20" s="2" t="s">
        <v>323</v>
      </c>
      <c r="I20" s="2" t="s">
        <v>316</v>
      </c>
      <c r="J20" s="2" t="s">
        <v>29</v>
      </c>
      <c r="K20" s="72">
        <v>139.5</v>
      </c>
      <c r="L20" s="39"/>
      <c r="M20" s="72">
        <f t="shared" si="2"/>
        <v>-139.5</v>
      </c>
      <c r="N20" s="72">
        <f t="shared" si="3"/>
        <v>495975.49999999977</v>
      </c>
    </row>
    <row r="21" spans="1:14" x14ac:dyDescent="0.2">
      <c r="A21" s="73" t="s">
        <v>430</v>
      </c>
      <c r="B21" s="3">
        <f t="shared" si="0"/>
        <v>2025</v>
      </c>
      <c r="C21" s="3">
        <f t="shared" si="1"/>
        <v>1</v>
      </c>
      <c r="D21" s="73" t="s">
        <v>300</v>
      </c>
      <c r="E21" s="2"/>
      <c r="F21" s="2" t="s">
        <v>304</v>
      </c>
      <c r="G21" s="2" t="s">
        <v>377</v>
      </c>
      <c r="H21" s="2" t="s">
        <v>376</v>
      </c>
      <c r="I21" s="2" t="s">
        <v>301</v>
      </c>
      <c r="J21" s="2" t="s">
        <v>11</v>
      </c>
      <c r="K21" s="72">
        <v>1031.0899999999999</v>
      </c>
      <c r="L21" s="39"/>
      <c r="M21" s="72">
        <f t="shared" si="2"/>
        <v>-1031.0899999999999</v>
      </c>
      <c r="N21" s="72">
        <f t="shared" si="3"/>
        <v>494944.40999999974</v>
      </c>
    </row>
    <row r="22" spans="1:14" x14ac:dyDescent="0.2">
      <c r="A22" s="73" t="s">
        <v>430</v>
      </c>
      <c r="B22" s="3">
        <f t="shared" si="0"/>
        <v>2025</v>
      </c>
      <c r="C22" s="3">
        <f t="shared" si="1"/>
        <v>1</v>
      </c>
      <c r="D22" s="73" t="s">
        <v>300</v>
      </c>
      <c r="E22" s="2"/>
      <c r="F22" s="2" t="s">
        <v>325</v>
      </c>
      <c r="G22" s="2" t="s">
        <v>374</v>
      </c>
      <c r="H22" s="2" t="s">
        <v>323</v>
      </c>
      <c r="I22" s="2" t="s">
        <v>316</v>
      </c>
      <c r="J22" s="2" t="s">
        <v>29</v>
      </c>
      <c r="K22" s="72">
        <v>4648.5</v>
      </c>
      <c r="L22" s="39"/>
      <c r="M22" s="72">
        <f t="shared" si="2"/>
        <v>-4648.5</v>
      </c>
      <c r="N22" s="72">
        <f t="shared" si="3"/>
        <v>490295.90999999974</v>
      </c>
    </row>
    <row r="23" spans="1:14" x14ac:dyDescent="0.2">
      <c r="A23" s="73" t="s">
        <v>430</v>
      </c>
      <c r="B23" s="3">
        <f t="shared" si="0"/>
        <v>2025</v>
      </c>
      <c r="C23" s="3">
        <f t="shared" si="1"/>
        <v>1</v>
      </c>
      <c r="D23" s="73" t="s">
        <v>300</v>
      </c>
      <c r="E23" s="2"/>
      <c r="F23" s="2" t="s">
        <v>299</v>
      </c>
      <c r="G23" s="2"/>
      <c r="H23" s="2" t="s">
        <v>298</v>
      </c>
      <c r="I23" s="2" t="s">
        <v>297</v>
      </c>
      <c r="J23" s="2" t="s">
        <v>296</v>
      </c>
      <c r="K23" s="72"/>
      <c r="L23" s="39">
        <v>9674.09</v>
      </c>
      <c r="M23" s="72">
        <f t="shared" si="2"/>
        <v>9674.09</v>
      </c>
      <c r="N23" s="72">
        <f t="shared" si="3"/>
        <v>499969.99999999977</v>
      </c>
    </row>
    <row r="24" spans="1:14" x14ac:dyDescent="0.2">
      <c r="A24" s="73" t="s">
        <v>429</v>
      </c>
      <c r="B24" s="3">
        <f t="shared" si="0"/>
        <v>2025</v>
      </c>
      <c r="C24" s="3">
        <f t="shared" si="1"/>
        <v>1</v>
      </c>
      <c r="D24" s="73" t="s">
        <v>300</v>
      </c>
      <c r="E24" s="2"/>
      <c r="F24" s="2" t="s">
        <v>304</v>
      </c>
      <c r="G24" s="2" t="s">
        <v>308</v>
      </c>
      <c r="H24" s="2" t="s">
        <v>349</v>
      </c>
      <c r="I24" s="2" t="s">
        <v>297</v>
      </c>
      <c r="J24" s="2" t="s">
        <v>26</v>
      </c>
      <c r="K24" s="72">
        <v>211.35</v>
      </c>
      <c r="L24" s="39"/>
      <c r="M24" s="72">
        <f t="shared" si="2"/>
        <v>-211.35</v>
      </c>
      <c r="N24" s="72">
        <f t="shared" si="3"/>
        <v>499758.64999999979</v>
      </c>
    </row>
    <row r="25" spans="1:14" x14ac:dyDescent="0.2">
      <c r="A25" s="73" t="s">
        <v>429</v>
      </c>
      <c r="B25" s="3">
        <f t="shared" si="0"/>
        <v>2025</v>
      </c>
      <c r="C25" s="3">
        <f t="shared" si="1"/>
        <v>1</v>
      </c>
      <c r="D25" s="73" t="s">
        <v>300</v>
      </c>
      <c r="E25" s="2"/>
      <c r="F25" s="2" t="s">
        <v>304</v>
      </c>
      <c r="G25" s="2" t="s">
        <v>303</v>
      </c>
      <c r="H25" s="2" t="s">
        <v>302</v>
      </c>
      <c r="I25" s="2" t="s">
        <v>301</v>
      </c>
      <c r="J25" s="2" t="s">
        <v>11</v>
      </c>
      <c r="K25" s="72">
        <v>2235.91</v>
      </c>
      <c r="L25" s="39"/>
      <c r="M25" s="72">
        <f t="shared" si="2"/>
        <v>-2235.91</v>
      </c>
      <c r="N25" s="72">
        <f t="shared" si="3"/>
        <v>497522.73999999982</v>
      </c>
    </row>
    <row r="26" spans="1:14" x14ac:dyDescent="0.2">
      <c r="A26" s="73" t="s">
        <v>429</v>
      </c>
      <c r="B26" s="3">
        <f t="shared" si="0"/>
        <v>2025</v>
      </c>
      <c r="C26" s="3">
        <f t="shared" si="1"/>
        <v>1</v>
      </c>
      <c r="D26" s="73" t="s">
        <v>300</v>
      </c>
      <c r="E26" s="2"/>
      <c r="F26" s="2" t="s">
        <v>299</v>
      </c>
      <c r="G26" s="2"/>
      <c r="H26" s="2" t="s">
        <v>298</v>
      </c>
      <c r="I26" s="2" t="s">
        <v>297</v>
      </c>
      <c r="J26" s="2" t="s">
        <v>296</v>
      </c>
      <c r="K26" s="72"/>
      <c r="L26" s="39">
        <v>2447.2600000000002</v>
      </c>
      <c r="M26" s="72">
        <f t="shared" si="2"/>
        <v>2447.2600000000002</v>
      </c>
      <c r="N26" s="72">
        <f t="shared" si="3"/>
        <v>499969.99999999983</v>
      </c>
    </row>
    <row r="27" spans="1:14" x14ac:dyDescent="0.2">
      <c r="A27" s="73" t="s">
        <v>427</v>
      </c>
      <c r="B27" s="3">
        <f t="shared" si="0"/>
        <v>2025</v>
      </c>
      <c r="C27" s="3">
        <f t="shared" si="1"/>
        <v>1</v>
      </c>
      <c r="D27" s="73" t="s">
        <v>300</v>
      </c>
      <c r="E27" s="2"/>
      <c r="F27" s="2" t="s">
        <v>325</v>
      </c>
      <c r="G27" s="2" t="s">
        <v>370</v>
      </c>
      <c r="H27" s="2" t="s">
        <v>323</v>
      </c>
      <c r="I27" s="2" t="s">
        <v>350</v>
      </c>
      <c r="J27" s="2" t="s">
        <v>27</v>
      </c>
      <c r="K27" s="72">
        <v>760</v>
      </c>
      <c r="L27" s="39"/>
      <c r="M27" s="72">
        <f t="shared" si="2"/>
        <v>-760</v>
      </c>
      <c r="N27" s="72">
        <f t="shared" si="3"/>
        <v>499209.99999999983</v>
      </c>
    </row>
    <row r="28" spans="1:14" x14ac:dyDescent="0.2">
      <c r="A28" s="73" t="s">
        <v>427</v>
      </c>
      <c r="B28" s="3">
        <f t="shared" si="0"/>
        <v>2025</v>
      </c>
      <c r="C28" s="3">
        <f t="shared" si="1"/>
        <v>1</v>
      </c>
      <c r="D28" s="73" t="s">
        <v>300</v>
      </c>
      <c r="E28" s="2"/>
      <c r="F28" s="2" t="s">
        <v>325</v>
      </c>
      <c r="G28" s="2" t="s">
        <v>369</v>
      </c>
      <c r="H28" s="2" t="s">
        <v>323</v>
      </c>
      <c r="I28" s="2" t="s">
        <v>316</v>
      </c>
      <c r="J28" s="2" t="s">
        <v>360</v>
      </c>
      <c r="K28" s="72">
        <v>6029.9</v>
      </c>
      <c r="L28" s="39"/>
      <c r="M28" s="72">
        <f t="shared" si="2"/>
        <v>-6029.9</v>
      </c>
      <c r="N28" s="72">
        <f t="shared" si="3"/>
        <v>493180.0999999998</v>
      </c>
    </row>
    <row r="29" spans="1:14" x14ac:dyDescent="0.2">
      <c r="A29" s="73" t="s">
        <v>427</v>
      </c>
      <c r="B29" s="3">
        <f t="shared" si="0"/>
        <v>2025</v>
      </c>
      <c r="C29" s="3">
        <f t="shared" si="1"/>
        <v>1</v>
      </c>
      <c r="D29" s="73" t="s">
        <v>300</v>
      </c>
      <c r="E29" s="2"/>
      <c r="F29" s="2" t="s">
        <v>325</v>
      </c>
      <c r="G29" s="2" t="s">
        <v>368</v>
      </c>
      <c r="H29" s="2" t="s">
        <v>323</v>
      </c>
      <c r="I29" s="2" t="s">
        <v>350</v>
      </c>
      <c r="J29" s="2" t="s">
        <v>27</v>
      </c>
      <c r="K29" s="72">
        <v>14840</v>
      </c>
      <c r="L29" s="39"/>
      <c r="M29" s="72">
        <f t="shared" si="2"/>
        <v>-14840</v>
      </c>
      <c r="N29" s="72">
        <f t="shared" si="3"/>
        <v>478340.0999999998</v>
      </c>
    </row>
    <row r="30" spans="1:14" x14ac:dyDescent="0.2">
      <c r="A30" s="73" t="s">
        <v>427</v>
      </c>
      <c r="B30" s="3">
        <f t="shared" si="0"/>
        <v>2025</v>
      </c>
      <c r="C30" s="3">
        <f t="shared" si="1"/>
        <v>1</v>
      </c>
      <c r="D30" s="73" t="s">
        <v>300</v>
      </c>
      <c r="E30" s="2"/>
      <c r="F30" s="2" t="s">
        <v>325</v>
      </c>
      <c r="G30" s="2" t="s">
        <v>367</v>
      </c>
      <c r="H30" s="2" t="s">
        <v>323</v>
      </c>
      <c r="I30" s="2" t="s">
        <v>350</v>
      </c>
      <c r="J30" s="2" t="s">
        <v>353</v>
      </c>
      <c r="K30" s="72">
        <v>14197.6</v>
      </c>
      <c r="L30" s="39"/>
      <c r="M30" s="72">
        <f t="shared" si="2"/>
        <v>-14197.6</v>
      </c>
      <c r="N30" s="72">
        <f t="shared" si="3"/>
        <v>464142.49999999983</v>
      </c>
    </row>
    <row r="31" spans="1:14" x14ac:dyDescent="0.2">
      <c r="A31" s="73" t="s">
        <v>427</v>
      </c>
      <c r="B31" s="3">
        <f t="shared" si="0"/>
        <v>2025</v>
      </c>
      <c r="C31" s="3">
        <f t="shared" si="1"/>
        <v>1</v>
      </c>
      <c r="D31" s="73" t="s">
        <v>300</v>
      </c>
      <c r="E31" s="2"/>
      <c r="F31" s="2" t="s">
        <v>325</v>
      </c>
      <c r="G31" s="2" t="s">
        <v>366</v>
      </c>
      <c r="H31" s="2" t="s">
        <v>323</v>
      </c>
      <c r="I31" s="2" t="s">
        <v>350</v>
      </c>
      <c r="J31" s="2" t="s">
        <v>27</v>
      </c>
      <c r="K31" s="72">
        <v>1597.5</v>
      </c>
      <c r="L31" s="39"/>
      <c r="M31" s="72">
        <f t="shared" si="2"/>
        <v>-1597.5</v>
      </c>
      <c r="N31" s="72">
        <f t="shared" si="3"/>
        <v>462544.99999999983</v>
      </c>
    </row>
    <row r="32" spans="1:14" x14ac:dyDescent="0.2">
      <c r="A32" s="73" t="s">
        <v>427</v>
      </c>
      <c r="B32" s="3">
        <f t="shared" si="0"/>
        <v>2025</v>
      </c>
      <c r="C32" s="3">
        <f t="shared" si="1"/>
        <v>1</v>
      </c>
      <c r="D32" s="73" t="s">
        <v>300</v>
      </c>
      <c r="E32" s="2"/>
      <c r="F32" s="2" t="s">
        <v>325</v>
      </c>
      <c r="G32" s="2" t="s">
        <v>365</v>
      </c>
      <c r="H32" s="2" t="s">
        <v>323</v>
      </c>
      <c r="I32" s="2" t="s">
        <v>350</v>
      </c>
      <c r="J32" s="2" t="s">
        <v>353</v>
      </c>
      <c r="K32" s="72">
        <v>20000</v>
      </c>
      <c r="L32" s="39"/>
      <c r="M32" s="72">
        <f t="shared" si="2"/>
        <v>-20000</v>
      </c>
      <c r="N32" s="72">
        <f t="shared" si="3"/>
        <v>442544.99999999983</v>
      </c>
    </row>
    <row r="33" spans="1:14" x14ac:dyDescent="0.2">
      <c r="A33" s="73" t="s">
        <v>427</v>
      </c>
      <c r="B33" s="3">
        <f t="shared" si="0"/>
        <v>2025</v>
      </c>
      <c r="C33" s="3">
        <f t="shared" si="1"/>
        <v>1</v>
      </c>
      <c r="D33" s="73" t="s">
        <v>300</v>
      </c>
      <c r="E33" s="2"/>
      <c r="F33" s="2" t="s">
        <v>325</v>
      </c>
      <c r="G33" s="2" t="s">
        <v>364</v>
      </c>
      <c r="H33" s="2" t="s">
        <v>323</v>
      </c>
      <c r="I33" s="2" t="s">
        <v>350</v>
      </c>
      <c r="J33" s="2" t="s">
        <v>27</v>
      </c>
      <c r="K33" s="72">
        <v>2500</v>
      </c>
      <c r="L33" s="39"/>
      <c r="M33" s="72">
        <f t="shared" si="2"/>
        <v>-2500</v>
      </c>
      <c r="N33" s="72">
        <f t="shared" si="3"/>
        <v>440044.99999999983</v>
      </c>
    </row>
    <row r="34" spans="1:14" x14ac:dyDescent="0.2">
      <c r="A34" s="73" t="s">
        <v>427</v>
      </c>
      <c r="B34" s="3">
        <f t="shared" si="0"/>
        <v>2025</v>
      </c>
      <c r="C34" s="3">
        <f t="shared" si="1"/>
        <v>1</v>
      </c>
      <c r="D34" s="73" t="s">
        <v>300</v>
      </c>
      <c r="E34" s="2"/>
      <c r="F34" s="2" t="s">
        <v>325</v>
      </c>
      <c r="G34" s="2" t="s">
        <v>363</v>
      </c>
      <c r="H34" s="2" t="s">
        <v>323</v>
      </c>
      <c r="I34" s="2" t="s">
        <v>316</v>
      </c>
      <c r="J34" s="2" t="s">
        <v>17</v>
      </c>
      <c r="K34" s="72">
        <v>5</v>
      </c>
      <c r="L34" s="39"/>
      <c r="M34" s="72">
        <f t="shared" si="2"/>
        <v>-5</v>
      </c>
      <c r="N34" s="72">
        <f t="shared" si="3"/>
        <v>440039.99999999983</v>
      </c>
    </row>
    <row r="35" spans="1:14" x14ac:dyDescent="0.2">
      <c r="A35" s="73" t="s">
        <v>427</v>
      </c>
      <c r="B35" s="3">
        <f t="shared" si="0"/>
        <v>2025</v>
      </c>
      <c r="C35" s="3">
        <f t="shared" si="1"/>
        <v>1</v>
      </c>
      <c r="D35" s="73" t="s">
        <v>300</v>
      </c>
      <c r="E35" s="2"/>
      <c r="F35" s="2" t="s">
        <v>325</v>
      </c>
      <c r="G35" s="2" t="s">
        <v>363</v>
      </c>
      <c r="H35" s="2" t="s">
        <v>323</v>
      </c>
      <c r="I35" s="2" t="s">
        <v>316</v>
      </c>
      <c r="J35" s="2" t="s">
        <v>17</v>
      </c>
      <c r="K35" s="72">
        <v>49</v>
      </c>
      <c r="L35" s="39"/>
      <c r="M35" s="72">
        <f t="shared" si="2"/>
        <v>-49</v>
      </c>
      <c r="N35" s="72">
        <f t="shared" si="3"/>
        <v>439990.99999999983</v>
      </c>
    </row>
    <row r="36" spans="1:14" x14ac:dyDescent="0.2">
      <c r="A36" s="73" t="s">
        <v>427</v>
      </c>
      <c r="B36" s="3">
        <f t="shared" si="0"/>
        <v>2025</v>
      </c>
      <c r="C36" s="3">
        <f t="shared" si="1"/>
        <v>1</v>
      </c>
      <c r="D36" s="73" t="s">
        <v>300</v>
      </c>
      <c r="E36" s="2"/>
      <c r="F36" s="2" t="s">
        <v>325</v>
      </c>
      <c r="G36" s="2" t="s">
        <v>363</v>
      </c>
      <c r="H36" s="2" t="s">
        <v>323</v>
      </c>
      <c r="I36" s="2" t="s">
        <v>316</v>
      </c>
      <c r="J36" s="2" t="s">
        <v>17</v>
      </c>
      <c r="K36" s="72">
        <v>49</v>
      </c>
      <c r="L36" s="39"/>
      <c r="M36" s="72">
        <f t="shared" si="2"/>
        <v>-49</v>
      </c>
      <c r="N36" s="72">
        <f t="shared" si="3"/>
        <v>439941.99999999983</v>
      </c>
    </row>
    <row r="37" spans="1:14" x14ac:dyDescent="0.2">
      <c r="A37" s="73" t="s">
        <v>427</v>
      </c>
      <c r="B37" s="3">
        <f t="shared" si="0"/>
        <v>2025</v>
      </c>
      <c r="C37" s="3">
        <f t="shared" si="1"/>
        <v>1</v>
      </c>
      <c r="D37" s="73" t="s">
        <v>300</v>
      </c>
      <c r="E37" s="2"/>
      <c r="F37" s="2" t="s">
        <v>325</v>
      </c>
      <c r="G37" s="2" t="s">
        <v>363</v>
      </c>
      <c r="H37" s="2" t="s">
        <v>323</v>
      </c>
      <c r="I37" s="2" t="s">
        <v>316</v>
      </c>
      <c r="J37" s="2" t="s">
        <v>17</v>
      </c>
      <c r="K37" s="72">
        <v>49</v>
      </c>
      <c r="L37" s="39"/>
      <c r="M37" s="72">
        <f t="shared" si="2"/>
        <v>-49</v>
      </c>
      <c r="N37" s="72">
        <f t="shared" si="3"/>
        <v>439892.99999999983</v>
      </c>
    </row>
    <row r="38" spans="1:14" x14ac:dyDescent="0.2">
      <c r="A38" s="73" t="s">
        <v>427</v>
      </c>
      <c r="B38" s="3">
        <f t="shared" si="0"/>
        <v>2025</v>
      </c>
      <c r="C38" s="3">
        <f t="shared" si="1"/>
        <v>1</v>
      </c>
      <c r="D38" s="73" t="s">
        <v>300</v>
      </c>
      <c r="E38" s="2"/>
      <c r="F38" s="2" t="s">
        <v>325</v>
      </c>
      <c r="G38" s="2" t="s">
        <v>363</v>
      </c>
      <c r="H38" s="2" t="s">
        <v>323</v>
      </c>
      <c r="I38" s="2" t="s">
        <v>316</v>
      </c>
      <c r="J38" s="2" t="s">
        <v>17</v>
      </c>
      <c r="K38" s="72">
        <v>49</v>
      </c>
      <c r="L38" s="39"/>
      <c r="M38" s="72">
        <f t="shared" si="2"/>
        <v>-49</v>
      </c>
      <c r="N38" s="72">
        <f t="shared" si="3"/>
        <v>439843.99999999983</v>
      </c>
    </row>
    <row r="39" spans="1:14" x14ac:dyDescent="0.2">
      <c r="A39" s="73" t="s">
        <v>427</v>
      </c>
      <c r="B39" s="3">
        <f t="shared" si="0"/>
        <v>2025</v>
      </c>
      <c r="C39" s="3">
        <f t="shared" si="1"/>
        <v>1</v>
      </c>
      <c r="D39" s="73" t="s">
        <v>300</v>
      </c>
      <c r="E39" s="2"/>
      <c r="F39" s="2" t="s">
        <v>325</v>
      </c>
      <c r="G39" s="2" t="s">
        <v>363</v>
      </c>
      <c r="H39" s="2" t="s">
        <v>323</v>
      </c>
      <c r="I39" s="2" t="s">
        <v>316</v>
      </c>
      <c r="J39" s="2" t="s">
        <v>17</v>
      </c>
      <c r="K39" s="72">
        <v>49</v>
      </c>
      <c r="L39" s="39"/>
      <c r="M39" s="72">
        <f t="shared" si="2"/>
        <v>-49</v>
      </c>
      <c r="N39" s="72">
        <f t="shared" si="3"/>
        <v>439794.99999999983</v>
      </c>
    </row>
    <row r="40" spans="1:14" x14ac:dyDescent="0.2">
      <c r="A40" s="73" t="s">
        <v>427</v>
      </c>
      <c r="B40" s="3">
        <f t="shared" si="0"/>
        <v>2025</v>
      </c>
      <c r="C40" s="3">
        <f t="shared" si="1"/>
        <v>1</v>
      </c>
      <c r="D40" s="73" t="s">
        <v>300</v>
      </c>
      <c r="E40" s="2"/>
      <c r="F40" s="2" t="s">
        <v>325</v>
      </c>
      <c r="G40" s="2" t="s">
        <v>363</v>
      </c>
      <c r="H40" s="2" t="s">
        <v>323</v>
      </c>
      <c r="I40" s="2" t="s">
        <v>316</v>
      </c>
      <c r="J40" s="2" t="s">
        <v>17</v>
      </c>
      <c r="K40" s="72">
        <v>49</v>
      </c>
      <c r="L40" s="39"/>
      <c r="M40" s="72">
        <f t="shared" si="2"/>
        <v>-49</v>
      </c>
      <c r="N40" s="72">
        <f t="shared" si="3"/>
        <v>439745.99999999983</v>
      </c>
    </row>
    <row r="41" spans="1:14" x14ac:dyDescent="0.2">
      <c r="A41" s="73" t="s">
        <v>427</v>
      </c>
      <c r="B41" s="3">
        <f t="shared" si="0"/>
        <v>2025</v>
      </c>
      <c r="C41" s="3">
        <f t="shared" si="1"/>
        <v>1</v>
      </c>
      <c r="D41" s="73" t="s">
        <v>300</v>
      </c>
      <c r="E41" s="2"/>
      <c r="F41" s="2" t="s">
        <v>325</v>
      </c>
      <c r="G41" s="2" t="s">
        <v>363</v>
      </c>
      <c r="H41" s="2" t="s">
        <v>323</v>
      </c>
      <c r="I41" s="2" t="s">
        <v>316</v>
      </c>
      <c r="J41" s="2" t="s">
        <v>17</v>
      </c>
      <c r="K41" s="72">
        <v>49</v>
      </c>
      <c r="L41" s="39"/>
      <c r="M41" s="72">
        <f t="shared" si="2"/>
        <v>-49</v>
      </c>
      <c r="N41" s="72">
        <f t="shared" si="3"/>
        <v>439696.99999999983</v>
      </c>
    </row>
    <row r="42" spans="1:14" x14ac:dyDescent="0.2">
      <c r="A42" s="73" t="s">
        <v>427</v>
      </c>
      <c r="B42" s="3">
        <f t="shared" si="0"/>
        <v>2025</v>
      </c>
      <c r="C42" s="3">
        <f t="shared" si="1"/>
        <v>1</v>
      </c>
      <c r="D42" s="73" t="s">
        <v>300</v>
      </c>
      <c r="E42" s="2"/>
      <c r="F42" s="2" t="s">
        <v>325</v>
      </c>
      <c r="G42" s="2" t="s">
        <v>363</v>
      </c>
      <c r="H42" s="2" t="s">
        <v>323</v>
      </c>
      <c r="I42" s="2" t="s">
        <v>316</v>
      </c>
      <c r="J42" s="2" t="s">
        <v>17</v>
      </c>
      <c r="K42" s="72">
        <v>49</v>
      </c>
      <c r="L42" s="39"/>
      <c r="M42" s="72">
        <f t="shared" si="2"/>
        <v>-49</v>
      </c>
      <c r="N42" s="72">
        <f t="shared" si="3"/>
        <v>439647.99999999983</v>
      </c>
    </row>
    <row r="43" spans="1:14" x14ac:dyDescent="0.2">
      <c r="A43" s="73" t="s">
        <v>427</v>
      </c>
      <c r="B43" s="3">
        <f t="shared" si="0"/>
        <v>2025</v>
      </c>
      <c r="C43" s="3">
        <f t="shared" si="1"/>
        <v>1</v>
      </c>
      <c r="D43" s="73" t="s">
        <v>300</v>
      </c>
      <c r="E43" s="2"/>
      <c r="F43" s="2" t="s">
        <v>325</v>
      </c>
      <c r="G43" s="2" t="s">
        <v>363</v>
      </c>
      <c r="H43" s="2" t="s">
        <v>323</v>
      </c>
      <c r="I43" s="2" t="s">
        <v>316</v>
      </c>
      <c r="J43" s="2" t="s">
        <v>17</v>
      </c>
      <c r="K43" s="72">
        <v>49</v>
      </c>
      <c r="L43" s="39"/>
      <c r="M43" s="72">
        <f t="shared" si="2"/>
        <v>-49</v>
      </c>
      <c r="N43" s="72">
        <f t="shared" si="3"/>
        <v>439598.99999999983</v>
      </c>
    </row>
    <row r="44" spans="1:14" x14ac:dyDescent="0.2">
      <c r="A44" s="73" t="s">
        <v>427</v>
      </c>
      <c r="B44" s="3">
        <f t="shared" si="0"/>
        <v>2025</v>
      </c>
      <c r="C44" s="3">
        <f t="shared" si="1"/>
        <v>1</v>
      </c>
      <c r="D44" s="73" t="s">
        <v>300</v>
      </c>
      <c r="E44" s="2"/>
      <c r="F44" s="2" t="s">
        <v>325</v>
      </c>
      <c r="G44" s="2" t="s">
        <v>363</v>
      </c>
      <c r="H44" s="2" t="s">
        <v>323</v>
      </c>
      <c r="I44" s="2" t="s">
        <v>316</v>
      </c>
      <c r="J44" s="2" t="s">
        <v>17</v>
      </c>
      <c r="K44" s="72">
        <v>49</v>
      </c>
      <c r="L44" s="39"/>
      <c r="M44" s="72">
        <f t="shared" si="2"/>
        <v>-49</v>
      </c>
      <c r="N44" s="72">
        <f t="shared" si="3"/>
        <v>439549.99999999983</v>
      </c>
    </row>
    <row r="45" spans="1:14" x14ac:dyDescent="0.2">
      <c r="A45" s="73" t="s">
        <v>427</v>
      </c>
      <c r="B45" s="3">
        <f t="shared" si="0"/>
        <v>2025</v>
      </c>
      <c r="C45" s="3">
        <f t="shared" si="1"/>
        <v>1</v>
      </c>
      <c r="D45" s="73" t="s">
        <v>300</v>
      </c>
      <c r="E45" s="2"/>
      <c r="F45" s="2" t="s">
        <v>325</v>
      </c>
      <c r="G45" s="2" t="s">
        <v>363</v>
      </c>
      <c r="H45" s="2" t="s">
        <v>323</v>
      </c>
      <c r="I45" s="2" t="s">
        <v>316</v>
      </c>
      <c r="J45" s="2" t="s">
        <v>17</v>
      </c>
      <c r="K45" s="72">
        <v>49</v>
      </c>
      <c r="L45" s="39"/>
      <c r="M45" s="72">
        <f t="shared" si="2"/>
        <v>-49</v>
      </c>
      <c r="N45" s="72">
        <f t="shared" si="3"/>
        <v>439500.99999999983</v>
      </c>
    </row>
    <row r="46" spans="1:14" x14ac:dyDescent="0.2">
      <c r="A46" s="73" t="s">
        <v>427</v>
      </c>
      <c r="B46" s="3">
        <f t="shared" si="0"/>
        <v>2025</v>
      </c>
      <c r="C46" s="3">
        <f t="shared" si="1"/>
        <v>1</v>
      </c>
      <c r="D46" s="73" t="s">
        <v>300</v>
      </c>
      <c r="E46" s="2"/>
      <c r="F46" s="2" t="s">
        <v>325</v>
      </c>
      <c r="G46" s="2" t="s">
        <v>363</v>
      </c>
      <c r="H46" s="2" t="s">
        <v>323</v>
      </c>
      <c r="I46" s="2" t="s">
        <v>316</v>
      </c>
      <c r="J46" s="2" t="s">
        <v>17</v>
      </c>
      <c r="K46" s="72">
        <v>49</v>
      </c>
      <c r="L46" s="39"/>
      <c r="M46" s="72">
        <f t="shared" si="2"/>
        <v>-49</v>
      </c>
      <c r="N46" s="72">
        <f t="shared" si="3"/>
        <v>439451.99999999983</v>
      </c>
    </row>
    <row r="47" spans="1:14" x14ac:dyDescent="0.2">
      <c r="A47" s="73" t="s">
        <v>427</v>
      </c>
      <c r="B47" s="3">
        <f t="shared" si="0"/>
        <v>2025</v>
      </c>
      <c r="C47" s="3">
        <f t="shared" si="1"/>
        <v>1</v>
      </c>
      <c r="D47" s="73" t="s">
        <v>300</v>
      </c>
      <c r="E47" s="2"/>
      <c r="F47" s="2" t="s">
        <v>325</v>
      </c>
      <c r="G47" s="2" t="s">
        <v>363</v>
      </c>
      <c r="H47" s="2" t="s">
        <v>323</v>
      </c>
      <c r="I47" s="2" t="s">
        <v>316</v>
      </c>
      <c r="J47" s="2" t="s">
        <v>17</v>
      </c>
      <c r="K47" s="72">
        <v>49</v>
      </c>
      <c r="L47" s="39"/>
      <c r="M47" s="72">
        <f t="shared" si="2"/>
        <v>-49</v>
      </c>
      <c r="N47" s="72">
        <f t="shared" si="3"/>
        <v>439402.99999999983</v>
      </c>
    </row>
    <row r="48" spans="1:14" x14ac:dyDescent="0.2">
      <c r="A48" s="73" t="s">
        <v>427</v>
      </c>
      <c r="B48" s="3">
        <f t="shared" si="0"/>
        <v>2025</v>
      </c>
      <c r="C48" s="3">
        <f t="shared" si="1"/>
        <v>1</v>
      </c>
      <c r="D48" s="73" t="s">
        <v>300</v>
      </c>
      <c r="E48" s="2"/>
      <c r="F48" s="2" t="s">
        <v>325</v>
      </c>
      <c r="G48" s="2" t="s">
        <v>363</v>
      </c>
      <c r="H48" s="2" t="s">
        <v>323</v>
      </c>
      <c r="I48" s="2" t="s">
        <v>316</v>
      </c>
      <c r="J48" s="2" t="s">
        <v>17</v>
      </c>
      <c r="K48" s="72">
        <v>49</v>
      </c>
      <c r="L48" s="39"/>
      <c r="M48" s="72">
        <f t="shared" si="2"/>
        <v>-49</v>
      </c>
      <c r="N48" s="72">
        <f t="shared" si="3"/>
        <v>439353.99999999983</v>
      </c>
    </row>
    <row r="49" spans="1:14" x14ac:dyDescent="0.2">
      <c r="A49" s="73" t="s">
        <v>427</v>
      </c>
      <c r="B49" s="3">
        <f t="shared" si="0"/>
        <v>2025</v>
      </c>
      <c r="C49" s="3">
        <f t="shared" si="1"/>
        <v>1</v>
      </c>
      <c r="D49" s="73" t="s">
        <v>300</v>
      </c>
      <c r="E49" s="2"/>
      <c r="F49" s="2" t="s">
        <v>325</v>
      </c>
      <c r="G49" s="2" t="s">
        <v>363</v>
      </c>
      <c r="H49" s="2" t="s">
        <v>323</v>
      </c>
      <c r="I49" s="2" t="s">
        <v>316</v>
      </c>
      <c r="J49" s="2" t="s">
        <v>17</v>
      </c>
      <c r="K49" s="72">
        <v>49</v>
      </c>
      <c r="L49" s="39"/>
      <c r="M49" s="72">
        <f t="shared" si="2"/>
        <v>-49</v>
      </c>
      <c r="N49" s="72">
        <f t="shared" si="3"/>
        <v>439304.99999999983</v>
      </c>
    </row>
    <row r="50" spans="1:14" x14ac:dyDescent="0.2">
      <c r="A50" s="73" t="s">
        <v>427</v>
      </c>
      <c r="B50" s="3">
        <f t="shared" si="0"/>
        <v>2025</v>
      </c>
      <c r="C50" s="3">
        <f t="shared" si="1"/>
        <v>1</v>
      </c>
      <c r="D50" s="73" t="s">
        <v>300</v>
      </c>
      <c r="E50" s="2"/>
      <c r="F50" s="2" t="s">
        <v>325</v>
      </c>
      <c r="G50" s="2" t="s">
        <v>363</v>
      </c>
      <c r="H50" s="2" t="s">
        <v>323</v>
      </c>
      <c r="I50" s="2" t="s">
        <v>316</v>
      </c>
      <c r="J50" s="2" t="s">
        <v>17</v>
      </c>
      <c r="K50" s="72">
        <v>49</v>
      </c>
      <c r="L50" s="39"/>
      <c r="M50" s="72">
        <f t="shared" si="2"/>
        <v>-49</v>
      </c>
      <c r="N50" s="72">
        <f t="shared" si="3"/>
        <v>439255.99999999983</v>
      </c>
    </row>
    <row r="51" spans="1:14" x14ac:dyDescent="0.2">
      <c r="A51" s="73" t="s">
        <v>427</v>
      </c>
      <c r="B51" s="3">
        <f t="shared" si="0"/>
        <v>2025</v>
      </c>
      <c r="C51" s="3">
        <f t="shared" si="1"/>
        <v>1</v>
      </c>
      <c r="D51" s="73" t="s">
        <v>300</v>
      </c>
      <c r="E51" s="2"/>
      <c r="F51" s="2" t="s">
        <v>325</v>
      </c>
      <c r="G51" s="2" t="s">
        <v>363</v>
      </c>
      <c r="H51" s="2" t="s">
        <v>323</v>
      </c>
      <c r="I51" s="2" t="s">
        <v>316</v>
      </c>
      <c r="J51" s="2" t="s">
        <v>17</v>
      </c>
      <c r="K51" s="72">
        <v>49</v>
      </c>
      <c r="L51" s="39"/>
      <c r="M51" s="72">
        <f t="shared" si="2"/>
        <v>-49</v>
      </c>
      <c r="N51" s="72">
        <f t="shared" si="3"/>
        <v>439206.99999999983</v>
      </c>
    </row>
    <row r="52" spans="1:14" x14ac:dyDescent="0.2">
      <c r="A52" s="73" t="s">
        <v>427</v>
      </c>
      <c r="B52" s="3">
        <f t="shared" si="0"/>
        <v>2025</v>
      </c>
      <c r="C52" s="3">
        <f t="shared" si="1"/>
        <v>1</v>
      </c>
      <c r="D52" s="73" t="s">
        <v>300</v>
      </c>
      <c r="E52" s="2"/>
      <c r="F52" s="2" t="s">
        <v>325</v>
      </c>
      <c r="G52" s="2" t="s">
        <v>363</v>
      </c>
      <c r="H52" s="2" t="s">
        <v>323</v>
      </c>
      <c r="I52" s="2" t="s">
        <v>316</v>
      </c>
      <c r="J52" s="2" t="s">
        <v>17</v>
      </c>
      <c r="K52" s="72">
        <v>49</v>
      </c>
      <c r="L52" s="39"/>
      <c r="M52" s="72">
        <f t="shared" si="2"/>
        <v>-49</v>
      </c>
      <c r="N52" s="72">
        <f t="shared" si="3"/>
        <v>439157.99999999983</v>
      </c>
    </row>
    <row r="53" spans="1:14" x14ac:dyDescent="0.2">
      <c r="A53" s="73" t="s">
        <v>427</v>
      </c>
      <c r="B53" s="3">
        <f t="shared" si="0"/>
        <v>2025</v>
      </c>
      <c r="C53" s="3">
        <f t="shared" si="1"/>
        <v>1</v>
      </c>
      <c r="D53" s="73" t="s">
        <v>300</v>
      </c>
      <c r="E53" s="2"/>
      <c r="F53" s="2" t="s">
        <v>325</v>
      </c>
      <c r="G53" s="2" t="s">
        <v>363</v>
      </c>
      <c r="H53" s="2" t="s">
        <v>323</v>
      </c>
      <c r="I53" s="2" t="s">
        <v>316</v>
      </c>
      <c r="J53" s="2" t="s">
        <v>17</v>
      </c>
      <c r="K53" s="72">
        <v>49</v>
      </c>
      <c r="L53" s="39"/>
      <c r="M53" s="72">
        <f t="shared" si="2"/>
        <v>-49</v>
      </c>
      <c r="N53" s="72">
        <f t="shared" si="3"/>
        <v>439108.99999999983</v>
      </c>
    </row>
    <row r="54" spans="1:14" x14ac:dyDescent="0.2">
      <c r="A54" s="73" t="s">
        <v>427</v>
      </c>
      <c r="B54" s="3">
        <f t="shared" si="0"/>
        <v>2025</v>
      </c>
      <c r="C54" s="3">
        <f t="shared" si="1"/>
        <v>1</v>
      </c>
      <c r="D54" s="73" t="s">
        <v>300</v>
      </c>
      <c r="E54" s="2"/>
      <c r="F54" s="2" t="s">
        <v>325</v>
      </c>
      <c r="G54" s="2" t="s">
        <v>362</v>
      </c>
      <c r="H54" s="2" t="s">
        <v>323</v>
      </c>
      <c r="I54" s="2" t="s">
        <v>350</v>
      </c>
      <c r="J54" s="2" t="s">
        <v>353</v>
      </c>
      <c r="K54" s="72">
        <v>445.22</v>
      </c>
      <c r="L54" s="39"/>
      <c r="M54" s="72">
        <f t="shared" si="2"/>
        <v>-445.22</v>
      </c>
      <c r="N54" s="72">
        <f t="shared" si="3"/>
        <v>438663.77999999985</v>
      </c>
    </row>
    <row r="55" spans="1:14" x14ac:dyDescent="0.2">
      <c r="A55" s="73" t="s">
        <v>427</v>
      </c>
      <c r="B55" s="3">
        <f t="shared" si="0"/>
        <v>2025</v>
      </c>
      <c r="C55" s="3">
        <f t="shared" si="1"/>
        <v>1</v>
      </c>
      <c r="D55" s="73" t="s">
        <v>300</v>
      </c>
      <c r="E55" s="2"/>
      <c r="F55" s="2" t="s">
        <v>325</v>
      </c>
      <c r="G55" s="2" t="s">
        <v>362</v>
      </c>
      <c r="H55" s="2" t="s">
        <v>323</v>
      </c>
      <c r="I55" s="2" t="s">
        <v>350</v>
      </c>
      <c r="J55" s="2" t="s">
        <v>353</v>
      </c>
      <c r="K55" s="72">
        <v>18756.93</v>
      </c>
      <c r="L55" s="39"/>
      <c r="M55" s="72">
        <f t="shared" si="2"/>
        <v>-18756.93</v>
      </c>
      <c r="N55" s="72">
        <f t="shared" si="3"/>
        <v>419906.84999999986</v>
      </c>
    </row>
    <row r="56" spans="1:14" x14ac:dyDescent="0.2">
      <c r="A56" s="73" t="s">
        <v>427</v>
      </c>
      <c r="B56" s="3">
        <f t="shared" si="0"/>
        <v>2025</v>
      </c>
      <c r="C56" s="3">
        <f t="shared" si="1"/>
        <v>1</v>
      </c>
      <c r="D56" s="73" t="s">
        <v>300</v>
      </c>
      <c r="E56" s="2"/>
      <c r="F56" s="2" t="s">
        <v>325</v>
      </c>
      <c r="G56" s="2" t="s">
        <v>361</v>
      </c>
      <c r="H56" s="2" t="s">
        <v>323</v>
      </c>
      <c r="I56" s="2" t="s">
        <v>316</v>
      </c>
      <c r="J56" s="2" t="s">
        <v>360</v>
      </c>
      <c r="K56" s="72">
        <v>11600</v>
      </c>
      <c r="L56" s="39"/>
      <c r="M56" s="72">
        <f t="shared" si="2"/>
        <v>-11600</v>
      </c>
      <c r="N56" s="72">
        <f t="shared" si="3"/>
        <v>408306.84999999986</v>
      </c>
    </row>
    <row r="57" spans="1:14" x14ac:dyDescent="0.2">
      <c r="A57" s="73" t="s">
        <v>427</v>
      </c>
      <c r="B57" s="3">
        <f t="shared" si="0"/>
        <v>2025</v>
      </c>
      <c r="C57" s="3">
        <f t="shared" si="1"/>
        <v>1</v>
      </c>
      <c r="D57" s="73" t="s">
        <v>300</v>
      </c>
      <c r="E57" s="2"/>
      <c r="F57" s="2" t="s">
        <v>325</v>
      </c>
      <c r="G57" s="2" t="s">
        <v>359</v>
      </c>
      <c r="H57" s="2" t="s">
        <v>323</v>
      </c>
      <c r="I57" s="2" t="s">
        <v>350</v>
      </c>
      <c r="J57" s="2" t="s">
        <v>27</v>
      </c>
      <c r="K57" s="72">
        <v>8287.5</v>
      </c>
      <c r="L57" s="39"/>
      <c r="M57" s="72">
        <f t="shared" si="2"/>
        <v>-8287.5</v>
      </c>
      <c r="N57" s="72">
        <f t="shared" si="3"/>
        <v>400019.34999999986</v>
      </c>
    </row>
    <row r="58" spans="1:14" x14ac:dyDescent="0.2">
      <c r="A58" s="73" t="s">
        <v>427</v>
      </c>
      <c r="B58" s="3">
        <f t="shared" si="0"/>
        <v>2025</v>
      </c>
      <c r="C58" s="3">
        <f t="shared" si="1"/>
        <v>1</v>
      </c>
      <c r="D58" s="73" t="s">
        <v>300</v>
      </c>
      <c r="E58" s="2"/>
      <c r="F58" s="2" t="s">
        <v>325</v>
      </c>
      <c r="G58" s="2" t="s">
        <v>358</v>
      </c>
      <c r="H58" s="2" t="s">
        <v>323</v>
      </c>
      <c r="I58" s="2" t="s">
        <v>350</v>
      </c>
      <c r="J58" s="2" t="s">
        <v>353</v>
      </c>
      <c r="K58" s="72">
        <v>729.6</v>
      </c>
      <c r="L58" s="39"/>
      <c r="M58" s="72">
        <f t="shared" si="2"/>
        <v>-729.6</v>
      </c>
      <c r="N58" s="72">
        <f t="shared" si="3"/>
        <v>399289.74999999988</v>
      </c>
    </row>
    <row r="59" spans="1:14" x14ac:dyDescent="0.2">
      <c r="A59" s="73" t="s">
        <v>427</v>
      </c>
      <c r="B59" s="3">
        <f t="shared" si="0"/>
        <v>2025</v>
      </c>
      <c r="C59" s="3">
        <f t="shared" si="1"/>
        <v>1</v>
      </c>
      <c r="D59" s="73" t="s">
        <v>300</v>
      </c>
      <c r="E59" s="2"/>
      <c r="F59" s="2" t="s">
        <v>325</v>
      </c>
      <c r="G59" s="2" t="s">
        <v>357</v>
      </c>
      <c r="H59" s="2" t="s">
        <v>323</v>
      </c>
      <c r="I59" s="2" t="s">
        <v>350</v>
      </c>
      <c r="J59" s="2" t="s">
        <v>353</v>
      </c>
      <c r="K59" s="72">
        <v>10314.290000000001</v>
      </c>
      <c r="L59" s="39"/>
      <c r="M59" s="72">
        <f t="shared" si="2"/>
        <v>-10314.290000000001</v>
      </c>
      <c r="N59" s="72">
        <f t="shared" si="3"/>
        <v>388975.4599999999</v>
      </c>
    </row>
    <row r="60" spans="1:14" x14ac:dyDescent="0.2">
      <c r="A60" s="73" t="s">
        <v>427</v>
      </c>
      <c r="B60" s="3">
        <f t="shared" si="0"/>
        <v>2025</v>
      </c>
      <c r="C60" s="3">
        <f t="shared" si="1"/>
        <v>1</v>
      </c>
      <c r="D60" s="73" t="s">
        <v>300</v>
      </c>
      <c r="E60" s="2"/>
      <c r="F60" s="2" t="s">
        <v>325</v>
      </c>
      <c r="G60" s="2" t="s">
        <v>356</v>
      </c>
      <c r="H60" s="2" t="s">
        <v>323</v>
      </c>
      <c r="I60" s="2" t="s">
        <v>350</v>
      </c>
      <c r="J60" s="2" t="s">
        <v>27</v>
      </c>
      <c r="K60" s="72">
        <v>12600</v>
      </c>
      <c r="L60" s="39"/>
      <c r="M60" s="72">
        <f t="shared" si="2"/>
        <v>-12600</v>
      </c>
      <c r="N60" s="72">
        <f t="shared" si="3"/>
        <v>376375.4599999999</v>
      </c>
    </row>
    <row r="61" spans="1:14" x14ac:dyDescent="0.2">
      <c r="A61" s="73" t="s">
        <v>427</v>
      </c>
      <c r="B61" s="3">
        <f t="shared" si="0"/>
        <v>2025</v>
      </c>
      <c r="C61" s="3">
        <f t="shared" si="1"/>
        <v>1</v>
      </c>
      <c r="D61" s="73" t="s">
        <v>300</v>
      </c>
      <c r="E61" s="2"/>
      <c r="F61" s="2" t="s">
        <v>325</v>
      </c>
      <c r="G61" s="2" t="s">
        <v>15</v>
      </c>
      <c r="H61" s="2" t="s">
        <v>323</v>
      </c>
      <c r="I61" s="2" t="s">
        <v>350</v>
      </c>
      <c r="J61" s="2" t="s">
        <v>27</v>
      </c>
      <c r="K61" s="72">
        <v>1312.5</v>
      </c>
      <c r="L61" s="39"/>
      <c r="M61" s="72">
        <f t="shared" si="2"/>
        <v>-1312.5</v>
      </c>
      <c r="N61" s="72">
        <f t="shared" si="3"/>
        <v>375062.9599999999</v>
      </c>
    </row>
    <row r="62" spans="1:14" x14ac:dyDescent="0.2">
      <c r="A62" s="73" t="s">
        <v>427</v>
      </c>
      <c r="B62" s="3">
        <f t="shared" si="0"/>
        <v>2025</v>
      </c>
      <c r="C62" s="3">
        <f t="shared" si="1"/>
        <v>1</v>
      </c>
      <c r="D62" s="73" t="s">
        <v>300</v>
      </c>
      <c r="E62" s="2"/>
      <c r="F62" s="2" t="s">
        <v>325</v>
      </c>
      <c r="G62" s="2" t="s">
        <v>7</v>
      </c>
      <c r="H62" s="2" t="s">
        <v>323</v>
      </c>
      <c r="I62" s="2" t="s">
        <v>350</v>
      </c>
      <c r="J62" s="2" t="s">
        <v>27</v>
      </c>
      <c r="K62" s="72">
        <v>4472.5</v>
      </c>
      <c r="L62" s="39"/>
      <c r="M62" s="72">
        <f t="shared" si="2"/>
        <v>-4472.5</v>
      </c>
      <c r="N62" s="72">
        <f t="shared" si="3"/>
        <v>370590.4599999999</v>
      </c>
    </row>
    <row r="63" spans="1:14" x14ac:dyDescent="0.2">
      <c r="A63" s="73" t="s">
        <v>427</v>
      </c>
      <c r="B63" s="3">
        <f t="shared" si="0"/>
        <v>2025</v>
      </c>
      <c r="C63" s="3">
        <f t="shared" si="1"/>
        <v>1</v>
      </c>
      <c r="D63" s="73" t="s">
        <v>300</v>
      </c>
      <c r="E63" s="2"/>
      <c r="F63" s="2" t="s">
        <v>325</v>
      </c>
      <c r="G63" s="2" t="s">
        <v>355</v>
      </c>
      <c r="H63" s="2" t="s">
        <v>323</v>
      </c>
      <c r="I63" s="2" t="s">
        <v>350</v>
      </c>
      <c r="J63" s="2" t="s">
        <v>27</v>
      </c>
      <c r="K63" s="72">
        <v>80.84</v>
      </c>
      <c r="L63" s="39"/>
      <c r="M63" s="72">
        <f t="shared" si="2"/>
        <v>-80.84</v>
      </c>
      <c r="N63" s="72">
        <f t="shared" si="3"/>
        <v>370509.61999999988</v>
      </c>
    </row>
    <row r="64" spans="1:14" x14ac:dyDescent="0.2">
      <c r="A64" s="73" t="s">
        <v>427</v>
      </c>
      <c r="B64" s="3">
        <f t="shared" si="0"/>
        <v>2025</v>
      </c>
      <c r="C64" s="3">
        <f t="shared" si="1"/>
        <v>1</v>
      </c>
      <c r="D64" s="73" t="s">
        <v>300</v>
      </c>
      <c r="E64" s="2"/>
      <c r="F64" s="2" t="s">
        <v>325</v>
      </c>
      <c r="G64" s="2" t="s">
        <v>355</v>
      </c>
      <c r="H64" s="2" t="s">
        <v>323</v>
      </c>
      <c r="I64" s="2" t="s">
        <v>350</v>
      </c>
      <c r="J64" s="2" t="s">
        <v>27</v>
      </c>
      <c r="K64" s="72">
        <v>40.42</v>
      </c>
      <c r="L64" s="39"/>
      <c r="M64" s="72">
        <f t="shared" si="2"/>
        <v>-40.42</v>
      </c>
      <c r="N64" s="72">
        <f t="shared" si="3"/>
        <v>370469.1999999999</v>
      </c>
    </row>
    <row r="65" spans="1:14" x14ac:dyDescent="0.2">
      <c r="A65" s="73" t="s">
        <v>427</v>
      </c>
      <c r="B65" s="3">
        <f t="shared" si="0"/>
        <v>2025</v>
      </c>
      <c r="C65" s="3">
        <f t="shared" si="1"/>
        <v>1</v>
      </c>
      <c r="D65" s="73" t="s">
        <v>300</v>
      </c>
      <c r="E65" s="2"/>
      <c r="F65" s="2" t="s">
        <v>325</v>
      </c>
      <c r="G65" s="2" t="s">
        <v>355</v>
      </c>
      <c r="H65" s="2" t="s">
        <v>323</v>
      </c>
      <c r="I65" s="2" t="s">
        <v>350</v>
      </c>
      <c r="J65" s="2" t="s">
        <v>27</v>
      </c>
      <c r="K65" s="72">
        <v>12000</v>
      </c>
      <c r="L65" s="39"/>
      <c r="M65" s="72">
        <f t="shared" si="2"/>
        <v>-12000</v>
      </c>
      <c r="N65" s="72">
        <f t="shared" si="3"/>
        <v>358469.1999999999</v>
      </c>
    </row>
    <row r="66" spans="1:14" x14ac:dyDescent="0.2">
      <c r="A66" s="73" t="s">
        <v>427</v>
      </c>
      <c r="B66" s="3">
        <f t="shared" ref="B66:B129" si="4">YEAR(A66)</f>
        <v>2025</v>
      </c>
      <c r="C66" s="3">
        <f t="shared" ref="C66:C129" si="5">MONTH(A66)</f>
        <v>1</v>
      </c>
      <c r="D66" s="73" t="s">
        <v>300</v>
      </c>
      <c r="E66" s="2"/>
      <c r="F66" s="2" t="s">
        <v>325</v>
      </c>
      <c r="G66" s="2" t="s">
        <v>428</v>
      </c>
      <c r="H66" s="2" t="s">
        <v>323</v>
      </c>
      <c r="I66" s="2" t="s">
        <v>350</v>
      </c>
      <c r="J66" s="2" t="s">
        <v>353</v>
      </c>
      <c r="K66" s="72">
        <v>199</v>
      </c>
      <c r="L66" s="39"/>
      <c r="M66" s="72">
        <f t="shared" ref="M66:M129" si="6">IF(ISBLANK(L66),K66*-1,L66)</f>
        <v>-199</v>
      </c>
      <c r="N66" s="72">
        <f t="shared" si="3"/>
        <v>358270.1999999999</v>
      </c>
    </row>
    <row r="67" spans="1:14" x14ac:dyDescent="0.2">
      <c r="A67" s="73" t="s">
        <v>427</v>
      </c>
      <c r="B67" s="3">
        <f t="shared" si="4"/>
        <v>2025</v>
      </c>
      <c r="C67" s="3">
        <f t="shared" si="5"/>
        <v>1</v>
      </c>
      <c r="D67" s="73" t="s">
        <v>300</v>
      </c>
      <c r="E67" s="2"/>
      <c r="F67" s="2" t="s">
        <v>325</v>
      </c>
      <c r="G67" s="2" t="s">
        <v>354</v>
      </c>
      <c r="H67" s="2" t="s">
        <v>323</v>
      </c>
      <c r="I67" s="2" t="s">
        <v>350</v>
      </c>
      <c r="J67" s="2" t="s">
        <v>353</v>
      </c>
      <c r="K67" s="72">
        <v>4200</v>
      </c>
      <c r="L67" s="39"/>
      <c r="M67" s="72">
        <f t="shared" si="6"/>
        <v>-4200</v>
      </c>
      <c r="N67" s="72">
        <f t="shared" ref="N67:N130" si="7">+N66+M67</f>
        <v>354070.1999999999</v>
      </c>
    </row>
    <row r="68" spans="1:14" x14ac:dyDescent="0.2">
      <c r="A68" s="73" t="s">
        <v>427</v>
      </c>
      <c r="B68" s="3">
        <f t="shared" si="4"/>
        <v>2025</v>
      </c>
      <c r="C68" s="3">
        <f t="shared" si="5"/>
        <v>1</v>
      </c>
      <c r="D68" s="73" t="s">
        <v>300</v>
      </c>
      <c r="E68" s="2"/>
      <c r="F68" s="2" t="s">
        <v>325</v>
      </c>
      <c r="G68" s="2" t="s">
        <v>14</v>
      </c>
      <c r="H68" s="2" t="s">
        <v>323</v>
      </c>
      <c r="I68" s="2" t="s">
        <v>350</v>
      </c>
      <c r="J68" s="2" t="s">
        <v>27</v>
      </c>
      <c r="K68" s="72">
        <v>125</v>
      </c>
      <c r="L68" s="39"/>
      <c r="M68" s="72">
        <f t="shared" si="6"/>
        <v>-125</v>
      </c>
      <c r="N68" s="72">
        <f t="shared" si="7"/>
        <v>353945.1999999999</v>
      </c>
    </row>
    <row r="69" spans="1:14" x14ac:dyDescent="0.2">
      <c r="A69" s="73" t="s">
        <v>427</v>
      </c>
      <c r="B69" s="3">
        <f t="shared" si="4"/>
        <v>2025</v>
      </c>
      <c r="C69" s="3">
        <f t="shared" si="5"/>
        <v>1</v>
      </c>
      <c r="D69" s="73" t="s">
        <v>300</v>
      </c>
      <c r="E69" s="2"/>
      <c r="F69" s="2" t="s">
        <v>325</v>
      </c>
      <c r="G69" s="2" t="s">
        <v>352</v>
      </c>
      <c r="H69" s="2" t="s">
        <v>323</v>
      </c>
      <c r="I69" s="2" t="s">
        <v>350</v>
      </c>
      <c r="J69" s="2" t="s">
        <v>27</v>
      </c>
      <c r="K69" s="72">
        <v>665</v>
      </c>
      <c r="L69" s="39"/>
      <c r="M69" s="72">
        <f t="shared" si="6"/>
        <v>-665</v>
      </c>
      <c r="N69" s="72">
        <f t="shared" si="7"/>
        <v>353280.1999999999</v>
      </c>
    </row>
    <row r="70" spans="1:14" x14ac:dyDescent="0.2">
      <c r="A70" s="73" t="s">
        <v>427</v>
      </c>
      <c r="B70" s="3">
        <f t="shared" si="4"/>
        <v>2025</v>
      </c>
      <c r="C70" s="3">
        <f t="shared" si="5"/>
        <v>1</v>
      </c>
      <c r="D70" s="73" t="s">
        <v>300</v>
      </c>
      <c r="E70" s="2"/>
      <c r="F70" s="2" t="s">
        <v>325</v>
      </c>
      <c r="G70" s="2" t="s">
        <v>352</v>
      </c>
      <c r="H70" s="2" t="s">
        <v>323</v>
      </c>
      <c r="I70" s="2" t="s">
        <v>350</v>
      </c>
      <c r="J70" s="2" t="s">
        <v>27</v>
      </c>
      <c r="K70" s="72">
        <v>5460</v>
      </c>
      <c r="L70" s="39"/>
      <c r="M70" s="72">
        <f t="shared" si="6"/>
        <v>-5460</v>
      </c>
      <c r="N70" s="72">
        <f t="shared" si="7"/>
        <v>347820.1999999999</v>
      </c>
    </row>
    <row r="71" spans="1:14" x14ac:dyDescent="0.2">
      <c r="A71" s="73" t="s">
        <v>427</v>
      </c>
      <c r="B71" s="3">
        <f t="shared" si="4"/>
        <v>2025</v>
      </c>
      <c r="C71" s="3">
        <f t="shared" si="5"/>
        <v>1</v>
      </c>
      <c r="D71" s="73" t="s">
        <v>300</v>
      </c>
      <c r="E71" s="2"/>
      <c r="F71" s="2" t="s">
        <v>325</v>
      </c>
      <c r="G71" s="2" t="s">
        <v>352</v>
      </c>
      <c r="H71" s="2" t="s">
        <v>323</v>
      </c>
      <c r="I71" s="2" t="s">
        <v>350</v>
      </c>
      <c r="J71" s="2" t="s">
        <v>27</v>
      </c>
      <c r="K71" s="72">
        <v>1260</v>
      </c>
      <c r="L71" s="39"/>
      <c r="M71" s="72">
        <f t="shared" si="6"/>
        <v>-1260</v>
      </c>
      <c r="N71" s="72">
        <f t="shared" si="7"/>
        <v>346560.1999999999</v>
      </c>
    </row>
    <row r="72" spans="1:14" x14ac:dyDescent="0.2">
      <c r="A72" s="73" t="s">
        <v>427</v>
      </c>
      <c r="B72" s="3">
        <f t="shared" si="4"/>
        <v>2025</v>
      </c>
      <c r="C72" s="3">
        <f t="shared" si="5"/>
        <v>1</v>
      </c>
      <c r="D72" s="73" t="s">
        <v>300</v>
      </c>
      <c r="E72" s="2"/>
      <c r="F72" s="2" t="s">
        <v>325</v>
      </c>
      <c r="G72" s="2" t="s">
        <v>352</v>
      </c>
      <c r="H72" s="2" t="s">
        <v>323</v>
      </c>
      <c r="I72" s="2" t="s">
        <v>350</v>
      </c>
      <c r="J72" s="2" t="s">
        <v>27</v>
      </c>
      <c r="K72" s="72">
        <v>35</v>
      </c>
      <c r="L72" s="39"/>
      <c r="M72" s="72">
        <f t="shared" si="6"/>
        <v>-35</v>
      </c>
      <c r="N72" s="72">
        <f t="shared" si="7"/>
        <v>346525.1999999999</v>
      </c>
    </row>
    <row r="73" spans="1:14" x14ac:dyDescent="0.2">
      <c r="A73" s="73" t="s">
        <v>427</v>
      </c>
      <c r="B73" s="3">
        <f t="shared" si="4"/>
        <v>2025</v>
      </c>
      <c r="C73" s="3">
        <f t="shared" si="5"/>
        <v>1</v>
      </c>
      <c r="D73" s="73" t="s">
        <v>300</v>
      </c>
      <c r="E73" s="2"/>
      <c r="F73" s="2" t="s">
        <v>325</v>
      </c>
      <c r="G73" s="2" t="s">
        <v>352</v>
      </c>
      <c r="H73" s="2" t="s">
        <v>323</v>
      </c>
      <c r="I73" s="2" t="s">
        <v>350</v>
      </c>
      <c r="J73" s="2" t="s">
        <v>27</v>
      </c>
      <c r="K73" s="72">
        <v>5355</v>
      </c>
      <c r="L73" s="39"/>
      <c r="M73" s="72">
        <f t="shared" si="6"/>
        <v>-5355</v>
      </c>
      <c r="N73" s="72">
        <f t="shared" si="7"/>
        <v>341170.1999999999</v>
      </c>
    </row>
    <row r="74" spans="1:14" x14ac:dyDescent="0.2">
      <c r="A74" s="73" t="s">
        <v>427</v>
      </c>
      <c r="B74" s="3">
        <f t="shared" si="4"/>
        <v>2025</v>
      </c>
      <c r="C74" s="3">
        <f t="shared" si="5"/>
        <v>1</v>
      </c>
      <c r="D74" s="73" t="s">
        <v>300</v>
      </c>
      <c r="E74" s="2"/>
      <c r="F74" s="2" t="s">
        <v>325</v>
      </c>
      <c r="G74" s="2" t="s">
        <v>352</v>
      </c>
      <c r="H74" s="2" t="s">
        <v>323</v>
      </c>
      <c r="I74" s="2" t="s">
        <v>350</v>
      </c>
      <c r="J74" s="2" t="s">
        <v>27</v>
      </c>
      <c r="K74" s="72">
        <v>840</v>
      </c>
      <c r="L74" s="39"/>
      <c r="M74" s="72">
        <f t="shared" si="6"/>
        <v>-840</v>
      </c>
      <c r="N74" s="72">
        <f t="shared" si="7"/>
        <v>340330.1999999999</v>
      </c>
    </row>
    <row r="75" spans="1:14" x14ac:dyDescent="0.2">
      <c r="A75" s="73" t="s">
        <v>427</v>
      </c>
      <c r="B75" s="3">
        <f t="shared" si="4"/>
        <v>2025</v>
      </c>
      <c r="C75" s="3">
        <f t="shared" si="5"/>
        <v>1</v>
      </c>
      <c r="D75" s="73" t="s">
        <v>300</v>
      </c>
      <c r="E75" s="2"/>
      <c r="F75" s="2" t="s">
        <v>325</v>
      </c>
      <c r="G75" s="2" t="s">
        <v>352</v>
      </c>
      <c r="H75" s="2" t="s">
        <v>323</v>
      </c>
      <c r="I75" s="2" t="s">
        <v>350</v>
      </c>
      <c r="J75" s="2" t="s">
        <v>27</v>
      </c>
      <c r="K75" s="72">
        <v>3220</v>
      </c>
      <c r="L75" s="39"/>
      <c r="M75" s="72">
        <f t="shared" si="6"/>
        <v>-3220</v>
      </c>
      <c r="N75" s="72">
        <f t="shared" si="7"/>
        <v>337110.1999999999</v>
      </c>
    </row>
    <row r="76" spans="1:14" x14ac:dyDescent="0.2">
      <c r="A76" s="73" t="s">
        <v>427</v>
      </c>
      <c r="B76" s="3">
        <f t="shared" si="4"/>
        <v>2025</v>
      </c>
      <c r="C76" s="3">
        <f t="shared" si="5"/>
        <v>1</v>
      </c>
      <c r="D76" s="73" t="s">
        <v>300</v>
      </c>
      <c r="E76" s="2"/>
      <c r="F76" s="2" t="s">
        <v>325</v>
      </c>
      <c r="G76" s="2" t="s">
        <v>351</v>
      </c>
      <c r="H76" s="2" t="s">
        <v>323</v>
      </c>
      <c r="I76" s="2" t="s">
        <v>350</v>
      </c>
      <c r="J76" s="2" t="s">
        <v>27</v>
      </c>
      <c r="K76" s="72">
        <v>18738.38</v>
      </c>
      <c r="L76" s="39"/>
      <c r="M76" s="72">
        <f t="shared" si="6"/>
        <v>-18738.38</v>
      </c>
      <c r="N76" s="72">
        <f t="shared" si="7"/>
        <v>318371.81999999989</v>
      </c>
    </row>
    <row r="77" spans="1:14" x14ac:dyDescent="0.2">
      <c r="A77" s="73" t="s">
        <v>427</v>
      </c>
      <c r="B77" s="3">
        <f t="shared" si="4"/>
        <v>2025</v>
      </c>
      <c r="C77" s="3">
        <f t="shared" si="5"/>
        <v>1</v>
      </c>
      <c r="D77" s="73" t="s">
        <v>300</v>
      </c>
      <c r="E77" s="2"/>
      <c r="F77" s="2" t="s">
        <v>321</v>
      </c>
      <c r="G77" s="2" t="s">
        <v>348</v>
      </c>
      <c r="H77" s="2" t="s">
        <v>319</v>
      </c>
      <c r="I77" s="2" t="s">
        <v>315</v>
      </c>
      <c r="J77" s="2" t="s">
        <v>23</v>
      </c>
      <c r="K77" s="72"/>
      <c r="L77" s="39">
        <v>15190</v>
      </c>
      <c r="M77" s="72">
        <f t="shared" si="6"/>
        <v>15190</v>
      </c>
      <c r="N77" s="72">
        <f t="shared" si="7"/>
        <v>333561.81999999989</v>
      </c>
    </row>
    <row r="78" spans="1:14" x14ac:dyDescent="0.2">
      <c r="A78" s="73" t="s">
        <v>427</v>
      </c>
      <c r="B78" s="3">
        <f t="shared" si="4"/>
        <v>2025</v>
      </c>
      <c r="C78" s="3">
        <f t="shared" si="5"/>
        <v>1</v>
      </c>
      <c r="D78" s="73" t="s">
        <v>300</v>
      </c>
      <c r="E78" s="2"/>
      <c r="F78" s="2" t="s">
        <v>299</v>
      </c>
      <c r="G78" s="2"/>
      <c r="H78" s="2" t="s">
        <v>298</v>
      </c>
      <c r="I78" s="2" t="s">
        <v>297</v>
      </c>
      <c r="J78" s="2" t="s">
        <v>296</v>
      </c>
      <c r="K78" s="72"/>
      <c r="L78" s="39">
        <v>166408.18</v>
      </c>
      <c r="M78" s="72">
        <f t="shared" si="6"/>
        <v>166408.18</v>
      </c>
      <c r="N78" s="72">
        <f t="shared" si="7"/>
        <v>499969.99999999988</v>
      </c>
    </row>
    <row r="79" spans="1:14" x14ac:dyDescent="0.2">
      <c r="A79" s="73" t="s">
        <v>426</v>
      </c>
      <c r="B79" s="3">
        <f t="shared" si="4"/>
        <v>2025</v>
      </c>
      <c r="C79" s="3">
        <f t="shared" si="5"/>
        <v>1</v>
      </c>
      <c r="D79" s="73" t="s">
        <v>300</v>
      </c>
      <c r="E79" s="2"/>
      <c r="F79" s="2" t="s">
        <v>309</v>
      </c>
      <c r="G79" s="2" t="s">
        <v>381</v>
      </c>
      <c r="H79" s="2" t="s">
        <v>380</v>
      </c>
      <c r="I79" s="2" t="s">
        <v>301</v>
      </c>
      <c r="J79" s="2" t="s">
        <v>11</v>
      </c>
      <c r="K79" s="72"/>
      <c r="L79" s="39">
        <v>429.67</v>
      </c>
      <c r="M79" s="72">
        <f t="shared" si="6"/>
        <v>429.67</v>
      </c>
      <c r="N79" s="72">
        <f t="shared" si="7"/>
        <v>500399.66999999987</v>
      </c>
    </row>
    <row r="80" spans="1:14" x14ac:dyDescent="0.2">
      <c r="A80" s="73" t="s">
        <v>426</v>
      </c>
      <c r="B80" s="3">
        <f t="shared" si="4"/>
        <v>2025</v>
      </c>
      <c r="C80" s="3">
        <f t="shared" si="5"/>
        <v>1</v>
      </c>
      <c r="D80" s="73" t="s">
        <v>300</v>
      </c>
      <c r="E80" s="2"/>
      <c r="F80" s="2" t="s">
        <v>321</v>
      </c>
      <c r="G80" s="2" t="s">
        <v>109</v>
      </c>
      <c r="H80" s="2" t="s">
        <v>319</v>
      </c>
      <c r="I80" s="2" t="s">
        <v>315</v>
      </c>
      <c r="J80" s="2" t="s">
        <v>23</v>
      </c>
      <c r="K80" s="72"/>
      <c r="L80" s="39">
        <v>4650</v>
      </c>
      <c r="M80" s="72">
        <f t="shared" si="6"/>
        <v>4650</v>
      </c>
      <c r="N80" s="72">
        <f t="shared" si="7"/>
        <v>505049.66999999987</v>
      </c>
    </row>
    <row r="81" spans="1:14" x14ac:dyDescent="0.2">
      <c r="A81" s="73" t="s">
        <v>426</v>
      </c>
      <c r="B81" s="3">
        <f t="shared" si="4"/>
        <v>2025</v>
      </c>
      <c r="C81" s="3">
        <f t="shared" si="5"/>
        <v>1</v>
      </c>
      <c r="D81" s="73" t="s">
        <v>300</v>
      </c>
      <c r="E81" s="2"/>
      <c r="F81" s="2" t="s">
        <v>309</v>
      </c>
      <c r="G81" s="2" t="s">
        <v>371</v>
      </c>
      <c r="H81" s="2" t="s">
        <v>346</v>
      </c>
      <c r="I81" s="2" t="s">
        <v>315</v>
      </c>
      <c r="J81" s="2" t="s">
        <v>23</v>
      </c>
      <c r="K81" s="72"/>
      <c r="L81" s="39">
        <v>327201.36</v>
      </c>
      <c r="M81" s="72">
        <f t="shared" si="6"/>
        <v>327201.36</v>
      </c>
      <c r="N81" s="72">
        <f t="shared" si="7"/>
        <v>832251.0299999998</v>
      </c>
    </row>
    <row r="82" spans="1:14" x14ac:dyDescent="0.2">
      <c r="A82" s="73" t="s">
        <v>426</v>
      </c>
      <c r="B82" s="3">
        <f t="shared" si="4"/>
        <v>2025</v>
      </c>
      <c r="C82" s="3">
        <f t="shared" si="5"/>
        <v>1</v>
      </c>
      <c r="D82" s="73" t="s">
        <v>300</v>
      </c>
      <c r="E82" s="2"/>
      <c r="F82" s="2" t="s">
        <v>299</v>
      </c>
      <c r="G82" s="2"/>
      <c r="H82" s="2" t="s">
        <v>298</v>
      </c>
      <c r="I82" s="2" t="s">
        <v>297</v>
      </c>
      <c r="J82" s="2" t="s">
        <v>296</v>
      </c>
      <c r="K82" s="72">
        <v>332281.03000000003</v>
      </c>
      <c r="L82" s="39"/>
      <c r="M82" s="72">
        <f t="shared" si="6"/>
        <v>-332281.03000000003</v>
      </c>
      <c r="N82" s="72">
        <f t="shared" si="7"/>
        <v>499969.99999999977</v>
      </c>
    </row>
    <row r="83" spans="1:14" x14ac:dyDescent="0.2">
      <c r="A83" s="73" t="s">
        <v>425</v>
      </c>
      <c r="B83" s="3">
        <f t="shared" si="4"/>
        <v>2025</v>
      </c>
      <c r="C83" s="3">
        <f t="shared" si="5"/>
        <v>1</v>
      </c>
      <c r="D83" s="73" t="s">
        <v>300</v>
      </c>
      <c r="E83" s="2"/>
      <c r="F83" s="2" t="s">
        <v>304</v>
      </c>
      <c r="G83" s="2" t="s">
        <v>336</v>
      </c>
      <c r="H83" s="2" t="s">
        <v>335</v>
      </c>
      <c r="I83" s="2" t="s">
        <v>301</v>
      </c>
      <c r="J83" s="2" t="s">
        <v>11</v>
      </c>
      <c r="K83" s="72">
        <v>18.68</v>
      </c>
      <c r="L83" s="39"/>
      <c r="M83" s="72">
        <f t="shared" si="6"/>
        <v>-18.68</v>
      </c>
      <c r="N83" s="72">
        <f t="shared" si="7"/>
        <v>499951.31999999977</v>
      </c>
    </row>
    <row r="84" spans="1:14" x14ac:dyDescent="0.2">
      <c r="A84" s="73" t="s">
        <v>425</v>
      </c>
      <c r="B84" s="3">
        <f t="shared" si="4"/>
        <v>2025</v>
      </c>
      <c r="C84" s="3">
        <f t="shared" si="5"/>
        <v>1</v>
      </c>
      <c r="D84" s="73" t="s">
        <v>300</v>
      </c>
      <c r="E84" s="2"/>
      <c r="F84" s="2" t="s">
        <v>304</v>
      </c>
      <c r="G84" s="2" t="s">
        <v>311</v>
      </c>
      <c r="H84" s="2" t="s">
        <v>310</v>
      </c>
      <c r="I84" s="2" t="s">
        <v>301</v>
      </c>
      <c r="J84" s="2" t="s">
        <v>11</v>
      </c>
      <c r="K84" s="72">
        <v>26.23</v>
      </c>
      <c r="L84" s="39"/>
      <c r="M84" s="72">
        <f t="shared" si="6"/>
        <v>-26.23</v>
      </c>
      <c r="N84" s="72">
        <f t="shared" si="7"/>
        <v>499925.08999999979</v>
      </c>
    </row>
    <row r="85" spans="1:14" x14ac:dyDescent="0.2">
      <c r="A85" s="73" t="s">
        <v>425</v>
      </c>
      <c r="B85" s="3">
        <f t="shared" si="4"/>
        <v>2025</v>
      </c>
      <c r="C85" s="3">
        <f t="shared" si="5"/>
        <v>1</v>
      </c>
      <c r="D85" s="73" t="s">
        <v>300</v>
      </c>
      <c r="E85" s="2"/>
      <c r="F85" s="2" t="s">
        <v>304</v>
      </c>
      <c r="G85" s="2" t="s">
        <v>306</v>
      </c>
      <c r="H85" s="2" t="s">
        <v>318</v>
      </c>
      <c r="I85" s="2" t="s">
        <v>301</v>
      </c>
      <c r="J85" s="2" t="s">
        <v>11</v>
      </c>
      <c r="K85" s="72">
        <v>275</v>
      </c>
      <c r="L85" s="39"/>
      <c r="M85" s="72">
        <f t="shared" si="6"/>
        <v>-275</v>
      </c>
      <c r="N85" s="72">
        <f t="shared" si="7"/>
        <v>499650.08999999979</v>
      </c>
    </row>
    <row r="86" spans="1:14" x14ac:dyDescent="0.2">
      <c r="A86" s="73" t="s">
        <v>425</v>
      </c>
      <c r="B86" s="3">
        <f t="shared" si="4"/>
        <v>2025</v>
      </c>
      <c r="C86" s="3">
        <f t="shared" si="5"/>
        <v>1</v>
      </c>
      <c r="D86" s="73" t="s">
        <v>300</v>
      </c>
      <c r="E86" s="2"/>
      <c r="F86" s="2" t="s">
        <v>304</v>
      </c>
      <c r="G86" s="2" t="s">
        <v>306</v>
      </c>
      <c r="H86" s="2" t="s">
        <v>318</v>
      </c>
      <c r="I86" s="2" t="s">
        <v>301</v>
      </c>
      <c r="J86" s="2" t="s">
        <v>20</v>
      </c>
      <c r="K86" s="72">
        <v>43223.23</v>
      </c>
      <c r="L86" s="39"/>
      <c r="M86" s="72">
        <f t="shared" si="6"/>
        <v>-43223.23</v>
      </c>
      <c r="N86" s="72">
        <f t="shared" si="7"/>
        <v>456426.85999999981</v>
      </c>
    </row>
    <row r="87" spans="1:14" x14ac:dyDescent="0.2">
      <c r="A87" s="73" t="s">
        <v>425</v>
      </c>
      <c r="B87" s="3">
        <f t="shared" si="4"/>
        <v>2025</v>
      </c>
      <c r="C87" s="3">
        <f t="shared" si="5"/>
        <v>1</v>
      </c>
      <c r="D87" s="73" t="s">
        <v>300</v>
      </c>
      <c r="E87" s="2"/>
      <c r="F87" s="2" t="s">
        <v>304</v>
      </c>
      <c r="G87" s="2" t="s">
        <v>306</v>
      </c>
      <c r="H87" s="2" t="s">
        <v>318</v>
      </c>
      <c r="I87" s="2" t="s">
        <v>301</v>
      </c>
      <c r="J87" s="2" t="s">
        <v>24</v>
      </c>
      <c r="K87" s="72">
        <v>76714.990000000005</v>
      </c>
      <c r="L87" s="39"/>
      <c r="M87" s="72">
        <f t="shared" si="6"/>
        <v>-76714.990000000005</v>
      </c>
      <c r="N87" s="72">
        <f t="shared" si="7"/>
        <v>379711.86999999982</v>
      </c>
    </row>
    <row r="88" spans="1:14" x14ac:dyDescent="0.2">
      <c r="A88" s="73" t="s">
        <v>425</v>
      </c>
      <c r="B88" s="3">
        <f t="shared" si="4"/>
        <v>2025</v>
      </c>
      <c r="C88" s="3">
        <f t="shared" si="5"/>
        <v>1</v>
      </c>
      <c r="D88" s="73" t="s">
        <v>300</v>
      </c>
      <c r="E88" s="2"/>
      <c r="F88" s="2" t="s">
        <v>321</v>
      </c>
      <c r="G88" s="2" t="s">
        <v>8</v>
      </c>
      <c r="H88" s="2" t="s">
        <v>319</v>
      </c>
      <c r="I88" s="2" t="s">
        <v>315</v>
      </c>
      <c r="J88" s="2" t="s">
        <v>23</v>
      </c>
      <c r="K88" s="72"/>
      <c r="L88" s="39">
        <v>22182.36</v>
      </c>
      <c r="M88" s="72">
        <f t="shared" si="6"/>
        <v>22182.36</v>
      </c>
      <c r="N88" s="72">
        <f t="shared" si="7"/>
        <v>401894.22999999981</v>
      </c>
    </row>
    <row r="89" spans="1:14" x14ac:dyDescent="0.2">
      <c r="A89" s="73" t="s">
        <v>425</v>
      </c>
      <c r="B89" s="3">
        <f t="shared" si="4"/>
        <v>2025</v>
      </c>
      <c r="C89" s="3">
        <f t="shared" si="5"/>
        <v>1</v>
      </c>
      <c r="D89" s="73" t="s">
        <v>300</v>
      </c>
      <c r="E89" s="2"/>
      <c r="F89" s="2" t="s">
        <v>299</v>
      </c>
      <c r="G89" s="2"/>
      <c r="H89" s="2" t="s">
        <v>298</v>
      </c>
      <c r="I89" s="2" t="s">
        <v>297</v>
      </c>
      <c r="J89" s="2" t="s">
        <v>296</v>
      </c>
      <c r="K89" s="72"/>
      <c r="L89" s="39">
        <v>98075.77</v>
      </c>
      <c r="M89" s="72">
        <f t="shared" si="6"/>
        <v>98075.77</v>
      </c>
      <c r="N89" s="72">
        <f t="shared" si="7"/>
        <v>499969.99999999983</v>
      </c>
    </row>
    <row r="90" spans="1:14" x14ac:dyDescent="0.2">
      <c r="A90" s="73" t="s">
        <v>424</v>
      </c>
      <c r="B90" s="3">
        <f t="shared" si="4"/>
        <v>2025</v>
      </c>
      <c r="C90" s="3">
        <f t="shared" si="5"/>
        <v>1</v>
      </c>
      <c r="D90" s="73" t="s">
        <v>300</v>
      </c>
      <c r="E90" s="2"/>
      <c r="F90" s="2" t="s">
        <v>304</v>
      </c>
      <c r="G90" s="2" t="s">
        <v>306</v>
      </c>
      <c r="H90" s="2" t="s">
        <v>305</v>
      </c>
      <c r="I90" s="2" t="s">
        <v>301</v>
      </c>
      <c r="J90" s="2" t="s">
        <v>19</v>
      </c>
      <c r="K90" s="72">
        <v>140.32</v>
      </c>
      <c r="L90" s="39"/>
      <c r="M90" s="72">
        <f t="shared" si="6"/>
        <v>-140.32</v>
      </c>
      <c r="N90" s="72">
        <f t="shared" si="7"/>
        <v>499829.67999999982</v>
      </c>
    </row>
    <row r="91" spans="1:14" x14ac:dyDescent="0.2">
      <c r="A91" s="73" t="s">
        <v>424</v>
      </c>
      <c r="B91" s="3">
        <f t="shared" si="4"/>
        <v>2025</v>
      </c>
      <c r="C91" s="3">
        <f t="shared" si="5"/>
        <v>1</v>
      </c>
      <c r="D91" s="73" t="s">
        <v>300</v>
      </c>
      <c r="E91" s="2"/>
      <c r="F91" s="2" t="s">
        <v>321</v>
      </c>
      <c r="G91" s="2" t="s">
        <v>10</v>
      </c>
      <c r="H91" s="2" t="s">
        <v>319</v>
      </c>
      <c r="I91" s="2" t="s">
        <v>315</v>
      </c>
      <c r="J91" s="2" t="s">
        <v>23</v>
      </c>
      <c r="K91" s="72"/>
      <c r="L91" s="39">
        <v>5250</v>
      </c>
      <c r="M91" s="72">
        <f t="shared" si="6"/>
        <v>5250</v>
      </c>
      <c r="N91" s="72">
        <f t="shared" si="7"/>
        <v>505079.67999999982</v>
      </c>
    </row>
    <row r="92" spans="1:14" x14ac:dyDescent="0.2">
      <c r="A92" s="73" t="s">
        <v>424</v>
      </c>
      <c r="B92" s="3">
        <f t="shared" si="4"/>
        <v>2025</v>
      </c>
      <c r="C92" s="3">
        <f t="shared" si="5"/>
        <v>1</v>
      </c>
      <c r="D92" s="73" t="s">
        <v>300</v>
      </c>
      <c r="E92" s="2"/>
      <c r="F92" s="2" t="s">
        <v>299</v>
      </c>
      <c r="G92" s="2"/>
      <c r="H92" s="2" t="s">
        <v>298</v>
      </c>
      <c r="I92" s="2" t="s">
        <v>297</v>
      </c>
      <c r="J92" s="2" t="s">
        <v>296</v>
      </c>
      <c r="K92" s="72">
        <v>5109.68</v>
      </c>
      <c r="L92" s="39"/>
      <c r="M92" s="72">
        <f t="shared" si="6"/>
        <v>-5109.68</v>
      </c>
      <c r="N92" s="72">
        <f t="shared" si="7"/>
        <v>499969.99999999983</v>
      </c>
    </row>
    <row r="93" spans="1:14" x14ac:dyDescent="0.2">
      <c r="A93" s="73" t="s">
        <v>423</v>
      </c>
      <c r="B93" s="3">
        <f t="shared" si="4"/>
        <v>2025</v>
      </c>
      <c r="C93" s="3">
        <f t="shared" si="5"/>
        <v>1</v>
      </c>
      <c r="D93" s="73" t="s">
        <v>300</v>
      </c>
      <c r="E93" s="2"/>
      <c r="F93" s="2" t="s">
        <v>304</v>
      </c>
      <c r="G93" s="2" t="s">
        <v>344</v>
      </c>
      <c r="H93" s="2" t="s">
        <v>343</v>
      </c>
      <c r="I93" s="2" t="s">
        <v>301</v>
      </c>
      <c r="J93" s="2" t="s">
        <v>11</v>
      </c>
      <c r="K93" s="72">
        <v>6229.81</v>
      </c>
      <c r="L93" s="39"/>
      <c r="M93" s="72">
        <f t="shared" si="6"/>
        <v>-6229.81</v>
      </c>
      <c r="N93" s="72">
        <f t="shared" si="7"/>
        <v>493740.18999999983</v>
      </c>
    </row>
    <row r="94" spans="1:14" x14ac:dyDescent="0.2">
      <c r="A94" s="73" t="s">
        <v>423</v>
      </c>
      <c r="B94" s="3">
        <f t="shared" si="4"/>
        <v>2025</v>
      </c>
      <c r="C94" s="3">
        <f t="shared" si="5"/>
        <v>1</v>
      </c>
      <c r="D94" s="73" t="s">
        <v>300</v>
      </c>
      <c r="E94" s="2"/>
      <c r="F94" s="2" t="s">
        <v>299</v>
      </c>
      <c r="G94" s="2"/>
      <c r="H94" s="2" t="s">
        <v>298</v>
      </c>
      <c r="I94" s="2" t="s">
        <v>297</v>
      </c>
      <c r="J94" s="2" t="s">
        <v>296</v>
      </c>
      <c r="K94" s="72"/>
      <c r="L94" s="39">
        <v>6229.81</v>
      </c>
      <c r="M94" s="72">
        <f t="shared" si="6"/>
        <v>6229.81</v>
      </c>
      <c r="N94" s="72">
        <f t="shared" si="7"/>
        <v>499969.99999999983</v>
      </c>
    </row>
    <row r="95" spans="1:14" x14ac:dyDescent="0.2">
      <c r="A95" s="73" t="s">
        <v>422</v>
      </c>
      <c r="B95" s="3">
        <f t="shared" si="4"/>
        <v>2025</v>
      </c>
      <c r="C95" s="3">
        <f t="shared" si="5"/>
        <v>1</v>
      </c>
      <c r="D95" s="73" t="s">
        <v>300</v>
      </c>
      <c r="E95" s="2"/>
      <c r="F95" s="2" t="s">
        <v>304</v>
      </c>
      <c r="G95" s="2" t="s">
        <v>336</v>
      </c>
      <c r="H95" s="2" t="s">
        <v>335</v>
      </c>
      <c r="I95" s="2" t="s">
        <v>301</v>
      </c>
      <c r="J95" s="2" t="s">
        <v>11</v>
      </c>
      <c r="K95" s="72">
        <v>36</v>
      </c>
      <c r="L95" s="39"/>
      <c r="M95" s="72">
        <f t="shared" si="6"/>
        <v>-36</v>
      </c>
      <c r="N95" s="72">
        <f t="shared" si="7"/>
        <v>499933.99999999983</v>
      </c>
    </row>
    <row r="96" spans="1:14" x14ac:dyDescent="0.2">
      <c r="A96" s="73" t="s">
        <v>422</v>
      </c>
      <c r="B96" s="3">
        <f t="shared" si="4"/>
        <v>2025</v>
      </c>
      <c r="C96" s="3">
        <f t="shared" si="5"/>
        <v>1</v>
      </c>
      <c r="D96" s="73" t="s">
        <v>300</v>
      </c>
      <c r="E96" s="2"/>
      <c r="F96" s="2" t="s">
        <v>321</v>
      </c>
      <c r="G96" s="2" t="s">
        <v>49</v>
      </c>
      <c r="H96" s="2" t="s">
        <v>319</v>
      </c>
      <c r="I96" s="2" t="s">
        <v>315</v>
      </c>
      <c r="J96" s="2" t="s">
        <v>23</v>
      </c>
      <c r="K96" s="72"/>
      <c r="L96" s="39">
        <v>25812.5</v>
      </c>
      <c r="M96" s="72">
        <f t="shared" si="6"/>
        <v>25812.5</v>
      </c>
      <c r="N96" s="72">
        <f t="shared" si="7"/>
        <v>525746.49999999977</v>
      </c>
    </row>
    <row r="97" spans="1:14" x14ac:dyDescent="0.2">
      <c r="A97" s="73" t="s">
        <v>422</v>
      </c>
      <c r="B97" s="3">
        <f t="shared" si="4"/>
        <v>2025</v>
      </c>
      <c r="C97" s="3">
        <f t="shared" si="5"/>
        <v>1</v>
      </c>
      <c r="D97" s="73" t="s">
        <v>300</v>
      </c>
      <c r="E97" s="2"/>
      <c r="F97" s="2" t="s">
        <v>299</v>
      </c>
      <c r="G97" s="2"/>
      <c r="H97" s="2" t="s">
        <v>298</v>
      </c>
      <c r="I97" s="2" t="s">
        <v>297</v>
      </c>
      <c r="J97" s="2" t="s">
        <v>296</v>
      </c>
      <c r="K97" s="72">
        <v>25776.5</v>
      </c>
      <c r="L97" s="39"/>
      <c r="M97" s="72">
        <f t="shared" si="6"/>
        <v>-25776.5</v>
      </c>
      <c r="N97" s="72">
        <f t="shared" si="7"/>
        <v>499969.99999999977</v>
      </c>
    </row>
    <row r="98" spans="1:14" x14ac:dyDescent="0.2">
      <c r="A98" s="73" t="s">
        <v>421</v>
      </c>
      <c r="B98" s="3">
        <f t="shared" si="4"/>
        <v>2025</v>
      </c>
      <c r="C98" s="3">
        <f t="shared" si="5"/>
        <v>1</v>
      </c>
      <c r="D98" s="73" t="s">
        <v>300</v>
      </c>
      <c r="E98" s="2"/>
      <c r="F98" s="2" t="s">
        <v>314</v>
      </c>
      <c r="G98" s="2" t="s">
        <v>341</v>
      </c>
      <c r="H98" s="2" t="s">
        <v>340</v>
      </c>
      <c r="I98" s="2" t="s">
        <v>312</v>
      </c>
      <c r="J98" s="2" t="s">
        <v>16</v>
      </c>
      <c r="K98" s="72">
        <v>5043.37</v>
      </c>
      <c r="L98" s="39"/>
      <c r="M98" s="72">
        <f t="shared" si="6"/>
        <v>-5043.37</v>
      </c>
      <c r="N98" s="72">
        <f t="shared" si="7"/>
        <v>494926.62999999977</v>
      </c>
    </row>
    <row r="99" spans="1:14" x14ac:dyDescent="0.2">
      <c r="A99" s="73" t="s">
        <v>421</v>
      </c>
      <c r="B99" s="3">
        <f t="shared" si="4"/>
        <v>2025</v>
      </c>
      <c r="C99" s="3">
        <f t="shared" si="5"/>
        <v>1</v>
      </c>
      <c r="D99" s="73" t="s">
        <v>300</v>
      </c>
      <c r="E99" s="2"/>
      <c r="F99" s="2" t="s">
        <v>304</v>
      </c>
      <c r="G99" s="2" t="s">
        <v>306</v>
      </c>
      <c r="H99" s="2" t="s">
        <v>305</v>
      </c>
      <c r="I99" s="2" t="s">
        <v>301</v>
      </c>
      <c r="J99" s="2" t="s">
        <v>19</v>
      </c>
      <c r="K99" s="72">
        <v>126</v>
      </c>
      <c r="L99" s="39"/>
      <c r="M99" s="72">
        <f t="shared" si="6"/>
        <v>-126</v>
      </c>
      <c r="N99" s="72">
        <f t="shared" si="7"/>
        <v>494800.62999999977</v>
      </c>
    </row>
    <row r="100" spans="1:14" x14ac:dyDescent="0.2">
      <c r="A100" s="73" t="s">
        <v>421</v>
      </c>
      <c r="B100" s="3">
        <f t="shared" si="4"/>
        <v>2025</v>
      </c>
      <c r="C100" s="3">
        <f t="shared" si="5"/>
        <v>1</v>
      </c>
      <c r="D100" s="73" t="s">
        <v>300</v>
      </c>
      <c r="E100" s="2"/>
      <c r="F100" s="2" t="s">
        <v>304</v>
      </c>
      <c r="G100" s="2" t="s">
        <v>327</v>
      </c>
      <c r="H100" s="2" t="s">
        <v>326</v>
      </c>
      <c r="I100" s="2" t="s">
        <v>316</v>
      </c>
      <c r="J100" s="2" t="s">
        <v>18</v>
      </c>
      <c r="K100" s="72">
        <v>496.97</v>
      </c>
      <c r="L100" s="39"/>
      <c r="M100" s="72">
        <f t="shared" si="6"/>
        <v>-496.97</v>
      </c>
      <c r="N100" s="72">
        <f t="shared" si="7"/>
        <v>494303.6599999998</v>
      </c>
    </row>
    <row r="101" spans="1:14" x14ac:dyDescent="0.2">
      <c r="A101" s="73" t="s">
        <v>421</v>
      </c>
      <c r="B101" s="3">
        <f t="shared" si="4"/>
        <v>2025</v>
      </c>
      <c r="C101" s="3">
        <f t="shared" si="5"/>
        <v>1</v>
      </c>
      <c r="D101" s="73" t="s">
        <v>300</v>
      </c>
      <c r="E101" s="2"/>
      <c r="F101" s="2" t="s">
        <v>299</v>
      </c>
      <c r="G101" s="2"/>
      <c r="H101" s="2" t="s">
        <v>298</v>
      </c>
      <c r="I101" s="2" t="s">
        <v>297</v>
      </c>
      <c r="J101" s="2" t="s">
        <v>296</v>
      </c>
      <c r="K101" s="72"/>
      <c r="L101" s="39">
        <v>5666.34</v>
      </c>
      <c r="M101" s="72">
        <f t="shared" si="6"/>
        <v>5666.34</v>
      </c>
      <c r="N101" s="72">
        <f t="shared" si="7"/>
        <v>499969.99999999983</v>
      </c>
    </row>
    <row r="102" spans="1:14" x14ac:dyDescent="0.2">
      <c r="A102" s="73" t="s">
        <v>420</v>
      </c>
      <c r="B102" s="3">
        <f t="shared" si="4"/>
        <v>2025</v>
      </c>
      <c r="C102" s="3">
        <f t="shared" si="5"/>
        <v>1</v>
      </c>
      <c r="D102" s="73" t="s">
        <v>300</v>
      </c>
      <c r="E102" s="2"/>
      <c r="F102" s="2" t="s">
        <v>325</v>
      </c>
      <c r="G102" s="2" t="s">
        <v>342</v>
      </c>
      <c r="H102" s="2" t="s">
        <v>323</v>
      </c>
      <c r="I102" s="2" t="s">
        <v>316</v>
      </c>
      <c r="J102" s="2" t="s">
        <v>22</v>
      </c>
      <c r="K102" s="72">
        <v>24</v>
      </c>
      <c r="L102" s="39"/>
      <c r="M102" s="72">
        <f t="shared" si="6"/>
        <v>-24</v>
      </c>
      <c r="N102" s="72">
        <f t="shared" si="7"/>
        <v>499945.99999999983</v>
      </c>
    </row>
    <row r="103" spans="1:14" x14ac:dyDescent="0.2">
      <c r="A103" s="73" t="s">
        <v>420</v>
      </c>
      <c r="B103" s="3">
        <f t="shared" si="4"/>
        <v>2025</v>
      </c>
      <c r="C103" s="3">
        <f t="shared" si="5"/>
        <v>1</v>
      </c>
      <c r="D103" s="73" t="s">
        <v>300</v>
      </c>
      <c r="E103" s="2"/>
      <c r="F103" s="2" t="s">
        <v>304</v>
      </c>
      <c r="G103" s="2" t="s">
        <v>334</v>
      </c>
      <c r="H103" s="2" t="s">
        <v>333</v>
      </c>
      <c r="I103" s="2" t="s">
        <v>301</v>
      </c>
      <c r="J103" s="2" t="s">
        <v>11</v>
      </c>
      <c r="K103" s="72">
        <v>1422.93</v>
      </c>
      <c r="L103" s="39"/>
      <c r="M103" s="72">
        <f t="shared" si="6"/>
        <v>-1422.93</v>
      </c>
      <c r="N103" s="72">
        <f t="shared" si="7"/>
        <v>498523.06999999983</v>
      </c>
    </row>
    <row r="104" spans="1:14" x14ac:dyDescent="0.2">
      <c r="A104" s="73" t="s">
        <v>420</v>
      </c>
      <c r="B104" s="3">
        <f t="shared" si="4"/>
        <v>2025</v>
      </c>
      <c r="C104" s="3">
        <f t="shared" si="5"/>
        <v>1</v>
      </c>
      <c r="D104" s="73" t="s">
        <v>300</v>
      </c>
      <c r="E104" s="2"/>
      <c r="F104" s="2" t="s">
        <v>325</v>
      </c>
      <c r="G104" s="2" t="s">
        <v>5</v>
      </c>
      <c r="H104" s="2" t="s">
        <v>323</v>
      </c>
      <c r="I104" s="2" t="s">
        <v>301</v>
      </c>
      <c r="J104" s="2" t="s">
        <v>11</v>
      </c>
      <c r="K104" s="72">
        <v>30</v>
      </c>
      <c r="L104" s="39"/>
      <c r="M104" s="72">
        <f t="shared" si="6"/>
        <v>-30</v>
      </c>
      <c r="N104" s="72">
        <f t="shared" si="7"/>
        <v>498493.06999999983</v>
      </c>
    </row>
    <row r="105" spans="1:14" x14ac:dyDescent="0.2">
      <c r="A105" s="73" t="s">
        <v>420</v>
      </c>
      <c r="B105" s="3">
        <f t="shared" si="4"/>
        <v>2025</v>
      </c>
      <c r="C105" s="3">
        <f t="shared" si="5"/>
        <v>1</v>
      </c>
      <c r="D105" s="73" t="s">
        <v>300</v>
      </c>
      <c r="E105" s="2"/>
      <c r="F105" s="2" t="s">
        <v>325</v>
      </c>
      <c r="G105" s="2" t="s">
        <v>338</v>
      </c>
      <c r="H105" s="2" t="s">
        <v>323</v>
      </c>
      <c r="I105" s="2" t="s">
        <v>316</v>
      </c>
      <c r="J105" s="2" t="s">
        <v>22</v>
      </c>
      <c r="K105" s="72">
        <v>20</v>
      </c>
      <c r="L105" s="39"/>
      <c r="M105" s="72">
        <f t="shared" si="6"/>
        <v>-20</v>
      </c>
      <c r="N105" s="72">
        <f t="shared" si="7"/>
        <v>498473.06999999983</v>
      </c>
    </row>
    <row r="106" spans="1:14" x14ac:dyDescent="0.2">
      <c r="A106" s="73" t="s">
        <v>420</v>
      </c>
      <c r="B106" s="3">
        <f t="shared" si="4"/>
        <v>2025</v>
      </c>
      <c r="C106" s="3">
        <f t="shared" si="5"/>
        <v>1</v>
      </c>
      <c r="D106" s="73" t="s">
        <v>300</v>
      </c>
      <c r="E106" s="2"/>
      <c r="F106" s="2" t="s">
        <v>325</v>
      </c>
      <c r="G106" s="2" t="s">
        <v>330</v>
      </c>
      <c r="H106" s="2" t="s">
        <v>323</v>
      </c>
      <c r="I106" s="2" t="s">
        <v>316</v>
      </c>
      <c r="J106" s="2" t="s">
        <v>22</v>
      </c>
      <c r="K106" s="72">
        <v>652.01</v>
      </c>
      <c r="L106" s="39"/>
      <c r="M106" s="72">
        <f t="shared" si="6"/>
        <v>-652.01</v>
      </c>
      <c r="N106" s="72">
        <f t="shared" si="7"/>
        <v>497821.05999999982</v>
      </c>
    </row>
    <row r="107" spans="1:14" x14ac:dyDescent="0.2">
      <c r="A107" s="73" t="s">
        <v>420</v>
      </c>
      <c r="B107" s="3">
        <f t="shared" si="4"/>
        <v>2025</v>
      </c>
      <c r="C107" s="3">
        <f t="shared" si="5"/>
        <v>1</v>
      </c>
      <c r="D107" s="73" t="s">
        <v>300</v>
      </c>
      <c r="E107" s="2"/>
      <c r="F107" s="2" t="s">
        <v>325</v>
      </c>
      <c r="G107" s="2" t="s">
        <v>337</v>
      </c>
      <c r="H107" s="2" t="s">
        <v>323</v>
      </c>
      <c r="I107" s="2" t="s">
        <v>316</v>
      </c>
      <c r="J107" s="2" t="s">
        <v>22</v>
      </c>
      <c r="K107" s="72">
        <v>199</v>
      </c>
      <c r="L107" s="39"/>
      <c r="M107" s="72">
        <f t="shared" si="6"/>
        <v>-199</v>
      </c>
      <c r="N107" s="72">
        <f t="shared" si="7"/>
        <v>497622.05999999982</v>
      </c>
    </row>
    <row r="108" spans="1:14" x14ac:dyDescent="0.2">
      <c r="A108" s="73" t="s">
        <v>420</v>
      </c>
      <c r="B108" s="3">
        <f t="shared" si="4"/>
        <v>2025</v>
      </c>
      <c r="C108" s="3">
        <f t="shared" si="5"/>
        <v>1</v>
      </c>
      <c r="D108" s="73" t="s">
        <v>300</v>
      </c>
      <c r="E108" s="2"/>
      <c r="F108" s="2" t="s">
        <v>325</v>
      </c>
      <c r="G108" s="2" t="s">
        <v>337</v>
      </c>
      <c r="H108" s="2" t="s">
        <v>323</v>
      </c>
      <c r="I108" s="2" t="s">
        <v>316</v>
      </c>
      <c r="J108" s="2" t="s">
        <v>22</v>
      </c>
      <c r="K108" s="72">
        <v>932.67</v>
      </c>
      <c r="L108" s="39"/>
      <c r="M108" s="72">
        <f t="shared" si="6"/>
        <v>-932.67</v>
      </c>
      <c r="N108" s="72">
        <f t="shared" si="7"/>
        <v>496689.38999999984</v>
      </c>
    </row>
    <row r="109" spans="1:14" x14ac:dyDescent="0.2">
      <c r="A109" s="73" t="s">
        <v>420</v>
      </c>
      <c r="B109" s="3">
        <f t="shared" si="4"/>
        <v>2025</v>
      </c>
      <c r="C109" s="3">
        <f t="shared" si="5"/>
        <v>1</v>
      </c>
      <c r="D109" s="73" t="s">
        <v>300</v>
      </c>
      <c r="E109" s="2"/>
      <c r="F109" s="2" t="s">
        <v>304</v>
      </c>
      <c r="G109" s="2" t="s">
        <v>303</v>
      </c>
      <c r="H109" s="2" t="s">
        <v>302</v>
      </c>
      <c r="I109" s="2" t="s">
        <v>301</v>
      </c>
      <c r="J109" s="2" t="s">
        <v>11</v>
      </c>
      <c r="K109" s="72">
        <v>140.41</v>
      </c>
      <c r="L109" s="39"/>
      <c r="M109" s="72">
        <f t="shared" si="6"/>
        <v>-140.41</v>
      </c>
      <c r="N109" s="72">
        <f t="shared" si="7"/>
        <v>496548.97999999986</v>
      </c>
    </row>
    <row r="110" spans="1:14" x14ac:dyDescent="0.2">
      <c r="A110" s="73" t="s">
        <v>420</v>
      </c>
      <c r="B110" s="3">
        <f t="shared" si="4"/>
        <v>2025</v>
      </c>
      <c r="C110" s="3">
        <f t="shared" si="5"/>
        <v>1</v>
      </c>
      <c r="D110" s="73" t="s">
        <v>300</v>
      </c>
      <c r="E110" s="2"/>
      <c r="F110" s="2" t="s">
        <v>304</v>
      </c>
      <c r="G110" s="2" t="s">
        <v>371</v>
      </c>
      <c r="H110" s="2" t="s">
        <v>346</v>
      </c>
      <c r="I110" s="2" t="s">
        <v>315</v>
      </c>
      <c r="J110" s="2" t="s">
        <v>23</v>
      </c>
      <c r="K110" s="72">
        <v>327201.36</v>
      </c>
      <c r="L110" s="39"/>
      <c r="M110" s="72">
        <f t="shared" si="6"/>
        <v>-327201.36</v>
      </c>
      <c r="N110" s="72">
        <f t="shared" si="7"/>
        <v>169347.61999999988</v>
      </c>
    </row>
    <row r="111" spans="1:14" x14ac:dyDescent="0.2">
      <c r="A111" s="73" t="s">
        <v>420</v>
      </c>
      <c r="B111" s="3">
        <f t="shared" si="4"/>
        <v>2025</v>
      </c>
      <c r="C111" s="3">
        <f t="shared" si="5"/>
        <v>1</v>
      </c>
      <c r="D111" s="73" t="s">
        <v>300</v>
      </c>
      <c r="E111" s="2"/>
      <c r="F111" s="2" t="s">
        <v>299</v>
      </c>
      <c r="G111" s="2"/>
      <c r="H111" s="2" t="s">
        <v>298</v>
      </c>
      <c r="I111" s="2" t="s">
        <v>297</v>
      </c>
      <c r="J111" s="2" t="s">
        <v>296</v>
      </c>
      <c r="K111" s="72"/>
      <c r="L111" s="39">
        <v>330622.38</v>
      </c>
      <c r="M111" s="72">
        <f t="shared" si="6"/>
        <v>330622.38</v>
      </c>
      <c r="N111" s="72">
        <f t="shared" si="7"/>
        <v>499969.99999999988</v>
      </c>
    </row>
    <row r="112" spans="1:14" x14ac:dyDescent="0.2">
      <c r="A112" s="73" t="s">
        <v>419</v>
      </c>
      <c r="B112" s="3">
        <f t="shared" si="4"/>
        <v>2025</v>
      </c>
      <c r="C112" s="3">
        <f t="shared" si="5"/>
        <v>1</v>
      </c>
      <c r="D112" s="73" t="s">
        <v>300</v>
      </c>
      <c r="E112" s="2"/>
      <c r="F112" s="2" t="s">
        <v>321</v>
      </c>
      <c r="G112" s="2" t="s">
        <v>3</v>
      </c>
      <c r="H112" s="2" t="s">
        <v>319</v>
      </c>
      <c r="I112" s="2" t="s">
        <v>315</v>
      </c>
      <c r="J112" s="2" t="s">
        <v>23</v>
      </c>
      <c r="K112" s="72"/>
      <c r="L112" s="39">
        <v>6195</v>
      </c>
      <c r="M112" s="72">
        <f t="shared" si="6"/>
        <v>6195</v>
      </c>
      <c r="N112" s="72">
        <f t="shared" si="7"/>
        <v>506164.99999999988</v>
      </c>
    </row>
    <row r="113" spans="1:14" x14ac:dyDescent="0.2">
      <c r="A113" s="73" t="s">
        <v>419</v>
      </c>
      <c r="B113" s="3">
        <f t="shared" si="4"/>
        <v>2025</v>
      </c>
      <c r="C113" s="3">
        <f t="shared" si="5"/>
        <v>1</v>
      </c>
      <c r="D113" s="73" t="s">
        <v>300</v>
      </c>
      <c r="E113" s="2"/>
      <c r="F113" s="2" t="s">
        <v>304</v>
      </c>
      <c r="G113" s="2" t="s">
        <v>303</v>
      </c>
      <c r="H113" s="2" t="s">
        <v>302</v>
      </c>
      <c r="I113" s="2" t="s">
        <v>301</v>
      </c>
      <c r="J113" s="2" t="s">
        <v>11</v>
      </c>
      <c r="K113" s="72">
        <v>12.98</v>
      </c>
      <c r="L113" s="39"/>
      <c r="M113" s="72">
        <f t="shared" si="6"/>
        <v>-12.98</v>
      </c>
      <c r="N113" s="72">
        <f t="shared" si="7"/>
        <v>506152.0199999999</v>
      </c>
    </row>
    <row r="114" spans="1:14" x14ac:dyDescent="0.2">
      <c r="A114" s="73" t="s">
        <v>419</v>
      </c>
      <c r="B114" s="3">
        <f t="shared" si="4"/>
        <v>2025</v>
      </c>
      <c r="C114" s="3">
        <f t="shared" si="5"/>
        <v>1</v>
      </c>
      <c r="D114" s="73" t="s">
        <v>300</v>
      </c>
      <c r="E114" s="2"/>
      <c r="F114" s="2" t="s">
        <v>299</v>
      </c>
      <c r="G114" s="2"/>
      <c r="H114" s="2" t="s">
        <v>298</v>
      </c>
      <c r="I114" s="2" t="s">
        <v>297</v>
      </c>
      <c r="J114" s="2" t="s">
        <v>296</v>
      </c>
      <c r="K114" s="72">
        <v>6182.02</v>
      </c>
      <c r="L114" s="39"/>
      <c r="M114" s="72">
        <f t="shared" si="6"/>
        <v>-6182.02</v>
      </c>
      <c r="N114" s="72">
        <f t="shared" si="7"/>
        <v>499969.99999999988</v>
      </c>
    </row>
    <row r="115" spans="1:14" x14ac:dyDescent="0.2">
      <c r="A115" s="73" t="s">
        <v>418</v>
      </c>
      <c r="B115" s="3">
        <f t="shared" si="4"/>
        <v>2025</v>
      </c>
      <c r="C115" s="3">
        <f t="shared" si="5"/>
        <v>1</v>
      </c>
      <c r="D115" s="73" t="s">
        <v>300</v>
      </c>
      <c r="E115" s="2"/>
      <c r="F115" s="2" t="s">
        <v>325</v>
      </c>
      <c r="G115" s="2" t="s">
        <v>383</v>
      </c>
      <c r="H115" s="2" t="s">
        <v>323</v>
      </c>
      <c r="I115" s="2" t="s">
        <v>316</v>
      </c>
      <c r="J115" s="2" t="s">
        <v>28</v>
      </c>
      <c r="K115" s="72">
        <v>263.76</v>
      </c>
      <c r="L115" s="39"/>
      <c r="M115" s="72">
        <f t="shared" si="6"/>
        <v>-263.76</v>
      </c>
      <c r="N115" s="72">
        <f t="shared" si="7"/>
        <v>499706.23999999987</v>
      </c>
    </row>
    <row r="116" spans="1:14" x14ac:dyDescent="0.2">
      <c r="A116" s="73" t="s">
        <v>418</v>
      </c>
      <c r="B116" s="3">
        <f t="shared" si="4"/>
        <v>2025</v>
      </c>
      <c r="C116" s="3">
        <f t="shared" si="5"/>
        <v>1</v>
      </c>
      <c r="D116" s="73" t="s">
        <v>300</v>
      </c>
      <c r="E116" s="2"/>
      <c r="F116" s="2" t="s">
        <v>309</v>
      </c>
      <c r="G116" s="2" t="s">
        <v>69</v>
      </c>
      <c r="H116" s="2" t="s">
        <v>346</v>
      </c>
      <c r="I116" s="2" t="s">
        <v>315</v>
      </c>
      <c r="J116" s="2" t="s">
        <v>23</v>
      </c>
      <c r="K116" s="72"/>
      <c r="L116" s="39">
        <v>14500</v>
      </c>
      <c r="M116" s="72">
        <f t="shared" si="6"/>
        <v>14500</v>
      </c>
      <c r="N116" s="72">
        <f t="shared" si="7"/>
        <v>514206.23999999987</v>
      </c>
    </row>
    <row r="117" spans="1:14" x14ac:dyDescent="0.2">
      <c r="A117" s="73" t="s">
        <v>418</v>
      </c>
      <c r="B117" s="3">
        <f t="shared" si="4"/>
        <v>2025</v>
      </c>
      <c r="C117" s="3">
        <f t="shared" si="5"/>
        <v>1</v>
      </c>
      <c r="D117" s="73" t="s">
        <v>300</v>
      </c>
      <c r="E117" s="2"/>
      <c r="F117" s="2" t="s">
        <v>304</v>
      </c>
      <c r="G117" s="2" t="s">
        <v>317</v>
      </c>
      <c r="H117" s="2" t="s">
        <v>349</v>
      </c>
      <c r="I117" s="2" t="s">
        <v>297</v>
      </c>
      <c r="J117" s="2" t="s">
        <v>26</v>
      </c>
      <c r="K117" s="72">
        <v>20</v>
      </c>
      <c r="L117" s="39"/>
      <c r="M117" s="72">
        <f t="shared" si="6"/>
        <v>-20</v>
      </c>
      <c r="N117" s="72">
        <f t="shared" si="7"/>
        <v>514186.23999999987</v>
      </c>
    </row>
    <row r="118" spans="1:14" x14ac:dyDescent="0.2">
      <c r="A118" s="73" t="s">
        <v>418</v>
      </c>
      <c r="B118" s="3">
        <f t="shared" si="4"/>
        <v>2025</v>
      </c>
      <c r="C118" s="3">
        <f t="shared" si="5"/>
        <v>1</v>
      </c>
      <c r="D118" s="73" t="s">
        <v>300</v>
      </c>
      <c r="E118" s="2"/>
      <c r="F118" s="2" t="s">
        <v>321</v>
      </c>
      <c r="G118" s="2" t="s">
        <v>329</v>
      </c>
      <c r="H118" s="2" t="s">
        <v>319</v>
      </c>
      <c r="I118" s="2" t="s">
        <v>315</v>
      </c>
      <c r="J118" s="2" t="s">
        <v>23</v>
      </c>
      <c r="K118" s="72"/>
      <c r="L118" s="39">
        <v>24777.599999999999</v>
      </c>
      <c r="M118" s="72">
        <f t="shared" si="6"/>
        <v>24777.599999999999</v>
      </c>
      <c r="N118" s="72">
        <f t="shared" si="7"/>
        <v>538963.83999999985</v>
      </c>
    </row>
    <row r="119" spans="1:14" x14ac:dyDescent="0.2">
      <c r="A119" s="73" t="s">
        <v>418</v>
      </c>
      <c r="B119" s="3">
        <f t="shared" si="4"/>
        <v>2025</v>
      </c>
      <c r="C119" s="3">
        <f t="shared" si="5"/>
        <v>1</v>
      </c>
      <c r="D119" s="73" t="s">
        <v>300</v>
      </c>
      <c r="E119" s="2"/>
      <c r="F119" s="2" t="s">
        <v>304</v>
      </c>
      <c r="G119" s="2" t="s">
        <v>303</v>
      </c>
      <c r="H119" s="2" t="s">
        <v>302</v>
      </c>
      <c r="I119" s="2" t="s">
        <v>301</v>
      </c>
      <c r="J119" s="2" t="s">
        <v>19</v>
      </c>
      <c r="K119" s="72">
        <v>61.8</v>
      </c>
      <c r="L119" s="39"/>
      <c r="M119" s="72">
        <f t="shared" si="6"/>
        <v>-61.8</v>
      </c>
      <c r="N119" s="72">
        <f t="shared" si="7"/>
        <v>538902.0399999998</v>
      </c>
    </row>
    <row r="120" spans="1:14" x14ac:dyDescent="0.2">
      <c r="A120" s="73" t="s">
        <v>418</v>
      </c>
      <c r="B120" s="3">
        <f t="shared" si="4"/>
        <v>2025</v>
      </c>
      <c r="C120" s="3">
        <f t="shared" si="5"/>
        <v>1</v>
      </c>
      <c r="D120" s="73" t="s">
        <v>300</v>
      </c>
      <c r="E120" s="2"/>
      <c r="F120" s="2" t="s">
        <v>325</v>
      </c>
      <c r="G120" s="2" t="s">
        <v>374</v>
      </c>
      <c r="H120" s="2" t="s">
        <v>323</v>
      </c>
      <c r="I120" s="2" t="s">
        <v>316</v>
      </c>
      <c r="J120" s="2" t="s">
        <v>29</v>
      </c>
      <c r="K120" s="72">
        <v>1907</v>
      </c>
      <c r="L120" s="39"/>
      <c r="M120" s="72">
        <f t="shared" si="6"/>
        <v>-1907</v>
      </c>
      <c r="N120" s="72">
        <f t="shared" si="7"/>
        <v>536995.0399999998</v>
      </c>
    </row>
    <row r="121" spans="1:14" x14ac:dyDescent="0.2">
      <c r="A121" s="73" t="s">
        <v>418</v>
      </c>
      <c r="B121" s="3">
        <f t="shared" si="4"/>
        <v>2025</v>
      </c>
      <c r="C121" s="3">
        <f t="shared" si="5"/>
        <v>1</v>
      </c>
      <c r="D121" s="73" t="s">
        <v>300</v>
      </c>
      <c r="E121" s="2"/>
      <c r="F121" s="2" t="s">
        <v>299</v>
      </c>
      <c r="G121" s="2"/>
      <c r="H121" s="2" t="s">
        <v>298</v>
      </c>
      <c r="I121" s="2" t="s">
        <v>297</v>
      </c>
      <c r="J121" s="2" t="s">
        <v>296</v>
      </c>
      <c r="K121" s="72">
        <v>22545.040000000001</v>
      </c>
      <c r="L121" s="39"/>
      <c r="M121" s="72">
        <f t="shared" si="6"/>
        <v>-22545.040000000001</v>
      </c>
      <c r="N121" s="72">
        <f t="shared" si="7"/>
        <v>514449.99999999983</v>
      </c>
    </row>
    <row r="122" spans="1:14" x14ac:dyDescent="0.2">
      <c r="A122" s="73" t="s">
        <v>417</v>
      </c>
      <c r="B122" s="3">
        <f t="shared" si="4"/>
        <v>2025</v>
      </c>
      <c r="C122" s="3">
        <f t="shared" si="5"/>
        <v>1</v>
      </c>
      <c r="D122" s="73" t="s">
        <v>300</v>
      </c>
      <c r="E122" s="2"/>
      <c r="F122" s="2" t="s">
        <v>325</v>
      </c>
      <c r="G122" s="2" t="s">
        <v>324</v>
      </c>
      <c r="H122" s="2" t="s">
        <v>323</v>
      </c>
      <c r="I122" s="2" t="s">
        <v>316</v>
      </c>
      <c r="J122" s="2" t="s">
        <v>17</v>
      </c>
      <c r="K122" s="72">
        <v>2930.9</v>
      </c>
      <c r="L122" s="39"/>
      <c r="M122" s="72">
        <f t="shared" si="6"/>
        <v>-2930.9</v>
      </c>
      <c r="N122" s="72">
        <f t="shared" si="7"/>
        <v>511519.0999999998</v>
      </c>
    </row>
    <row r="123" spans="1:14" x14ac:dyDescent="0.2">
      <c r="A123" s="73" t="s">
        <v>417</v>
      </c>
      <c r="B123" s="3">
        <f t="shared" si="4"/>
        <v>2025</v>
      </c>
      <c r="C123" s="3">
        <f t="shared" si="5"/>
        <v>1</v>
      </c>
      <c r="D123" s="73" t="s">
        <v>300</v>
      </c>
      <c r="E123" s="2"/>
      <c r="F123" s="2" t="s">
        <v>299</v>
      </c>
      <c r="G123" s="2"/>
      <c r="H123" s="2" t="s">
        <v>298</v>
      </c>
      <c r="I123" s="2" t="s">
        <v>297</v>
      </c>
      <c r="J123" s="2" t="s">
        <v>296</v>
      </c>
      <c r="K123" s="72">
        <v>11549.1</v>
      </c>
      <c r="L123" s="39"/>
      <c r="M123" s="72">
        <f t="shared" si="6"/>
        <v>-11549.1</v>
      </c>
      <c r="N123" s="72">
        <f t="shared" si="7"/>
        <v>499969.99999999983</v>
      </c>
    </row>
    <row r="124" spans="1:14" x14ac:dyDescent="0.2">
      <c r="A124" s="73" t="s">
        <v>416</v>
      </c>
      <c r="B124" s="3">
        <f t="shared" si="4"/>
        <v>2025</v>
      </c>
      <c r="C124" s="3">
        <f t="shared" si="5"/>
        <v>1</v>
      </c>
      <c r="D124" s="73" t="s">
        <v>300</v>
      </c>
      <c r="E124" s="2"/>
      <c r="F124" s="2" t="s">
        <v>321</v>
      </c>
      <c r="G124" s="2" t="s">
        <v>328</v>
      </c>
      <c r="H124" s="2" t="s">
        <v>319</v>
      </c>
      <c r="I124" s="2" t="s">
        <v>315</v>
      </c>
      <c r="J124" s="2" t="s">
        <v>23</v>
      </c>
      <c r="K124" s="72"/>
      <c r="L124" s="39">
        <v>41184</v>
      </c>
      <c r="M124" s="72">
        <f t="shared" si="6"/>
        <v>41184</v>
      </c>
      <c r="N124" s="72">
        <f t="shared" si="7"/>
        <v>541153.99999999977</v>
      </c>
    </row>
    <row r="125" spans="1:14" x14ac:dyDescent="0.2">
      <c r="A125" s="73" t="s">
        <v>416</v>
      </c>
      <c r="B125" s="3">
        <f t="shared" si="4"/>
        <v>2025</v>
      </c>
      <c r="C125" s="3">
        <f t="shared" si="5"/>
        <v>1</v>
      </c>
      <c r="D125" s="73" t="s">
        <v>300</v>
      </c>
      <c r="E125" s="2"/>
      <c r="F125" s="2" t="s">
        <v>304</v>
      </c>
      <c r="G125" s="2" t="s">
        <v>336</v>
      </c>
      <c r="H125" s="2" t="s">
        <v>335</v>
      </c>
      <c r="I125" s="2" t="s">
        <v>301</v>
      </c>
      <c r="J125" s="2" t="s">
        <v>11</v>
      </c>
      <c r="K125" s="72">
        <v>15</v>
      </c>
      <c r="L125" s="39"/>
      <c r="M125" s="72">
        <f t="shared" si="6"/>
        <v>-15</v>
      </c>
      <c r="N125" s="72">
        <f t="shared" si="7"/>
        <v>541138.99999999977</v>
      </c>
    </row>
    <row r="126" spans="1:14" x14ac:dyDescent="0.2">
      <c r="A126" s="73" t="s">
        <v>416</v>
      </c>
      <c r="B126" s="3">
        <f t="shared" si="4"/>
        <v>2025</v>
      </c>
      <c r="C126" s="3">
        <f t="shared" si="5"/>
        <v>1</v>
      </c>
      <c r="D126" s="73" t="s">
        <v>300</v>
      </c>
      <c r="E126" s="2"/>
      <c r="F126" s="2" t="s">
        <v>304</v>
      </c>
      <c r="G126" s="2" t="s">
        <v>311</v>
      </c>
      <c r="H126" s="2" t="s">
        <v>310</v>
      </c>
      <c r="I126" s="2" t="s">
        <v>301</v>
      </c>
      <c r="J126" s="2" t="s">
        <v>11</v>
      </c>
      <c r="K126" s="72">
        <v>133.47999999999999</v>
      </c>
      <c r="L126" s="39"/>
      <c r="M126" s="72">
        <f t="shared" si="6"/>
        <v>-133.47999999999999</v>
      </c>
      <c r="N126" s="72">
        <f t="shared" si="7"/>
        <v>541005.51999999979</v>
      </c>
    </row>
    <row r="127" spans="1:14" x14ac:dyDescent="0.2">
      <c r="A127" s="73" t="s">
        <v>416</v>
      </c>
      <c r="B127" s="3">
        <f t="shared" si="4"/>
        <v>2025</v>
      </c>
      <c r="C127" s="3">
        <f t="shared" si="5"/>
        <v>1</v>
      </c>
      <c r="D127" s="73" t="s">
        <v>300</v>
      </c>
      <c r="E127" s="2"/>
      <c r="F127" s="2" t="s">
        <v>304</v>
      </c>
      <c r="G127" s="2" t="s">
        <v>344</v>
      </c>
      <c r="H127" s="2" t="s">
        <v>343</v>
      </c>
      <c r="I127" s="2" t="s">
        <v>301</v>
      </c>
      <c r="J127" s="2" t="s">
        <v>11</v>
      </c>
      <c r="K127" s="72">
        <v>75</v>
      </c>
      <c r="L127" s="39"/>
      <c r="M127" s="72">
        <f t="shared" si="6"/>
        <v>-75</v>
      </c>
      <c r="N127" s="72">
        <f t="shared" si="7"/>
        <v>540930.51999999979</v>
      </c>
    </row>
    <row r="128" spans="1:14" x14ac:dyDescent="0.2">
      <c r="A128" s="73" t="s">
        <v>416</v>
      </c>
      <c r="B128" s="3">
        <f t="shared" si="4"/>
        <v>2025</v>
      </c>
      <c r="C128" s="3">
        <f t="shared" si="5"/>
        <v>1</v>
      </c>
      <c r="D128" s="73" t="s">
        <v>300</v>
      </c>
      <c r="E128" s="2"/>
      <c r="F128" s="2" t="s">
        <v>299</v>
      </c>
      <c r="G128" s="2"/>
      <c r="H128" s="2" t="s">
        <v>298</v>
      </c>
      <c r="I128" s="2" t="s">
        <v>297</v>
      </c>
      <c r="J128" s="2" t="s">
        <v>296</v>
      </c>
      <c r="K128" s="72">
        <v>40960.519999999997</v>
      </c>
      <c r="L128" s="39"/>
      <c r="M128" s="72">
        <f t="shared" si="6"/>
        <v>-40960.519999999997</v>
      </c>
      <c r="N128" s="72">
        <f t="shared" si="7"/>
        <v>499969.99999999977</v>
      </c>
    </row>
    <row r="129" spans="1:14" x14ac:dyDescent="0.2">
      <c r="A129" s="73" t="s">
        <v>415</v>
      </c>
      <c r="B129" s="3">
        <f t="shared" si="4"/>
        <v>2025</v>
      </c>
      <c r="C129" s="3">
        <f t="shared" si="5"/>
        <v>1</v>
      </c>
      <c r="D129" s="73" t="s">
        <v>300</v>
      </c>
      <c r="E129" s="2"/>
      <c r="F129" s="2" t="s">
        <v>321</v>
      </c>
      <c r="G129" s="2" t="s">
        <v>328</v>
      </c>
      <c r="H129" s="2" t="s">
        <v>319</v>
      </c>
      <c r="I129" s="2" t="s">
        <v>315</v>
      </c>
      <c r="J129" s="2" t="s">
        <v>23</v>
      </c>
      <c r="K129" s="72"/>
      <c r="L129" s="39">
        <v>19448</v>
      </c>
      <c r="M129" s="72">
        <f t="shared" si="6"/>
        <v>19448</v>
      </c>
      <c r="N129" s="72">
        <f t="shared" si="7"/>
        <v>519417.99999999977</v>
      </c>
    </row>
    <row r="130" spans="1:14" x14ac:dyDescent="0.2">
      <c r="A130" s="73" t="s">
        <v>415</v>
      </c>
      <c r="B130" s="3">
        <f t="shared" ref="B130:B193" si="8">YEAR(A130)</f>
        <v>2025</v>
      </c>
      <c r="C130" s="3">
        <f t="shared" ref="C130:C193" si="9">MONTH(A130)</f>
        <v>1</v>
      </c>
      <c r="D130" s="73" t="s">
        <v>300</v>
      </c>
      <c r="E130" s="2"/>
      <c r="F130" s="2" t="s">
        <v>309</v>
      </c>
      <c r="G130" s="2" t="s">
        <v>12</v>
      </c>
      <c r="H130" s="2" t="s">
        <v>346</v>
      </c>
      <c r="I130" s="2" t="s">
        <v>315</v>
      </c>
      <c r="J130" s="2" t="s">
        <v>23</v>
      </c>
      <c r="K130" s="72"/>
      <c r="L130" s="39">
        <v>1500</v>
      </c>
      <c r="M130" s="72">
        <f t="shared" ref="M130:M193" si="10">IF(ISBLANK(L130),K130*-1,L130)</f>
        <v>1500</v>
      </c>
      <c r="N130" s="72">
        <f t="shared" si="7"/>
        <v>520917.99999999977</v>
      </c>
    </row>
    <row r="131" spans="1:14" x14ac:dyDescent="0.2">
      <c r="A131" s="73" t="s">
        <v>415</v>
      </c>
      <c r="B131" s="3">
        <f t="shared" si="8"/>
        <v>2025</v>
      </c>
      <c r="C131" s="3">
        <f t="shared" si="9"/>
        <v>1</v>
      </c>
      <c r="D131" s="73" t="s">
        <v>300</v>
      </c>
      <c r="E131" s="2"/>
      <c r="F131" s="2" t="s">
        <v>304</v>
      </c>
      <c r="G131" s="2" t="s">
        <v>306</v>
      </c>
      <c r="H131" s="2" t="s">
        <v>318</v>
      </c>
      <c r="I131" s="2" t="s">
        <v>301</v>
      </c>
      <c r="J131" s="2" t="s">
        <v>11</v>
      </c>
      <c r="K131" s="72">
        <v>112.5</v>
      </c>
      <c r="L131" s="39"/>
      <c r="M131" s="72">
        <f t="shared" si="10"/>
        <v>-112.5</v>
      </c>
      <c r="N131" s="72">
        <f t="shared" ref="N131:N194" si="11">+N130+M131</f>
        <v>520805.49999999977</v>
      </c>
    </row>
    <row r="132" spans="1:14" x14ac:dyDescent="0.2">
      <c r="A132" s="73" t="s">
        <v>415</v>
      </c>
      <c r="B132" s="3">
        <f t="shared" si="8"/>
        <v>2025</v>
      </c>
      <c r="C132" s="3">
        <f t="shared" si="9"/>
        <v>1</v>
      </c>
      <c r="D132" s="73" t="s">
        <v>300</v>
      </c>
      <c r="E132" s="2"/>
      <c r="F132" s="2" t="s">
        <v>304</v>
      </c>
      <c r="G132" s="2" t="s">
        <v>306</v>
      </c>
      <c r="H132" s="2" t="s">
        <v>318</v>
      </c>
      <c r="I132" s="2" t="s">
        <v>301</v>
      </c>
      <c r="J132" s="2" t="s">
        <v>20</v>
      </c>
      <c r="K132" s="72">
        <v>41306.46</v>
      </c>
      <c r="L132" s="39"/>
      <c r="M132" s="72">
        <f t="shared" si="10"/>
        <v>-41306.46</v>
      </c>
      <c r="N132" s="72">
        <f t="shared" si="11"/>
        <v>479499.03999999975</v>
      </c>
    </row>
    <row r="133" spans="1:14" x14ac:dyDescent="0.2">
      <c r="A133" s="73" t="s">
        <v>415</v>
      </c>
      <c r="B133" s="3">
        <f t="shared" si="8"/>
        <v>2025</v>
      </c>
      <c r="C133" s="3">
        <f t="shared" si="9"/>
        <v>1</v>
      </c>
      <c r="D133" s="73" t="s">
        <v>300</v>
      </c>
      <c r="E133" s="2"/>
      <c r="F133" s="2" t="s">
        <v>304</v>
      </c>
      <c r="G133" s="2" t="s">
        <v>306</v>
      </c>
      <c r="H133" s="2" t="s">
        <v>318</v>
      </c>
      <c r="I133" s="2" t="s">
        <v>301</v>
      </c>
      <c r="J133" s="2" t="s">
        <v>24</v>
      </c>
      <c r="K133" s="72">
        <v>75824.77</v>
      </c>
      <c r="L133" s="39"/>
      <c r="M133" s="72">
        <f t="shared" si="10"/>
        <v>-75824.77</v>
      </c>
      <c r="N133" s="72">
        <f t="shared" si="11"/>
        <v>403674.26999999973</v>
      </c>
    </row>
    <row r="134" spans="1:14" x14ac:dyDescent="0.2">
      <c r="A134" s="73" t="s">
        <v>415</v>
      </c>
      <c r="B134" s="3">
        <f t="shared" si="8"/>
        <v>2025</v>
      </c>
      <c r="C134" s="3">
        <f t="shared" si="9"/>
        <v>1</v>
      </c>
      <c r="D134" s="73" t="s">
        <v>300</v>
      </c>
      <c r="E134" s="2"/>
      <c r="F134" s="2" t="s">
        <v>304</v>
      </c>
      <c r="G134" s="2" t="s">
        <v>317</v>
      </c>
      <c r="H134" s="2" t="s">
        <v>349</v>
      </c>
      <c r="I134" s="2" t="s">
        <v>297</v>
      </c>
      <c r="J134" s="2" t="s">
        <v>26</v>
      </c>
      <c r="K134" s="72">
        <v>15</v>
      </c>
      <c r="L134" s="39"/>
      <c r="M134" s="72">
        <f t="shared" si="10"/>
        <v>-15</v>
      </c>
      <c r="N134" s="72">
        <f t="shared" si="11"/>
        <v>403659.26999999973</v>
      </c>
    </row>
    <row r="135" spans="1:14" x14ac:dyDescent="0.2">
      <c r="A135" s="73" t="s">
        <v>415</v>
      </c>
      <c r="B135" s="3">
        <f t="shared" si="8"/>
        <v>2025</v>
      </c>
      <c r="C135" s="3">
        <f t="shared" si="9"/>
        <v>1</v>
      </c>
      <c r="D135" s="73" t="s">
        <v>300</v>
      </c>
      <c r="E135" s="2"/>
      <c r="F135" s="2" t="s">
        <v>304</v>
      </c>
      <c r="G135" s="2" t="s">
        <v>303</v>
      </c>
      <c r="H135" s="2" t="s">
        <v>302</v>
      </c>
      <c r="I135" s="2" t="s">
        <v>301</v>
      </c>
      <c r="J135" s="2" t="s">
        <v>11</v>
      </c>
      <c r="K135" s="72">
        <v>25</v>
      </c>
      <c r="L135" s="39"/>
      <c r="M135" s="72">
        <f t="shared" si="10"/>
        <v>-25</v>
      </c>
      <c r="N135" s="72">
        <f t="shared" si="11"/>
        <v>403634.26999999973</v>
      </c>
    </row>
    <row r="136" spans="1:14" x14ac:dyDescent="0.2">
      <c r="A136" s="73" t="s">
        <v>415</v>
      </c>
      <c r="B136" s="3">
        <f t="shared" si="8"/>
        <v>2025</v>
      </c>
      <c r="C136" s="3">
        <f t="shared" si="9"/>
        <v>1</v>
      </c>
      <c r="D136" s="73" t="s">
        <v>300</v>
      </c>
      <c r="E136" s="2"/>
      <c r="F136" s="2" t="s">
        <v>299</v>
      </c>
      <c r="G136" s="2"/>
      <c r="H136" s="2" t="s">
        <v>298</v>
      </c>
      <c r="I136" s="2" t="s">
        <v>297</v>
      </c>
      <c r="J136" s="2" t="s">
        <v>296</v>
      </c>
      <c r="K136" s="72"/>
      <c r="L136" s="39">
        <v>97820.73</v>
      </c>
      <c r="M136" s="72">
        <f t="shared" si="10"/>
        <v>97820.73</v>
      </c>
      <c r="N136" s="72">
        <f t="shared" si="11"/>
        <v>501454.99999999971</v>
      </c>
    </row>
    <row r="137" spans="1:14" x14ac:dyDescent="0.2">
      <c r="A137" s="73" t="s">
        <v>406</v>
      </c>
      <c r="B137" s="3">
        <f t="shared" si="8"/>
        <v>2025</v>
      </c>
      <c r="C137" s="3">
        <f t="shared" si="9"/>
        <v>1</v>
      </c>
      <c r="D137" s="73" t="s">
        <v>300</v>
      </c>
      <c r="E137" s="2"/>
      <c r="F137" s="2" t="s">
        <v>309</v>
      </c>
      <c r="G137" s="2" t="s">
        <v>413</v>
      </c>
      <c r="H137" s="2" t="s">
        <v>414</v>
      </c>
      <c r="I137" s="2" t="s">
        <v>297</v>
      </c>
      <c r="J137" s="2" t="s">
        <v>50</v>
      </c>
      <c r="K137" s="72"/>
      <c r="L137" s="39">
        <v>49999.71</v>
      </c>
      <c r="M137" s="72">
        <f t="shared" si="10"/>
        <v>49999.71</v>
      </c>
      <c r="N137" s="72">
        <f t="shared" si="11"/>
        <v>551454.70999999973</v>
      </c>
    </row>
    <row r="138" spans="1:14" x14ac:dyDescent="0.2">
      <c r="A138" s="73" t="s">
        <v>406</v>
      </c>
      <c r="B138" s="3">
        <f t="shared" si="8"/>
        <v>2025</v>
      </c>
      <c r="C138" s="3">
        <f t="shared" si="9"/>
        <v>1</v>
      </c>
      <c r="D138" s="73" t="s">
        <v>300</v>
      </c>
      <c r="E138" s="2"/>
      <c r="F138" s="2" t="s">
        <v>309</v>
      </c>
      <c r="G138" s="2" t="s">
        <v>407</v>
      </c>
      <c r="H138" s="2" t="s">
        <v>408</v>
      </c>
      <c r="I138" s="2" t="s">
        <v>297</v>
      </c>
      <c r="J138" s="2" t="s">
        <v>50</v>
      </c>
      <c r="K138" s="72"/>
      <c r="L138" s="39">
        <v>50000</v>
      </c>
      <c r="M138" s="72">
        <f t="shared" si="10"/>
        <v>50000</v>
      </c>
      <c r="N138" s="72">
        <f t="shared" si="11"/>
        <v>601454.70999999973</v>
      </c>
    </row>
    <row r="139" spans="1:14" x14ac:dyDescent="0.2">
      <c r="A139" s="73" t="s">
        <v>406</v>
      </c>
      <c r="B139" s="3">
        <f t="shared" si="8"/>
        <v>2025</v>
      </c>
      <c r="C139" s="3">
        <f t="shared" si="9"/>
        <v>1</v>
      </c>
      <c r="D139" s="73" t="s">
        <v>300</v>
      </c>
      <c r="E139" s="2"/>
      <c r="F139" s="2" t="s">
        <v>309</v>
      </c>
      <c r="G139" s="2" t="s">
        <v>409</v>
      </c>
      <c r="H139" s="2" t="s">
        <v>410</v>
      </c>
      <c r="I139" s="2" t="s">
        <v>297</v>
      </c>
      <c r="J139" s="2" t="s">
        <v>50</v>
      </c>
      <c r="K139" s="72"/>
      <c r="L139" s="39">
        <v>50000</v>
      </c>
      <c r="M139" s="72">
        <f t="shared" si="10"/>
        <v>50000</v>
      </c>
      <c r="N139" s="72">
        <f t="shared" si="11"/>
        <v>651454.70999999973</v>
      </c>
    </row>
    <row r="140" spans="1:14" x14ac:dyDescent="0.2">
      <c r="A140" s="73" t="s">
        <v>406</v>
      </c>
      <c r="B140" s="3">
        <f t="shared" si="8"/>
        <v>2025</v>
      </c>
      <c r="C140" s="3">
        <f t="shared" si="9"/>
        <v>1</v>
      </c>
      <c r="D140" s="73" t="s">
        <v>300</v>
      </c>
      <c r="E140" s="2"/>
      <c r="F140" s="2" t="s">
        <v>304</v>
      </c>
      <c r="G140" s="2" t="s">
        <v>336</v>
      </c>
      <c r="H140" s="2" t="s">
        <v>335</v>
      </c>
      <c r="I140" s="2" t="s">
        <v>301</v>
      </c>
      <c r="J140" s="2" t="s">
        <v>11</v>
      </c>
      <c r="K140" s="72">
        <v>40.74</v>
      </c>
      <c r="L140" s="39"/>
      <c r="M140" s="72">
        <f t="shared" si="10"/>
        <v>-40.74</v>
      </c>
      <c r="N140" s="72">
        <f t="shared" si="11"/>
        <v>651413.96999999974</v>
      </c>
    </row>
    <row r="141" spans="1:14" x14ac:dyDescent="0.2">
      <c r="A141" s="73" t="s">
        <v>406</v>
      </c>
      <c r="B141" s="3">
        <f t="shared" si="8"/>
        <v>2025</v>
      </c>
      <c r="C141" s="3">
        <f t="shared" si="9"/>
        <v>1</v>
      </c>
      <c r="D141" s="73" t="s">
        <v>300</v>
      </c>
      <c r="E141" s="2"/>
      <c r="F141" s="2" t="s">
        <v>321</v>
      </c>
      <c r="G141" s="2" t="s">
        <v>332</v>
      </c>
      <c r="H141" s="2" t="s">
        <v>319</v>
      </c>
      <c r="I141" s="2" t="s">
        <v>315</v>
      </c>
      <c r="J141" s="2" t="s">
        <v>23</v>
      </c>
      <c r="K141" s="72"/>
      <c r="L141" s="39">
        <v>10066.200000000001</v>
      </c>
      <c r="M141" s="72">
        <f t="shared" si="10"/>
        <v>10066.200000000001</v>
      </c>
      <c r="N141" s="72">
        <f t="shared" si="11"/>
        <v>661480.16999999969</v>
      </c>
    </row>
    <row r="142" spans="1:14" x14ac:dyDescent="0.2">
      <c r="A142" s="73" t="s">
        <v>406</v>
      </c>
      <c r="B142" s="3">
        <f t="shared" si="8"/>
        <v>2025</v>
      </c>
      <c r="C142" s="3">
        <f t="shared" si="9"/>
        <v>1</v>
      </c>
      <c r="D142" s="73" t="s">
        <v>300</v>
      </c>
      <c r="E142" s="2"/>
      <c r="F142" s="2" t="s">
        <v>321</v>
      </c>
      <c r="G142" s="2" t="s">
        <v>49</v>
      </c>
      <c r="H142" s="2" t="s">
        <v>319</v>
      </c>
      <c r="I142" s="2" t="s">
        <v>315</v>
      </c>
      <c r="J142" s="2" t="s">
        <v>23</v>
      </c>
      <c r="K142" s="72"/>
      <c r="L142" s="39">
        <v>8750</v>
      </c>
      <c r="M142" s="72">
        <f t="shared" si="10"/>
        <v>8750</v>
      </c>
      <c r="N142" s="72">
        <f t="shared" si="11"/>
        <v>670230.16999999969</v>
      </c>
    </row>
    <row r="143" spans="1:14" x14ac:dyDescent="0.2">
      <c r="A143" s="73" t="s">
        <v>406</v>
      </c>
      <c r="B143" s="3">
        <f t="shared" si="8"/>
        <v>2025</v>
      </c>
      <c r="C143" s="3">
        <f t="shared" si="9"/>
        <v>1</v>
      </c>
      <c r="D143" s="73" t="s">
        <v>300</v>
      </c>
      <c r="E143" s="2"/>
      <c r="F143" s="2" t="s">
        <v>321</v>
      </c>
      <c r="G143" s="2" t="s">
        <v>322</v>
      </c>
      <c r="H143" s="2" t="s">
        <v>319</v>
      </c>
      <c r="I143" s="2" t="s">
        <v>315</v>
      </c>
      <c r="J143" s="2" t="s">
        <v>23</v>
      </c>
      <c r="K143" s="72"/>
      <c r="L143" s="39">
        <v>8400</v>
      </c>
      <c r="M143" s="72">
        <f t="shared" si="10"/>
        <v>8400</v>
      </c>
      <c r="N143" s="72">
        <f t="shared" si="11"/>
        <v>678630.16999999969</v>
      </c>
    </row>
    <row r="144" spans="1:14" x14ac:dyDescent="0.2">
      <c r="A144" s="73" t="s">
        <v>406</v>
      </c>
      <c r="B144" s="3">
        <f t="shared" si="8"/>
        <v>2025</v>
      </c>
      <c r="C144" s="3">
        <f t="shared" si="9"/>
        <v>1</v>
      </c>
      <c r="D144" s="73" t="s">
        <v>300</v>
      </c>
      <c r="E144" s="2"/>
      <c r="F144" s="2" t="s">
        <v>309</v>
      </c>
      <c r="G144" s="2" t="s">
        <v>308</v>
      </c>
      <c r="H144" s="2" t="s">
        <v>307</v>
      </c>
      <c r="I144" s="2" t="s">
        <v>297</v>
      </c>
      <c r="J144" s="2" t="s">
        <v>48</v>
      </c>
      <c r="K144" s="72"/>
      <c r="L144" s="39">
        <v>7748.71</v>
      </c>
      <c r="M144" s="72">
        <f t="shared" si="10"/>
        <v>7748.71</v>
      </c>
      <c r="N144" s="72">
        <f t="shared" si="11"/>
        <v>686378.87999999966</v>
      </c>
    </row>
    <row r="145" spans="1:14" x14ac:dyDescent="0.2">
      <c r="A145" s="73" t="s">
        <v>406</v>
      </c>
      <c r="B145" s="3">
        <f t="shared" si="8"/>
        <v>2025</v>
      </c>
      <c r="C145" s="3">
        <f t="shared" si="9"/>
        <v>1</v>
      </c>
      <c r="D145" s="73" t="s">
        <v>300</v>
      </c>
      <c r="E145" s="2"/>
      <c r="F145" s="2" t="s">
        <v>309</v>
      </c>
      <c r="G145" s="2" t="s">
        <v>411</v>
      </c>
      <c r="H145" s="2" t="s">
        <v>412</v>
      </c>
      <c r="I145" s="2" t="s">
        <v>297</v>
      </c>
      <c r="J145" s="2" t="s">
        <v>50</v>
      </c>
      <c r="K145" s="72"/>
      <c r="L145" s="39">
        <v>49999.71</v>
      </c>
      <c r="M145" s="72">
        <f t="shared" si="10"/>
        <v>49999.71</v>
      </c>
      <c r="N145" s="72">
        <f t="shared" si="11"/>
        <v>736378.58999999962</v>
      </c>
    </row>
    <row r="146" spans="1:14" x14ac:dyDescent="0.2">
      <c r="A146" s="73" t="s">
        <v>406</v>
      </c>
      <c r="B146" s="3">
        <f t="shared" si="8"/>
        <v>2025</v>
      </c>
      <c r="C146" s="3">
        <f t="shared" si="9"/>
        <v>1</v>
      </c>
      <c r="D146" s="73" t="s">
        <v>300</v>
      </c>
      <c r="E146" s="2"/>
      <c r="F146" s="2" t="s">
        <v>321</v>
      </c>
      <c r="G146" s="2" t="s">
        <v>320</v>
      </c>
      <c r="H146" s="2" t="s">
        <v>319</v>
      </c>
      <c r="I146" s="2" t="s">
        <v>315</v>
      </c>
      <c r="J146" s="2" t="s">
        <v>23</v>
      </c>
      <c r="K146" s="72"/>
      <c r="L146" s="39">
        <v>33580</v>
      </c>
      <c r="M146" s="72">
        <f t="shared" si="10"/>
        <v>33580</v>
      </c>
      <c r="N146" s="72">
        <f t="shared" si="11"/>
        <v>769958.58999999962</v>
      </c>
    </row>
    <row r="147" spans="1:14" x14ac:dyDescent="0.2">
      <c r="A147" s="73" t="s">
        <v>406</v>
      </c>
      <c r="B147" s="3">
        <f t="shared" si="8"/>
        <v>2025</v>
      </c>
      <c r="C147" s="3">
        <f t="shared" si="9"/>
        <v>1</v>
      </c>
      <c r="D147" s="73" t="s">
        <v>300</v>
      </c>
      <c r="E147" s="2"/>
      <c r="F147" s="2" t="s">
        <v>325</v>
      </c>
      <c r="G147" s="2" t="s">
        <v>377</v>
      </c>
      <c r="H147" s="2" t="s">
        <v>323</v>
      </c>
      <c r="I147" s="2" t="s">
        <v>301</v>
      </c>
      <c r="J147" s="2" t="s">
        <v>11</v>
      </c>
      <c r="K147" s="72">
        <v>1031.0899999999999</v>
      </c>
      <c r="L147" s="39"/>
      <c r="M147" s="72">
        <f t="shared" si="10"/>
        <v>-1031.0899999999999</v>
      </c>
      <c r="N147" s="72">
        <f t="shared" si="11"/>
        <v>768927.49999999965</v>
      </c>
    </row>
    <row r="148" spans="1:14" x14ac:dyDescent="0.2">
      <c r="A148" s="73" t="s">
        <v>406</v>
      </c>
      <c r="B148" s="3">
        <f t="shared" si="8"/>
        <v>2025</v>
      </c>
      <c r="C148" s="3">
        <f t="shared" si="9"/>
        <v>1</v>
      </c>
      <c r="D148" s="73" t="s">
        <v>300</v>
      </c>
      <c r="E148" s="2"/>
      <c r="F148" s="2" t="s">
        <v>304</v>
      </c>
      <c r="G148" s="2" t="s">
        <v>306</v>
      </c>
      <c r="H148" s="2" t="s">
        <v>318</v>
      </c>
      <c r="I148" s="2" t="s">
        <v>301</v>
      </c>
      <c r="J148" s="2" t="s">
        <v>11</v>
      </c>
      <c r="K148" s="72">
        <v>294.52</v>
      </c>
      <c r="L148" s="39"/>
      <c r="M148" s="72">
        <f t="shared" si="10"/>
        <v>-294.52</v>
      </c>
      <c r="N148" s="72">
        <f t="shared" si="11"/>
        <v>768632.97999999963</v>
      </c>
    </row>
    <row r="149" spans="1:14" x14ac:dyDescent="0.2">
      <c r="A149" s="73" t="s">
        <v>406</v>
      </c>
      <c r="B149" s="3">
        <f t="shared" si="8"/>
        <v>2025</v>
      </c>
      <c r="C149" s="3">
        <f t="shared" si="9"/>
        <v>1</v>
      </c>
      <c r="D149" s="73" t="s">
        <v>300</v>
      </c>
      <c r="E149" s="2"/>
      <c r="F149" s="2" t="s">
        <v>325</v>
      </c>
      <c r="G149" s="2" t="s">
        <v>347</v>
      </c>
      <c r="H149" s="2" t="s">
        <v>323</v>
      </c>
      <c r="I149" s="2" t="s">
        <v>316</v>
      </c>
      <c r="J149" s="2" t="s">
        <v>22</v>
      </c>
      <c r="K149" s="72">
        <v>22235.54</v>
      </c>
      <c r="L149" s="39"/>
      <c r="M149" s="72">
        <f t="shared" si="10"/>
        <v>-22235.54</v>
      </c>
      <c r="N149" s="72">
        <f t="shared" si="11"/>
        <v>746397.43999999959</v>
      </c>
    </row>
    <row r="150" spans="1:14" x14ac:dyDescent="0.2">
      <c r="A150" s="90" t="s">
        <v>406</v>
      </c>
      <c r="B150" s="91">
        <f t="shared" si="8"/>
        <v>2025</v>
      </c>
      <c r="C150" s="91">
        <f t="shared" si="9"/>
        <v>1</v>
      </c>
      <c r="D150" s="90" t="s">
        <v>300</v>
      </c>
      <c r="E150" s="92"/>
      <c r="F150" s="92" t="s">
        <v>299</v>
      </c>
      <c r="G150" s="92"/>
      <c r="H150" s="92" t="s">
        <v>298</v>
      </c>
      <c r="I150" s="92" t="s">
        <v>297</v>
      </c>
      <c r="J150" s="92" t="s">
        <v>296</v>
      </c>
      <c r="K150" s="80">
        <v>246427.44</v>
      </c>
      <c r="L150" s="93"/>
      <c r="M150" s="80">
        <f t="shared" si="10"/>
        <v>-246427.44</v>
      </c>
      <c r="N150" s="80">
        <f t="shared" si="11"/>
        <v>499969.99999999959</v>
      </c>
    </row>
    <row r="151" spans="1:14" x14ac:dyDescent="0.2">
      <c r="A151" s="73" t="s">
        <v>441</v>
      </c>
      <c r="B151" s="3">
        <f t="shared" si="8"/>
        <v>2025</v>
      </c>
      <c r="C151" s="3">
        <f t="shared" si="9"/>
        <v>2</v>
      </c>
      <c r="D151" s="73" t="s">
        <v>300</v>
      </c>
      <c r="E151" s="2"/>
      <c r="F151" s="2" t="s">
        <v>304</v>
      </c>
      <c r="G151" s="2" t="s">
        <v>336</v>
      </c>
      <c r="H151" s="2" t="s">
        <v>335</v>
      </c>
      <c r="I151" s="2" t="s">
        <v>301</v>
      </c>
      <c r="J151" s="2" t="s">
        <v>11</v>
      </c>
      <c r="K151" s="72">
        <v>37.06</v>
      </c>
      <c r="L151" s="39"/>
      <c r="M151" s="72">
        <f t="shared" si="10"/>
        <v>-37.06</v>
      </c>
      <c r="N151" s="72">
        <f t="shared" si="11"/>
        <v>499932.93999999959</v>
      </c>
    </row>
    <row r="152" spans="1:14" x14ac:dyDescent="0.2">
      <c r="A152" s="73" t="s">
        <v>441</v>
      </c>
      <c r="B152" s="3">
        <f t="shared" si="8"/>
        <v>2025</v>
      </c>
      <c r="C152" s="3">
        <f t="shared" si="9"/>
        <v>2</v>
      </c>
      <c r="D152" s="73" t="s">
        <v>300</v>
      </c>
      <c r="E152" s="2"/>
      <c r="F152" s="2" t="s">
        <v>304</v>
      </c>
      <c r="G152" s="2" t="s">
        <v>373</v>
      </c>
      <c r="H152" s="2" t="s">
        <v>372</v>
      </c>
      <c r="I152" s="2" t="s">
        <v>301</v>
      </c>
      <c r="J152" s="2" t="s">
        <v>11</v>
      </c>
      <c r="K152" s="72">
        <v>12890.92</v>
      </c>
      <c r="L152" s="39"/>
      <c r="M152" s="72">
        <f t="shared" si="10"/>
        <v>-12890.92</v>
      </c>
      <c r="N152" s="72">
        <f t="shared" si="11"/>
        <v>487042.01999999961</v>
      </c>
    </row>
    <row r="153" spans="1:14" x14ac:dyDescent="0.2">
      <c r="A153" s="73" t="s">
        <v>441</v>
      </c>
      <c r="B153" s="3">
        <f t="shared" si="8"/>
        <v>2025</v>
      </c>
      <c r="C153" s="3">
        <f t="shared" si="9"/>
        <v>2</v>
      </c>
      <c r="D153" s="73" t="s">
        <v>300</v>
      </c>
      <c r="E153" s="2"/>
      <c r="F153" s="2" t="s">
        <v>314</v>
      </c>
      <c r="G153" s="2" t="s">
        <v>0</v>
      </c>
      <c r="H153" s="2" t="s">
        <v>313</v>
      </c>
      <c r="I153" s="2" t="s">
        <v>312</v>
      </c>
      <c r="J153" s="2" t="s">
        <v>0</v>
      </c>
      <c r="K153" s="72">
        <v>324</v>
      </c>
      <c r="L153" s="39"/>
      <c r="M153" s="72">
        <f t="shared" si="10"/>
        <v>-324</v>
      </c>
      <c r="N153" s="72">
        <f t="shared" si="11"/>
        <v>486718.01999999961</v>
      </c>
    </row>
    <row r="154" spans="1:14" x14ac:dyDescent="0.2">
      <c r="A154" s="73" t="s">
        <v>441</v>
      </c>
      <c r="B154" s="3">
        <f t="shared" si="8"/>
        <v>2025</v>
      </c>
      <c r="C154" s="3">
        <f t="shared" si="9"/>
        <v>2</v>
      </c>
      <c r="D154" s="73" t="s">
        <v>300</v>
      </c>
      <c r="E154" s="2"/>
      <c r="F154" s="2" t="s">
        <v>304</v>
      </c>
      <c r="G154" s="2" t="s">
        <v>385</v>
      </c>
      <c r="H154" s="2" t="s">
        <v>333</v>
      </c>
      <c r="I154" s="2" t="s">
        <v>316</v>
      </c>
      <c r="J154" s="2" t="s">
        <v>18</v>
      </c>
      <c r="K154" s="72">
        <v>3794</v>
      </c>
      <c r="L154" s="39"/>
      <c r="M154" s="72">
        <f t="shared" si="10"/>
        <v>-3794</v>
      </c>
      <c r="N154" s="72">
        <f t="shared" si="11"/>
        <v>482924.01999999961</v>
      </c>
    </row>
    <row r="155" spans="1:14" x14ac:dyDescent="0.2">
      <c r="A155" s="73" t="s">
        <v>441</v>
      </c>
      <c r="B155" s="3">
        <f t="shared" si="8"/>
        <v>2025</v>
      </c>
      <c r="C155" s="3">
        <f t="shared" si="9"/>
        <v>2</v>
      </c>
      <c r="D155" s="73" t="s">
        <v>300</v>
      </c>
      <c r="E155" s="2"/>
      <c r="F155" s="2" t="s">
        <v>309</v>
      </c>
      <c r="G155" s="2" t="s">
        <v>460</v>
      </c>
      <c r="H155" s="2" t="s">
        <v>461</v>
      </c>
      <c r="I155" s="2" t="s">
        <v>297</v>
      </c>
      <c r="J155" s="2" t="s">
        <v>50</v>
      </c>
      <c r="K155" s="72"/>
      <c r="L155" s="39">
        <v>50000</v>
      </c>
      <c r="M155" s="72">
        <f t="shared" si="10"/>
        <v>50000</v>
      </c>
      <c r="N155" s="72">
        <f t="shared" si="11"/>
        <v>532924.01999999955</v>
      </c>
    </row>
    <row r="156" spans="1:14" x14ac:dyDescent="0.2">
      <c r="A156" s="73" t="s">
        <v>441</v>
      </c>
      <c r="B156" s="3">
        <f t="shared" si="8"/>
        <v>2025</v>
      </c>
      <c r="C156" s="3">
        <f t="shared" si="9"/>
        <v>2</v>
      </c>
      <c r="D156" s="73" t="s">
        <v>300</v>
      </c>
      <c r="E156" s="2"/>
      <c r="F156" s="2" t="s">
        <v>325</v>
      </c>
      <c r="G156" s="2" t="s">
        <v>391</v>
      </c>
      <c r="H156" s="2" t="s">
        <v>323</v>
      </c>
      <c r="I156" s="2" t="s">
        <v>316</v>
      </c>
      <c r="J156" s="2" t="s">
        <v>22</v>
      </c>
      <c r="K156" s="72">
        <v>351.85</v>
      </c>
      <c r="L156" s="39"/>
      <c r="M156" s="72">
        <f t="shared" si="10"/>
        <v>-351.85</v>
      </c>
      <c r="N156" s="72">
        <f t="shared" si="11"/>
        <v>532572.16999999958</v>
      </c>
    </row>
    <row r="157" spans="1:14" x14ac:dyDescent="0.2">
      <c r="A157" s="73" t="s">
        <v>441</v>
      </c>
      <c r="B157" s="3">
        <f t="shared" si="8"/>
        <v>2025</v>
      </c>
      <c r="C157" s="3">
        <f t="shared" si="9"/>
        <v>2</v>
      </c>
      <c r="D157" s="73" t="s">
        <v>300</v>
      </c>
      <c r="E157" s="2"/>
      <c r="F157" s="2" t="s">
        <v>309</v>
      </c>
      <c r="G157" s="2" t="s">
        <v>462</v>
      </c>
      <c r="H157" s="2" t="s">
        <v>463</v>
      </c>
      <c r="I157" s="2" t="s">
        <v>297</v>
      </c>
      <c r="J157" s="2" t="s">
        <v>50</v>
      </c>
      <c r="K157" s="72"/>
      <c r="L157" s="39">
        <v>50000</v>
      </c>
      <c r="M157" s="72">
        <f t="shared" si="10"/>
        <v>50000</v>
      </c>
      <c r="N157" s="72">
        <f t="shared" si="11"/>
        <v>582572.16999999958</v>
      </c>
    </row>
    <row r="158" spans="1:14" x14ac:dyDescent="0.2">
      <c r="A158" s="73" t="s">
        <v>441</v>
      </c>
      <c r="B158" s="3">
        <f t="shared" si="8"/>
        <v>2025</v>
      </c>
      <c r="C158" s="3">
        <f t="shared" si="9"/>
        <v>2</v>
      </c>
      <c r="D158" s="73" t="s">
        <v>300</v>
      </c>
      <c r="E158" s="2"/>
      <c r="F158" s="2" t="s">
        <v>309</v>
      </c>
      <c r="G158" s="2" t="s">
        <v>464</v>
      </c>
      <c r="H158" s="2" t="s">
        <v>465</v>
      </c>
      <c r="I158" s="2" t="s">
        <v>297</v>
      </c>
      <c r="J158" s="2" t="s">
        <v>50</v>
      </c>
      <c r="K158" s="72"/>
      <c r="L158" s="39">
        <v>50000</v>
      </c>
      <c r="M158" s="72">
        <f t="shared" si="10"/>
        <v>50000</v>
      </c>
      <c r="N158" s="72">
        <f t="shared" si="11"/>
        <v>632572.16999999958</v>
      </c>
    </row>
    <row r="159" spans="1:14" x14ac:dyDescent="0.2">
      <c r="A159" s="73" t="s">
        <v>441</v>
      </c>
      <c r="B159" s="3">
        <f t="shared" si="8"/>
        <v>2025</v>
      </c>
      <c r="C159" s="3">
        <f t="shared" si="9"/>
        <v>2</v>
      </c>
      <c r="D159" s="73" t="s">
        <v>300</v>
      </c>
      <c r="E159" s="2"/>
      <c r="F159" s="2" t="s">
        <v>304</v>
      </c>
      <c r="G159" s="2" t="s">
        <v>344</v>
      </c>
      <c r="H159" s="2" t="s">
        <v>343</v>
      </c>
      <c r="I159" s="2" t="s">
        <v>301</v>
      </c>
      <c r="J159" s="2" t="s">
        <v>11</v>
      </c>
      <c r="K159" s="72">
        <v>7812.47</v>
      </c>
      <c r="L159" s="39"/>
      <c r="M159" s="72">
        <f t="shared" si="10"/>
        <v>-7812.47</v>
      </c>
      <c r="N159" s="72">
        <f t="shared" si="11"/>
        <v>624759.6999999996</v>
      </c>
    </row>
    <row r="160" spans="1:14" x14ac:dyDescent="0.2">
      <c r="A160" s="73" t="s">
        <v>441</v>
      </c>
      <c r="B160" s="3">
        <f t="shared" si="8"/>
        <v>2025</v>
      </c>
      <c r="C160" s="3">
        <f t="shared" si="9"/>
        <v>2</v>
      </c>
      <c r="D160" s="73" t="s">
        <v>300</v>
      </c>
      <c r="E160" s="2"/>
      <c r="F160" s="2" t="s">
        <v>299</v>
      </c>
      <c r="G160" s="2"/>
      <c r="H160" s="2" t="s">
        <v>298</v>
      </c>
      <c r="I160" s="2" t="s">
        <v>297</v>
      </c>
      <c r="J160" s="2" t="s">
        <v>296</v>
      </c>
      <c r="K160" s="72">
        <v>124789.7</v>
      </c>
      <c r="L160" s="39"/>
      <c r="M160" s="72">
        <f t="shared" si="10"/>
        <v>-124789.7</v>
      </c>
      <c r="N160" s="72">
        <f t="shared" si="11"/>
        <v>499969.99999999959</v>
      </c>
    </row>
    <row r="161" spans="1:14" x14ac:dyDescent="0.2">
      <c r="A161" s="73" t="s">
        <v>442</v>
      </c>
      <c r="B161" s="3">
        <f t="shared" si="8"/>
        <v>2025</v>
      </c>
      <c r="C161" s="3">
        <f t="shared" si="9"/>
        <v>2</v>
      </c>
      <c r="D161" s="73" t="s">
        <v>300</v>
      </c>
      <c r="E161" s="2"/>
      <c r="F161" s="2" t="s">
        <v>309</v>
      </c>
      <c r="G161" s="2" t="s">
        <v>466</v>
      </c>
      <c r="H161" s="2" t="s">
        <v>467</v>
      </c>
      <c r="I161" s="2" t="s">
        <v>297</v>
      </c>
      <c r="J161" s="2" t="s">
        <v>50</v>
      </c>
      <c r="K161" s="72"/>
      <c r="L161" s="39">
        <v>499999.44</v>
      </c>
      <c r="M161" s="72">
        <f t="shared" si="10"/>
        <v>499999.44</v>
      </c>
      <c r="N161" s="72">
        <f t="shared" si="11"/>
        <v>999969.43999999959</v>
      </c>
    </row>
    <row r="162" spans="1:14" x14ac:dyDescent="0.2">
      <c r="A162" s="73" t="s">
        <v>442</v>
      </c>
      <c r="B162" s="3">
        <f t="shared" si="8"/>
        <v>2025</v>
      </c>
      <c r="C162" s="3">
        <f t="shared" si="9"/>
        <v>2</v>
      </c>
      <c r="D162" s="73" t="s">
        <v>300</v>
      </c>
      <c r="E162" s="2"/>
      <c r="F162" s="2" t="s">
        <v>321</v>
      </c>
      <c r="G162" s="2" t="s">
        <v>109</v>
      </c>
      <c r="H162" s="2" t="s">
        <v>319</v>
      </c>
      <c r="I162" s="2" t="s">
        <v>315</v>
      </c>
      <c r="J162" s="2" t="s">
        <v>23</v>
      </c>
      <c r="K162" s="72"/>
      <c r="L162" s="39">
        <v>6935</v>
      </c>
      <c r="M162" s="72">
        <f t="shared" si="10"/>
        <v>6935</v>
      </c>
      <c r="N162" s="72">
        <f t="shared" si="11"/>
        <v>1006904.4399999996</v>
      </c>
    </row>
    <row r="163" spans="1:14" x14ac:dyDescent="0.2">
      <c r="A163" s="73" t="s">
        <v>442</v>
      </c>
      <c r="B163" s="3">
        <f t="shared" si="8"/>
        <v>2025</v>
      </c>
      <c r="C163" s="3">
        <f t="shared" si="9"/>
        <v>2</v>
      </c>
      <c r="D163" s="73" t="s">
        <v>300</v>
      </c>
      <c r="E163" s="2"/>
      <c r="F163" s="2" t="s">
        <v>309</v>
      </c>
      <c r="G163" s="2" t="s">
        <v>468</v>
      </c>
      <c r="H163" s="2" t="s">
        <v>469</v>
      </c>
      <c r="I163" s="2" t="s">
        <v>297</v>
      </c>
      <c r="J163" s="2" t="s">
        <v>50</v>
      </c>
      <c r="K163" s="72"/>
      <c r="L163" s="39">
        <v>50000</v>
      </c>
      <c r="M163" s="72">
        <f t="shared" si="10"/>
        <v>50000</v>
      </c>
      <c r="N163" s="72">
        <f t="shared" si="11"/>
        <v>1056904.4399999995</v>
      </c>
    </row>
    <row r="164" spans="1:14" x14ac:dyDescent="0.2">
      <c r="A164" s="73" t="s">
        <v>442</v>
      </c>
      <c r="B164" s="3">
        <f t="shared" si="8"/>
        <v>2025</v>
      </c>
      <c r="C164" s="3">
        <f t="shared" si="9"/>
        <v>2</v>
      </c>
      <c r="D164" s="73" t="s">
        <v>300</v>
      </c>
      <c r="E164" s="2"/>
      <c r="F164" s="2" t="s">
        <v>299</v>
      </c>
      <c r="G164" s="2"/>
      <c r="H164" s="2" t="s">
        <v>298</v>
      </c>
      <c r="I164" s="2" t="s">
        <v>297</v>
      </c>
      <c r="J164" s="2" t="s">
        <v>296</v>
      </c>
      <c r="K164" s="72">
        <v>556934.43999999994</v>
      </c>
      <c r="L164" s="39"/>
      <c r="M164" s="72">
        <f t="shared" si="10"/>
        <v>-556934.43999999994</v>
      </c>
      <c r="N164" s="72">
        <f t="shared" si="11"/>
        <v>499969.99999999953</v>
      </c>
    </row>
    <row r="165" spans="1:14" x14ac:dyDescent="0.2">
      <c r="A165" s="73" t="s">
        <v>443</v>
      </c>
      <c r="B165" s="3">
        <f t="shared" si="8"/>
        <v>2025</v>
      </c>
      <c r="C165" s="3">
        <f t="shared" si="9"/>
        <v>2</v>
      </c>
      <c r="D165" s="73" t="s">
        <v>300</v>
      </c>
      <c r="E165" s="2"/>
      <c r="F165" s="2" t="s">
        <v>309</v>
      </c>
      <c r="G165" s="2" t="s">
        <v>470</v>
      </c>
      <c r="H165" s="2" t="s">
        <v>471</v>
      </c>
      <c r="I165" s="2" t="s">
        <v>297</v>
      </c>
      <c r="J165" s="2" t="s">
        <v>50</v>
      </c>
      <c r="K165" s="72"/>
      <c r="L165" s="39">
        <v>50000</v>
      </c>
      <c r="M165" s="72">
        <f t="shared" si="10"/>
        <v>50000</v>
      </c>
      <c r="N165" s="72">
        <f t="shared" si="11"/>
        <v>549969.99999999953</v>
      </c>
    </row>
    <row r="166" spans="1:14" x14ac:dyDescent="0.2">
      <c r="A166" s="73" t="s">
        <v>443</v>
      </c>
      <c r="B166" s="3">
        <f t="shared" si="8"/>
        <v>2025</v>
      </c>
      <c r="C166" s="3">
        <f t="shared" si="9"/>
        <v>2</v>
      </c>
      <c r="D166" s="73" t="s">
        <v>300</v>
      </c>
      <c r="E166" s="2"/>
      <c r="F166" s="2" t="s">
        <v>304</v>
      </c>
      <c r="G166" s="2" t="s">
        <v>303</v>
      </c>
      <c r="H166" s="2" t="s">
        <v>302</v>
      </c>
      <c r="I166" s="2" t="s">
        <v>301</v>
      </c>
      <c r="J166" s="2" t="s">
        <v>11</v>
      </c>
      <c r="K166" s="72">
        <v>622.16999999999996</v>
      </c>
      <c r="L166" s="39"/>
      <c r="M166" s="72">
        <f t="shared" si="10"/>
        <v>-622.16999999999996</v>
      </c>
      <c r="N166" s="72">
        <f t="shared" si="11"/>
        <v>549347.82999999949</v>
      </c>
    </row>
    <row r="167" spans="1:14" x14ac:dyDescent="0.2">
      <c r="A167" s="73" t="s">
        <v>443</v>
      </c>
      <c r="B167" s="3">
        <f t="shared" si="8"/>
        <v>2025</v>
      </c>
      <c r="C167" s="3">
        <f t="shared" si="9"/>
        <v>2</v>
      </c>
      <c r="D167" s="73" t="s">
        <v>300</v>
      </c>
      <c r="E167" s="2"/>
      <c r="F167" s="2" t="s">
        <v>299</v>
      </c>
      <c r="G167" s="2"/>
      <c r="H167" s="2" t="s">
        <v>298</v>
      </c>
      <c r="I167" s="2" t="s">
        <v>297</v>
      </c>
      <c r="J167" s="2" t="s">
        <v>296</v>
      </c>
      <c r="K167" s="72">
        <v>49377.83</v>
      </c>
      <c r="L167" s="39"/>
      <c r="M167" s="72">
        <f t="shared" si="10"/>
        <v>-49377.83</v>
      </c>
      <c r="N167" s="72">
        <f t="shared" si="11"/>
        <v>499969.99999999948</v>
      </c>
    </row>
    <row r="168" spans="1:14" x14ac:dyDescent="0.2">
      <c r="A168" s="73" t="s">
        <v>444</v>
      </c>
      <c r="B168" s="3">
        <f t="shared" si="8"/>
        <v>2025</v>
      </c>
      <c r="C168" s="3">
        <f t="shared" si="9"/>
        <v>2</v>
      </c>
      <c r="D168" s="73" t="s">
        <v>300</v>
      </c>
      <c r="E168" s="2"/>
      <c r="F168" s="2" t="s">
        <v>304</v>
      </c>
      <c r="G168" s="2" t="s">
        <v>336</v>
      </c>
      <c r="H168" s="2" t="s">
        <v>335</v>
      </c>
      <c r="I168" s="2" t="s">
        <v>301</v>
      </c>
      <c r="J168" s="2" t="s">
        <v>11</v>
      </c>
      <c r="K168" s="72">
        <v>15</v>
      </c>
      <c r="L168" s="39"/>
      <c r="M168" s="72">
        <f t="shared" si="10"/>
        <v>-15</v>
      </c>
      <c r="N168" s="72">
        <f t="shared" si="11"/>
        <v>499954.99999999948</v>
      </c>
    </row>
    <row r="169" spans="1:14" x14ac:dyDescent="0.2">
      <c r="A169" s="73" t="s">
        <v>444</v>
      </c>
      <c r="B169" s="3">
        <f t="shared" si="8"/>
        <v>2025</v>
      </c>
      <c r="C169" s="3">
        <f t="shared" si="9"/>
        <v>2</v>
      </c>
      <c r="D169" s="73" t="s">
        <v>300</v>
      </c>
      <c r="E169" s="2"/>
      <c r="F169" s="2" t="s">
        <v>321</v>
      </c>
      <c r="G169" s="2" t="s">
        <v>472</v>
      </c>
      <c r="H169" s="2" t="s">
        <v>319</v>
      </c>
      <c r="I169" s="2" t="s">
        <v>315</v>
      </c>
      <c r="J169" s="2" t="s">
        <v>23</v>
      </c>
      <c r="K169" s="72"/>
      <c r="L169" s="39">
        <v>50000</v>
      </c>
      <c r="M169" s="72">
        <f t="shared" si="10"/>
        <v>50000</v>
      </c>
      <c r="N169" s="72">
        <f t="shared" si="11"/>
        <v>549954.99999999953</v>
      </c>
    </row>
    <row r="170" spans="1:14" x14ac:dyDescent="0.2">
      <c r="A170" s="73" t="s">
        <v>444</v>
      </c>
      <c r="B170" s="3">
        <f t="shared" si="8"/>
        <v>2025</v>
      </c>
      <c r="C170" s="3">
        <f t="shared" si="9"/>
        <v>2</v>
      </c>
      <c r="D170" s="73" t="s">
        <v>300</v>
      </c>
      <c r="E170" s="2"/>
      <c r="F170" s="2" t="s">
        <v>304</v>
      </c>
      <c r="G170" s="2" t="s">
        <v>303</v>
      </c>
      <c r="H170" s="2" t="s">
        <v>302</v>
      </c>
      <c r="I170" s="2" t="s">
        <v>301</v>
      </c>
      <c r="J170" s="2" t="s">
        <v>11</v>
      </c>
      <c r="K170" s="72">
        <v>596.95000000000005</v>
      </c>
      <c r="L170" s="39"/>
      <c r="M170" s="72">
        <f t="shared" si="10"/>
        <v>-596.95000000000005</v>
      </c>
      <c r="N170" s="72">
        <f t="shared" si="11"/>
        <v>549358.04999999958</v>
      </c>
    </row>
    <row r="171" spans="1:14" x14ac:dyDescent="0.2">
      <c r="A171" s="73" t="s">
        <v>444</v>
      </c>
      <c r="B171" s="3">
        <f t="shared" si="8"/>
        <v>2025</v>
      </c>
      <c r="C171" s="3">
        <f t="shared" si="9"/>
        <v>2</v>
      </c>
      <c r="D171" s="73" t="s">
        <v>300</v>
      </c>
      <c r="E171" s="2"/>
      <c r="F171" s="2" t="s">
        <v>299</v>
      </c>
      <c r="G171" s="2"/>
      <c r="H171" s="2" t="s">
        <v>298</v>
      </c>
      <c r="I171" s="2" t="s">
        <v>297</v>
      </c>
      <c r="J171" s="2" t="s">
        <v>296</v>
      </c>
      <c r="K171" s="72">
        <v>49388.05</v>
      </c>
      <c r="L171" s="39"/>
      <c r="M171" s="72">
        <f t="shared" si="10"/>
        <v>-49388.05</v>
      </c>
      <c r="N171" s="72">
        <f t="shared" si="11"/>
        <v>499969.99999999959</v>
      </c>
    </row>
    <row r="172" spans="1:14" x14ac:dyDescent="0.2">
      <c r="A172" s="73" t="s">
        <v>445</v>
      </c>
      <c r="B172" s="3">
        <f t="shared" si="8"/>
        <v>2025</v>
      </c>
      <c r="C172" s="3">
        <f t="shared" si="9"/>
        <v>2</v>
      </c>
      <c r="D172" s="73" t="s">
        <v>300</v>
      </c>
      <c r="E172" s="2"/>
      <c r="F172" s="2" t="s">
        <v>325</v>
      </c>
      <c r="G172" s="2" t="s">
        <v>383</v>
      </c>
      <c r="H172" s="2" t="s">
        <v>323</v>
      </c>
      <c r="I172" s="2" t="s">
        <v>316</v>
      </c>
      <c r="J172" s="2" t="s">
        <v>28</v>
      </c>
      <c r="K172" s="72">
        <v>807.23</v>
      </c>
      <c r="L172" s="39"/>
      <c r="M172" s="72">
        <f t="shared" si="10"/>
        <v>-807.23</v>
      </c>
      <c r="N172" s="72">
        <f t="shared" si="11"/>
        <v>499162.76999999961</v>
      </c>
    </row>
    <row r="173" spans="1:14" x14ac:dyDescent="0.2">
      <c r="A173" s="73" t="s">
        <v>445</v>
      </c>
      <c r="B173" s="3">
        <f t="shared" si="8"/>
        <v>2025</v>
      </c>
      <c r="C173" s="3">
        <f t="shared" si="9"/>
        <v>2</v>
      </c>
      <c r="D173" s="73" t="s">
        <v>300</v>
      </c>
      <c r="E173" s="2"/>
      <c r="F173" s="2" t="s">
        <v>325</v>
      </c>
      <c r="G173" s="2" t="s">
        <v>473</v>
      </c>
      <c r="H173" s="2" t="s">
        <v>323</v>
      </c>
      <c r="I173" s="2" t="s">
        <v>350</v>
      </c>
      <c r="J173" s="2" t="s">
        <v>353</v>
      </c>
      <c r="K173" s="72">
        <v>975</v>
      </c>
      <c r="L173" s="39"/>
      <c r="M173" s="72">
        <f t="shared" si="10"/>
        <v>-975</v>
      </c>
      <c r="N173" s="72">
        <f t="shared" si="11"/>
        <v>498187.76999999961</v>
      </c>
    </row>
    <row r="174" spans="1:14" x14ac:dyDescent="0.2">
      <c r="A174" s="73" t="s">
        <v>445</v>
      </c>
      <c r="B174" s="3">
        <f t="shared" si="8"/>
        <v>2025</v>
      </c>
      <c r="C174" s="3">
        <f t="shared" si="9"/>
        <v>2</v>
      </c>
      <c r="D174" s="73" t="s">
        <v>300</v>
      </c>
      <c r="E174" s="2"/>
      <c r="F174" s="2" t="s">
        <v>321</v>
      </c>
      <c r="G174" s="2" t="s">
        <v>348</v>
      </c>
      <c r="H174" s="2" t="s">
        <v>319</v>
      </c>
      <c r="I174" s="2" t="s">
        <v>315</v>
      </c>
      <c r="J174" s="2" t="s">
        <v>23</v>
      </c>
      <c r="K174" s="72"/>
      <c r="L174" s="39">
        <v>13640</v>
      </c>
      <c r="M174" s="72">
        <f t="shared" si="10"/>
        <v>13640</v>
      </c>
      <c r="N174" s="72">
        <f t="shared" si="11"/>
        <v>511827.76999999961</v>
      </c>
    </row>
    <row r="175" spans="1:14" x14ac:dyDescent="0.2">
      <c r="A175" s="73" t="s">
        <v>445</v>
      </c>
      <c r="B175" s="3">
        <f t="shared" si="8"/>
        <v>2025</v>
      </c>
      <c r="C175" s="3">
        <f t="shared" si="9"/>
        <v>2</v>
      </c>
      <c r="D175" s="73" t="s">
        <v>300</v>
      </c>
      <c r="E175" s="2"/>
      <c r="F175" s="2" t="s">
        <v>325</v>
      </c>
      <c r="G175" s="2" t="s">
        <v>374</v>
      </c>
      <c r="H175" s="2" t="s">
        <v>323</v>
      </c>
      <c r="I175" s="2" t="s">
        <v>316</v>
      </c>
      <c r="J175" s="2" t="s">
        <v>29</v>
      </c>
      <c r="K175" s="72">
        <v>1909</v>
      </c>
      <c r="L175" s="39"/>
      <c r="M175" s="72">
        <f t="shared" si="10"/>
        <v>-1909</v>
      </c>
      <c r="N175" s="72">
        <f t="shared" si="11"/>
        <v>509918.76999999961</v>
      </c>
    </row>
    <row r="176" spans="1:14" x14ac:dyDescent="0.2">
      <c r="A176" s="73" t="s">
        <v>445</v>
      </c>
      <c r="B176" s="3">
        <f t="shared" si="8"/>
        <v>2025</v>
      </c>
      <c r="C176" s="3">
        <f t="shared" si="9"/>
        <v>2</v>
      </c>
      <c r="D176" s="73" t="s">
        <v>300</v>
      </c>
      <c r="E176" s="2"/>
      <c r="F176" s="2" t="s">
        <v>299</v>
      </c>
      <c r="G176" s="2"/>
      <c r="H176" s="2" t="s">
        <v>298</v>
      </c>
      <c r="I176" s="2" t="s">
        <v>297</v>
      </c>
      <c r="J176" s="2" t="s">
        <v>296</v>
      </c>
      <c r="K176" s="72">
        <v>9948.77</v>
      </c>
      <c r="L176" s="39"/>
      <c r="M176" s="72">
        <f t="shared" si="10"/>
        <v>-9948.77</v>
      </c>
      <c r="N176" s="72">
        <f t="shared" si="11"/>
        <v>499969.99999999959</v>
      </c>
    </row>
    <row r="177" spans="1:14" x14ac:dyDescent="0.2">
      <c r="A177" s="73" t="s">
        <v>446</v>
      </c>
      <c r="B177" s="3">
        <f t="shared" si="8"/>
        <v>2025</v>
      </c>
      <c r="C177" s="3">
        <f t="shared" si="9"/>
        <v>2</v>
      </c>
      <c r="D177" s="73" t="s">
        <v>300</v>
      </c>
      <c r="E177" s="2"/>
      <c r="F177" s="2" t="s">
        <v>325</v>
      </c>
      <c r="G177" s="2" t="s">
        <v>370</v>
      </c>
      <c r="H177" s="2" t="s">
        <v>323</v>
      </c>
      <c r="I177" s="2" t="s">
        <v>350</v>
      </c>
      <c r="J177" s="2" t="s">
        <v>27</v>
      </c>
      <c r="K177" s="72">
        <v>285</v>
      </c>
      <c r="L177" s="39"/>
      <c r="M177" s="72">
        <f t="shared" si="10"/>
        <v>-285</v>
      </c>
      <c r="N177" s="72">
        <f t="shared" si="11"/>
        <v>499684.99999999959</v>
      </c>
    </row>
    <row r="178" spans="1:14" x14ac:dyDescent="0.2">
      <c r="A178" s="73" t="s">
        <v>446</v>
      </c>
      <c r="B178" s="3">
        <f t="shared" si="8"/>
        <v>2025</v>
      </c>
      <c r="C178" s="3">
        <f t="shared" si="9"/>
        <v>2</v>
      </c>
      <c r="D178" s="73" t="s">
        <v>300</v>
      </c>
      <c r="E178" s="2"/>
      <c r="F178" s="2" t="s">
        <v>325</v>
      </c>
      <c r="G178" s="2" t="s">
        <v>369</v>
      </c>
      <c r="H178" s="2" t="s">
        <v>323</v>
      </c>
      <c r="I178" s="2" t="s">
        <v>316</v>
      </c>
      <c r="J178" s="2" t="s">
        <v>360</v>
      </c>
      <c r="K178" s="72">
        <v>150</v>
      </c>
      <c r="L178" s="39"/>
      <c r="M178" s="72">
        <f t="shared" si="10"/>
        <v>-150</v>
      </c>
      <c r="N178" s="72">
        <f t="shared" si="11"/>
        <v>499534.99999999959</v>
      </c>
    </row>
    <row r="179" spans="1:14" x14ac:dyDescent="0.2">
      <c r="A179" s="73" t="s">
        <v>446</v>
      </c>
      <c r="B179" s="3">
        <f t="shared" si="8"/>
        <v>2025</v>
      </c>
      <c r="C179" s="3">
        <f t="shared" si="9"/>
        <v>2</v>
      </c>
      <c r="D179" s="73" t="s">
        <v>300</v>
      </c>
      <c r="E179" s="2"/>
      <c r="F179" s="2" t="s">
        <v>325</v>
      </c>
      <c r="G179" s="2" t="s">
        <v>369</v>
      </c>
      <c r="H179" s="2" t="s">
        <v>323</v>
      </c>
      <c r="I179" s="2" t="s">
        <v>316</v>
      </c>
      <c r="J179" s="2" t="s">
        <v>360</v>
      </c>
      <c r="K179" s="72">
        <v>250</v>
      </c>
      <c r="L179" s="39"/>
      <c r="M179" s="72">
        <f t="shared" si="10"/>
        <v>-250</v>
      </c>
      <c r="N179" s="72">
        <f t="shared" si="11"/>
        <v>499284.99999999959</v>
      </c>
    </row>
    <row r="180" spans="1:14" x14ac:dyDescent="0.2">
      <c r="A180" s="73" t="s">
        <v>446</v>
      </c>
      <c r="B180" s="3">
        <f t="shared" si="8"/>
        <v>2025</v>
      </c>
      <c r="C180" s="3">
        <f t="shared" si="9"/>
        <v>2</v>
      </c>
      <c r="D180" s="73" t="s">
        <v>300</v>
      </c>
      <c r="E180" s="2"/>
      <c r="F180" s="2" t="s">
        <v>325</v>
      </c>
      <c r="G180" s="2" t="s">
        <v>369</v>
      </c>
      <c r="H180" s="2" t="s">
        <v>323</v>
      </c>
      <c r="I180" s="2" t="s">
        <v>316</v>
      </c>
      <c r="J180" s="2" t="s">
        <v>360</v>
      </c>
      <c r="K180" s="72">
        <v>3570</v>
      </c>
      <c r="L180" s="39"/>
      <c r="M180" s="72">
        <f t="shared" si="10"/>
        <v>-3570</v>
      </c>
      <c r="N180" s="72">
        <f t="shared" si="11"/>
        <v>495714.99999999959</v>
      </c>
    </row>
    <row r="181" spans="1:14" x14ac:dyDescent="0.2">
      <c r="A181" s="73" t="s">
        <v>446</v>
      </c>
      <c r="B181" s="3">
        <f t="shared" si="8"/>
        <v>2025</v>
      </c>
      <c r="C181" s="3">
        <f t="shared" si="9"/>
        <v>2</v>
      </c>
      <c r="D181" s="73" t="s">
        <v>300</v>
      </c>
      <c r="E181" s="2"/>
      <c r="F181" s="2" t="s">
        <v>325</v>
      </c>
      <c r="G181" s="2" t="s">
        <v>368</v>
      </c>
      <c r="H181" s="2" t="s">
        <v>323</v>
      </c>
      <c r="I181" s="2" t="s">
        <v>350</v>
      </c>
      <c r="J181" s="2" t="s">
        <v>27</v>
      </c>
      <c r="K181" s="72">
        <v>15190</v>
      </c>
      <c r="L181" s="39"/>
      <c r="M181" s="72">
        <f t="shared" si="10"/>
        <v>-15190</v>
      </c>
      <c r="N181" s="72">
        <f t="shared" si="11"/>
        <v>480524.99999999959</v>
      </c>
    </row>
    <row r="182" spans="1:14" x14ac:dyDescent="0.2">
      <c r="A182" s="73" t="s">
        <v>446</v>
      </c>
      <c r="B182" s="3">
        <f t="shared" si="8"/>
        <v>2025</v>
      </c>
      <c r="C182" s="3">
        <f t="shared" si="9"/>
        <v>2</v>
      </c>
      <c r="D182" s="73" t="s">
        <v>300</v>
      </c>
      <c r="E182" s="2"/>
      <c r="F182" s="2" t="s">
        <v>325</v>
      </c>
      <c r="G182" s="2" t="s">
        <v>367</v>
      </c>
      <c r="H182" s="2" t="s">
        <v>323</v>
      </c>
      <c r="I182" s="2" t="s">
        <v>350</v>
      </c>
      <c r="J182" s="2" t="s">
        <v>353</v>
      </c>
      <c r="K182" s="72">
        <v>19250</v>
      </c>
      <c r="L182" s="39"/>
      <c r="M182" s="72">
        <f t="shared" si="10"/>
        <v>-19250</v>
      </c>
      <c r="N182" s="72">
        <f t="shared" si="11"/>
        <v>461274.99999999959</v>
      </c>
    </row>
    <row r="183" spans="1:14" x14ac:dyDescent="0.2">
      <c r="A183" s="73" t="s">
        <v>446</v>
      </c>
      <c r="B183" s="3">
        <f t="shared" si="8"/>
        <v>2025</v>
      </c>
      <c r="C183" s="3">
        <f t="shared" si="9"/>
        <v>2</v>
      </c>
      <c r="D183" s="73" t="s">
        <v>300</v>
      </c>
      <c r="E183" s="2"/>
      <c r="F183" s="2" t="s">
        <v>325</v>
      </c>
      <c r="G183" s="2" t="s">
        <v>366</v>
      </c>
      <c r="H183" s="2" t="s">
        <v>323</v>
      </c>
      <c r="I183" s="2" t="s">
        <v>350</v>
      </c>
      <c r="J183" s="2" t="s">
        <v>27</v>
      </c>
      <c r="K183" s="72">
        <v>2430</v>
      </c>
      <c r="L183" s="39"/>
      <c r="M183" s="72">
        <f t="shared" si="10"/>
        <v>-2430</v>
      </c>
      <c r="N183" s="72">
        <f t="shared" si="11"/>
        <v>458844.99999999959</v>
      </c>
    </row>
    <row r="184" spans="1:14" x14ac:dyDescent="0.2">
      <c r="A184" s="73" t="s">
        <v>446</v>
      </c>
      <c r="B184" s="3">
        <f t="shared" si="8"/>
        <v>2025</v>
      </c>
      <c r="C184" s="3">
        <f t="shared" si="9"/>
        <v>2</v>
      </c>
      <c r="D184" s="73" t="s">
        <v>300</v>
      </c>
      <c r="E184" s="2"/>
      <c r="F184" s="2" t="s">
        <v>325</v>
      </c>
      <c r="G184" s="2" t="s">
        <v>365</v>
      </c>
      <c r="H184" s="2" t="s">
        <v>323</v>
      </c>
      <c r="I184" s="2" t="s">
        <v>350</v>
      </c>
      <c r="J184" s="2" t="s">
        <v>353</v>
      </c>
      <c r="K184" s="72">
        <v>25000</v>
      </c>
      <c r="L184" s="39"/>
      <c r="M184" s="72">
        <f t="shared" si="10"/>
        <v>-25000</v>
      </c>
      <c r="N184" s="72">
        <f t="shared" si="11"/>
        <v>433844.99999999959</v>
      </c>
    </row>
    <row r="185" spans="1:14" x14ac:dyDescent="0.2">
      <c r="A185" s="73" t="s">
        <v>446</v>
      </c>
      <c r="B185" s="3">
        <f t="shared" si="8"/>
        <v>2025</v>
      </c>
      <c r="C185" s="3">
        <f t="shared" si="9"/>
        <v>2</v>
      </c>
      <c r="D185" s="73" t="s">
        <v>300</v>
      </c>
      <c r="E185" s="2"/>
      <c r="F185" s="2" t="s">
        <v>325</v>
      </c>
      <c r="G185" s="2" t="s">
        <v>364</v>
      </c>
      <c r="H185" s="2" t="s">
        <v>323</v>
      </c>
      <c r="I185" s="2" t="s">
        <v>350</v>
      </c>
      <c r="J185" s="2" t="s">
        <v>27</v>
      </c>
      <c r="K185" s="72">
        <v>2687.5</v>
      </c>
      <c r="L185" s="39"/>
      <c r="M185" s="72">
        <f t="shared" si="10"/>
        <v>-2687.5</v>
      </c>
      <c r="N185" s="72">
        <f t="shared" si="11"/>
        <v>431157.49999999959</v>
      </c>
    </row>
    <row r="186" spans="1:14" x14ac:dyDescent="0.2">
      <c r="A186" s="73" t="s">
        <v>446</v>
      </c>
      <c r="B186" s="3">
        <f t="shared" si="8"/>
        <v>2025</v>
      </c>
      <c r="C186" s="3">
        <f t="shared" si="9"/>
        <v>2</v>
      </c>
      <c r="D186" s="73" t="s">
        <v>300</v>
      </c>
      <c r="E186" s="2"/>
      <c r="F186" s="2" t="s">
        <v>325</v>
      </c>
      <c r="G186" s="2" t="s">
        <v>363</v>
      </c>
      <c r="H186" s="2" t="s">
        <v>323</v>
      </c>
      <c r="I186" s="2" t="s">
        <v>316</v>
      </c>
      <c r="J186" s="2" t="s">
        <v>17</v>
      </c>
      <c r="K186" s="72">
        <v>5</v>
      </c>
      <c r="L186" s="39"/>
      <c r="M186" s="72">
        <f t="shared" si="10"/>
        <v>-5</v>
      </c>
      <c r="N186" s="72">
        <f t="shared" si="11"/>
        <v>431152.49999999959</v>
      </c>
    </row>
    <row r="187" spans="1:14" x14ac:dyDescent="0.2">
      <c r="A187" s="73" t="s">
        <v>446</v>
      </c>
      <c r="B187" s="3">
        <f t="shared" si="8"/>
        <v>2025</v>
      </c>
      <c r="C187" s="3">
        <f t="shared" si="9"/>
        <v>2</v>
      </c>
      <c r="D187" s="73" t="s">
        <v>300</v>
      </c>
      <c r="E187" s="2"/>
      <c r="F187" s="2" t="s">
        <v>325</v>
      </c>
      <c r="G187" s="2" t="s">
        <v>363</v>
      </c>
      <c r="H187" s="2" t="s">
        <v>323</v>
      </c>
      <c r="I187" s="2" t="s">
        <v>316</v>
      </c>
      <c r="J187" s="2" t="s">
        <v>17</v>
      </c>
      <c r="K187" s="72">
        <v>49</v>
      </c>
      <c r="L187" s="39"/>
      <c r="M187" s="72">
        <f t="shared" si="10"/>
        <v>-49</v>
      </c>
      <c r="N187" s="72">
        <f t="shared" si="11"/>
        <v>431103.49999999959</v>
      </c>
    </row>
    <row r="188" spans="1:14" x14ac:dyDescent="0.2">
      <c r="A188" s="73" t="s">
        <v>446</v>
      </c>
      <c r="B188" s="3">
        <f t="shared" si="8"/>
        <v>2025</v>
      </c>
      <c r="C188" s="3">
        <f t="shared" si="9"/>
        <v>2</v>
      </c>
      <c r="D188" s="73" t="s">
        <v>300</v>
      </c>
      <c r="E188" s="2"/>
      <c r="F188" s="2" t="s">
        <v>325</v>
      </c>
      <c r="G188" s="2" t="s">
        <v>363</v>
      </c>
      <c r="H188" s="2" t="s">
        <v>323</v>
      </c>
      <c r="I188" s="2" t="s">
        <v>316</v>
      </c>
      <c r="J188" s="2" t="s">
        <v>17</v>
      </c>
      <c r="K188" s="72">
        <v>49</v>
      </c>
      <c r="L188" s="39"/>
      <c r="M188" s="72">
        <f t="shared" si="10"/>
        <v>-49</v>
      </c>
      <c r="N188" s="72">
        <f t="shared" si="11"/>
        <v>431054.49999999959</v>
      </c>
    </row>
    <row r="189" spans="1:14" x14ac:dyDescent="0.2">
      <c r="A189" s="73" t="s">
        <v>446</v>
      </c>
      <c r="B189" s="3">
        <f t="shared" si="8"/>
        <v>2025</v>
      </c>
      <c r="C189" s="3">
        <f t="shared" si="9"/>
        <v>2</v>
      </c>
      <c r="D189" s="73" t="s">
        <v>300</v>
      </c>
      <c r="E189" s="2"/>
      <c r="F189" s="2" t="s">
        <v>325</v>
      </c>
      <c r="G189" s="2" t="s">
        <v>363</v>
      </c>
      <c r="H189" s="2" t="s">
        <v>323</v>
      </c>
      <c r="I189" s="2" t="s">
        <v>316</v>
      </c>
      <c r="J189" s="2" t="s">
        <v>17</v>
      </c>
      <c r="K189" s="72">
        <v>49</v>
      </c>
      <c r="L189" s="39"/>
      <c r="M189" s="72">
        <f t="shared" si="10"/>
        <v>-49</v>
      </c>
      <c r="N189" s="72">
        <f t="shared" si="11"/>
        <v>431005.49999999959</v>
      </c>
    </row>
    <row r="190" spans="1:14" x14ac:dyDescent="0.2">
      <c r="A190" s="73" t="s">
        <v>446</v>
      </c>
      <c r="B190" s="3">
        <f t="shared" si="8"/>
        <v>2025</v>
      </c>
      <c r="C190" s="3">
        <f t="shared" si="9"/>
        <v>2</v>
      </c>
      <c r="D190" s="73" t="s">
        <v>300</v>
      </c>
      <c r="E190" s="2"/>
      <c r="F190" s="2" t="s">
        <v>325</v>
      </c>
      <c r="G190" s="2" t="s">
        <v>363</v>
      </c>
      <c r="H190" s="2" t="s">
        <v>323</v>
      </c>
      <c r="I190" s="2" t="s">
        <v>316</v>
      </c>
      <c r="J190" s="2" t="s">
        <v>17</v>
      </c>
      <c r="K190" s="72">
        <v>49</v>
      </c>
      <c r="L190" s="39"/>
      <c r="M190" s="72">
        <f t="shared" si="10"/>
        <v>-49</v>
      </c>
      <c r="N190" s="72">
        <f t="shared" si="11"/>
        <v>430956.49999999959</v>
      </c>
    </row>
    <row r="191" spans="1:14" x14ac:dyDescent="0.2">
      <c r="A191" s="73" t="s">
        <v>446</v>
      </c>
      <c r="B191" s="3">
        <f t="shared" si="8"/>
        <v>2025</v>
      </c>
      <c r="C191" s="3">
        <f t="shared" si="9"/>
        <v>2</v>
      </c>
      <c r="D191" s="73" t="s">
        <v>300</v>
      </c>
      <c r="E191" s="2"/>
      <c r="F191" s="2" t="s">
        <v>325</v>
      </c>
      <c r="G191" s="2" t="s">
        <v>363</v>
      </c>
      <c r="H191" s="2" t="s">
        <v>323</v>
      </c>
      <c r="I191" s="2" t="s">
        <v>316</v>
      </c>
      <c r="J191" s="2" t="s">
        <v>17</v>
      </c>
      <c r="K191" s="72">
        <v>49</v>
      </c>
      <c r="L191" s="39"/>
      <c r="M191" s="72">
        <f t="shared" si="10"/>
        <v>-49</v>
      </c>
      <c r="N191" s="72">
        <f t="shared" si="11"/>
        <v>430907.49999999959</v>
      </c>
    </row>
    <row r="192" spans="1:14" x14ac:dyDescent="0.2">
      <c r="A192" s="73" t="s">
        <v>446</v>
      </c>
      <c r="B192" s="3">
        <f t="shared" si="8"/>
        <v>2025</v>
      </c>
      <c r="C192" s="3">
        <f t="shared" si="9"/>
        <v>2</v>
      </c>
      <c r="D192" s="73" t="s">
        <v>300</v>
      </c>
      <c r="E192" s="2"/>
      <c r="F192" s="2" t="s">
        <v>325</v>
      </c>
      <c r="G192" s="2" t="s">
        <v>363</v>
      </c>
      <c r="H192" s="2" t="s">
        <v>323</v>
      </c>
      <c r="I192" s="2" t="s">
        <v>316</v>
      </c>
      <c r="J192" s="2" t="s">
        <v>17</v>
      </c>
      <c r="K192" s="72">
        <v>49</v>
      </c>
      <c r="L192" s="39"/>
      <c r="M192" s="72">
        <f t="shared" si="10"/>
        <v>-49</v>
      </c>
      <c r="N192" s="72">
        <f t="shared" si="11"/>
        <v>430858.49999999959</v>
      </c>
    </row>
    <row r="193" spans="1:14" x14ac:dyDescent="0.2">
      <c r="A193" s="73" t="s">
        <v>446</v>
      </c>
      <c r="B193" s="3">
        <f t="shared" si="8"/>
        <v>2025</v>
      </c>
      <c r="C193" s="3">
        <f t="shared" si="9"/>
        <v>2</v>
      </c>
      <c r="D193" s="73" t="s">
        <v>300</v>
      </c>
      <c r="E193" s="2"/>
      <c r="F193" s="2" t="s">
        <v>325</v>
      </c>
      <c r="G193" s="2" t="s">
        <v>363</v>
      </c>
      <c r="H193" s="2" t="s">
        <v>323</v>
      </c>
      <c r="I193" s="2" t="s">
        <v>316</v>
      </c>
      <c r="J193" s="2" t="s">
        <v>17</v>
      </c>
      <c r="K193" s="72">
        <v>49</v>
      </c>
      <c r="L193" s="39"/>
      <c r="M193" s="72">
        <f t="shared" si="10"/>
        <v>-49</v>
      </c>
      <c r="N193" s="72">
        <f t="shared" si="11"/>
        <v>430809.49999999959</v>
      </c>
    </row>
    <row r="194" spans="1:14" x14ac:dyDescent="0.2">
      <c r="A194" s="73" t="s">
        <v>446</v>
      </c>
      <c r="B194" s="3">
        <f t="shared" ref="B194:B257" si="12">YEAR(A194)</f>
        <v>2025</v>
      </c>
      <c r="C194" s="3">
        <f t="shared" ref="C194:C257" si="13">MONTH(A194)</f>
        <v>2</v>
      </c>
      <c r="D194" s="73" t="s">
        <v>300</v>
      </c>
      <c r="E194" s="2"/>
      <c r="F194" s="2" t="s">
        <v>325</v>
      </c>
      <c r="G194" s="2" t="s">
        <v>363</v>
      </c>
      <c r="H194" s="2" t="s">
        <v>323</v>
      </c>
      <c r="I194" s="2" t="s">
        <v>316</v>
      </c>
      <c r="J194" s="2" t="s">
        <v>17</v>
      </c>
      <c r="K194" s="72">
        <v>49</v>
      </c>
      <c r="L194" s="39"/>
      <c r="M194" s="72">
        <f t="shared" ref="M194:M257" si="14">IF(ISBLANK(L194),K194*-1,L194)</f>
        <v>-49</v>
      </c>
      <c r="N194" s="72">
        <f t="shared" si="11"/>
        <v>430760.49999999959</v>
      </c>
    </row>
    <row r="195" spans="1:14" x14ac:dyDescent="0.2">
      <c r="A195" s="73" t="s">
        <v>446</v>
      </c>
      <c r="B195" s="3">
        <f t="shared" si="12"/>
        <v>2025</v>
      </c>
      <c r="C195" s="3">
        <f t="shared" si="13"/>
        <v>2</v>
      </c>
      <c r="D195" s="73" t="s">
        <v>300</v>
      </c>
      <c r="E195" s="2"/>
      <c r="F195" s="2" t="s">
        <v>325</v>
      </c>
      <c r="G195" s="2" t="s">
        <v>363</v>
      </c>
      <c r="H195" s="2" t="s">
        <v>323</v>
      </c>
      <c r="I195" s="2" t="s">
        <v>316</v>
      </c>
      <c r="J195" s="2" t="s">
        <v>17</v>
      </c>
      <c r="K195" s="72">
        <v>49</v>
      </c>
      <c r="L195" s="39"/>
      <c r="M195" s="72">
        <f t="shared" si="14"/>
        <v>-49</v>
      </c>
      <c r="N195" s="72">
        <f t="shared" ref="N195:N258" si="15">+N194+M195</f>
        <v>430711.49999999959</v>
      </c>
    </row>
    <row r="196" spans="1:14" x14ac:dyDescent="0.2">
      <c r="A196" s="73" t="s">
        <v>446</v>
      </c>
      <c r="B196" s="3">
        <f t="shared" si="12"/>
        <v>2025</v>
      </c>
      <c r="C196" s="3">
        <f t="shared" si="13"/>
        <v>2</v>
      </c>
      <c r="D196" s="73" t="s">
        <v>300</v>
      </c>
      <c r="E196" s="2"/>
      <c r="F196" s="2" t="s">
        <v>325</v>
      </c>
      <c r="G196" s="2" t="s">
        <v>363</v>
      </c>
      <c r="H196" s="2" t="s">
        <v>323</v>
      </c>
      <c r="I196" s="2" t="s">
        <v>316</v>
      </c>
      <c r="J196" s="2" t="s">
        <v>17</v>
      </c>
      <c r="K196" s="72">
        <v>49</v>
      </c>
      <c r="L196" s="39"/>
      <c r="M196" s="72">
        <f t="shared" si="14"/>
        <v>-49</v>
      </c>
      <c r="N196" s="72">
        <f t="shared" si="15"/>
        <v>430662.49999999959</v>
      </c>
    </row>
    <row r="197" spans="1:14" x14ac:dyDescent="0.2">
      <c r="A197" s="73" t="s">
        <v>446</v>
      </c>
      <c r="B197" s="3">
        <f t="shared" si="12"/>
        <v>2025</v>
      </c>
      <c r="C197" s="3">
        <f t="shared" si="13"/>
        <v>2</v>
      </c>
      <c r="D197" s="73" t="s">
        <v>300</v>
      </c>
      <c r="E197" s="2"/>
      <c r="F197" s="2" t="s">
        <v>325</v>
      </c>
      <c r="G197" s="2" t="s">
        <v>363</v>
      </c>
      <c r="H197" s="2" t="s">
        <v>323</v>
      </c>
      <c r="I197" s="2" t="s">
        <v>316</v>
      </c>
      <c r="J197" s="2" t="s">
        <v>17</v>
      </c>
      <c r="K197" s="72">
        <v>49</v>
      </c>
      <c r="L197" s="39"/>
      <c r="M197" s="72">
        <f t="shared" si="14"/>
        <v>-49</v>
      </c>
      <c r="N197" s="72">
        <f t="shared" si="15"/>
        <v>430613.49999999959</v>
      </c>
    </row>
    <row r="198" spans="1:14" x14ac:dyDescent="0.2">
      <c r="A198" s="73" t="s">
        <v>446</v>
      </c>
      <c r="B198" s="3">
        <f t="shared" si="12"/>
        <v>2025</v>
      </c>
      <c r="C198" s="3">
        <f t="shared" si="13"/>
        <v>2</v>
      </c>
      <c r="D198" s="73" t="s">
        <v>300</v>
      </c>
      <c r="E198" s="2"/>
      <c r="F198" s="2" t="s">
        <v>325</v>
      </c>
      <c r="G198" s="2" t="s">
        <v>363</v>
      </c>
      <c r="H198" s="2" t="s">
        <v>323</v>
      </c>
      <c r="I198" s="2" t="s">
        <v>316</v>
      </c>
      <c r="J198" s="2" t="s">
        <v>17</v>
      </c>
      <c r="K198" s="72">
        <v>49</v>
      </c>
      <c r="L198" s="39"/>
      <c r="M198" s="72">
        <f t="shared" si="14"/>
        <v>-49</v>
      </c>
      <c r="N198" s="72">
        <f t="shared" si="15"/>
        <v>430564.49999999959</v>
      </c>
    </row>
    <row r="199" spans="1:14" x14ac:dyDescent="0.2">
      <c r="A199" s="73" t="s">
        <v>446</v>
      </c>
      <c r="B199" s="3">
        <f t="shared" si="12"/>
        <v>2025</v>
      </c>
      <c r="C199" s="3">
        <f t="shared" si="13"/>
        <v>2</v>
      </c>
      <c r="D199" s="73" t="s">
        <v>300</v>
      </c>
      <c r="E199" s="2"/>
      <c r="F199" s="2" t="s">
        <v>325</v>
      </c>
      <c r="G199" s="2" t="s">
        <v>363</v>
      </c>
      <c r="H199" s="2" t="s">
        <v>323</v>
      </c>
      <c r="I199" s="2" t="s">
        <v>316</v>
      </c>
      <c r="J199" s="2" t="s">
        <v>17</v>
      </c>
      <c r="K199" s="72">
        <v>49</v>
      </c>
      <c r="L199" s="39"/>
      <c r="M199" s="72">
        <f t="shared" si="14"/>
        <v>-49</v>
      </c>
      <c r="N199" s="72">
        <f t="shared" si="15"/>
        <v>430515.49999999959</v>
      </c>
    </row>
    <row r="200" spans="1:14" x14ac:dyDescent="0.2">
      <c r="A200" s="73" t="s">
        <v>446</v>
      </c>
      <c r="B200" s="3">
        <f t="shared" si="12"/>
        <v>2025</v>
      </c>
      <c r="C200" s="3">
        <f t="shared" si="13"/>
        <v>2</v>
      </c>
      <c r="D200" s="73" t="s">
        <v>300</v>
      </c>
      <c r="E200" s="2"/>
      <c r="F200" s="2" t="s">
        <v>325</v>
      </c>
      <c r="G200" s="2" t="s">
        <v>363</v>
      </c>
      <c r="H200" s="2" t="s">
        <v>323</v>
      </c>
      <c r="I200" s="2" t="s">
        <v>316</v>
      </c>
      <c r="J200" s="2" t="s">
        <v>17</v>
      </c>
      <c r="K200" s="72">
        <v>49</v>
      </c>
      <c r="L200" s="39"/>
      <c r="M200" s="72">
        <f t="shared" si="14"/>
        <v>-49</v>
      </c>
      <c r="N200" s="72">
        <f t="shared" si="15"/>
        <v>430466.49999999959</v>
      </c>
    </row>
    <row r="201" spans="1:14" x14ac:dyDescent="0.2">
      <c r="A201" s="73" t="s">
        <v>446</v>
      </c>
      <c r="B201" s="3">
        <f t="shared" si="12"/>
        <v>2025</v>
      </c>
      <c r="C201" s="3">
        <f t="shared" si="13"/>
        <v>2</v>
      </c>
      <c r="D201" s="73" t="s">
        <v>300</v>
      </c>
      <c r="E201" s="2"/>
      <c r="F201" s="2" t="s">
        <v>325</v>
      </c>
      <c r="G201" s="2" t="s">
        <v>363</v>
      </c>
      <c r="H201" s="2" t="s">
        <v>323</v>
      </c>
      <c r="I201" s="2" t="s">
        <v>316</v>
      </c>
      <c r="J201" s="2" t="s">
        <v>17</v>
      </c>
      <c r="K201" s="72">
        <v>49</v>
      </c>
      <c r="L201" s="39"/>
      <c r="M201" s="72">
        <f t="shared" si="14"/>
        <v>-49</v>
      </c>
      <c r="N201" s="72">
        <f t="shared" si="15"/>
        <v>430417.49999999959</v>
      </c>
    </row>
    <row r="202" spans="1:14" x14ac:dyDescent="0.2">
      <c r="A202" s="73" t="s">
        <v>446</v>
      </c>
      <c r="B202" s="3">
        <f t="shared" si="12"/>
        <v>2025</v>
      </c>
      <c r="C202" s="3">
        <f t="shared" si="13"/>
        <v>2</v>
      </c>
      <c r="D202" s="73" t="s">
        <v>300</v>
      </c>
      <c r="E202" s="2"/>
      <c r="F202" s="2" t="s">
        <v>325</v>
      </c>
      <c r="G202" s="2" t="s">
        <v>363</v>
      </c>
      <c r="H202" s="2" t="s">
        <v>323</v>
      </c>
      <c r="I202" s="2" t="s">
        <v>316</v>
      </c>
      <c r="J202" s="2" t="s">
        <v>17</v>
      </c>
      <c r="K202" s="72">
        <v>49</v>
      </c>
      <c r="L202" s="39"/>
      <c r="M202" s="72">
        <f t="shared" si="14"/>
        <v>-49</v>
      </c>
      <c r="N202" s="72">
        <f t="shared" si="15"/>
        <v>430368.49999999959</v>
      </c>
    </row>
    <row r="203" spans="1:14" x14ac:dyDescent="0.2">
      <c r="A203" s="73" t="s">
        <v>446</v>
      </c>
      <c r="B203" s="3">
        <f t="shared" si="12"/>
        <v>2025</v>
      </c>
      <c r="C203" s="3">
        <f t="shared" si="13"/>
        <v>2</v>
      </c>
      <c r="D203" s="73" t="s">
        <v>300</v>
      </c>
      <c r="E203" s="2"/>
      <c r="F203" s="2" t="s">
        <v>325</v>
      </c>
      <c r="G203" s="2" t="s">
        <v>363</v>
      </c>
      <c r="H203" s="2" t="s">
        <v>323</v>
      </c>
      <c r="I203" s="2" t="s">
        <v>316</v>
      </c>
      <c r="J203" s="2" t="s">
        <v>17</v>
      </c>
      <c r="K203" s="72">
        <v>49</v>
      </c>
      <c r="L203" s="39"/>
      <c r="M203" s="72">
        <f t="shared" si="14"/>
        <v>-49</v>
      </c>
      <c r="N203" s="72">
        <f t="shared" si="15"/>
        <v>430319.49999999959</v>
      </c>
    </row>
    <row r="204" spans="1:14" x14ac:dyDescent="0.2">
      <c r="A204" s="73" t="s">
        <v>446</v>
      </c>
      <c r="B204" s="3">
        <f t="shared" si="12"/>
        <v>2025</v>
      </c>
      <c r="C204" s="3">
        <f t="shared" si="13"/>
        <v>2</v>
      </c>
      <c r="D204" s="73" t="s">
        <v>300</v>
      </c>
      <c r="E204" s="2"/>
      <c r="F204" s="2" t="s">
        <v>325</v>
      </c>
      <c r="G204" s="2" t="s">
        <v>363</v>
      </c>
      <c r="H204" s="2" t="s">
        <v>323</v>
      </c>
      <c r="I204" s="2" t="s">
        <v>316</v>
      </c>
      <c r="J204" s="2" t="s">
        <v>17</v>
      </c>
      <c r="K204" s="72">
        <v>49</v>
      </c>
      <c r="L204" s="39"/>
      <c r="M204" s="72">
        <f t="shared" si="14"/>
        <v>-49</v>
      </c>
      <c r="N204" s="72">
        <f t="shared" si="15"/>
        <v>430270.49999999959</v>
      </c>
    </row>
    <row r="205" spans="1:14" x14ac:dyDescent="0.2">
      <c r="A205" s="73" t="s">
        <v>446</v>
      </c>
      <c r="B205" s="3">
        <f t="shared" si="12"/>
        <v>2025</v>
      </c>
      <c r="C205" s="3">
        <f t="shared" si="13"/>
        <v>2</v>
      </c>
      <c r="D205" s="73" t="s">
        <v>300</v>
      </c>
      <c r="E205" s="2"/>
      <c r="F205" s="2" t="s">
        <v>325</v>
      </c>
      <c r="G205" s="2" t="s">
        <v>363</v>
      </c>
      <c r="H205" s="2" t="s">
        <v>323</v>
      </c>
      <c r="I205" s="2" t="s">
        <v>316</v>
      </c>
      <c r="J205" s="2" t="s">
        <v>17</v>
      </c>
      <c r="K205" s="72">
        <v>49</v>
      </c>
      <c r="L205" s="39"/>
      <c r="M205" s="72">
        <f t="shared" si="14"/>
        <v>-49</v>
      </c>
      <c r="N205" s="72">
        <f t="shared" si="15"/>
        <v>430221.49999999959</v>
      </c>
    </row>
    <row r="206" spans="1:14" x14ac:dyDescent="0.2">
      <c r="A206" s="73" t="s">
        <v>446</v>
      </c>
      <c r="B206" s="3">
        <f t="shared" si="12"/>
        <v>2025</v>
      </c>
      <c r="C206" s="3">
        <f t="shared" si="13"/>
        <v>2</v>
      </c>
      <c r="D206" s="73" t="s">
        <v>300</v>
      </c>
      <c r="E206" s="2"/>
      <c r="F206" s="2" t="s">
        <v>325</v>
      </c>
      <c r="G206" s="2" t="s">
        <v>363</v>
      </c>
      <c r="H206" s="2" t="s">
        <v>323</v>
      </c>
      <c r="I206" s="2" t="s">
        <v>316</v>
      </c>
      <c r="J206" s="2" t="s">
        <v>17</v>
      </c>
      <c r="K206" s="72">
        <v>49</v>
      </c>
      <c r="L206" s="39"/>
      <c r="M206" s="72">
        <f t="shared" si="14"/>
        <v>-49</v>
      </c>
      <c r="N206" s="72">
        <f t="shared" si="15"/>
        <v>430172.49999999959</v>
      </c>
    </row>
    <row r="207" spans="1:14" x14ac:dyDescent="0.2">
      <c r="A207" s="73" t="s">
        <v>446</v>
      </c>
      <c r="B207" s="3">
        <f t="shared" si="12"/>
        <v>2025</v>
      </c>
      <c r="C207" s="3">
        <f t="shared" si="13"/>
        <v>2</v>
      </c>
      <c r="D207" s="73" t="s">
        <v>300</v>
      </c>
      <c r="E207" s="2"/>
      <c r="F207" s="2" t="s">
        <v>325</v>
      </c>
      <c r="G207" s="2" t="s">
        <v>363</v>
      </c>
      <c r="H207" s="2" t="s">
        <v>323</v>
      </c>
      <c r="I207" s="2" t="s">
        <v>316</v>
      </c>
      <c r="J207" s="2" t="s">
        <v>17</v>
      </c>
      <c r="K207" s="72">
        <v>49</v>
      </c>
      <c r="L207" s="39"/>
      <c r="M207" s="72">
        <f t="shared" si="14"/>
        <v>-49</v>
      </c>
      <c r="N207" s="72">
        <f t="shared" si="15"/>
        <v>430123.49999999959</v>
      </c>
    </row>
    <row r="208" spans="1:14" x14ac:dyDescent="0.2">
      <c r="A208" s="73" t="s">
        <v>446</v>
      </c>
      <c r="B208" s="3">
        <f t="shared" si="12"/>
        <v>2025</v>
      </c>
      <c r="C208" s="3">
        <f t="shared" si="13"/>
        <v>2</v>
      </c>
      <c r="D208" s="73" t="s">
        <v>300</v>
      </c>
      <c r="E208" s="2"/>
      <c r="F208" s="2" t="s">
        <v>325</v>
      </c>
      <c r="G208" s="2" t="s">
        <v>363</v>
      </c>
      <c r="H208" s="2" t="s">
        <v>323</v>
      </c>
      <c r="I208" s="2" t="s">
        <v>316</v>
      </c>
      <c r="J208" s="2" t="s">
        <v>17</v>
      </c>
      <c r="K208" s="72">
        <v>49</v>
      </c>
      <c r="L208" s="39"/>
      <c r="M208" s="72">
        <f t="shared" si="14"/>
        <v>-49</v>
      </c>
      <c r="N208" s="72">
        <f t="shared" si="15"/>
        <v>430074.49999999959</v>
      </c>
    </row>
    <row r="209" spans="1:14" x14ac:dyDescent="0.2">
      <c r="A209" s="73" t="s">
        <v>446</v>
      </c>
      <c r="B209" s="3">
        <f t="shared" si="12"/>
        <v>2025</v>
      </c>
      <c r="C209" s="3">
        <f t="shared" si="13"/>
        <v>2</v>
      </c>
      <c r="D209" s="73" t="s">
        <v>300</v>
      </c>
      <c r="E209" s="2"/>
      <c r="F209" s="2" t="s">
        <v>325</v>
      </c>
      <c r="G209" s="2" t="s">
        <v>363</v>
      </c>
      <c r="H209" s="2" t="s">
        <v>323</v>
      </c>
      <c r="I209" s="2" t="s">
        <v>316</v>
      </c>
      <c r="J209" s="2" t="s">
        <v>17</v>
      </c>
      <c r="K209" s="72">
        <v>49</v>
      </c>
      <c r="L209" s="39"/>
      <c r="M209" s="72">
        <f t="shared" si="14"/>
        <v>-49</v>
      </c>
      <c r="N209" s="72">
        <f t="shared" si="15"/>
        <v>430025.49999999959</v>
      </c>
    </row>
    <row r="210" spans="1:14" x14ac:dyDescent="0.2">
      <c r="A210" s="73" t="s">
        <v>446</v>
      </c>
      <c r="B210" s="3">
        <f t="shared" si="12"/>
        <v>2025</v>
      </c>
      <c r="C210" s="3">
        <f t="shared" si="13"/>
        <v>2</v>
      </c>
      <c r="D210" s="73" t="s">
        <v>300</v>
      </c>
      <c r="E210" s="2"/>
      <c r="F210" s="2" t="s">
        <v>325</v>
      </c>
      <c r="G210" s="2" t="s">
        <v>363</v>
      </c>
      <c r="H210" s="2" t="s">
        <v>323</v>
      </c>
      <c r="I210" s="2" t="s">
        <v>316</v>
      </c>
      <c r="J210" s="2" t="s">
        <v>17</v>
      </c>
      <c r="K210" s="72">
        <v>49</v>
      </c>
      <c r="L210" s="39"/>
      <c r="M210" s="72">
        <f t="shared" si="14"/>
        <v>-49</v>
      </c>
      <c r="N210" s="72">
        <f t="shared" si="15"/>
        <v>429976.49999999959</v>
      </c>
    </row>
    <row r="211" spans="1:14" x14ac:dyDescent="0.2">
      <c r="A211" s="73" t="s">
        <v>446</v>
      </c>
      <c r="B211" s="3">
        <f t="shared" si="12"/>
        <v>2025</v>
      </c>
      <c r="C211" s="3">
        <f t="shared" si="13"/>
        <v>2</v>
      </c>
      <c r="D211" s="73" t="s">
        <v>300</v>
      </c>
      <c r="E211" s="2"/>
      <c r="F211" s="2" t="s">
        <v>325</v>
      </c>
      <c r="G211" s="2" t="s">
        <v>363</v>
      </c>
      <c r="H211" s="2" t="s">
        <v>323</v>
      </c>
      <c r="I211" s="2" t="s">
        <v>316</v>
      </c>
      <c r="J211" s="2" t="s">
        <v>17</v>
      </c>
      <c r="K211" s="72">
        <v>49</v>
      </c>
      <c r="L211" s="39"/>
      <c r="M211" s="72">
        <f t="shared" si="14"/>
        <v>-49</v>
      </c>
      <c r="N211" s="72">
        <f t="shared" si="15"/>
        <v>429927.49999999959</v>
      </c>
    </row>
    <row r="212" spans="1:14" x14ac:dyDescent="0.2">
      <c r="A212" s="73" t="s">
        <v>446</v>
      </c>
      <c r="B212" s="3">
        <f t="shared" si="12"/>
        <v>2025</v>
      </c>
      <c r="C212" s="3">
        <f t="shared" si="13"/>
        <v>2</v>
      </c>
      <c r="D212" s="73" t="s">
        <v>300</v>
      </c>
      <c r="E212" s="2"/>
      <c r="F212" s="2" t="s">
        <v>325</v>
      </c>
      <c r="G212" s="2" t="s">
        <v>363</v>
      </c>
      <c r="H212" s="2" t="s">
        <v>323</v>
      </c>
      <c r="I212" s="2" t="s">
        <v>316</v>
      </c>
      <c r="J212" s="2" t="s">
        <v>17</v>
      </c>
      <c r="K212" s="72">
        <v>49</v>
      </c>
      <c r="L212" s="39"/>
      <c r="M212" s="72">
        <f t="shared" si="14"/>
        <v>-49</v>
      </c>
      <c r="N212" s="72">
        <f t="shared" si="15"/>
        <v>429878.49999999959</v>
      </c>
    </row>
    <row r="213" spans="1:14" x14ac:dyDescent="0.2">
      <c r="A213" s="73" t="s">
        <v>446</v>
      </c>
      <c r="B213" s="3">
        <f t="shared" si="12"/>
        <v>2025</v>
      </c>
      <c r="C213" s="3">
        <f t="shared" si="13"/>
        <v>2</v>
      </c>
      <c r="D213" s="73" t="s">
        <v>300</v>
      </c>
      <c r="E213" s="2"/>
      <c r="F213" s="2" t="s">
        <v>325</v>
      </c>
      <c r="G213" s="2" t="s">
        <v>363</v>
      </c>
      <c r="H213" s="2" t="s">
        <v>323</v>
      </c>
      <c r="I213" s="2" t="s">
        <v>316</v>
      </c>
      <c r="J213" s="2" t="s">
        <v>17</v>
      </c>
      <c r="K213" s="72">
        <v>49</v>
      </c>
      <c r="L213" s="39"/>
      <c r="M213" s="72">
        <f t="shared" si="14"/>
        <v>-49</v>
      </c>
      <c r="N213" s="72">
        <f t="shared" si="15"/>
        <v>429829.49999999959</v>
      </c>
    </row>
    <row r="214" spans="1:14" x14ac:dyDescent="0.2">
      <c r="A214" s="73" t="s">
        <v>446</v>
      </c>
      <c r="B214" s="3">
        <f t="shared" si="12"/>
        <v>2025</v>
      </c>
      <c r="C214" s="3">
        <f t="shared" si="13"/>
        <v>2</v>
      </c>
      <c r="D214" s="73" t="s">
        <v>300</v>
      </c>
      <c r="E214" s="2"/>
      <c r="F214" s="2" t="s">
        <v>325</v>
      </c>
      <c r="G214" s="2" t="s">
        <v>363</v>
      </c>
      <c r="H214" s="2" t="s">
        <v>323</v>
      </c>
      <c r="I214" s="2" t="s">
        <v>316</v>
      </c>
      <c r="J214" s="2" t="s">
        <v>17</v>
      </c>
      <c r="K214" s="72">
        <v>49</v>
      </c>
      <c r="L214" s="39"/>
      <c r="M214" s="72">
        <f t="shared" si="14"/>
        <v>-49</v>
      </c>
      <c r="N214" s="72">
        <f t="shared" si="15"/>
        <v>429780.49999999959</v>
      </c>
    </row>
    <row r="215" spans="1:14" x14ac:dyDescent="0.2">
      <c r="A215" s="73" t="s">
        <v>446</v>
      </c>
      <c r="B215" s="3">
        <f t="shared" si="12"/>
        <v>2025</v>
      </c>
      <c r="C215" s="3">
        <f t="shared" si="13"/>
        <v>2</v>
      </c>
      <c r="D215" s="73" t="s">
        <v>300</v>
      </c>
      <c r="E215" s="2"/>
      <c r="F215" s="2" t="s">
        <v>325</v>
      </c>
      <c r="G215" s="2" t="s">
        <v>363</v>
      </c>
      <c r="H215" s="2" t="s">
        <v>323</v>
      </c>
      <c r="I215" s="2" t="s">
        <v>316</v>
      </c>
      <c r="J215" s="2" t="s">
        <v>17</v>
      </c>
      <c r="K215" s="72">
        <v>49</v>
      </c>
      <c r="L215" s="39"/>
      <c r="M215" s="72">
        <f t="shared" si="14"/>
        <v>-49</v>
      </c>
      <c r="N215" s="72">
        <f t="shared" si="15"/>
        <v>429731.49999999959</v>
      </c>
    </row>
    <row r="216" spans="1:14" x14ac:dyDescent="0.2">
      <c r="A216" s="73" t="s">
        <v>446</v>
      </c>
      <c r="B216" s="3">
        <f t="shared" si="12"/>
        <v>2025</v>
      </c>
      <c r="C216" s="3">
        <f t="shared" si="13"/>
        <v>2</v>
      </c>
      <c r="D216" s="73" t="s">
        <v>300</v>
      </c>
      <c r="E216" s="2"/>
      <c r="F216" s="2" t="s">
        <v>325</v>
      </c>
      <c r="G216" s="2" t="s">
        <v>363</v>
      </c>
      <c r="H216" s="2" t="s">
        <v>323</v>
      </c>
      <c r="I216" s="2" t="s">
        <v>316</v>
      </c>
      <c r="J216" s="2" t="s">
        <v>17</v>
      </c>
      <c r="K216" s="72">
        <v>49</v>
      </c>
      <c r="L216" s="39"/>
      <c r="M216" s="72">
        <f t="shared" si="14"/>
        <v>-49</v>
      </c>
      <c r="N216" s="72">
        <f t="shared" si="15"/>
        <v>429682.49999999959</v>
      </c>
    </row>
    <row r="217" spans="1:14" x14ac:dyDescent="0.2">
      <c r="A217" s="73" t="s">
        <v>446</v>
      </c>
      <c r="B217" s="3">
        <f t="shared" si="12"/>
        <v>2025</v>
      </c>
      <c r="C217" s="3">
        <f t="shared" si="13"/>
        <v>2</v>
      </c>
      <c r="D217" s="73" t="s">
        <v>300</v>
      </c>
      <c r="E217" s="2"/>
      <c r="F217" s="2" t="s">
        <v>325</v>
      </c>
      <c r="G217" s="2" t="s">
        <v>363</v>
      </c>
      <c r="H217" s="2" t="s">
        <v>323</v>
      </c>
      <c r="I217" s="2" t="s">
        <v>316</v>
      </c>
      <c r="J217" s="2" t="s">
        <v>17</v>
      </c>
      <c r="K217" s="72">
        <v>49</v>
      </c>
      <c r="L217" s="39"/>
      <c r="M217" s="72">
        <f t="shared" si="14"/>
        <v>-49</v>
      </c>
      <c r="N217" s="72">
        <f t="shared" si="15"/>
        <v>429633.49999999959</v>
      </c>
    </row>
    <row r="218" spans="1:14" x14ac:dyDescent="0.2">
      <c r="A218" s="73" t="s">
        <v>446</v>
      </c>
      <c r="B218" s="3">
        <f t="shared" si="12"/>
        <v>2025</v>
      </c>
      <c r="C218" s="3">
        <f t="shared" si="13"/>
        <v>2</v>
      </c>
      <c r="D218" s="73" t="s">
        <v>300</v>
      </c>
      <c r="E218" s="2"/>
      <c r="F218" s="2" t="s">
        <v>325</v>
      </c>
      <c r="G218" s="2" t="s">
        <v>363</v>
      </c>
      <c r="H218" s="2" t="s">
        <v>323</v>
      </c>
      <c r="I218" s="2" t="s">
        <v>316</v>
      </c>
      <c r="J218" s="2" t="s">
        <v>17</v>
      </c>
      <c r="K218" s="72">
        <v>49</v>
      </c>
      <c r="L218" s="39"/>
      <c r="M218" s="72">
        <f t="shared" si="14"/>
        <v>-49</v>
      </c>
      <c r="N218" s="72">
        <f t="shared" si="15"/>
        <v>429584.49999999959</v>
      </c>
    </row>
    <row r="219" spans="1:14" x14ac:dyDescent="0.2">
      <c r="A219" s="73" t="s">
        <v>446</v>
      </c>
      <c r="B219" s="3">
        <f t="shared" si="12"/>
        <v>2025</v>
      </c>
      <c r="C219" s="3">
        <f t="shared" si="13"/>
        <v>2</v>
      </c>
      <c r="D219" s="73" t="s">
        <v>300</v>
      </c>
      <c r="E219" s="2"/>
      <c r="F219" s="2" t="s">
        <v>325</v>
      </c>
      <c r="G219" s="2" t="s">
        <v>363</v>
      </c>
      <c r="H219" s="2" t="s">
        <v>323</v>
      </c>
      <c r="I219" s="2" t="s">
        <v>316</v>
      </c>
      <c r="J219" s="2" t="s">
        <v>17</v>
      </c>
      <c r="K219" s="72">
        <v>49</v>
      </c>
      <c r="L219" s="39"/>
      <c r="M219" s="72">
        <f t="shared" si="14"/>
        <v>-49</v>
      </c>
      <c r="N219" s="72">
        <f t="shared" si="15"/>
        <v>429535.49999999959</v>
      </c>
    </row>
    <row r="220" spans="1:14" x14ac:dyDescent="0.2">
      <c r="A220" s="73" t="s">
        <v>446</v>
      </c>
      <c r="B220" s="3">
        <f t="shared" si="12"/>
        <v>2025</v>
      </c>
      <c r="C220" s="3">
        <f t="shared" si="13"/>
        <v>2</v>
      </c>
      <c r="D220" s="73" t="s">
        <v>300</v>
      </c>
      <c r="E220" s="2"/>
      <c r="F220" s="2" t="s">
        <v>325</v>
      </c>
      <c r="G220" s="2" t="s">
        <v>362</v>
      </c>
      <c r="H220" s="2" t="s">
        <v>323</v>
      </c>
      <c r="I220" s="2" t="s">
        <v>350</v>
      </c>
      <c r="J220" s="2" t="s">
        <v>353</v>
      </c>
      <c r="K220" s="72">
        <v>18600</v>
      </c>
      <c r="L220" s="39"/>
      <c r="M220" s="72">
        <f t="shared" si="14"/>
        <v>-18600</v>
      </c>
      <c r="N220" s="72">
        <f t="shared" si="15"/>
        <v>410935.49999999959</v>
      </c>
    </row>
    <row r="221" spans="1:14" x14ac:dyDescent="0.2">
      <c r="A221" s="73" t="s">
        <v>446</v>
      </c>
      <c r="B221" s="3">
        <f t="shared" si="12"/>
        <v>2025</v>
      </c>
      <c r="C221" s="3">
        <f t="shared" si="13"/>
        <v>2</v>
      </c>
      <c r="D221" s="73" t="s">
        <v>300</v>
      </c>
      <c r="E221" s="2"/>
      <c r="F221" s="2" t="s">
        <v>325</v>
      </c>
      <c r="G221" s="2" t="s">
        <v>361</v>
      </c>
      <c r="H221" s="2" t="s">
        <v>323</v>
      </c>
      <c r="I221" s="2" t="s">
        <v>316</v>
      </c>
      <c r="J221" s="2" t="s">
        <v>360</v>
      </c>
      <c r="K221" s="72">
        <v>17200</v>
      </c>
      <c r="L221" s="39"/>
      <c r="M221" s="72">
        <f t="shared" si="14"/>
        <v>-17200</v>
      </c>
      <c r="N221" s="72">
        <f t="shared" si="15"/>
        <v>393735.49999999959</v>
      </c>
    </row>
    <row r="222" spans="1:14" x14ac:dyDescent="0.2">
      <c r="A222" s="73" t="s">
        <v>446</v>
      </c>
      <c r="B222" s="3">
        <f t="shared" si="12"/>
        <v>2025</v>
      </c>
      <c r="C222" s="3">
        <f t="shared" si="13"/>
        <v>2</v>
      </c>
      <c r="D222" s="73" t="s">
        <v>300</v>
      </c>
      <c r="E222" s="2"/>
      <c r="F222" s="2" t="s">
        <v>325</v>
      </c>
      <c r="G222" s="2" t="s">
        <v>359</v>
      </c>
      <c r="H222" s="2" t="s">
        <v>323</v>
      </c>
      <c r="I222" s="2" t="s">
        <v>350</v>
      </c>
      <c r="J222" s="2" t="s">
        <v>27</v>
      </c>
      <c r="K222" s="72">
        <v>8325</v>
      </c>
      <c r="L222" s="39"/>
      <c r="M222" s="72">
        <f t="shared" si="14"/>
        <v>-8325</v>
      </c>
      <c r="N222" s="72">
        <f t="shared" si="15"/>
        <v>385410.49999999959</v>
      </c>
    </row>
    <row r="223" spans="1:14" x14ac:dyDescent="0.2">
      <c r="A223" s="73" t="s">
        <v>446</v>
      </c>
      <c r="B223" s="3">
        <f t="shared" si="12"/>
        <v>2025</v>
      </c>
      <c r="C223" s="3">
        <f t="shared" si="13"/>
        <v>2</v>
      </c>
      <c r="D223" s="73" t="s">
        <v>300</v>
      </c>
      <c r="E223" s="2"/>
      <c r="F223" s="2" t="s">
        <v>325</v>
      </c>
      <c r="G223" s="2" t="s">
        <v>474</v>
      </c>
      <c r="H223" s="2" t="s">
        <v>323</v>
      </c>
      <c r="I223" s="2" t="s">
        <v>350</v>
      </c>
      <c r="J223" s="2" t="s">
        <v>353</v>
      </c>
      <c r="K223" s="72">
        <v>12000</v>
      </c>
      <c r="L223" s="39"/>
      <c r="M223" s="72">
        <f t="shared" si="14"/>
        <v>-12000</v>
      </c>
      <c r="N223" s="72">
        <f t="shared" si="15"/>
        <v>373410.49999999959</v>
      </c>
    </row>
    <row r="224" spans="1:14" x14ac:dyDescent="0.2">
      <c r="A224" s="73" t="s">
        <v>446</v>
      </c>
      <c r="B224" s="3">
        <f t="shared" si="12"/>
        <v>2025</v>
      </c>
      <c r="C224" s="3">
        <f t="shared" si="13"/>
        <v>2</v>
      </c>
      <c r="D224" s="73" t="s">
        <v>300</v>
      </c>
      <c r="E224" s="2"/>
      <c r="F224" s="2" t="s">
        <v>325</v>
      </c>
      <c r="G224" s="2" t="s">
        <v>475</v>
      </c>
      <c r="H224" s="2" t="s">
        <v>323</v>
      </c>
      <c r="I224" s="2" t="s">
        <v>350</v>
      </c>
      <c r="J224" s="2" t="s">
        <v>353</v>
      </c>
      <c r="K224" s="72">
        <v>1330</v>
      </c>
      <c r="L224" s="39"/>
      <c r="M224" s="72">
        <f t="shared" si="14"/>
        <v>-1330</v>
      </c>
      <c r="N224" s="72">
        <f t="shared" si="15"/>
        <v>372080.49999999959</v>
      </c>
    </row>
    <row r="225" spans="1:14" x14ac:dyDescent="0.2">
      <c r="A225" s="73" t="s">
        <v>446</v>
      </c>
      <c r="B225" s="3">
        <f t="shared" si="12"/>
        <v>2025</v>
      </c>
      <c r="C225" s="3">
        <f t="shared" si="13"/>
        <v>2</v>
      </c>
      <c r="D225" s="73" t="s">
        <v>300</v>
      </c>
      <c r="E225" s="2"/>
      <c r="F225" s="2" t="s">
        <v>325</v>
      </c>
      <c r="G225" s="2" t="s">
        <v>358</v>
      </c>
      <c r="H225" s="2" t="s">
        <v>323</v>
      </c>
      <c r="I225" s="2" t="s">
        <v>350</v>
      </c>
      <c r="J225" s="2" t="s">
        <v>353</v>
      </c>
      <c r="K225" s="72">
        <v>249.6</v>
      </c>
      <c r="L225" s="39"/>
      <c r="M225" s="72">
        <f t="shared" si="14"/>
        <v>-249.6</v>
      </c>
      <c r="N225" s="72">
        <f t="shared" si="15"/>
        <v>371830.89999999962</v>
      </c>
    </row>
    <row r="226" spans="1:14" x14ac:dyDescent="0.2">
      <c r="A226" s="73" t="s">
        <v>446</v>
      </c>
      <c r="B226" s="3">
        <f t="shared" si="12"/>
        <v>2025</v>
      </c>
      <c r="C226" s="3">
        <f t="shared" si="13"/>
        <v>2</v>
      </c>
      <c r="D226" s="73" t="s">
        <v>300</v>
      </c>
      <c r="E226" s="2"/>
      <c r="F226" s="2" t="s">
        <v>325</v>
      </c>
      <c r="G226" s="2" t="s">
        <v>357</v>
      </c>
      <c r="H226" s="2" t="s">
        <v>323</v>
      </c>
      <c r="I226" s="2" t="s">
        <v>350</v>
      </c>
      <c r="J226" s="2" t="s">
        <v>353</v>
      </c>
      <c r="K226" s="72">
        <v>10000</v>
      </c>
      <c r="L226" s="39"/>
      <c r="M226" s="72">
        <f t="shared" si="14"/>
        <v>-10000</v>
      </c>
      <c r="N226" s="72">
        <f t="shared" si="15"/>
        <v>361830.89999999962</v>
      </c>
    </row>
    <row r="227" spans="1:14" x14ac:dyDescent="0.2">
      <c r="A227" s="73" t="s">
        <v>446</v>
      </c>
      <c r="B227" s="3">
        <f t="shared" si="12"/>
        <v>2025</v>
      </c>
      <c r="C227" s="3">
        <f t="shared" si="13"/>
        <v>2</v>
      </c>
      <c r="D227" s="73" t="s">
        <v>300</v>
      </c>
      <c r="E227" s="2"/>
      <c r="F227" s="2" t="s">
        <v>325</v>
      </c>
      <c r="G227" s="2" t="s">
        <v>389</v>
      </c>
      <c r="H227" s="2" t="s">
        <v>323</v>
      </c>
      <c r="I227" s="2" t="s">
        <v>350</v>
      </c>
      <c r="J227" s="2" t="s">
        <v>353</v>
      </c>
      <c r="K227" s="72">
        <v>2175</v>
      </c>
      <c r="L227" s="39"/>
      <c r="M227" s="72">
        <f t="shared" si="14"/>
        <v>-2175</v>
      </c>
      <c r="N227" s="72">
        <f t="shared" si="15"/>
        <v>359655.89999999962</v>
      </c>
    </row>
    <row r="228" spans="1:14" x14ac:dyDescent="0.2">
      <c r="A228" s="73" t="s">
        <v>446</v>
      </c>
      <c r="B228" s="3">
        <f t="shared" si="12"/>
        <v>2025</v>
      </c>
      <c r="C228" s="3">
        <f t="shared" si="13"/>
        <v>2</v>
      </c>
      <c r="D228" s="73" t="s">
        <v>300</v>
      </c>
      <c r="E228" s="2"/>
      <c r="F228" s="2" t="s">
        <v>325</v>
      </c>
      <c r="G228" s="2" t="s">
        <v>356</v>
      </c>
      <c r="H228" s="2" t="s">
        <v>323</v>
      </c>
      <c r="I228" s="2" t="s">
        <v>350</v>
      </c>
      <c r="J228" s="2" t="s">
        <v>27</v>
      </c>
      <c r="K228" s="72">
        <v>16065</v>
      </c>
      <c r="L228" s="39"/>
      <c r="M228" s="72">
        <f t="shared" si="14"/>
        <v>-16065</v>
      </c>
      <c r="N228" s="72">
        <f t="shared" si="15"/>
        <v>343590.89999999962</v>
      </c>
    </row>
    <row r="229" spans="1:14" x14ac:dyDescent="0.2">
      <c r="A229" s="73" t="s">
        <v>446</v>
      </c>
      <c r="B229" s="3">
        <f t="shared" si="12"/>
        <v>2025</v>
      </c>
      <c r="C229" s="3">
        <f t="shared" si="13"/>
        <v>2</v>
      </c>
      <c r="D229" s="73" t="s">
        <v>300</v>
      </c>
      <c r="E229" s="2"/>
      <c r="F229" s="2" t="s">
        <v>304</v>
      </c>
      <c r="G229" s="2" t="s">
        <v>308</v>
      </c>
      <c r="H229" s="2" t="s">
        <v>349</v>
      </c>
      <c r="I229" s="2" t="s">
        <v>297</v>
      </c>
      <c r="J229" s="2" t="s">
        <v>26</v>
      </c>
      <c r="K229" s="72">
        <v>398.54</v>
      </c>
      <c r="L229" s="39"/>
      <c r="M229" s="72">
        <f t="shared" si="14"/>
        <v>-398.54</v>
      </c>
      <c r="N229" s="72">
        <f t="shared" si="15"/>
        <v>343192.35999999964</v>
      </c>
    </row>
    <row r="230" spans="1:14" x14ac:dyDescent="0.2">
      <c r="A230" s="73" t="s">
        <v>446</v>
      </c>
      <c r="B230" s="3">
        <f t="shared" si="12"/>
        <v>2025</v>
      </c>
      <c r="C230" s="3">
        <f t="shared" si="13"/>
        <v>2</v>
      </c>
      <c r="D230" s="73" t="s">
        <v>300</v>
      </c>
      <c r="E230" s="2"/>
      <c r="F230" s="2" t="s">
        <v>325</v>
      </c>
      <c r="G230" s="2" t="s">
        <v>7</v>
      </c>
      <c r="H230" s="2" t="s">
        <v>323</v>
      </c>
      <c r="I230" s="2" t="s">
        <v>350</v>
      </c>
      <c r="J230" s="2" t="s">
        <v>27</v>
      </c>
      <c r="K230" s="72">
        <v>5122.5</v>
      </c>
      <c r="L230" s="39"/>
      <c r="M230" s="72">
        <f t="shared" si="14"/>
        <v>-5122.5</v>
      </c>
      <c r="N230" s="72">
        <f t="shared" si="15"/>
        <v>338069.85999999964</v>
      </c>
    </row>
    <row r="231" spans="1:14" x14ac:dyDescent="0.2">
      <c r="A231" s="73" t="s">
        <v>446</v>
      </c>
      <c r="B231" s="3">
        <f t="shared" si="12"/>
        <v>2025</v>
      </c>
      <c r="C231" s="3">
        <f t="shared" si="13"/>
        <v>2</v>
      </c>
      <c r="D231" s="73" t="s">
        <v>300</v>
      </c>
      <c r="E231" s="2"/>
      <c r="F231" s="2" t="s">
        <v>304</v>
      </c>
      <c r="G231" s="2" t="s">
        <v>377</v>
      </c>
      <c r="H231" s="2" t="s">
        <v>376</v>
      </c>
      <c r="I231" s="2" t="s">
        <v>301</v>
      </c>
      <c r="J231" s="2" t="s">
        <v>11</v>
      </c>
      <c r="K231" s="72">
        <v>995.73</v>
      </c>
      <c r="L231" s="39"/>
      <c r="M231" s="72">
        <f t="shared" si="14"/>
        <v>-995.73</v>
      </c>
      <c r="N231" s="72">
        <f t="shared" si="15"/>
        <v>337074.12999999966</v>
      </c>
    </row>
    <row r="232" spans="1:14" x14ac:dyDescent="0.2">
      <c r="A232" s="73" t="s">
        <v>446</v>
      </c>
      <c r="B232" s="3">
        <f t="shared" si="12"/>
        <v>2025</v>
      </c>
      <c r="C232" s="3">
        <f t="shared" si="13"/>
        <v>2</v>
      </c>
      <c r="D232" s="73" t="s">
        <v>300</v>
      </c>
      <c r="E232" s="2"/>
      <c r="F232" s="2" t="s">
        <v>325</v>
      </c>
      <c r="G232" s="2" t="s">
        <v>355</v>
      </c>
      <c r="H232" s="2" t="s">
        <v>323</v>
      </c>
      <c r="I232" s="2" t="s">
        <v>350</v>
      </c>
      <c r="J232" s="2" t="s">
        <v>27</v>
      </c>
      <c r="K232" s="72">
        <v>12000</v>
      </c>
      <c r="L232" s="39"/>
      <c r="M232" s="72">
        <f t="shared" si="14"/>
        <v>-12000</v>
      </c>
      <c r="N232" s="72">
        <f t="shared" si="15"/>
        <v>325074.12999999966</v>
      </c>
    </row>
    <row r="233" spans="1:14" x14ac:dyDescent="0.2">
      <c r="A233" s="73" t="s">
        <v>446</v>
      </c>
      <c r="B233" s="3">
        <f t="shared" si="12"/>
        <v>2025</v>
      </c>
      <c r="C233" s="3">
        <f t="shared" si="13"/>
        <v>2</v>
      </c>
      <c r="D233" s="73" t="s">
        <v>300</v>
      </c>
      <c r="E233" s="2"/>
      <c r="F233" s="2" t="s">
        <v>325</v>
      </c>
      <c r="G233" s="2" t="s">
        <v>428</v>
      </c>
      <c r="H233" s="2" t="s">
        <v>323</v>
      </c>
      <c r="I233" s="2" t="s">
        <v>350</v>
      </c>
      <c r="J233" s="2" t="s">
        <v>353</v>
      </c>
      <c r="K233" s="72">
        <v>199</v>
      </c>
      <c r="L233" s="39"/>
      <c r="M233" s="72">
        <f t="shared" si="14"/>
        <v>-199</v>
      </c>
      <c r="N233" s="72">
        <f t="shared" si="15"/>
        <v>324875.12999999966</v>
      </c>
    </row>
    <row r="234" spans="1:14" x14ac:dyDescent="0.2">
      <c r="A234" s="73" t="s">
        <v>446</v>
      </c>
      <c r="B234" s="3">
        <f t="shared" si="12"/>
        <v>2025</v>
      </c>
      <c r="C234" s="3">
        <f t="shared" si="13"/>
        <v>2</v>
      </c>
      <c r="D234" s="73" t="s">
        <v>300</v>
      </c>
      <c r="E234" s="2"/>
      <c r="F234" s="2" t="s">
        <v>325</v>
      </c>
      <c r="G234" s="2" t="s">
        <v>354</v>
      </c>
      <c r="H234" s="2" t="s">
        <v>323</v>
      </c>
      <c r="I234" s="2" t="s">
        <v>350</v>
      </c>
      <c r="J234" s="2" t="s">
        <v>353</v>
      </c>
      <c r="K234" s="72">
        <v>3640</v>
      </c>
      <c r="L234" s="39"/>
      <c r="M234" s="72">
        <f t="shared" si="14"/>
        <v>-3640</v>
      </c>
      <c r="N234" s="72">
        <f t="shared" si="15"/>
        <v>321235.12999999966</v>
      </c>
    </row>
    <row r="235" spans="1:14" x14ac:dyDescent="0.2">
      <c r="A235" s="73" t="s">
        <v>446</v>
      </c>
      <c r="B235" s="3">
        <f t="shared" si="12"/>
        <v>2025</v>
      </c>
      <c r="C235" s="3">
        <f t="shared" si="13"/>
        <v>2</v>
      </c>
      <c r="D235" s="73" t="s">
        <v>300</v>
      </c>
      <c r="E235" s="2"/>
      <c r="F235" s="2" t="s">
        <v>325</v>
      </c>
      <c r="G235" s="2" t="s">
        <v>354</v>
      </c>
      <c r="H235" s="2" t="s">
        <v>323</v>
      </c>
      <c r="I235" s="2" t="s">
        <v>350</v>
      </c>
      <c r="J235" s="2" t="s">
        <v>353</v>
      </c>
      <c r="K235" s="72">
        <v>4600</v>
      </c>
      <c r="L235" s="39"/>
      <c r="M235" s="72">
        <f t="shared" si="14"/>
        <v>-4600</v>
      </c>
      <c r="N235" s="72">
        <f t="shared" si="15"/>
        <v>316635.12999999966</v>
      </c>
    </row>
    <row r="236" spans="1:14" x14ac:dyDescent="0.2">
      <c r="A236" s="73" t="s">
        <v>446</v>
      </c>
      <c r="B236" s="3">
        <f t="shared" si="12"/>
        <v>2025</v>
      </c>
      <c r="C236" s="3">
        <f t="shared" si="13"/>
        <v>2</v>
      </c>
      <c r="D236" s="73" t="s">
        <v>300</v>
      </c>
      <c r="E236" s="2"/>
      <c r="F236" s="2" t="s">
        <v>325</v>
      </c>
      <c r="G236" s="2" t="s">
        <v>14</v>
      </c>
      <c r="H236" s="2" t="s">
        <v>323</v>
      </c>
      <c r="I236" s="2" t="s">
        <v>350</v>
      </c>
      <c r="J236" s="2" t="s">
        <v>27</v>
      </c>
      <c r="K236" s="72">
        <v>62.5</v>
      </c>
      <c r="L236" s="39"/>
      <c r="M236" s="72">
        <f t="shared" si="14"/>
        <v>-62.5</v>
      </c>
      <c r="N236" s="72">
        <f t="shared" si="15"/>
        <v>316572.62999999966</v>
      </c>
    </row>
    <row r="237" spans="1:14" x14ac:dyDescent="0.2">
      <c r="A237" s="73" t="s">
        <v>446</v>
      </c>
      <c r="B237" s="3">
        <f t="shared" si="12"/>
        <v>2025</v>
      </c>
      <c r="C237" s="3">
        <f t="shared" si="13"/>
        <v>2</v>
      </c>
      <c r="D237" s="73" t="s">
        <v>300</v>
      </c>
      <c r="E237" s="2"/>
      <c r="F237" s="2" t="s">
        <v>325</v>
      </c>
      <c r="G237" s="2" t="s">
        <v>352</v>
      </c>
      <c r="H237" s="2" t="s">
        <v>323</v>
      </c>
      <c r="I237" s="2" t="s">
        <v>350</v>
      </c>
      <c r="J237" s="2" t="s">
        <v>27</v>
      </c>
      <c r="K237" s="72">
        <v>325</v>
      </c>
      <c r="L237" s="39"/>
      <c r="M237" s="72">
        <f t="shared" si="14"/>
        <v>-325</v>
      </c>
      <c r="N237" s="72">
        <f t="shared" si="15"/>
        <v>316247.62999999966</v>
      </c>
    </row>
    <row r="238" spans="1:14" x14ac:dyDescent="0.2">
      <c r="A238" s="73" t="s">
        <v>446</v>
      </c>
      <c r="B238" s="3">
        <f t="shared" si="12"/>
        <v>2025</v>
      </c>
      <c r="C238" s="3">
        <f t="shared" si="13"/>
        <v>2</v>
      </c>
      <c r="D238" s="73" t="s">
        <v>300</v>
      </c>
      <c r="E238" s="2"/>
      <c r="F238" s="2" t="s">
        <v>325</v>
      </c>
      <c r="G238" s="2" t="s">
        <v>352</v>
      </c>
      <c r="H238" s="2" t="s">
        <v>323</v>
      </c>
      <c r="I238" s="2" t="s">
        <v>350</v>
      </c>
      <c r="J238" s="2" t="s">
        <v>27</v>
      </c>
      <c r="K238" s="72">
        <v>600</v>
      </c>
      <c r="L238" s="39"/>
      <c r="M238" s="72">
        <f t="shared" si="14"/>
        <v>-600</v>
      </c>
      <c r="N238" s="72">
        <f t="shared" si="15"/>
        <v>315647.62999999966</v>
      </c>
    </row>
    <row r="239" spans="1:14" x14ac:dyDescent="0.2">
      <c r="A239" s="73" t="s">
        <v>446</v>
      </c>
      <c r="B239" s="3">
        <f t="shared" si="12"/>
        <v>2025</v>
      </c>
      <c r="C239" s="3">
        <f t="shared" si="13"/>
        <v>2</v>
      </c>
      <c r="D239" s="73" t="s">
        <v>300</v>
      </c>
      <c r="E239" s="2"/>
      <c r="F239" s="2" t="s">
        <v>325</v>
      </c>
      <c r="G239" s="2" t="s">
        <v>352</v>
      </c>
      <c r="H239" s="2" t="s">
        <v>323</v>
      </c>
      <c r="I239" s="2" t="s">
        <v>350</v>
      </c>
      <c r="J239" s="2" t="s">
        <v>27</v>
      </c>
      <c r="K239" s="72">
        <v>1225</v>
      </c>
      <c r="L239" s="39"/>
      <c r="M239" s="72">
        <f t="shared" si="14"/>
        <v>-1225</v>
      </c>
      <c r="N239" s="72">
        <f t="shared" si="15"/>
        <v>314422.62999999966</v>
      </c>
    </row>
    <row r="240" spans="1:14" x14ac:dyDescent="0.2">
      <c r="A240" s="73" t="s">
        <v>446</v>
      </c>
      <c r="B240" s="3">
        <f t="shared" si="12"/>
        <v>2025</v>
      </c>
      <c r="C240" s="3">
        <f t="shared" si="13"/>
        <v>2</v>
      </c>
      <c r="D240" s="73" t="s">
        <v>300</v>
      </c>
      <c r="E240" s="2"/>
      <c r="F240" s="2" t="s">
        <v>325</v>
      </c>
      <c r="G240" s="2" t="s">
        <v>352</v>
      </c>
      <c r="H240" s="2" t="s">
        <v>323</v>
      </c>
      <c r="I240" s="2" t="s">
        <v>350</v>
      </c>
      <c r="J240" s="2" t="s">
        <v>27</v>
      </c>
      <c r="K240" s="72">
        <v>2450</v>
      </c>
      <c r="L240" s="39"/>
      <c r="M240" s="72">
        <f t="shared" si="14"/>
        <v>-2450</v>
      </c>
      <c r="N240" s="72">
        <f t="shared" si="15"/>
        <v>311972.62999999966</v>
      </c>
    </row>
    <row r="241" spans="1:14" x14ac:dyDescent="0.2">
      <c r="A241" s="73" t="s">
        <v>446</v>
      </c>
      <c r="B241" s="3">
        <f t="shared" si="12"/>
        <v>2025</v>
      </c>
      <c r="C241" s="3">
        <f t="shared" si="13"/>
        <v>2</v>
      </c>
      <c r="D241" s="73" t="s">
        <v>300</v>
      </c>
      <c r="E241" s="2"/>
      <c r="F241" s="2" t="s">
        <v>325</v>
      </c>
      <c r="G241" s="2" t="s">
        <v>352</v>
      </c>
      <c r="H241" s="2" t="s">
        <v>323</v>
      </c>
      <c r="I241" s="2" t="s">
        <v>350</v>
      </c>
      <c r="J241" s="2" t="s">
        <v>27</v>
      </c>
      <c r="K241" s="72">
        <v>490</v>
      </c>
      <c r="L241" s="39"/>
      <c r="M241" s="72">
        <f t="shared" si="14"/>
        <v>-490</v>
      </c>
      <c r="N241" s="72">
        <f t="shared" si="15"/>
        <v>311482.62999999966</v>
      </c>
    </row>
    <row r="242" spans="1:14" x14ac:dyDescent="0.2">
      <c r="A242" s="73" t="s">
        <v>446</v>
      </c>
      <c r="B242" s="3">
        <f t="shared" si="12"/>
        <v>2025</v>
      </c>
      <c r="C242" s="3">
        <f t="shared" si="13"/>
        <v>2</v>
      </c>
      <c r="D242" s="73" t="s">
        <v>300</v>
      </c>
      <c r="E242" s="2"/>
      <c r="F242" s="2" t="s">
        <v>325</v>
      </c>
      <c r="G242" s="2" t="s">
        <v>352</v>
      </c>
      <c r="H242" s="2" t="s">
        <v>323</v>
      </c>
      <c r="I242" s="2" t="s">
        <v>350</v>
      </c>
      <c r="J242" s="2" t="s">
        <v>27</v>
      </c>
      <c r="K242" s="72">
        <v>43.75</v>
      </c>
      <c r="L242" s="39"/>
      <c r="M242" s="72">
        <f t="shared" si="14"/>
        <v>-43.75</v>
      </c>
      <c r="N242" s="72">
        <f t="shared" si="15"/>
        <v>311438.87999999966</v>
      </c>
    </row>
    <row r="243" spans="1:14" x14ac:dyDescent="0.2">
      <c r="A243" s="73" t="s">
        <v>446</v>
      </c>
      <c r="B243" s="3">
        <f t="shared" si="12"/>
        <v>2025</v>
      </c>
      <c r="C243" s="3">
        <f t="shared" si="13"/>
        <v>2</v>
      </c>
      <c r="D243" s="73" t="s">
        <v>300</v>
      </c>
      <c r="E243" s="2"/>
      <c r="F243" s="2" t="s">
        <v>325</v>
      </c>
      <c r="G243" s="2" t="s">
        <v>352</v>
      </c>
      <c r="H243" s="2" t="s">
        <v>323</v>
      </c>
      <c r="I243" s="2" t="s">
        <v>350</v>
      </c>
      <c r="J243" s="2" t="s">
        <v>27</v>
      </c>
      <c r="K243" s="72">
        <v>3955</v>
      </c>
      <c r="L243" s="39"/>
      <c r="M243" s="72">
        <f t="shared" si="14"/>
        <v>-3955</v>
      </c>
      <c r="N243" s="72">
        <f t="shared" si="15"/>
        <v>307483.87999999966</v>
      </c>
    </row>
    <row r="244" spans="1:14" x14ac:dyDescent="0.2">
      <c r="A244" s="73" t="s">
        <v>446</v>
      </c>
      <c r="B244" s="3">
        <f t="shared" si="12"/>
        <v>2025</v>
      </c>
      <c r="C244" s="3">
        <f t="shared" si="13"/>
        <v>2</v>
      </c>
      <c r="D244" s="73" t="s">
        <v>300</v>
      </c>
      <c r="E244" s="2"/>
      <c r="F244" s="2" t="s">
        <v>325</v>
      </c>
      <c r="G244" s="2" t="s">
        <v>352</v>
      </c>
      <c r="H244" s="2" t="s">
        <v>323</v>
      </c>
      <c r="I244" s="2" t="s">
        <v>350</v>
      </c>
      <c r="J244" s="2" t="s">
        <v>27</v>
      </c>
      <c r="K244" s="72">
        <v>630</v>
      </c>
      <c r="L244" s="39"/>
      <c r="M244" s="72">
        <f t="shared" si="14"/>
        <v>-630</v>
      </c>
      <c r="N244" s="72">
        <f t="shared" si="15"/>
        <v>306853.87999999966</v>
      </c>
    </row>
    <row r="245" spans="1:14" x14ac:dyDescent="0.2">
      <c r="A245" s="73" t="s">
        <v>446</v>
      </c>
      <c r="B245" s="3">
        <f t="shared" si="12"/>
        <v>2025</v>
      </c>
      <c r="C245" s="3">
        <f t="shared" si="13"/>
        <v>2</v>
      </c>
      <c r="D245" s="73" t="s">
        <v>300</v>
      </c>
      <c r="E245" s="2"/>
      <c r="F245" s="2" t="s">
        <v>325</v>
      </c>
      <c r="G245" s="2" t="s">
        <v>352</v>
      </c>
      <c r="H245" s="2" t="s">
        <v>323</v>
      </c>
      <c r="I245" s="2" t="s">
        <v>350</v>
      </c>
      <c r="J245" s="2" t="s">
        <v>27</v>
      </c>
      <c r="K245" s="72">
        <v>770</v>
      </c>
      <c r="L245" s="39"/>
      <c r="M245" s="72">
        <f t="shared" si="14"/>
        <v>-770</v>
      </c>
      <c r="N245" s="72">
        <f t="shared" si="15"/>
        <v>306083.87999999966</v>
      </c>
    </row>
    <row r="246" spans="1:14" x14ac:dyDescent="0.2">
      <c r="A246" s="73" t="s">
        <v>446</v>
      </c>
      <c r="B246" s="3">
        <f t="shared" si="12"/>
        <v>2025</v>
      </c>
      <c r="C246" s="3">
        <f t="shared" si="13"/>
        <v>2</v>
      </c>
      <c r="D246" s="73" t="s">
        <v>300</v>
      </c>
      <c r="E246" s="2"/>
      <c r="F246" s="2" t="s">
        <v>325</v>
      </c>
      <c r="G246" s="2" t="s">
        <v>352</v>
      </c>
      <c r="H246" s="2" t="s">
        <v>323</v>
      </c>
      <c r="I246" s="2" t="s">
        <v>350</v>
      </c>
      <c r="J246" s="2" t="s">
        <v>27</v>
      </c>
      <c r="K246" s="72">
        <v>665</v>
      </c>
      <c r="L246" s="39"/>
      <c r="M246" s="72">
        <f t="shared" si="14"/>
        <v>-665</v>
      </c>
      <c r="N246" s="72">
        <f t="shared" si="15"/>
        <v>305418.87999999966</v>
      </c>
    </row>
    <row r="247" spans="1:14" x14ac:dyDescent="0.2">
      <c r="A247" s="73" t="s">
        <v>446</v>
      </c>
      <c r="B247" s="3">
        <f t="shared" si="12"/>
        <v>2025</v>
      </c>
      <c r="C247" s="3">
        <f t="shared" si="13"/>
        <v>2</v>
      </c>
      <c r="D247" s="73" t="s">
        <v>300</v>
      </c>
      <c r="E247" s="2"/>
      <c r="F247" s="2" t="s">
        <v>325</v>
      </c>
      <c r="G247" s="2" t="s">
        <v>351</v>
      </c>
      <c r="H247" s="2" t="s">
        <v>323</v>
      </c>
      <c r="I247" s="2" t="s">
        <v>350</v>
      </c>
      <c r="J247" s="2" t="s">
        <v>27</v>
      </c>
      <c r="K247" s="72">
        <v>18180</v>
      </c>
      <c r="L247" s="39"/>
      <c r="M247" s="72">
        <f t="shared" si="14"/>
        <v>-18180</v>
      </c>
      <c r="N247" s="72">
        <f t="shared" si="15"/>
        <v>287238.87999999966</v>
      </c>
    </row>
    <row r="248" spans="1:14" x14ac:dyDescent="0.2">
      <c r="A248" s="73" t="s">
        <v>446</v>
      </c>
      <c r="B248" s="3">
        <f t="shared" si="12"/>
        <v>2025</v>
      </c>
      <c r="C248" s="3">
        <f t="shared" si="13"/>
        <v>2</v>
      </c>
      <c r="D248" s="73" t="s">
        <v>300</v>
      </c>
      <c r="E248" s="2"/>
      <c r="F248" s="2" t="s">
        <v>304</v>
      </c>
      <c r="G248" s="2" t="s">
        <v>303</v>
      </c>
      <c r="H248" s="2" t="s">
        <v>302</v>
      </c>
      <c r="I248" s="2" t="s">
        <v>301</v>
      </c>
      <c r="J248" s="2" t="s">
        <v>11</v>
      </c>
      <c r="K248" s="72">
        <v>25</v>
      </c>
      <c r="L248" s="39"/>
      <c r="M248" s="72">
        <f t="shared" si="14"/>
        <v>-25</v>
      </c>
      <c r="N248" s="72">
        <f t="shared" si="15"/>
        <v>287213.87999999966</v>
      </c>
    </row>
    <row r="249" spans="1:14" x14ac:dyDescent="0.2">
      <c r="A249" s="73" t="s">
        <v>446</v>
      </c>
      <c r="B249" s="3">
        <f t="shared" si="12"/>
        <v>2025</v>
      </c>
      <c r="C249" s="3">
        <f t="shared" si="13"/>
        <v>2</v>
      </c>
      <c r="D249" s="73" t="s">
        <v>300</v>
      </c>
      <c r="E249" s="2"/>
      <c r="F249" s="2" t="s">
        <v>299</v>
      </c>
      <c r="G249" s="2"/>
      <c r="H249" s="2" t="s">
        <v>298</v>
      </c>
      <c r="I249" s="2" t="s">
        <v>297</v>
      </c>
      <c r="J249" s="2" t="s">
        <v>296</v>
      </c>
      <c r="K249" s="72"/>
      <c r="L249" s="39">
        <v>212756.12</v>
      </c>
      <c r="M249" s="72">
        <f t="shared" si="14"/>
        <v>212756.12</v>
      </c>
      <c r="N249" s="72">
        <f t="shared" si="15"/>
        <v>499969.99999999965</v>
      </c>
    </row>
    <row r="250" spans="1:14" x14ac:dyDescent="0.2">
      <c r="A250" s="73" t="s">
        <v>447</v>
      </c>
      <c r="B250" s="3">
        <f t="shared" si="12"/>
        <v>2025</v>
      </c>
      <c r="C250" s="3">
        <f t="shared" si="13"/>
        <v>2</v>
      </c>
      <c r="D250" s="73" t="s">
        <v>300</v>
      </c>
      <c r="E250" s="2"/>
      <c r="F250" s="2" t="s">
        <v>309</v>
      </c>
      <c r="G250" s="2" t="s">
        <v>381</v>
      </c>
      <c r="H250" s="2" t="s">
        <v>380</v>
      </c>
      <c r="I250" s="2" t="s">
        <v>301</v>
      </c>
      <c r="J250" s="2" t="s">
        <v>11</v>
      </c>
      <c r="K250" s="72"/>
      <c r="L250" s="39">
        <v>999.41</v>
      </c>
      <c r="M250" s="72">
        <f t="shared" si="14"/>
        <v>999.41</v>
      </c>
      <c r="N250" s="72">
        <f t="shared" si="15"/>
        <v>500969.40999999963</v>
      </c>
    </row>
    <row r="251" spans="1:14" x14ac:dyDescent="0.2">
      <c r="A251" s="73" t="s">
        <v>447</v>
      </c>
      <c r="B251" s="3">
        <f t="shared" si="12"/>
        <v>2025</v>
      </c>
      <c r="C251" s="3">
        <f t="shared" si="13"/>
        <v>2</v>
      </c>
      <c r="D251" s="73" t="s">
        <v>300</v>
      </c>
      <c r="E251" s="2"/>
      <c r="F251" s="2" t="s">
        <v>304</v>
      </c>
      <c r="G251" s="2" t="s">
        <v>311</v>
      </c>
      <c r="H251" s="2" t="s">
        <v>310</v>
      </c>
      <c r="I251" s="2" t="s">
        <v>301</v>
      </c>
      <c r="J251" s="2" t="s">
        <v>11</v>
      </c>
      <c r="K251" s="72">
        <v>387.33</v>
      </c>
      <c r="L251" s="39"/>
      <c r="M251" s="72">
        <f t="shared" si="14"/>
        <v>-387.33</v>
      </c>
      <c r="N251" s="72">
        <f t="shared" si="15"/>
        <v>500582.07999999961</v>
      </c>
    </row>
    <row r="252" spans="1:14" x14ac:dyDescent="0.2">
      <c r="A252" s="73" t="s">
        <v>447</v>
      </c>
      <c r="B252" s="3">
        <f t="shared" si="12"/>
        <v>2025</v>
      </c>
      <c r="C252" s="3">
        <f t="shared" si="13"/>
        <v>2</v>
      </c>
      <c r="D252" s="73" t="s">
        <v>300</v>
      </c>
      <c r="E252" s="2"/>
      <c r="F252" s="2" t="s">
        <v>304</v>
      </c>
      <c r="G252" s="2" t="s">
        <v>306</v>
      </c>
      <c r="H252" s="2" t="s">
        <v>384</v>
      </c>
      <c r="I252" s="2" t="s">
        <v>301</v>
      </c>
      <c r="J252" s="2" t="s">
        <v>19</v>
      </c>
      <c r="K252" s="72">
        <v>4</v>
      </c>
      <c r="L252" s="39"/>
      <c r="M252" s="72">
        <f t="shared" si="14"/>
        <v>-4</v>
      </c>
      <c r="N252" s="72">
        <f t="shared" si="15"/>
        <v>500578.07999999961</v>
      </c>
    </row>
    <row r="253" spans="1:14" x14ac:dyDescent="0.2">
      <c r="A253" s="73" t="s">
        <v>447</v>
      </c>
      <c r="B253" s="3">
        <f t="shared" si="12"/>
        <v>2025</v>
      </c>
      <c r="C253" s="3">
        <f t="shared" si="13"/>
        <v>2</v>
      </c>
      <c r="D253" s="73" t="s">
        <v>300</v>
      </c>
      <c r="E253" s="2"/>
      <c r="F253" s="2" t="s">
        <v>325</v>
      </c>
      <c r="G253" s="2" t="s">
        <v>337</v>
      </c>
      <c r="H253" s="2" t="s">
        <v>323</v>
      </c>
      <c r="I253" s="2" t="s">
        <v>316</v>
      </c>
      <c r="J253" s="2" t="s">
        <v>22</v>
      </c>
      <c r="K253" s="72">
        <v>147.57</v>
      </c>
      <c r="L253" s="39"/>
      <c r="M253" s="72">
        <f t="shared" si="14"/>
        <v>-147.57</v>
      </c>
      <c r="N253" s="72">
        <f t="shared" si="15"/>
        <v>500430.5099999996</v>
      </c>
    </row>
    <row r="254" spans="1:14" x14ac:dyDescent="0.2">
      <c r="A254" s="73" t="s">
        <v>447</v>
      </c>
      <c r="B254" s="3">
        <f t="shared" si="12"/>
        <v>2025</v>
      </c>
      <c r="C254" s="3">
        <f t="shared" si="13"/>
        <v>2</v>
      </c>
      <c r="D254" s="73" t="s">
        <v>300</v>
      </c>
      <c r="E254" s="2"/>
      <c r="F254" s="2" t="s">
        <v>304</v>
      </c>
      <c r="G254" s="2" t="s">
        <v>303</v>
      </c>
      <c r="H254" s="2" t="s">
        <v>302</v>
      </c>
      <c r="I254" s="2" t="s">
        <v>301</v>
      </c>
      <c r="J254" s="2" t="s">
        <v>11</v>
      </c>
      <c r="K254" s="72">
        <v>12.98</v>
      </c>
      <c r="L254" s="39"/>
      <c r="M254" s="72">
        <f t="shared" si="14"/>
        <v>-12.98</v>
      </c>
      <c r="N254" s="72">
        <f t="shared" si="15"/>
        <v>500417.52999999962</v>
      </c>
    </row>
    <row r="255" spans="1:14" x14ac:dyDescent="0.2">
      <c r="A255" s="73" t="s">
        <v>447</v>
      </c>
      <c r="B255" s="3">
        <f t="shared" si="12"/>
        <v>2025</v>
      </c>
      <c r="C255" s="3">
        <f t="shared" si="13"/>
        <v>2</v>
      </c>
      <c r="D255" s="73" t="s">
        <v>300</v>
      </c>
      <c r="E255" s="2"/>
      <c r="F255" s="2" t="s">
        <v>299</v>
      </c>
      <c r="G255" s="2"/>
      <c r="H255" s="2" t="s">
        <v>298</v>
      </c>
      <c r="I255" s="2" t="s">
        <v>297</v>
      </c>
      <c r="J255" s="2" t="s">
        <v>296</v>
      </c>
      <c r="K255" s="72">
        <v>447.53</v>
      </c>
      <c r="L255" s="39"/>
      <c r="M255" s="72">
        <f t="shared" si="14"/>
        <v>-447.53</v>
      </c>
      <c r="N255" s="72">
        <f t="shared" si="15"/>
        <v>499969.99999999959</v>
      </c>
    </row>
    <row r="256" spans="1:14" x14ac:dyDescent="0.2">
      <c r="A256" s="73" t="s">
        <v>448</v>
      </c>
      <c r="B256" s="3">
        <f t="shared" si="12"/>
        <v>2025</v>
      </c>
      <c r="C256" s="3">
        <f t="shared" si="13"/>
        <v>2</v>
      </c>
      <c r="D256" s="73" t="s">
        <v>300</v>
      </c>
      <c r="E256" s="2"/>
      <c r="F256" s="2" t="s">
        <v>304</v>
      </c>
      <c r="G256" s="2" t="s">
        <v>336</v>
      </c>
      <c r="H256" s="2" t="s">
        <v>335</v>
      </c>
      <c r="I256" s="2" t="s">
        <v>301</v>
      </c>
      <c r="J256" s="2" t="s">
        <v>11</v>
      </c>
      <c r="K256" s="72">
        <v>25</v>
      </c>
      <c r="L256" s="39"/>
      <c r="M256" s="72">
        <f t="shared" si="14"/>
        <v>-25</v>
      </c>
      <c r="N256" s="72">
        <f t="shared" si="15"/>
        <v>499944.99999999959</v>
      </c>
    </row>
    <row r="257" spans="1:14" x14ac:dyDescent="0.2">
      <c r="A257" s="73" t="s">
        <v>448</v>
      </c>
      <c r="B257" s="3">
        <f t="shared" si="12"/>
        <v>2025</v>
      </c>
      <c r="C257" s="3">
        <f t="shared" si="13"/>
        <v>2</v>
      </c>
      <c r="D257" s="73" t="s">
        <v>300</v>
      </c>
      <c r="E257" s="2"/>
      <c r="F257" s="2" t="s">
        <v>321</v>
      </c>
      <c r="G257" s="2" t="s">
        <v>10</v>
      </c>
      <c r="H257" s="2" t="s">
        <v>319</v>
      </c>
      <c r="I257" s="2" t="s">
        <v>315</v>
      </c>
      <c r="J257" s="2" t="s">
        <v>23</v>
      </c>
      <c r="K257" s="72"/>
      <c r="L257" s="39">
        <v>4200</v>
      </c>
      <c r="M257" s="72">
        <f t="shared" si="14"/>
        <v>4200</v>
      </c>
      <c r="N257" s="72">
        <f t="shared" si="15"/>
        <v>504144.99999999959</v>
      </c>
    </row>
    <row r="258" spans="1:14" x14ac:dyDescent="0.2">
      <c r="A258" s="73" t="s">
        <v>448</v>
      </c>
      <c r="B258" s="3">
        <f t="shared" ref="B258:B321" si="16">YEAR(A258)</f>
        <v>2025</v>
      </c>
      <c r="C258" s="3">
        <f t="shared" ref="C258:C321" si="17">MONTH(A258)</f>
        <v>2</v>
      </c>
      <c r="D258" s="73" t="s">
        <v>300</v>
      </c>
      <c r="E258" s="2"/>
      <c r="F258" s="2" t="s">
        <v>304</v>
      </c>
      <c r="G258" s="2" t="s">
        <v>303</v>
      </c>
      <c r="H258" s="2" t="s">
        <v>302</v>
      </c>
      <c r="I258" s="2" t="s">
        <v>301</v>
      </c>
      <c r="J258" s="2" t="s">
        <v>11</v>
      </c>
      <c r="K258" s="72">
        <v>37.15</v>
      </c>
      <c r="L258" s="39"/>
      <c r="M258" s="72">
        <f t="shared" ref="M258:M321" si="18">IF(ISBLANK(L258),K258*-1,L258)</f>
        <v>-37.15</v>
      </c>
      <c r="N258" s="72">
        <f t="shared" si="15"/>
        <v>504107.84999999957</v>
      </c>
    </row>
    <row r="259" spans="1:14" x14ac:dyDescent="0.2">
      <c r="A259" s="73" t="s">
        <v>448</v>
      </c>
      <c r="B259" s="3">
        <f t="shared" si="16"/>
        <v>2025</v>
      </c>
      <c r="C259" s="3">
        <f t="shared" si="17"/>
        <v>2</v>
      </c>
      <c r="D259" s="73" t="s">
        <v>300</v>
      </c>
      <c r="E259" s="2"/>
      <c r="F259" s="2" t="s">
        <v>299</v>
      </c>
      <c r="G259" s="2"/>
      <c r="H259" s="2" t="s">
        <v>298</v>
      </c>
      <c r="I259" s="2" t="s">
        <v>297</v>
      </c>
      <c r="J259" s="2" t="s">
        <v>296</v>
      </c>
      <c r="K259" s="72">
        <v>4137.8500000000004</v>
      </c>
      <c r="L259" s="39"/>
      <c r="M259" s="72">
        <f t="shared" si="18"/>
        <v>-4137.8500000000004</v>
      </c>
      <c r="N259" s="72">
        <f t="shared" ref="N259:N322" si="19">+N258+M259</f>
        <v>499969.99999999959</v>
      </c>
    </row>
    <row r="260" spans="1:14" x14ac:dyDescent="0.2">
      <c r="A260" s="73" t="s">
        <v>449</v>
      </c>
      <c r="B260" s="3">
        <f t="shared" si="16"/>
        <v>2025</v>
      </c>
      <c r="C260" s="3">
        <f t="shared" si="17"/>
        <v>2</v>
      </c>
      <c r="D260" s="73" t="s">
        <v>300</v>
      </c>
      <c r="E260" s="2"/>
      <c r="F260" s="2" t="s">
        <v>304</v>
      </c>
      <c r="G260" s="2" t="s">
        <v>336</v>
      </c>
      <c r="H260" s="2" t="s">
        <v>335</v>
      </c>
      <c r="I260" s="2" t="s">
        <v>301</v>
      </c>
      <c r="J260" s="2" t="s">
        <v>11</v>
      </c>
      <c r="K260" s="72">
        <v>9.0500000000000007</v>
      </c>
      <c r="L260" s="39"/>
      <c r="M260" s="72">
        <f t="shared" si="18"/>
        <v>-9.0500000000000007</v>
      </c>
      <c r="N260" s="72">
        <f t="shared" si="19"/>
        <v>499960.9499999996</v>
      </c>
    </row>
    <row r="261" spans="1:14" x14ac:dyDescent="0.2">
      <c r="A261" s="73" t="s">
        <v>449</v>
      </c>
      <c r="B261" s="3">
        <f t="shared" si="16"/>
        <v>2025</v>
      </c>
      <c r="C261" s="3">
        <f t="shared" si="17"/>
        <v>2</v>
      </c>
      <c r="D261" s="73" t="s">
        <v>300</v>
      </c>
      <c r="E261" s="2"/>
      <c r="F261" s="2" t="s">
        <v>304</v>
      </c>
      <c r="G261" s="2" t="s">
        <v>306</v>
      </c>
      <c r="H261" s="2" t="s">
        <v>318</v>
      </c>
      <c r="I261" s="2" t="s">
        <v>301</v>
      </c>
      <c r="J261" s="2" t="s">
        <v>24</v>
      </c>
      <c r="K261" s="72">
        <v>73937.13</v>
      </c>
      <c r="L261" s="39"/>
      <c r="M261" s="72">
        <f t="shared" si="18"/>
        <v>-73937.13</v>
      </c>
      <c r="N261" s="72">
        <f t="shared" si="19"/>
        <v>426023.8199999996</v>
      </c>
    </row>
    <row r="262" spans="1:14" x14ac:dyDescent="0.2">
      <c r="A262" s="73" t="s">
        <v>449</v>
      </c>
      <c r="B262" s="3">
        <f t="shared" si="16"/>
        <v>2025</v>
      </c>
      <c r="C262" s="3">
        <f t="shared" si="17"/>
        <v>2</v>
      </c>
      <c r="D262" s="73" t="s">
        <v>300</v>
      </c>
      <c r="E262" s="2"/>
      <c r="F262" s="2" t="s">
        <v>304</v>
      </c>
      <c r="G262" s="2" t="s">
        <v>306</v>
      </c>
      <c r="H262" s="2" t="s">
        <v>318</v>
      </c>
      <c r="I262" s="2" t="s">
        <v>301</v>
      </c>
      <c r="J262" s="2" t="s">
        <v>20</v>
      </c>
      <c r="K262" s="72">
        <v>40314.19</v>
      </c>
      <c r="L262" s="39"/>
      <c r="M262" s="72">
        <f t="shared" si="18"/>
        <v>-40314.19</v>
      </c>
      <c r="N262" s="72">
        <f t="shared" si="19"/>
        <v>385709.6299999996</v>
      </c>
    </row>
    <row r="263" spans="1:14" x14ac:dyDescent="0.2">
      <c r="A263" s="73" t="s">
        <v>449</v>
      </c>
      <c r="B263" s="3">
        <f t="shared" si="16"/>
        <v>2025</v>
      </c>
      <c r="C263" s="3">
        <f t="shared" si="17"/>
        <v>2</v>
      </c>
      <c r="D263" s="73" t="s">
        <v>300</v>
      </c>
      <c r="E263" s="2"/>
      <c r="F263" s="2" t="s">
        <v>304</v>
      </c>
      <c r="G263" s="2" t="s">
        <v>306</v>
      </c>
      <c r="H263" s="2" t="s">
        <v>318</v>
      </c>
      <c r="I263" s="2" t="s">
        <v>301</v>
      </c>
      <c r="J263" s="2" t="s">
        <v>11</v>
      </c>
      <c r="K263" s="72">
        <v>1035.5</v>
      </c>
      <c r="L263" s="39"/>
      <c r="M263" s="72">
        <f t="shared" si="18"/>
        <v>-1035.5</v>
      </c>
      <c r="N263" s="72">
        <f t="shared" si="19"/>
        <v>384674.1299999996</v>
      </c>
    </row>
    <row r="264" spans="1:14" x14ac:dyDescent="0.2">
      <c r="A264" s="73" t="s">
        <v>449</v>
      </c>
      <c r="B264" s="3">
        <f t="shared" si="16"/>
        <v>2025</v>
      </c>
      <c r="C264" s="3">
        <f t="shared" si="17"/>
        <v>2</v>
      </c>
      <c r="D264" s="73" t="s">
        <v>300</v>
      </c>
      <c r="E264" s="2"/>
      <c r="F264" s="2" t="s">
        <v>299</v>
      </c>
      <c r="G264" s="2"/>
      <c r="H264" s="2" t="s">
        <v>298</v>
      </c>
      <c r="I264" s="2" t="s">
        <v>297</v>
      </c>
      <c r="J264" s="2" t="s">
        <v>296</v>
      </c>
      <c r="K264" s="72"/>
      <c r="L264" s="39">
        <v>115295.87</v>
      </c>
      <c r="M264" s="72">
        <f t="shared" si="18"/>
        <v>115295.87</v>
      </c>
      <c r="N264" s="72">
        <f t="shared" si="19"/>
        <v>499969.99999999959</v>
      </c>
    </row>
    <row r="265" spans="1:14" x14ac:dyDescent="0.2">
      <c r="A265" s="73" t="s">
        <v>450</v>
      </c>
      <c r="B265" s="3">
        <f t="shared" si="16"/>
        <v>2025</v>
      </c>
      <c r="C265" s="3">
        <f t="shared" si="17"/>
        <v>2</v>
      </c>
      <c r="D265" s="73" t="s">
        <v>300</v>
      </c>
      <c r="E265" s="2"/>
      <c r="F265" s="2" t="s">
        <v>321</v>
      </c>
      <c r="G265" s="2" t="s">
        <v>49</v>
      </c>
      <c r="H265" s="2" t="s">
        <v>319</v>
      </c>
      <c r="I265" s="2" t="s">
        <v>315</v>
      </c>
      <c r="J265" s="2" t="s">
        <v>23</v>
      </c>
      <c r="K265" s="72"/>
      <c r="L265" s="39">
        <v>3237.5</v>
      </c>
      <c r="M265" s="72">
        <f t="shared" si="18"/>
        <v>3237.5</v>
      </c>
      <c r="N265" s="72">
        <f t="shared" si="19"/>
        <v>503207.49999999959</v>
      </c>
    </row>
    <row r="266" spans="1:14" x14ac:dyDescent="0.2">
      <c r="A266" s="73" t="s">
        <v>450</v>
      </c>
      <c r="B266" s="3">
        <f t="shared" si="16"/>
        <v>2025</v>
      </c>
      <c r="C266" s="3">
        <f t="shared" si="17"/>
        <v>2</v>
      </c>
      <c r="D266" s="73" t="s">
        <v>300</v>
      </c>
      <c r="E266" s="2"/>
      <c r="F266" s="2" t="s">
        <v>325</v>
      </c>
      <c r="G266" s="2" t="s">
        <v>375</v>
      </c>
      <c r="H266" s="2" t="s">
        <v>323</v>
      </c>
      <c r="I266" s="2" t="s">
        <v>316</v>
      </c>
      <c r="J266" s="2" t="s">
        <v>29</v>
      </c>
      <c r="K266" s="72">
        <v>7862.5</v>
      </c>
      <c r="L266" s="39"/>
      <c r="M266" s="72">
        <f t="shared" si="18"/>
        <v>-7862.5</v>
      </c>
      <c r="N266" s="72">
        <f t="shared" si="19"/>
        <v>495344.99999999959</v>
      </c>
    </row>
    <row r="267" spans="1:14" x14ac:dyDescent="0.2">
      <c r="A267" s="73" t="s">
        <v>450</v>
      </c>
      <c r="B267" s="3">
        <f t="shared" si="16"/>
        <v>2025</v>
      </c>
      <c r="C267" s="3">
        <f t="shared" si="17"/>
        <v>2</v>
      </c>
      <c r="D267" s="73" t="s">
        <v>300</v>
      </c>
      <c r="E267" s="2"/>
      <c r="F267" s="2" t="s">
        <v>325</v>
      </c>
      <c r="G267" s="2" t="s">
        <v>375</v>
      </c>
      <c r="H267" s="2" t="s">
        <v>323</v>
      </c>
      <c r="I267" s="2" t="s">
        <v>316</v>
      </c>
      <c r="J267" s="2" t="s">
        <v>29</v>
      </c>
      <c r="K267" s="72">
        <v>1149.5</v>
      </c>
      <c r="L267" s="39"/>
      <c r="M267" s="72">
        <f t="shared" si="18"/>
        <v>-1149.5</v>
      </c>
      <c r="N267" s="72">
        <f t="shared" si="19"/>
        <v>494195.49999999959</v>
      </c>
    </row>
    <row r="268" spans="1:14" x14ac:dyDescent="0.2">
      <c r="A268" s="73" t="s">
        <v>450</v>
      </c>
      <c r="B268" s="3">
        <f t="shared" si="16"/>
        <v>2025</v>
      </c>
      <c r="C268" s="3">
        <f t="shared" si="17"/>
        <v>2</v>
      </c>
      <c r="D268" s="73" t="s">
        <v>300</v>
      </c>
      <c r="E268" s="2"/>
      <c r="F268" s="2" t="s">
        <v>325</v>
      </c>
      <c r="G268" s="2" t="s">
        <v>375</v>
      </c>
      <c r="H268" s="2" t="s">
        <v>323</v>
      </c>
      <c r="I268" s="2" t="s">
        <v>316</v>
      </c>
      <c r="J268" s="2" t="s">
        <v>29</v>
      </c>
      <c r="K268" s="72">
        <v>2098</v>
      </c>
      <c r="L268" s="39"/>
      <c r="M268" s="72">
        <f t="shared" si="18"/>
        <v>-2098</v>
      </c>
      <c r="N268" s="72">
        <f t="shared" si="19"/>
        <v>492097.49999999959</v>
      </c>
    </row>
    <row r="269" spans="1:14" x14ac:dyDescent="0.2">
      <c r="A269" s="73" t="s">
        <v>450</v>
      </c>
      <c r="B269" s="3">
        <f t="shared" si="16"/>
        <v>2025</v>
      </c>
      <c r="C269" s="3">
        <f t="shared" si="17"/>
        <v>2</v>
      </c>
      <c r="D269" s="73" t="s">
        <v>300</v>
      </c>
      <c r="E269" s="2"/>
      <c r="F269" s="2" t="s">
        <v>304</v>
      </c>
      <c r="G269" s="2" t="s">
        <v>306</v>
      </c>
      <c r="H269" s="2" t="s">
        <v>305</v>
      </c>
      <c r="I269" s="2" t="s">
        <v>301</v>
      </c>
      <c r="J269" s="2" t="s">
        <v>19</v>
      </c>
      <c r="K269" s="72">
        <v>418.45</v>
      </c>
      <c r="L269" s="39"/>
      <c r="M269" s="72">
        <f t="shared" si="18"/>
        <v>-418.45</v>
      </c>
      <c r="N269" s="72">
        <f t="shared" si="19"/>
        <v>491679.04999999958</v>
      </c>
    </row>
    <row r="270" spans="1:14" x14ac:dyDescent="0.2">
      <c r="A270" s="73" t="s">
        <v>450</v>
      </c>
      <c r="B270" s="3">
        <f t="shared" si="16"/>
        <v>2025</v>
      </c>
      <c r="C270" s="3">
        <f t="shared" si="17"/>
        <v>2</v>
      </c>
      <c r="D270" s="73" t="s">
        <v>300</v>
      </c>
      <c r="E270" s="2"/>
      <c r="F270" s="2" t="s">
        <v>325</v>
      </c>
      <c r="G270" s="2" t="s">
        <v>476</v>
      </c>
      <c r="H270" s="2" t="s">
        <v>323</v>
      </c>
      <c r="I270" s="2" t="s">
        <v>350</v>
      </c>
      <c r="J270" s="2" t="s">
        <v>477</v>
      </c>
      <c r="K270" s="72">
        <v>5000</v>
      </c>
      <c r="L270" s="39"/>
      <c r="M270" s="72">
        <f t="shared" si="18"/>
        <v>-5000</v>
      </c>
      <c r="N270" s="72">
        <f t="shared" si="19"/>
        <v>486679.04999999958</v>
      </c>
    </row>
    <row r="271" spans="1:14" x14ac:dyDescent="0.2">
      <c r="A271" s="73" t="s">
        <v>450</v>
      </c>
      <c r="B271" s="3">
        <f t="shared" si="16"/>
        <v>2025</v>
      </c>
      <c r="C271" s="3">
        <f t="shared" si="17"/>
        <v>2</v>
      </c>
      <c r="D271" s="73" t="s">
        <v>300</v>
      </c>
      <c r="E271" s="2"/>
      <c r="F271" s="2" t="s">
        <v>321</v>
      </c>
      <c r="G271" s="2" t="s">
        <v>387</v>
      </c>
      <c r="H271" s="2" t="s">
        <v>319</v>
      </c>
      <c r="I271" s="2" t="s">
        <v>315</v>
      </c>
      <c r="J271" s="2" t="s">
        <v>23</v>
      </c>
      <c r="K271" s="72"/>
      <c r="L271" s="39">
        <v>165384</v>
      </c>
      <c r="M271" s="72">
        <f t="shared" si="18"/>
        <v>165384</v>
      </c>
      <c r="N271" s="72">
        <f t="shared" si="19"/>
        <v>652063.04999999958</v>
      </c>
    </row>
    <row r="272" spans="1:14" x14ac:dyDescent="0.2">
      <c r="A272" s="73" t="s">
        <v>450</v>
      </c>
      <c r="B272" s="3">
        <f t="shared" si="16"/>
        <v>2025</v>
      </c>
      <c r="C272" s="3">
        <f t="shared" si="17"/>
        <v>2</v>
      </c>
      <c r="D272" s="73" t="s">
        <v>300</v>
      </c>
      <c r="E272" s="2"/>
      <c r="F272" s="2" t="s">
        <v>299</v>
      </c>
      <c r="G272" s="2"/>
      <c r="H272" s="2" t="s">
        <v>298</v>
      </c>
      <c r="I272" s="2" t="s">
        <v>297</v>
      </c>
      <c r="J272" s="2" t="s">
        <v>296</v>
      </c>
      <c r="K272" s="72">
        <v>152093.04999999999</v>
      </c>
      <c r="L272" s="39"/>
      <c r="M272" s="72">
        <f t="shared" si="18"/>
        <v>-152093.04999999999</v>
      </c>
      <c r="N272" s="72">
        <f t="shared" si="19"/>
        <v>499969.99999999959</v>
      </c>
    </row>
    <row r="273" spans="1:14" x14ac:dyDescent="0.2">
      <c r="A273" s="73" t="s">
        <v>451</v>
      </c>
      <c r="B273" s="3">
        <f t="shared" si="16"/>
        <v>2025</v>
      </c>
      <c r="C273" s="3">
        <f t="shared" si="17"/>
        <v>2</v>
      </c>
      <c r="D273" s="73" t="s">
        <v>300</v>
      </c>
      <c r="E273" s="2"/>
      <c r="F273" s="2" t="s">
        <v>314</v>
      </c>
      <c r="G273" s="2" t="s">
        <v>341</v>
      </c>
      <c r="H273" s="2" t="s">
        <v>340</v>
      </c>
      <c r="I273" s="2" t="s">
        <v>312</v>
      </c>
      <c r="J273" s="2" t="s">
        <v>16</v>
      </c>
      <c r="K273" s="72">
        <v>5518.34</v>
      </c>
      <c r="L273" s="39"/>
      <c r="M273" s="72">
        <f t="shared" si="18"/>
        <v>-5518.34</v>
      </c>
      <c r="N273" s="72">
        <f t="shared" si="19"/>
        <v>494451.65999999957</v>
      </c>
    </row>
    <row r="274" spans="1:14" x14ac:dyDescent="0.2">
      <c r="A274" s="73" t="s">
        <v>451</v>
      </c>
      <c r="B274" s="3">
        <f t="shared" si="16"/>
        <v>2025</v>
      </c>
      <c r="C274" s="3">
        <f t="shared" si="17"/>
        <v>2</v>
      </c>
      <c r="D274" s="73" t="s">
        <v>300</v>
      </c>
      <c r="E274" s="2"/>
      <c r="F274" s="2" t="s">
        <v>325</v>
      </c>
      <c r="G274" s="2" t="s">
        <v>338</v>
      </c>
      <c r="H274" s="2" t="s">
        <v>323</v>
      </c>
      <c r="I274" s="2" t="s">
        <v>316</v>
      </c>
      <c r="J274" s="2" t="s">
        <v>22</v>
      </c>
      <c r="K274" s="72">
        <v>20</v>
      </c>
      <c r="L274" s="39"/>
      <c r="M274" s="72">
        <f t="shared" si="18"/>
        <v>-20</v>
      </c>
      <c r="N274" s="72">
        <f t="shared" si="19"/>
        <v>494431.65999999957</v>
      </c>
    </row>
    <row r="275" spans="1:14" x14ac:dyDescent="0.2">
      <c r="A275" s="73" t="s">
        <v>451</v>
      </c>
      <c r="B275" s="3">
        <f t="shared" si="16"/>
        <v>2025</v>
      </c>
      <c r="C275" s="3">
        <f t="shared" si="17"/>
        <v>2</v>
      </c>
      <c r="D275" s="73" t="s">
        <v>300</v>
      </c>
      <c r="E275" s="2"/>
      <c r="F275" s="2" t="s">
        <v>304</v>
      </c>
      <c r="G275" s="2" t="s">
        <v>344</v>
      </c>
      <c r="H275" s="2" t="s">
        <v>343</v>
      </c>
      <c r="I275" s="2" t="s">
        <v>301</v>
      </c>
      <c r="J275" s="2" t="s">
        <v>11</v>
      </c>
      <c r="K275" s="72">
        <v>11622.88</v>
      </c>
      <c r="L275" s="39"/>
      <c r="M275" s="72">
        <f t="shared" si="18"/>
        <v>-11622.88</v>
      </c>
      <c r="N275" s="72">
        <f t="shared" si="19"/>
        <v>482808.77999999956</v>
      </c>
    </row>
    <row r="276" spans="1:14" x14ac:dyDescent="0.2">
      <c r="A276" s="73" t="s">
        <v>451</v>
      </c>
      <c r="B276" s="3">
        <f t="shared" si="16"/>
        <v>2025</v>
      </c>
      <c r="C276" s="3">
        <f t="shared" si="17"/>
        <v>2</v>
      </c>
      <c r="D276" s="73" t="s">
        <v>300</v>
      </c>
      <c r="E276" s="2"/>
      <c r="F276" s="2" t="s">
        <v>304</v>
      </c>
      <c r="G276" s="2" t="s">
        <v>303</v>
      </c>
      <c r="H276" s="2" t="s">
        <v>302</v>
      </c>
      <c r="I276" s="2" t="s">
        <v>301</v>
      </c>
      <c r="J276" s="2" t="s">
        <v>11</v>
      </c>
      <c r="K276" s="72">
        <v>208.34</v>
      </c>
      <c r="L276" s="39"/>
      <c r="M276" s="72">
        <f t="shared" si="18"/>
        <v>-208.34</v>
      </c>
      <c r="N276" s="72">
        <f t="shared" si="19"/>
        <v>482600.43999999954</v>
      </c>
    </row>
    <row r="277" spans="1:14" x14ac:dyDescent="0.2">
      <c r="A277" s="73" t="s">
        <v>451</v>
      </c>
      <c r="B277" s="3">
        <f t="shared" si="16"/>
        <v>2025</v>
      </c>
      <c r="C277" s="3">
        <f t="shared" si="17"/>
        <v>2</v>
      </c>
      <c r="D277" s="73" t="s">
        <v>300</v>
      </c>
      <c r="E277" s="2"/>
      <c r="F277" s="2" t="s">
        <v>299</v>
      </c>
      <c r="G277" s="2"/>
      <c r="H277" s="2" t="s">
        <v>298</v>
      </c>
      <c r="I277" s="2" t="s">
        <v>297</v>
      </c>
      <c r="J277" s="2" t="s">
        <v>296</v>
      </c>
      <c r="K277" s="72"/>
      <c r="L277" s="39">
        <v>17369.560000000001</v>
      </c>
      <c r="M277" s="72">
        <f t="shared" si="18"/>
        <v>17369.560000000001</v>
      </c>
      <c r="N277" s="72">
        <f t="shared" si="19"/>
        <v>499969.99999999953</v>
      </c>
    </row>
    <row r="278" spans="1:14" x14ac:dyDescent="0.2">
      <c r="A278" s="73" t="s">
        <v>452</v>
      </c>
      <c r="B278" s="3">
        <f t="shared" si="16"/>
        <v>2025</v>
      </c>
      <c r="C278" s="3">
        <f t="shared" si="17"/>
        <v>2</v>
      </c>
      <c r="D278" s="73" t="s">
        <v>300</v>
      </c>
      <c r="E278" s="2"/>
      <c r="F278" s="2" t="s">
        <v>304</v>
      </c>
      <c r="G278" s="2" t="s">
        <v>327</v>
      </c>
      <c r="H278" s="2" t="s">
        <v>326</v>
      </c>
      <c r="I278" s="2" t="s">
        <v>316</v>
      </c>
      <c r="J278" s="2" t="s">
        <v>18</v>
      </c>
      <c r="K278" s="72">
        <v>3990.21</v>
      </c>
      <c r="L278" s="39"/>
      <c r="M278" s="72">
        <f t="shared" si="18"/>
        <v>-3990.21</v>
      </c>
      <c r="N278" s="72">
        <f t="shared" si="19"/>
        <v>495979.78999999951</v>
      </c>
    </row>
    <row r="279" spans="1:14" x14ac:dyDescent="0.2">
      <c r="A279" s="73" t="s">
        <v>452</v>
      </c>
      <c r="B279" s="3">
        <f t="shared" si="16"/>
        <v>2025</v>
      </c>
      <c r="C279" s="3">
        <f t="shared" si="17"/>
        <v>2</v>
      </c>
      <c r="D279" s="73" t="s">
        <v>300</v>
      </c>
      <c r="E279" s="2"/>
      <c r="F279" s="2" t="s">
        <v>299</v>
      </c>
      <c r="G279" s="2"/>
      <c r="H279" s="2" t="s">
        <v>298</v>
      </c>
      <c r="I279" s="2" t="s">
        <v>297</v>
      </c>
      <c r="J279" s="2" t="s">
        <v>296</v>
      </c>
      <c r="K279" s="72"/>
      <c r="L279" s="39">
        <v>3990.21</v>
      </c>
      <c r="M279" s="72">
        <f t="shared" si="18"/>
        <v>3990.21</v>
      </c>
      <c r="N279" s="72">
        <f t="shared" si="19"/>
        <v>499969.99999999953</v>
      </c>
    </row>
    <row r="280" spans="1:14" x14ac:dyDescent="0.2">
      <c r="A280" s="73" t="s">
        <v>453</v>
      </c>
      <c r="B280" s="3">
        <f t="shared" si="16"/>
        <v>2025</v>
      </c>
      <c r="C280" s="3">
        <f t="shared" si="17"/>
        <v>2</v>
      </c>
      <c r="D280" s="73" t="s">
        <v>300</v>
      </c>
      <c r="E280" s="2"/>
      <c r="F280" s="2" t="s">
        <v>304</v>
      </c>
      <c r="G280" s="2" t="s">
        <v>334</v>
      </c>
      <c r="H280" s="2" t="s">
        <v>333</v>
      </c>
      <c r="I280" s="2" t="s">
        <v>301</v>
      </c>
      <c r="J280" s="2" t="s">
        <v>11</v>
      </c>
      <c r="K280" s="72">
        <v>1100.3800000000001</v>
      </c>
      <c r="L280" s="39"/>
      <c r="M280" s="72">
        <f t="shared" si="18"/>
        <v>-1100.3800000000001</v>
      </c>
      <c r="N280" s="72">
        <f t="shared" si="19"/>
        <v>498869.61999999953</v>
      </c>
    </row>
    <row r="281" spans="1:14" x14ac:dyDescent="0.2">
      <c r="A281" s="73" t="s">
        <v>453</v>
      </c>
      <c r="B281" s="3">
        <f t="shared" si="16"/>
        <v>2025</v>
      </c>
      <c r="C281" s="3">
        <f t="shared" si="17"/>
        <v>2</v>
      </c>
      <c r="D281" s="73" t="s">
        <v>300</v>
      </c>
      <c r="E281" s="2"/>
      <c r="F281" s="2" t="s">
        <v>299</v>
      </c>
      <c r="G281" s="2"/>
      <c r="H281" s="2" t="s">
        <v>298</v>
      </c>
      <c r="I281" s="2" t="s">
        <v>297</v>
      </c>
      <c r="J281" s="2" t="s">
        <v>296</v>
      </c>
      <c r="K281" s="72"/>
      <c r="L281" s="39">
        <v>1100.3800000000001</v>
      </c>
      <c r="M281" s="72">
        <f t="shared" si="18"/>
        <v>1100.3800000000001</v>
      </c>
      <c r="N281" s="72">
        <f t="shared" si="19"/>
        <v>499969.99999999953</v>
      </c>
    </row>
    <row r="282" spans="1:14" x14ac:dyDescent="0.2">
      <c r="A282" s="73" t="s">
        <v>454</v>
      </c>
      <c r="B282" s="3">
        <f t="shared" si="16"/>
        <v>2025</v>
      </c>
      <c r="C282" s="3">
        <f t="shared" si="17"/>
        <v>2</v>
      </c>
      <c r="D282" s="73" t="s">
        <v>300</v>
      </c>
      <c r="E282" s="2"/>
      <c r="F282" s="2" t="s">
        <v>321</v>
      </c>
      <c r="G282" s="2" t="s">
        <v>49</v>
      </c>
      <c r="H282" s="2" t="s">
        <v>319</v>
      </c>
      <c r="I282" s="2" t="s">
        <v>315</v>
      </c>
      <c r="J282" s="2" t="s">
        <v>23</v>
      </c>
      <c r="K282" s="72"/>
      <c r="L282" s="39">
        <v>8750</v>
      </c>
      <c r="M282" s="72">
        <f t="shared" si="18"/>
        <v>8750</v>
      </c>
      <c r="N282" s="72">
        <f t="shared" si="19"/>
        <v>508719.99999999953</v>
      </c>
    </row>
    <row r="283" spans="1:14" x14ac:dyDescent="0.2">
      <c r="A283" s="73" t="s">
        <v>454</v>
      </c>
      <c r="B283" s="3">
        <f t="shared" si="16"/>
        <v>2025</v>
      </c>
      <c r="C283" s="3">
        <f t="shared" si="17"/>
        <v>2</v>
      </c>
      <c r="D283" s="73" t="s">
        <v>300</v>
      </c>
      <c r="E283" s="2"/>
      <c r="F283" s="2" t="s">
        <v>321</v>
      </c>
      <c r="G283" s="2" t="s">
        <v>348</v>
      </c>
      <c r="H283" s="2" t="s">
        <v>319</v>
      </c>
      <c r="I283" s="2" t="s">
        <v>315</v>
      </c>
      <c r="J283" s="2" t="s">
        <v>23</v>
      </c>
      <c r="K283" s="72"/>
      <c r="L283" s="39">
        <v>8680</v>
      </c>
      <c r="M283" s="72">
        <f t="shared" si="18"/>
        <v>8680</v>
      </c>
      <c r="N283" s="72">
        <f t="shared" si="19"/>
        <v>517399.99999999953</v>
      </c>
    </row>
    <row r="284" spans="1:14" x14ac:dyDescent="0.2">
      <c r="A284" s="73" t="s">
        <v>454</v>
      </c>
      <c r="B284" s="3">
        <f t="shared" si="16"/>
        <v>2025</v>
      </c>
      <c r="C284" s="3">
        <f t="shared" si="17"/>
        <v>2</v>
      </c>
      <c r="D284" s="73" t="s">
        <v>300</v>
      </c>
      <c r="E284" s="2"/>
      <c r="F284" s="2" t="s">
        <v>304</v>
      </c>
      <c r="G284" s="2" t="s">
        <v>327</v>
      </c>
      <c r="H284" s="2" t="s">
        <v>326</v>
      </c>
      <c r="I284" s="2" t="s">
        <v>316</v>
      </c>
      <c r="J284" s="2" t="s">
        <v>18</v>
      </c>
      <c r="K284" s="72">
        <v>495.97</v>
      </c>
      <c r="L284" s="39"/>
      <c r="M284" s="72">
        <f t="shared" si="18"/>
        <v>-495.97</v>
      </c>
      <c r="N284" s="72">
        <f t="shared" si="19"/>
        <v>516904.02999999956</v>
      </c>
    </row>
    <row r="285" spans="1:14" x14ac:dyDescent="0.2">
      <c r="A285" s="73" t="s">
        <v>454</v>
      </c>
      <c r="B285" s="3">
        <f t="shared" si="16"/>
        <v>2025</v>
      </c>
      <c r="C285" s="3">
        <f t="shared" si="17"/>
        <v>2</v>
      </c>
      <c r="D285" s="73" t="s">
        <v>300</v>
      </c>
      <c r="E285" s="2"/>
      <c r="F285" s="2" t="s">
        <v>299</v>
      </c>
      <c r="G285" s="2"/>
      <c r="H285" s="2" t="s">
        <v>298</v>
      </c>
      <c r="I285" s="2" t="s">
        <v>297</v>
      </c>
      <c r="J285" s="2" t="s">
        <v>296</v>
      </c>
      <c r="K285" s="72">
        <v>16934.03</v>
      </c>
      <c r="L285" s="39"/>
      <c r="M285" s="72">
        <f t="shared" si="18"/>
        <v>-16934.03</v>
      </c>
      <c r="N285" s="72">
        <f t="shared" si="19"/>
        <v>499969.99999999953</v>
      </c>
    </row>
    <row r="286" spans="1:14" x14ac:dyDescent="0.2">
      <c r="A286" s="73" t="s">
        <v>455</v>
      </c>
      <c r="B286" s="3">
        <f t="shared" si="16"/>
        <v>2025</v>
      </c>
      <c r="C286" s="3">
        <f t="shared" si="17"/>
        <v>2</v>
      </c>
      <c r="D286" s="73" t="s">
        <v>300</v>
      </c>
      <c r="E286" s="2"/>
      <c r="F286" s="2" t="s">
        <v>325</v>
      </c>
      <c r="G286" s="2" t="s">
        <v>331</v>
      </c>
      <c r="H286" s="2" t="s">
        <v>323</v>
      </c>
      <c r="I286" s="2" t="s">
        <v>316</v>
      </c>
      <c r="J286" s="2" t="s">
        <v>22</v>
      </c>
      <c r="K286" s="72">
        <v>24.1</v>
      </c>
      <c r="L286" s="39"/>
      <c r="M286" s="72">
        <f t="shared" si="18"/>
        <v>-24.1</v>
      </c>
      <c r="N286" s="72">
        <f t="shared" si="19"/>
        <v>499945.89999999956</v>
      </c>
    </row>
    <row r="287" spans="1:14" x14ac:dyDescent="0.2">
      <c r="A287" s="73" t="s">
        <v>455</v>
      </c>
      <c r="B287" s="3">
        <f t="shared" si="16"/>
        <v>2025</v>
      </c>
      <c r="C287" s="3">
        <f t="shared" si="17"/>
        <v>2</v>
      </c>
      <c r="D287" s="73" t="s">
        <v>300</v>
      </c>
      <c r="E287" s="2"/>
      <c r="F287" s="2" t="s">
        <v>325</v>
      </c>
      <c r="G287" s="2" t="s">
        <v>331</v>
      </c>
      <c r="H287" s="2" t="s">
        <v>323</v>
      </c>
      <c r="I287" s="2" t="s">
        <v>316</v>
      </c>
      <c r="J287" s="2" t="s">
        <v>22</v>
      </c>
      <c r="K287" s="72">
        <v>60</v>
      </c>
      <c r="L287" s="39"/>
      <c r="M287" s="72">
        <f t="shared" si="18"/>
        <v>-60</v>
      </c>
      <c r="N287" s="72">
        <f t="shared" si="19"/>
        <v>499885.89999999956</v>
      </c>
    </row>
    <row r="288" spans="1:14" x14ac:dyDescent="0.2">
      <c r="A288" s="73" t="s">
        <v>455</v>
      </c>
      <c r="B288" s="3">
        <f t="shared" si="16"/>
        <v>2025</v>
      </c>
      <c r="C288" s="3">
        <f t="shared" si="17"/>
        <v>2</v>
      </c>
      <c r="D288" s="73" t="s">
        <v>300</v>
      </c>
      <c r="E288" s="2"/>
      <c r="F288" s="2" t="s">
        <v>325</v>
      </c>
      <c r="G288" s="2" t="s">
        <v>331</v>
      </c>
      <c r="H288" s="2" t="s">
        <v>323</v>
      </c>
      <c r="I288" s="2" t="s">
        <v>316</v>
      </c>
      <c r="J288" s="2" t="s">
        <v>22</v>
      </c>
      <c r="K288" s="72">
        <v>226.42</v>
      </c>
      <c r="L288" s="39"/>
      <c r="M288" s="72">
        <f t="shared" si="18"/>
        <v>-226.42</v>
      </c>
      <c r="N288" s="72">
        <f t="shared" si="19"/>
        <v>499659.47999999957</v>
      </c>
    </row>
    <row r="289" spans="1:15" x14ac:dyDescent="0.2">
      <c r="A289" s="73" t="s">
        <v>455</v>
      </c>
      <c r="B289" s="3">
        <f t="shared" si="16"/>
        <v>2025</v>
      </c>
      <c r="C289" s="3">
        <f t="shared" si="17"/>
        <v>2</v>
      </c>
      <c r="D289" s="73" t="s">
        <v>300</v>
      </c>
      <c r="E289" s="2"/>
      <c r="F289" s="2" t="s">
        <v>325</v>
      </c>
      <c r="G289" s="2" t="s">
        <v>374</v>
      </c>
      <c r="H289" s="2" t="s">
        <v>323</v>
      </c>
      <c r="I289" s="2" t="s">
        <v>316</v>
      </c>
      <c r="J289" s="2" t="s">
        <v>29</v>
      </c>
      <c r="K289" s="72">
        <v>2448.5</v>
      </c>
      <c r="L289" s="39"/>
      <c r="M289" s="72">
        <f t="shared" si="18"/>
        <v>-2448.5</v>
      </c>
      <c r="N289" s="72">
        <f t="shared" si="19"/>
        <v>497210.97999999957</v>
      </c>
    </row>
    <row r="290" spans="1:15" x14ac:dyDescent="0.2">
      <c r="A290" s="73" t="s">
        <v>455</v>
      </c>
      <c r="B290" s="3">
        <f t="shared" si="16"/>
        <v>2025</v>
      </c>
      <c r="C290" s="3">
        <f t="shared" si="17"/>
        <v>2</v>
      </c>
      <c r="D290" s="73" t="s">
        <v>300</v>
      </c>
      <c r="E290" s="2"/>
      <c r="F290" s="2" t="s">
        <v>299</v>
      </c>
      <c r="G290" s="2"/>
      <c r="H290" s="2" t="s">
        <v>298</v>
      </c>
      <c r="I290" s="2" t="s">
        <v>297</v>
      </c>
      <c r="J290" s="2" t="s">
        <v>296</v>
      </c>
      <c r="K290" s="72"/>
      <c r="L290" s="39">
        <v>2759.02</v>
      </c>
      <c r="M290" s="72">
        <f t="shared" si="18"/>
        <v>2759.02</v>
      </c>
      <c r="N290" s="72">
        <f t="shared" si="19"/>
        <v>499969.99999999959</v>
      </c>
    </row>
    <row r="291" spans="1:15" x14ac:dyDescent="0.2">
      <c r="A291" s="73" t="s">
        <v>456</v>
      </c>
      <c r="B291" s="3">
        <f t="shared" si="16"/>
        <v>2025</v>
      </c>
      <c r="C291" s="3">
        <f t="shared" si="17"/>
        <v>2</v>
      </c>
      <c r="D291" s="73" t="s">
        <v>300</v>
      </c>
      <c r="E291" s="2"/>
      <c r="F291" s="2" t="s">
        <v>321</v>
      </c>
      <c r="G291" s="2" t="s">
        <v>328</v>
      </c>
      <c r="H291" s="2" t="s">
        <v>319</v>
      </c>
      <c r="I291" s="2" t="s">
        <v>315</v>
      </c>
      <c r="J291" s="2" t="s">
        <v>23</v>
      </c>
      <c r="K291" s="72"/>
      <c r="L291" s="39">
        <v>19448</v>
      </c>
      <c r="M291" s="72">
        <f t="shared" si="18"/>
        <v>19448</v>
      </c>
      <c r="N291" s="72">
        <f t="shared" si="19"/>
        <v>519417.99999999959</v>
      </c>
    </row>
    <row r="292" spans="1:15" x14ac:dyDescent="0.2">
      <c r="A292" s="73" t="s">
        <v>456</v>
      </c>
      <c r="B292" s="3">
        <f t="shared" si="16"/>
        <v>2025</v>
      </c>
      <c r="C292" s="3">
        <f t="shared" si="17"/>
        <v>2</v>
      </c>
      <c r="D292" s="73" t="s">
        <v>300</v>
      </c>
      <c r="E292" s="2"/>
      <c r="F292" s="2" t="s">
        <v>321</v>
      </c>
      <c r="G292" s="2" t="s">
        <v>328</v>
      </c>
      <c r="H292" s="2" t="s">
        <v>319</v>
      </c>
      <c r="I292" s="2" t="s">
        <v>315</v>
      </c>
      <c r="J292" s="2" t="s">
        <v>23</v>
      </c>
      <c r="K292" s="72"/>
      <c r="L292" s="39">
        <v>20592</v>
      </c>
      <c r="M292" s="72">
        <f t="shared" si="18"/>
        <v>20592</v>
      </c>
      <c r="N292" s="72">
        <f t="shared" si="19"/>
        <v>540009.99999999953</v>
      </c>
    </row>
    <row r="293" spans="1:15" x14ac:dyDescent="0.2">
      <c r="A293" s="73" t="s">
        <v>456</v>
      </c>
      <c r="B293" s="3">
        <f t="shared" si="16"/>
        <v>2025</v>
      </c>
      <c r="C293" s="3">
        <f t="shared" si="17"/>
        <v>2</v>
      </c>
      <c r="D293" s="73" t="s">
        <v>300</v>
      </c>
      <c r="E293" s="2"/>
      <c r="F293" s="2" t="s">
        <v>325</v>
      </c>
      <c r="G293" s="2" t="s">
        <v>324</v>
      </c>
      <c r="H293" s="2" t="s">
        <v>323</v>
      </c>
      <c r="I293" s="2" t="s">
        <v>316</v>
      </c>
      <c r="J293" s="2" t="s">
        <v>17</v>
      </c>
      <c r="K293" s="72">
        <v>2948.9</v>
      </c>
      <c r="L293" s="39"/>
      <c r="M293" s="72">
        <f t="shared" si="18"/>
        <v>-2948.9</v>
      </c>
      <c r="N293" s="72">
        <f t="shared" si="19"/>
        <v>537061.09999999951</v>
      </c>
    </row>
    <row r="294" spans="1:15" x14ac:dyDescent="0.2">
      <c r="A294" s="73" t="s">
        <v>456</v>
      </c>
      <c r="B294" s="3">
        <f t="shared" si="16"/>
        <v>2025</v>
      </c>
      <c r="C294" s="3">
        <f t="shared" si="17"/>
        <v>2</v>
      </c>
      <c r="D294" s="73" t="s">
        <v>300</v>
      </c>
      <c r="E294" s="2"/>
      <c r="F294" s="2" t="s">
        <v>304</v>
      </c>
      <c r="G294" s="2" t="s">
        <v>303</v>
      </c>
      <c r="H294" s="2" t="s">
        <v>302</v>
      </c>
      <c r="I294" s="2" t="s">
        <v>301</v>
      </c>
      <c r="J294" s="2" t="s">
        <v>11</v>
      </c>
      <c r="K294" s="72">
        <v>61.8</v>
      </c>
      <c r="L294" s="39"/>
      <c r="M294" s="72">
        <f t="shared" si="18"/>
        <v>-61.8</v>
      </c>
      <c r="N294" s="72">
        <f t="shared" si="19"/>
        <v>536999.29999999946</v>
      </c>
      <c r="O294" s="72"/>
    </row>
    <row r="295" spans="1:15" x14ac:dyDescent="0.2">
      <c r="A295" s="73" t="s">
        <v>456</v>
      </c>
      <c r="B295" s="3">
        <f t="shared" si="16"/>
        <v>2025</v>
      </c>
      <c r="C295" s="3">
        <f t="shared" si="17"/>
        <v>2</v>
      </c>
      <c r="D295" s="73" t="s">
        <v>300</v>
      </c>
      <c r="E295" s="2"/>
      <c r="F295" s="2" t="s">
        <v>299</v>
      </c>
      <c r="G295" s="2"/>
      <c r="H295" s="2" t="s">
        <v>298</v>
      </c>
      <c r="I295" s="2" t="s">
        <v>297</v>
      </c>
      <c r="J295" s="2" t="s">
        <v>296</v>
      </c>
      <c r="K295" s="72">
        <v>37029.300000000003</v>
      </c>
      <c r="L295" s="39"/>
      <c r="M295" s="72">
        <f t="shared" si="18"/>
        <v>-37029.300000000003</v>
      </c>
      <c r="N295" s="72">
        <f t="shared" si="19"/>
        <v>499969.99999999948</v>
      </c>
    </row>
    <row r="296" spans="1:15" x14ac:dyDescent="0.2">
      <c r="A296" s="73" t="s">
        <v>457</v>
      </c>
      <c r="B296" s="3">
        <f t="shared" si="16"/>
        <v>2025</v>
      </c>
      <c r="C296" s="3">
        <f t="shared" si="17"/>
        <v>2</v>
      </c>
      <c r="D296" s="73" t="s">
        <v>300</v>
      </c>
      <c r="E296" s="2"/>
      <c r="F296" s="2" t="s">
        <v>304</v>
      </c>
      <c r="G296" s="2" t="s">
        <v>336</v>
      </c>
      <c r="H296" s="2" t="s">
        <v>335</v>
      </c>
      <c r="I296" s="2" t="s">
        <v>301</v>
      </c>
      <c r="J296" s="2" t="s">
        <v>11</v>
      </c>
      <c r="K296" s="72">
        <v>25</v>
      </c>
      <c r="L296" s="39"/>
      <c r="M296" s="72">
        <f t="shared" si="18"/>
        <v>-25</v>
      </c>
      <c r="N296" s="72">
        <f t="shared" si="19"/>
        <v>499944.99999999948</v>
      </c>
    </row>
    <row r="297" spans="1:15" x14ac:dyDescent="0.2">
      <c r="A297" s="73" t="s">
        <v>457</v>
      </c>
      <c r="B297" s="3">
        <f t="shared" si="16"/>
        <v>2025</v>
      </c>
      <c r="C297" s="3">
        <f t="shared" si="17"/>
        <v>2</v>
      </c>
      <c r="D297" s="73" t="s">
        <v>300</v>
      </c>
      <c r="E297" s="2"/>
      <c r="F297" s="2" t="s">
        <v>309</v>
      </c>
      <c r="G297" s="2" t="s">
        <v>69</v>
      </c>
      <c r="H297" s="2" t="s">
        <v>346</v>
      </c>
      <c r="I297" s="2" t="s">
        <v>315</v>
      </c>
      <c r="J297" s="2" t="s">
        <v>23</v>
      </c>
      <c r="K297" s="72"/>
      <c r="L297" s="39">
        <v>14500</v>
      </c>
      <c r="M297" s="72">
        <f t="shared" si="18"/>
        <v>14500</v>
      </c>
      <c r="N297" s="72">
        <f t="shared" si="19"/>
        <v>514444.99999999948</v>
      </c>
    </row>
    <row r="298" spans="1:15" x14ac:dyDescent="0.2">
      <c r="A298" s="73" t="s">
        <v>457</v>
      </c>
      <c r="B298" s="3">
        <f t="shared" si="16"/>
        <v>2025</v>
      </c>
      <c r="C298" s="3">
        <f t="shared" si="17"/>
        <v>2</v>
      </c>
      <c r="D298" s="73" t="s">
        <v>300</v>
      </c>
      <c r="E298" s="2"/>
      <c r="F298" s="2" t="s">
        <v>304</v>
      </c>
      <c r="G298" s="2" t="s">
        <v>317</v>
      </c>
      <c r="H298" s="2" t="s">
        <v>349</v>
      </c>
      <c r="I298" s="2" t="s">
        <v>297</v>
      </c>
      <c r="J298" s="2" t="s">
        <v>26</v>
      </c>
      <c r="K298" s="72">
        <v>20</v>
      </c>
      <c r="L298" s="39"/>
      <c r="M298" s="72">
        <f t="shared" si="18"/>
        <v>-20</v>
      </c>
      <c r="N298" s="72">
        <f t="shared" si="19"/>
        <v>514424.99999999948</v>
      </c>
      <c r="O298" s="72"/>
    </row>
    <row r="299" spans="1:15" x14ac:dyDescent="0.2">
      <c r="A299" s="73" t="s">
        <v>457</v>
      </c>
      <c r="B299" s="3">
        <f t="shared" si="16"/>
        <v>2025</v>
      </c>
      <c r="C299" s="3">
        <f t="shared" si="17"/>
        <v>2</v>
      </c>
      <c r="D299" s="73" t="s">
        <v>300</v>
      </c>
      <c r="E299" s="2"/>
      <c r="F299" s="2" t="s">
        <v>299</v>
      </c>
      <c r="G299" s="2"/>
      <c r="H299" s="2" t="s">
        <v>298</v>
      </c>
      <c r="I299" s="2" t="s">
        <v>297</v>
      </c>
      <c r="J299" s="2" t="s">
        <v>296</v>
      </c>
      <c r="K299" s="72"/>
      <c r="L299" s="39">
        <v>25</v>
      </c>
      <c r="M299" s="72">
        <f t="shared" si="18"/>
        <v>25</v>
      </c>
      <c r="N299" s="72">
        <f t="shared" si="19"/>
        <v>514449.99999999948</v>
      </c>
    </row>
    <row r="300" spans="1:15" x14ac:dyDescent="0.2">
      <c r="A300" s="73" t="s">
        <v>458</v>
      </c>
      <c r="B300" s="3">
        <f t="shared" si="16"/>
        <v>2025</v>
      </c>
      <c r="C300" s="3">
        <f t="shared" si="17"/>
        <v>2</v>
      </c>
      <c r="D300" s="73" t="s">
        <v>300</v>
      </c>
      <c r="E300" s="2"/>
      <c r="F300" s="2" t="s">
        <v>325</v>
      </c>
      <c r="G300" s="2" t="s">
        <v>367</v>
      </c>
      <c r="H300" s="2" t="s">
        <v>323</v>
      </c>
      <c r="I300" s="2" t="s">
        <v>350</v>
      </c>
      <c r="J300" s="2" t="s">
        <v>353</v>
      </c>
      <c r="K300" s="72">
        <v>8750</v>
      </c>
      <c r="L300" s="39"/>
      <c r="M300" s="72">
        <f t="shared" si="18"/>
        <v>-8750</v>
      </c>
      <c r="N300" s="72">
        <f t="shared" si="19"/>
        <v>505699.99999999948</v>
      </c>
    </row>
    <row r="301" spans="1:15" x14ac:dyDescent="0.2">
      <c r="A301" s="73" t="s">
        <v>458</v>
      </c>
      <c r="B301" s="3">
        <f t="shared" si="16"/>
        <v>2025</v>
      </c>
      <c r="C301" s="3">
        <f t="shared" si="17"/>
        <v>2</v>
      </c>
      <c r="D301" s="73" t="s">
        <v>300</v>
      </c>
      <c r="E301" s="2"/>
      <c r="F301" s="2" t="s">
        <v>314</v>
      </c>
      <c r="G301" s="2" t="s">
        <v>0</v>
      </c>
      <c r="H301" s="2" t="s">
        <v>313</v>
      </c>
      <c r="I301" s="2" t="s">
        <v>312</v>
      </c>
      <c r="J301" s="2" t="s">
        <v>0</v>
      </c>
      <c r="K301" s="72">
        <v>686.7</v>
      </c>
      <c r="L301" s="39"/>
      <c r="M301" s="72">
        <f t="shared" si="18"/>
        <v>-686.7</v>
      </c>
      <c r="N301" s="72">
        <f t="shared" si="19"/>
        <v>505013.29999999946</v>
      </c>
    </row>
    <row r="302" spans="1:15" x14ac:dyDescent="0.2">
      <c r="A302" s="73" t="s">
        <v>458</v>
      </c>
      <c r="B302" s="3">
        <f t="shared" si="16"/>
        <v>2025</v>
      </c>
      <c r="C302" s="3">
        <f t="shared" si="17"/>
        <v>2</v>
      </c>
      <c r="D302" s="73" t="s">
        <v>300</v>
      </c>
      <c r="E302" s="2"/>
      <c r="F302" s="2" t="s">
        <v>321</v>
      </c>
      <c r="G302" s="2" t="s">
        <v>109</v>
      </c>
      <c r="H302" s="2" t="s">
        <v>319</v>
      </c>
      <c r="I302" s="2" t="s">
        <v>315</v>
      </c>
      <c r="J302" s="2" t="s">
        <v>23</v>
      </c>
      <c r="K302" s="72"/>
      <c r="L302" s="39">
        <v>3615</v>
      </c>
      <c r="M302" s="72">
        <f t="shared" si="18"/>
        <v>3615</v>
      </c>
      <c r="N302" s="72">
        <f t="shared" si="19"/>
        <v>508628.29999999946</v>
      </c>
    </row>
    <row r="303" spans="1:15" x14ac:dyDescent="0.2">
      <c r="A303" s="73" t="s">
        <v>458</v>
      </c>
      <c r="B303" s="3">
        <f t="shared" si="16"/>
        <v>2025</v>
      </c>
      <c r="C303" s="3">
        <f t="shared" si="17"/>
        <v>2</v>
      </c>
      <c r="D303" s="73" t="s">
        <v>300</v>
      </c>
      <c r="E303" s="2"/>
      <c r="F303" s="2" t="s">
        <v>325</v>
      </c>
      <c r="G303" s="2" t="s">
        <v>363</v>
      </c>
      <c r="H303" s="2" t="s">
        <v>323</v>
      </c>
      <c r="I303" s="2" t="s">
        <v>316</v>
      </c>
      <c r="J303" s="2" t="s">
        <v>17</v>
      </c>
      <c r="K303" s="72">
        <v>5</v>
      </c>
      <c r="L303" s="39"/>
      <c r="M303" s="72">
        <f t="shared" si="18"/>
        <v>-5</v>
      </c>
      <c r="N303" s="72">
        <f t="shared" si="19"/>
        <v>508623.29999999946</v>
      </c>
    </row>
    <row r="304" spans="1:15" x14ac:dyDescent="0.2">
      <c r="A304" s="73" t="s">
        <v>458</v>
      </c>
      <c r="B304" s="3">
        <f t="shared" si="16"/>
        <v>2025</v>
      </c>
      <c r="C304" s="3">
        <f t="shared" si="17"/>
        <v>2</v>
      </c>
      <c r="D304" s="73" t="s">
        <v>300</v>
      </c>
      <c r="E304" s="2"/>
      <c r="F304" s="2" t="s">
        <v>325</v>
      </c>
      <c r="G304" s="2" t="s">
        <v>362</v>
      </c>
      <c r="H304" s="2" t="s">
        <v>323</v>
      </c>
      <c r="I304" s="2" t="s">
        <v>350</v>
      </c>
      <c r="J304" s="2" t="s">
        <v>353</v>
      </c>
      <c r="K304" s="72">
        <v>50.48</v>
      </c>
      <c r="L304" s="39"/>
      <c r="M304" s="72">
        <f t="shared" si="18"/>
        <v>-50.48</v>
      </c>
      <c r="N304" s="72">
        <f t="shared" si="19"/>
        <v>508572.81999999948</v>
      </c>
    </row>
    <row r="305" spans="1:15" x14ac:dyDescent="0.2">
      <c r="A305" s="73" t="s">
        <v>458</v>
      </c>
      <c r="B305" s="3">
        <f t="shared" si="16"/>
        <v>2025</v>
      </c>
      <c r="C305" s="3">
        <f t="shared" si="17"/>
        <v>2</v>
      </c>
      <c r="D305" s="73" t="s">
        <v>300</v>
      </c>
      <c r="E305" s="2"/>
      <c r="F305" s="2" t="s">
        <v>325</v>
      </c>
      <c r="G305" s="2" t="s">
        <v>362</v>
      </c>
      <c r="H305" s="2" t="s">
        <v>323</v>
      </c>
      <c r="I305" s="2" t="s">
        <v>350</v>
      </c>
      <c r="J305" s="2" t="s">
        <v>353</v>
      </c>
      <c r="K305" s="72">
        <v>32.74</v>
      </c>
      <c r="L305" s="39"/>
      <c r="M305" s="72">
        <f t="shared" si="18"/>
        <v>-32.74</v>
      </c>
      <c r="N305" s="72">
        <f t="shared" si="19"/>
        <v>508540.07999999949</v>
      </c>
    </row>
    <row r="306" spans="1:15" x14ac:dyDescent="0.2">
      <c r="A306" s="73" t="s">
        <v>458</v>
      </c>
      <c r="B306" s="3">
        <f t="shared" si="16"/>
        <v>2025</v>
      </c>
      <c r="C306" s="3">
        <f t="shared" si="17"/>
        <v>2</v>
      </c>
      <c r="D306" s="73" t="s">
        <v>300</v>
      </c>
      <c r="E306" s="2"/>
      <c r="F306" s="2" t="s">
        <v>304</v>
      </c>
      <c r="G306" s="2" t="s">
        <v>306</v>
      </c>
      <c r="H306" s="2" t="s">
        <v>318</v>
      </c>
      <c r="I306" s="2" t="s">
        <v>301</v>
      </c>
      <c r="J306" s="2" t="s">
        <v>11</v>
      </c>
      <c r="K306" s="72">
        <v>937</v>
      </c>
      <c r="L306" s="39"/>
      <c r="M306" s="72">
        <f t="shared" si="18"/>
        <v>-937</v>
      </c>
      <c r="N306" s="72">
        <f t="shared" si="19"/>
        <v>507603.07999999949</v>
      </c>
    </row>
    <row r="307" spans="1:15" x14ac:dyDescent="0.2">
      <c r="A307" s="73" t="s">
        <v>458</v>
      </c>
      <c r="B307" s="3">
        <f t="shared" si="16"/>
        <v>2025</v>
      </c>
      <c r="C307" s="3">
        <f t="shared" si="17"/>
        <v>2</v>
      </c>
      <c r="D307" s="73" t="s">
        <v>300</v>
      </c>
      <c r="E307" s="2"/>
      <c r="F307" s="2" t="s">
        <v>304</v>
      </c>
      <c r="G307" s="2" t="s">
        <v>306</v>
      </c>
      <c r="H307" s="2" t="s">
        <v>318</v>
      </c>
      <c r="I307" s="2" t="s">
        <v>301</v>
      </c>
      <c r="J307" s="2" t="s">
        <v>20</v>
      </c>
      <c r="K307" s="72">
        <v>129269.72</v>
      </c>
      <c r="L307" s="39"/>
      <c r="M307" s="72">
        <f t="shared" si="18"/>
        <v>-129269.72</v>
      </c>
      <c r="N307" s="72">
        <f t="shared" si="19"/>
        <v>378333.35999999952</v>
      </c>
    </row>
    <row r="308" spans="1:15" x14ac:dyDescent="0.2">
      <c r="A308" s="73" t="s">
        <v>458</v>
      </c>
      <c r="B308" s="3">
        <f t="shared" si="16"/>
        <v>2025</v>
      </c>
      <c r="C308" s="3">
        <f t="shared" si="17"/>
        <v>2</v>
      </c>
      <c r="D308" s="73" t="s">
        <v>300</v>
      </c>
      <c r="E308" s="2"/>
      <c r="F308" s="2" t="s">
        <v>304</v>
      </c>
      <c r="G308" s="2" t="s">
        <v>306</v>
      </c>
      <c r="H308" s="2" t="s">
        <v>318</v>
      </c>
      <c r="I308" s="2" t="s">
        <v>301</v>
      </c>
      <c r="J308" s="2" t="s">
        <v>24</v>
      </c>
      <c r="K308" s="72">
        <v>188851.23</v>
      </c>
      <c r="L308" s="39"/>
      <c r="M308" s="72">
        <f t="shared" si="18"/>
        <v>-188851.23</v>
      </c>
      <c r="N308" s="72">
        <f t="shared" si="19"/>
        <v>189482.12999999951</v>
      </c>
    </row>
    <row r="309" spans="1:15" x14ac:dyDescent="0.2">
      <c r="A309" s="73" t="s">
        <v>458</v>
      </c>
      <c r="B309" s="3">
        <f t="shared" si="16"/>
        <v>2025</v>
      </c>
      <c r="C309" s="3">
        <f t="shared" si="17"/>
        <v>2</v>
      </c>
      <c r="D309" s="73" t="s">
        <v>300</v>
      </c>
      <c r="E309" s="2"/>
      <c r="F309" s="2" t="s">
        <v>325</v>
      </c>
      <c r="G309" s="2" t="s">
        <v>351</v>
      </c>
      <c r="H309" s="2" t="s">
        <v>323</v>
      </c>
      <c r="I309" s="2" t="s">
        <v>350</v>
      </c>
      <c r="J309" s="2" t="s">
        <v>27</v>
      </c>
      <c r="K309" s="72">
        <v>19634</v>
      </c>
      <c r="L309" s="39"/>
      <c r="M309" s="72">
        <f t="shared" si="18"/>
        <v>-19634</v>
      </c>
      <c r="N309" s="72">
        <f t="shared" si="19"/>
        <v>169848.12999999951</v>
      </c>
      <c r="O309" s="72"/>
    </row>
    <row r="310" spans="1:15" x14ac:dyDescent="0.2">
      <c r="A310" s="73" t="s">
        <v>458</v>
      </c>
      <c r="B310" s="3">
        <f t="shared" si="16"/>
        <v>2025</v>
      </c>
      <c r="C310" s="3">
        <f t="shared" si="17"/>
        <v>2</v>
      </c>
      <c r="D310" s="73" t="s">
        <v>300</v>
      </c>
      <c r="E310" s="2"/>
      <c r="F310" s="2" t="s">
        <v>299</v>
      </c>
      <c r="G310" s="2"/>
      <c r="H310" s="2" t="s">
        <v>298</v>
      </c>
      <c r="I310" s="2" t="s">
        <v>297</v>
      </c>
      <c r="J310" s="2" t="s">
        <v>296</v>
      </c>
      <c r="K310" s="72"/>
      <c r="L310" s="39">
        <v>329435.17</v>
      </c>
      <c r="M310" s="72">
        <f t="shared" si="18"/>
        <v>329435.17</v>
      </c>
      <c r="N310" s="72">
        <f t="shared" si="19"/>
        <v>499283.29999999946</v>
      </c>
    </row>
    <row r="311" spans="1:15" x14ac:dyDescent="0.2">
      <c r="A311" s="73" t="s">
        <v>459</v>
      </c>
      <c r="B311" s="3">
        <f t="shared" si="16"/>
        <v>2025</v>
      </c>
      <c r="C311" s="3">
        <f t="shared" si="17"/>
        <v>2</v>
      </c>
      <c r="D311" s="73" t="s">
        <v>300</v>
      </c>
      <c r="E311" s="2"/>
      <c r="F311" s="2" t="s">
        <v>304</v>
      </c>
      <c r="G311" s="2" t="s">
        <v>336</v>
      </c>
      <c r="H311" s="2" t="s">
        <v>335</v>
      </c>
      <c r="I311" s="2" t="s">
        <v>301</v>
      </c>
      <c r="J311" s="2" t="s">
        <v>11</v>
      </c>
      <c r="K311" s="72">
        <v>377.78</v>
      </c>
      <c r="L311" s="39"/>
      <c r="M311" s="72">
        <f t="shared" si="18"/>
        <v>-377.78</v>
      </c>
      <c r="N311" s="72">
        <f t="shared" si="19"/>
        <v>498905.51999999944</v>
      </c>
    </row>
    <row r="312" spans="1:15" x14ac:dyDescent="0.2">
      <c r="A312" s="73" t="s">
        <v>459</v>
      </c>
      <c r="B312" s="3">
        <f t="shared" si="16"/>
        <v>2025</v>
      </c>
      <c r="C312" s="3">
        <f t="shared" si="17"/>
        <v>2</v>
      </c>
      <c r="D312" s="73" t="s">
        <v>300</v>
      </c>
      <c r="E312" s="2"/>
      <c r="F312" s="2" t="s">
        <v>309</v>
      </c>
      <c r="G312" s="2" t="s">
        <v>12</v>
      </c>
      <c r="H312" s="2" t="s">
        <v>346</v>
      </c>
      <c r="I312" s="2" t="s">
        <v>315</v>
      </c>
      <c r="J312" s="2" t="s">
        <v>23</v>
      </c>
      <c r="K312" s="72"/>
      <c r="L312" s="39">
        <v>1500</v>
      </c>
      <c r="M312" s="79">
        <f t="shared" si="18"/>
        <v>1500</v>
      </c>
      <c r="N312" s="72">
        <f t="shared" si="19"/>
        <v>500405.51999999944</v>
      </c>
    </row>
    <row r="313" spans="1:15" x14ac:dyDescent="0.2">
      <c r="A313" s="73" t="s">
        <v>459</v>
      </c>
      <c r="B313" s="3">
        <f t="shared" si="16"/>
        <v>2025</v>
      </c>
      <c r="C313" s="3">
        <f t="shared" si="17"/>
        <v>2</v>
      </c>
      <c r="D313" s="73" t="s">
        <v>300</v>
      </c>
      <c r="E313" s="2"/>
      <c r="F313" s="2" t="s">
        <v>321</v>
      </c>
      <c r="G313" s="2" t="s">
        <v>322</v>
      </c>
      <c r="H313" s="2" t="s">
        <v>319</v>
      </c>
      <c r="I313" s="2" t="s">
        <v>315</v>
      </c>
      <c r="J313" s="2" t="s">
        <v>23</v>
      </c>
      <c r="K313" s="72"/>
      <c r="L313" s="39">
        <v>8400</v>
      </c>
      <c r="M313" s="72">
        <f t="shared" si="18"/>
        <v>8400</v>
      </c>
      <c r="N313" s="72">
        <f t="shared" si="19"/>
        <v>508805.51999999944</v>
      </c>
    </row>
    <row r="314" spans="1:15" x14ac:dyDescent="0.2">
      <c r="A314" s="73" t="s">
        <v>459</v>
      </c>
      <c r="B314" s="3">
        <f t="shared" si="16"/>
        <v>2025</v>
      </c>
      <c r="C314" s="3">
        <f t="shared" si="17"/>
        <v>2</v>
      </c>
      <c r="D314" s="73" t="s">
        <v>300</v>
      </c>
      <c r="E314" s="2"/>
      <c r="F314" s="2" t="s">
        <v>325</v>
      </c>
      <c r="G314" s="2" t="s">
        <v>5</v>
      </c>
      <c r="H314" s="2" t="s">
        <v>323</v>
      </c>
      <c r="I314" s="2" t="s">
        <v>301</v>
      </c>
      <c r="J314" s="2" t="s">
        <v>11</v>
      </c>
      <c r="K314" s="72">
        <v>30</v>
      </c>
      <c r="L314" s="39"/>
      <c r="M314" s="72">
        <f t="shared" si="18"/>
        <v>-30</v>
      </c>
      <c r="N314" s="72">
        <f t="shared" si="19"/>
        <v>508775.51999999944</v>
      </c>
    </row>
    <row r="315" spans="1:15" x14ac:dyDescent="0.2">
      <c r="A315" s="73" t="s">
        <v>459</v>
      </c>
      <c r="B315" s="3">
        <f t="shared" si="16"/>
        <v>2025</v>
      </c>
      <c r="C315" s="3">
        <f t="shared" si="17"/>
        <v>2</v>
      </c>
      <c r="D315" s="73" t="s">
        <v>300</v>
      </c>
      <c r="E315" s="2"/>
      <c r="F315" s="2" t="s">
        <v>309</v>
      </c>
      <c r="G315" s="2" t="s">
        <v>308</v>
      </c>
      <c r="H315" s="2" t="s">
        <v>307</v>
      </c>
      <c r="I315" s="2" t="s">
        <v>297</v>
      </c>
      <c r="J315" s="2" t="s">
        <v>48</v>
      </c>
      <c r="K315" s="72"/>
      <c r="L315" s="39">
        <v>8351.2900000000009</v>
      </c>
      <c r="M315" s="79">
        <f t="shared" si="18"/>
        <v>8351.2900000000009</v>
      </c>
      <c r="N315" s="72">
        <f t="shared" si="19"/>
        <v>517126.80999999942</v>
      </c>
    </row>
    <row r="316" spans="1:15" x14ac:dyDescent="0.2">
      <c r="A316" s="73" t="s">
        <v>459</v>
      </c>
      <c r="B316" s="3">
        <f t="shared" si="16"/>
        <v>2025</v>
      </c>
      <c r="C316" s="3">
        <f t="shared" si="17"/>
        <v>2</v>
      </c>
      <c r="D316" s="73" t="s">
        <v>300</v>
      </c>
      <c r="E316" s="2"/>
      <c r="F316" s="2" t="s">
        <v>304</v>
      </c>
      <c r="G316" s="2" t="s">
        <v>306</v>
      </c>
      <c r="H316" s="2" t="s">
        <v>318</v>
      </c>
      <c r="I316" s="2" t="s">
        <v>301</v>
      </c>
      <c r="J316" s="2" t="s">
        <v>19</v>
      </c>
      <c r="K316" s="72">
        <v>309.8</v>
      </c>
      <c r="L316" s="39"/>
      <c r="M316" s="72">
        <f t="shared" si="18"/>
        <v>-309.8</v>
      </c>
      <c r="N316" s="72">
        <f t="shared" si="19"/>
        <v>516817.00999999943</v>
      </c>
    </row>
    <row r="317" spans="1:15" x14ac:dyDescent="0.2">
      <c r="A317" s="73" t="s">
        <v>459</v>
      </c>
      <c r="B317" s="3">
        <f t="shared" si="16"/>
        <v>2025</v>
      </c>
      <c r="C317" s="3">
        <f t="shared" si="17"/>
        <v>2</v>
      </c>
      <c r="D317" s="73" t="s">
        <v>300</v>
      </c>
      <c r="E317" s="2"/>
      <c r="F317" s="2" t="s">
        <v>304</v>
      </c>
      <c r="G317" s="2" t="s">
        <v>317</v>
      </c>
      <c r="H317" s="2" t="s">
        <v>349</v>
      </c>
      <c r="I317" s="2" t="s">
        <v>297</v>
      </c>
      <c r="J317" s="2" t="s">
        <v>26</v>
      </c>
      <c r="K317" s="72">
        <v>15</v>
      </c>
      <c r="L317" s="39"/>
      <c r="M317" s="79">
        <f t="shared" si="18"/>
        <v>-15</v>
      </c>
      <c r="N317" s="72">
        <f t="shared" si="19"/>
        <v>516802.00999999943</v>
      </c>
    </row>
    <row r="318" spans="1:15" x14ac:dyDescent="0.2">
      <c r="A318" s="73" t="s">
        <v>459</v>
      </c>
      <c r="B318" s="3">
        <f t="shared" si="16"/>
        <v>2025</v>
      </c>
      <c r="C318" s="3">
        <f t="shared" si="17"/>
        <v>2</v>
      </c>
      <c r="D318" s="73" t="s">
        <v>300</v>
      </c>
      <c r="E318" s="2"/>
      <c r="F318" s="2" t="s">
        <v>321</v>
      </c>
      <c r="G318" s="2" t="s">
        <v>329</v>
      </c>
      <c r="H318" s="2" t="s">
        <v>319</v>
      </c>
      <c r="I318" s="2" t="s">
        <v>315</v>
      </c>
      <c r="J318" s="2" t="s">
        <v>23</v>
      </c>
      <c r="K318" s="72"/>
      <c r="L318" s="39">
        <v>24777.599999999999</v>
      </c>
      <c r="M318" s="72">
        <f t="shared" si="18"/>
        <v>24777.599999999999</v>
      </c>
      <c r="N318" s="72">
        <f t="shared" si="19"/>
        <v>541579.6099999994</v>
      </c>
      <c r="O318" s="72"/>
    </row>
    <row r="319" spans="1:15" x14ac:dyDescent="0.2">
      <c r="A319" s="90" t="s">
        <v>459</v>
      </c>
      <c r="B319" s="91">
        <f t="shared" si="16"/>
        <v>2025</v>
      </c>
      <c r="C319" s="91">
        <f t="shared" si="17"/>
        <v>2</v>
      </c>
      <c r="D319" s="90" t="s">
        <v>300</v>
      </c>
      <c r="E319" s="92"/>
      <c r="F319" s="92" t="s">
        <v>299</v>
      </c>
      <c r="G319" s="92"/>
      <c r="H319" s="92" t="s">
        <v>298</v>
      </c>
      <c r="I319" s="92" t="s">
        <v>297</v>
      </c>
      <c r="J319" s="92" t="s">
        <v>296</v>
      </c>
      <c r="K319" s="80">
        <v>40811.31</v>
      </c>
      <c r="L319" s="93"/>
      <c r="M319" s="80">
        <f t="shared" si="18"/>
        <v>-40811.31</v>
      </c>
      <c r="N319" s="80">
        <f t="shared" si="19"/>
        <v>500768.29999999941</v>
      </c>
      <c r="O319" s="72"/>
    </row>
    <row r="320" spans="1:15" x14ac:dyDescent="0.2">
      <c r="A320" s="73" t="s">
        <v>493</v>
      </c>
      <c r="B320" s="3">
        <f t="shared" si="16"/>
        <v>2025</v>
      </c>
      <c r="C320" s="3">
        <f t="shared" si="17"/>
        <v>3</v>
      </c>
      <c r="D320" s="73" t="s">
        <v>300</v>
      </c>
      <c r="E320" s="2"/>
      <c r="F320" s="2" t="s">
        <v>304</v>
      </c>
      <c r="G320" s="2" t="s">
        <v>373</v>
      </c>
      <c r="H320" s="2" t="s">
        <v>372</v>
      </c>
      <c r="I320" s="2" t="s">
        <v>301</v>
      </c>
      <c r="J320" s="2" t="s">
        <v>11</v>
      </c>
      <c r="K320" s="72">
        <v>12890.92</v>
      </c>
      <c r="L320" s="39"/>
      <c r="M320" s="72">
        <f t="shared" si="18"/>
        <v>-12890.92</v>
      </c>
      <c r="N320" s="72">
        <f t="shared" si="19"/>
        <v>487877.37999999942</v>
      </c>
    </row>
    <row r="321" spans="1:14" x14ac:dyDescent="0.2">
      <c r="A321" s="73" t="s">
        <v>493</v>
      </c>
      <c r="B321" s="3">
        <f t="shared" si="16"/>
        <v>2025</v>
      </c>
      <c r="C321" s="3">
        <f t="shared" si="17"/>
        <v>3</v>
      </c>
      <c r="D321" s="73" t="s">
        <v>300</v>
      </c>
      <c r="E321" s="2"/>
      <c r="F321" s="2" t="s">
        <v>304</v>
      </c>
      <c r="G321" s="2" t="s">
        <v>344</v>
      </c>
      <c r="H321" s="2" t="s">
        <v>343</v>
      </c>
      <c r="I321" s="2" t="s">
        <v>301</v>
      </c>
      <c r="J321" s="2" t="s">
        <v>11</v>
      </c>
      <c r="K321" s="72">
        <v>15444.88</v>
      </c>
      <c r="L321" s="39"/>
      <c r="M321" s="72">
        <f t="shared" si="18"/>
        <v>-15444.88</v>
      </c>
      <c r="N321" s="72">
        <f t="shared" si="19"/>
        <v>472432.49999999942</v>
      </c>
    </row>
    <row r="322" spans="1:14" x14ac:dyDescent="0.2">
      <c r="A322" s="73" t="s">
        <v>493</v>
      </c>
      <c r="B322" s="3">
        <f t="shared" ref="B322:B385" si="20">YEAR(A322)</f>
        <v>2025</v>
      </c>
      <c r="C322" s="3">
        <f t="shared" ref="C322:C385" si="21">MONTH(A322)</f>
        <v>3</v>
      </c>
      <c r="D322" s="73" t="s">
        <v>300</v>
      </c>
      <c r="E322" s="2"/>
      <c r="F322" s="2" t="s">
        <v>304</v>
      </c>
      <c r="G322" s="2" t="s">
        <v>303</v>
      </c>
      <c r="H322" s="2" t="s">
        <v>302</v>
      </c>
      <c r="I322" s="2" t="s">
        <v>301</v>
      </c>
      <c r="J322" s="2" t="s">
        <v>11</v>
      </c>
      <c r="K322" s="72">
        <v>208.34</v>
      </c>
      <c r="L322" s="39"/>
      <c r="M322" s="72">
        <f t="shared" ref="M322:M385" si="22">IF(ISBLANK(L322),K322*-1,L322)</f>
        <v>-208.34</v>
      </c>
      <c r="N322" s="72">
        <f t="shared" si="19"/>
        <v>472224.15999999939</v>
      </c>
    </row>
    <row r="323" spans="1:14" x14ac:dyDescent="0.2">
      <c r="A323" s="73" t="s">
        <v>493</v>
      </c>
      <c r="B323" s="3">
        <f t="shared" si="20"/>
        <v>2025</v>
      </c>
      <c r="C323" s="3">
        <f t="shared" si="21"/>
        <v>3</v>
      </c>
      <c r="D323" s="73" t="s">
        <v>300</v>
      </c>
      <c r="E323" s="2"/>
      <c r="F323" s="2" t="s">
        <v>299</v>
      </c>
      <c r="G323" s="2"/>
      <c r="H323" s="2" t="s">
        <v>298</v>
      </c>
      <c r="I323" s="2" t="s">
        <v>297</v>
      </c>
      <c r="J323" s="2" t="s">
        <v>296</v>
      </c>
      <c r="K323" s="72"/>
      <c r="L323" s="39">
        <v>27745.84</v>
      </c>
      <c r="M323" s="72">
        <f t="shared" si="22"/>
        <v>27745.84</v>
      </c>
      <c r="N323" s="72">
        <f t="shared" ref="N323:N386" si="23">+N322+M323</f>
        <v>499969.99999999942</v>
      </c>
    </row>
    <row r="324" spans="1:14" x14ac:dyDescent="0.2">
      <c r="A324" s="73" t="s">
        <v>494</v>
      </c>
      <c r="B324" s="3">
        <f t="shared" si="20"/>
        <v>2025</v>
      </c>
      <c r="C324" s="3">
        <f t="shared" si="21"/>
        <v>3</v>
      </c>
      <c r="D324" s="73" t="s">
        <v>300</v>
      </c>
      <c r="E324" s="2"/>
      <c r="F324" s="2" t="s">
        <v>304</v>
      </c>
      <c r="G324" s="2" t="s">
        <v>336</v>
      </c>
      <c r="H324" s="2" t="s">
        <v>335</v>
      </c>
      <c r="I324" s="2" t="s">
        <v>301</v>
      </c>
      <c r="J324" s="2" t="s">
        <v>11</v>
      </c>
      <c r="K324" s="72">
        <v>6.56</v>
      </c>
      <c r="L324" s="39"/>
      <c r="M324" s="72">
        <f t="shared" si="22"/>
        <v>-6.56</v>
      </c>
      <c r="N324" s="72">
        <f t="shared" si="23"/>
        <v>499963.43999999942</v>
      </c>
    </row>
    <row r="325" spans="1:14" x14ac:dyDescent="0.2">
      <c r="A325" s="73" t="s">
        <v>494</v>
      </c>
      <c r="B325" s="3">
        <f t="shared" si="20"/>
        <v>2025</v>
      </c>
      <c r="C325" s="3">
        <f t="shared" si="21"/>
        <v>3</v>
      </c>
      <c r="D325" s="73" t="s">
        <v>300</v>
      </c>
      <c r="E325" s="2"/>
      <c r="F325" s="2" t="s">
        <v>304</v>
      </c>
      <c r="G325" s="2" t="s">
        <v>306</v>
      </c>
      <c r="H325" s="2" t="s">
        <v>305</v>
      </c>
      <c r="I325" s="2" t="s">
        <v>301</v>
      </c>
      <c r="J325" s="2" t="s">
        <v>19</v>
      </c>
      <c r="K325" s="72">
        <v>4</v>
      </c>
      <c r="L325" s="39"/>
      <c r="M325" s="72">
        <f t="shared" si="22"/>
        <v>-4</v>
      </c>
      <c r="N325" s="72">
        <f t="shared" si="23"/>
        <v>499959.43999999942</v>
      </c>
    </row>
    <row r="326" spans="1:14" x14ac:dyDescent="0.2">
      <c r="A326" s="73" t="s">
        <v>494</v>
      </c>
      <c r="B326" s="3">
        <f t="shared" si="20"/>
        <v>2025</v>
      </c>
      <c r="C326" s="3">
        <f t="shared" si="21"/>
        <v>3</v>
      </c>
      <c r="D326" s="73" t="s">
        <v>300</v>
      </c>
      <c r="E326" s="2"/>
      <c r="F326" s="2" t="s">
        <v>299</v>
      </c>
      <c r="G326" s="2"/>
      <c r="H326" s="2" t="s">
        <v>298</v>
      </c>
      <c r="I326" s="2" t="s">
        <v>297</v>
      </c>
      <c r="J326" s="2" t="s">
        <v>296</v>
      </c>
      <c r="K326" s="72"/>
      <c r="L326" s="39">
        <v>10.56</v>
      </c>
      <c r="M326" s="72">
        <f t="shared" si="22"/>
        <v>10.56</v>
      </c>
      <c r="N326" s="72">
        <f t="shared" si="23"/>
        <v>499969.99999999942</v>
      </c>
    </row>
    <row r="327" spans="1:14" x14ac:dyDescent="0.2">
      <c r="A327" s="73" t="s">
        <v>495</v>
      </c>
      <c r="B327" s="3">
        <f t="shared" si="20"/>
        <v>2025</v>
      </c>
      <c r="C327" s="3">
        <f t="shared" si="21"/>
        <v>3</v>
      </c>
      <c r="D327" s="73" t="s">
        <v>300</v>
      </c>
      <c r="E327" s="2"/>
      <c r="F327" s="2" t="s">
        <v>304</v>
      </c>
      <c r="G327" s="2" t="s">
        <v>336</v>
      </c>
      <c r="H327" s="2" t="s">
        <v>335</v>
      </c>
      <c r="I327" s="2" t="s">
        <v>301</v>
      </c>
      <c r="J327" s="2" t="s">
        <v>11</v>
      </c>
      <c r="K327" s="72">
        <v>25</v>
      </c>
      <c r="L327" s="39"/>
      <c r="M327" s="72">
        <f t="shared" si="22"/>
        <v>-25</v>
      </c>
      <c r="N327" s="72">
        <f t="shared" si="23"/>
        <v>499944.99999999942</v>
      </c>
    </row>
    <row r="328" spans="1:14" x14ac:dyDescent="0.2">
      <c r="A328" s="73" t="s">
        <v>495</v>
      </c>
      <c r="B328" s="3">
        <f t="shared" si="20"/>
        <v>2025</v>
      </c>
      <c r="C328" s="3">
        <f t="shared" si="21"/>
        <v>3</v>
      </c>
      <c r="D328" s="73" t="s">
        <v>300</v>
      </c>
      <c r="E328" s="2"/>
      <c r="F328" s="2" t="s">
        <v>304</v>
      </c>
      <c r="G328" s="2" t="s">
        <v>303</v>
      </c>
      <c r="H328" s="2" t="s">
        <v>302</v>
      </c>
      <c r="I328" s="2" t="s">
        <v>301</v>
      </c>
      <c r="J328" s="2" t="s">
        <v>11</v>
      </c>
      <c r="K328" s="72">
        <v>824.49</v>
      </c>
      <c r="L328" s="39"/>
      <c r="M328" s="72">
        <f t="shared" si="22"/>
        <v>-824.49</v>
      </c>
      <c r="N328" s="72">
        <f t="shared" si="23"/>
        <v>499120.50999999943</v>
      </c>
    </row>
    <row r="329" spans="1:14" x14ac:dyDescent="0.2">
      <c r="A329" s="73" t="s">
        <v>495</v>
      </c>
      <c r="B329" s="3">
        <f t="shared" si="20"/>
        <v>2025</v>
      </c>
      <c r="C329" s="3">
        <f t="shared" si="21"/>
        <v>3</v>
      </c>
      <c r="D329" s="73" t="s">
        <v>300</v>
      </c>
      <c r="E329" s="2"/>
      <c r="F329" s="2" t="s">
        <v>299</v>
      </c>
      <c r="G329" s="2"/>
      <c r="H329" s="2" t="s">
        <v>298</v>
      </c>
      <c r="I329" s="2" t="s">
        <v>297</v>
      </c>
      <c r="J329" s="2" t="s">
        <v>296</v>
      </c>
      <c r="K329" s="72"/>
      <c r="L329" s="39">
        <v>849.49</v>
      </c>
      <c r="M329" s="72">
        <f t="shared" si="22"/>
        <v>849.49</v>
      </c>
      <c r="N329" s="72">
        <f t="shared" si="23"/>
        <v>499969.99999999942</v>
      </c>
    </row>
    <row r="330" spans="1:14" x14ac:dyDescent="0.2">
      <c r="A330" s="73" t="s">
        <v>496</v>
      </c>
      <c r="B330" s="3">
        <f t="shared" si="20"/>
        <v>2025</v>
      </c>
      <c r="C330" s="3">
        <f t="shared" si="21"/>
        <v>3</v>
      </c>
      <c r="D330" s="73" t="s">
        <v>300</v>
      </c>
      <c r="E330" s="2"/>
      <c r="F330" s="2" t="s">
        <v>304</v>
      </c>
      <c r="G330" s="2" t="s">
        <v>377</v>
      </c>
      <c r="H330" s="2" t="s">
        <v>376</v>
      </c>
      <c r="I330" s="2" t="s">
        <v>301</v>
      </c>
      <c r="J330" s="2" t="s">
        <v>11</v>
      </c>
      <c r="K330" s="72">
        <v>1055.21</v>
      </c>
      <c r="L330" s="39"/>
      <c r="M330" s="72">
        <f t="shared" si="22"/>
        <v>-1055.21</v>
      </c>
      <c r="N330" s="72">
        <f t="shared" si="23"/>
        <v>498914.7899999994</v>
      </c>
    </row>
    <row r="331" spans="1:14" x14ac:dyDescent="0.2">
      <c r="A331" s="73" t="s">
        <v>496</v>
      </c>
      <c r="B331" s="3">
        <f t="shared" si="20"/>
        <v>2025</v>
      </c>
      <c r="C331" s="3">
        <f t="shared" si="21"/>
        <v>3</v>
      </c>
      <c r="D331" s="73" t="s">
        <v>300</v>
      </c>
      <c r="E331" s="2"/>
      <c r="F331" s="2" t="s">
        <v>299</v>
      </c>
      <c r="G331" s="2"/>
      <c r="H331" s="2" t="s">
        <v>298</v>
      </c>
      <c r="I331" s="2" t="s">
        <v>297</v>
      </c>
      <c r="J331" s="2" t="s">
        <v>296</v>
      </c>
      <c r="K331" s="72"/>
      <c r="L331" s="39">
        <v>1055.21</v>
      </c>
      <c r="M331" s="72">
        <f t="shared" si="22"/>
        <v>1055.21</v>
      </c>
      <c r="N331" s="72">
        <f t="shared" si="23"/>
        <v>499969.99999999942</v>
      </c>
    </row>
    <row r="332" spans="1:14" x14ac:dyDescent="0.2">
      <c r="A332" s="73" t="s">
        <v>497</v>
      </c>
      <c r="B332" s="3">
        <f t="shared" si="20"/>
        <v>2025</v>
      </c>
      <c r="C332" s="3">
        <f t="shared" si="21"/>
        <v>3</v>
      </c>
      <c r="D332" s="73" t="s">
        <v>300</v>
      </c>
      <c r="E332" s="2"/>
      <c r="F332" s="2" t="s">
        <v>325</v>
      </c>
      <c r="G332" s="2" t="s">
        <v>473</v>
      </c>
      <c r="H332" s="2" t="s">
        <v>323</v>
      </c>
      <c r="I332" s="2" t="s">
        <v>350</v>
      </c>
      <c r="J332" s="2" t="s">
        <v>353</v>
      </c>
      <c r="K332" s="72">
        <v>4891.6099999999997</v>
      </c>
      <c r="L332" s="39"/>
      <c r="M332" s="72">
        <f t="shared" si="22"/>
        <v>-4891.6099999999997</v>
      </c>
      <c r="N332" s="72">
        <f t="shared" si="23"/>
        <v>495078.38999999943</v>
      </c>
    </row>
    <row r="333" spans="1:14" x14ac:dyDescent="0.2">
      <c r="A333" s="73" t="s">
        <v>497</v>
      </c>
      <c r="B333" s="3">
        <f t="shared" si="20"/>
        <v>2025</v>
      </c>
      <c r="C333" s="3">
        <f t="shared" si="21"/>
        <v>3</v>
      </c>
      <c r="D333" s="73" t="s">
        <v>300</v>
      </c>
      <c r="E333" s="2"/>
      <c r="F333" s="2" t="s">
        <v>325</v>
      </c>
      <c r="G333" s="2" t="s">
        <v>473</v>
      </c>
      <c r="H333" s="2" t="s">
        <v>323</v>
      </c>
      <c r="I333" s="2" t="s">
        <v>350</v>
      </c>
      <c r="J333" s="2" t="s">
        <v>353</v>
      </c>
      <c r="K333" s="72">
        <v>20</v>
      </c>
      <c r="L333" s="39"/>
      <c r="M333" s="72">
        <f t="shared" si="22"/>
        <v>-20</v>
      </c>
      <c r="N333" s="72">
        <f t="shared" si="23"/>
        <v>495058.38999999943</v>
      </c>
    </row>
    <row r="334" spans="1:14" x14ac:dyDescent="0.2">
      <c r="A334" s="73" t="s">
        <v>497</v>
      </c>
      <c r="B334" s="3">
        <f t="shared" si="20"/>
        <v>2025</v>
      </c>
      <c r="C334" s="3">
        <f t="shared" si="21"/>
        <v>3</v>
      </c>
      <c r="D334" s="73" t="s">
        <v>300</v>
      </c>
      <c r="E334" s="2"/>
      <c r="F334" s="2" t="s">
        <v>325</v>
      </c>
      <c r="G334" s="2" t="s">
        <v>473</v>
      </c>
      <c r="H334" s="2" t="s">
        <v>323</v>
      </c>
      <c r="I334" s="2" t="s">
        <v>350</v>
      </c>
      <c r="J334" s="2" t="s">
        <v>353</v>
      </c>
      <c r="K334" s="72">
        <v>5250</v>
      </c>
      <c r="L334" s="39"/>
      <c r="M334" s="72">
        <f t="shared" si="22"/>
        <v>-5250</v>
      </c>
      <c r="N334" s="72">
        <f t="shared" si="23"/>
        <v>489808.38999999943</v>
      </c>
    </row>
    <row r="335" spans="1:14" x14ac:dyDescent="0.2">
      <c r="A335" s="73" t="s">
        <v>497</v>
      </c>
      <c r="B335" s="3">
        <f t="shared" si="20"/>
        <v>2025</v>
      </c>
      <c r="C335" s="3">
        <f t="shared" si="21"/>
        <v>3</v>
      </c>
      <c r="D335" s="73" t="s">
        <v>300</v>
      </c>
      <c r="E335" s="2"/>
      <c r="F335" s="2" t="s">
        <v>325</v>
      </c>
      <c r="G335" s="2" t="s">
        <v>473</v>
      </c>
      <c r="H335" s="2" t="s">
        <v>323</v>
      </c>
      <c r="I335" s="2" t="s">
        <v>350</v>
      </c>
      <c r="J335" s="2" t="s">
        <v>353</v>
      </c>
      <c r="K335" s="72">
        <v>3600</v>
      </c>
      <c r="L335" s="39"/>
      <c r="M335" s="72">
        <f t="shared" si="22"/>
        <v>-3600</v>
      </c>
      <c r="N335" s="72">
        <f t="shared" si="23"/>
        <v>486208.38999999943</v>
      </c>
    </row>
    <row r="336" spans="1:14" x14ac:dyDescent="0.2">
      <c r="A336" s="73" t="s">
        <v>497</v>
      </c>
      <c r="B336" s="3">
        <f t="shared" si="20"/>
        <v>2025</v>
      </c>
      <c r="C336" s="3">
        <f t="shared" si="21"/>
        <v>3</v>
      </c>
      <c r="D336" s="73" t="s">
        <v>300</v>
      </c>
      <c r="E336" s="2"/>
      <c r="F336" s="2" t="s">
        <v>325</v>
      </c>
      <c r="G336" s="2" t="s">
        <v>473</v>
      </c>
      <c r="H336" s="2" t="s">
        <v>323</v>
      </c>
      <c r="I336" s="2" t="s">
        <v>350</v>
      </c>
      <c r="J336" s="2" t="s">
        <v>353</v>
      </c>
      <c r="K336" s="72">
        <v>3750</v>
      </c>
      <c r="L336" s="39"/>
      <c r="M336" s="72">
        <f t="shared" si="22"/>
        <v>-3750</v>
      </c>
      <c r="N336" s="72">
        <f t="shared" si="23"/>
        <v>482458.38999999943</v>
      </c>
    </row>
    <row r="337" spans="1:14" x14ac:dyDescent="0.2">
      <c r="A337" s="73" t="s">
        <v>497</v>
      </c>
      <c r="B337" s="3">
        <f t="shared" si="20"/>
        <v>2025</v>
      </c>
      <c r="C337" s="3">
        <f t="shared" si="21"/>
        <v>3</v>
      </c>
      <c r="D337" s="73" t="s">
        <v>300</v>
      </c>
      <c r="E337" s="2"/>
      <c r="F337" s="2" t="s">
        <v>325</v>
      </c>
      <c r="G337" s="2" t="s">
        <v>473</v>
      </c>
      <c r="H337" s="2" t="s">
        <v>323</v>
      </c>
      <c r="I337" s="2" t="s">
        <v>350</v>
      </c>
      <c r="J337" s="2" t="s">
        <v>353</v>
      </c>
      <c r="K337" s="72">
        <v>5175</v>
      </c>
      <c r="L337" s="39"/>
      <c r="M337" s="72">
        <f t="shared" si="22"/>
        <v>-5175</v>
      </c>
      <c r="N337" s="72">
        <f t="shared" si="23"/>
        <v>477283.38999999943</v>
      </c>
    </row>
    <row r="338" spans="1:14" x14ac:dyDescent="0.2">
      <c r="A338" s="73" t="s">
        <v>497</v>
      </c>
      <c r="B338" s="3">
        <f t="shared" si="20"/>
        <v>2025</v>
      </c>
      <c r="C338" s="3">
        <f t="shared" si="21"/>
        <v>3</v>
      </c>
      <c r="D338" s="73" t="s">
        <v>300</v>
      </c>
      <c r="E338" s="2"/>
      <c r="F338" s="2" t="s">
        <v>325</v>
      </c>
      <c r="G338" s="2" t="s">
        <v>473</v>
      </c>
      <c r="H338" s="2" t="s">
        <v>323</v>
      </c>
      <c r="I338" s="2" t="s">
        <v>350</v>
      </c>
      <c r="J338" s="2" t="s">
        <v>353</v>
      </c>
      <c r="K338" s="72">
        <v>2025</v>
      </c>
      <c r="L338" s="39"/>
      <c r="M338" s="72">
        <f t="shared" si="22"/>
        <v>-2025</v>
      </c>
      <c r="N338" s="72">
        <f t="shared" si="23"/>
        <v>475258.38999999943</v>
      </c>
    </row>
    <row r="339" spans="1:14" x14ac:dyDescent="0.2">
      <c r="A339" s="73" t="s">
        <v>497</v>
      </c>
      <c r="B339" s="3">
        <f t="shared" si="20"/>
        <v>2025</v>
      </c>
      <c r="C339" s="3">
        <f t="shared" si="21"/>
        <v>3</v>
      </c>
      <c r="D339" s="73" t="s">
        <v>300</v>
      </c>
      <c r="E339" s="2"/>
      <c r="F339" s="2" t="s">
        <v>325</v>
      </c>
      <c r="G339" s="2" t="s">
        <v>378</v>
      </c>
      <c r="H339" s="2" t="s">
        <v>323</v>
      </c>
      <c r="I339" s="2" t="s">
        <v>316</v>
      </c>
      <c r="J339" s="2" t="s">
        <v>17</v>
      </c>
      <c r="K339" s="72">
        <v>9482.5</v>
      </c>
      <c r="L339" s="39"/>
      <c r="M339" s="72">
        <f t="shared" si="22"/>
        <v>-9482.5</v>
      </c>
      <c r="N339" s="72">
        <f t="shared" si="23"/>
        <v>465775.88999999943</v>
      </c>
    </row>
    <row r="340" spans="1:14" x14ac:dyDescent="0.2">
      <c r="A340" s="73" t="s">
        <v>497</v>
      </c>
      <c r="B340" s="3">
        <f t="shared" si="20"/>
        <v>2025</v>
      </c>
      <c r="C340" s="3">
        <f t="shared" si="21"/>
        <v>3</v>
      </c>
      <c r="D340" s="73" t="s">
        <v>300</v>
      </c>
      <c r="E340" s="2"/>
      <c r="F340" s="2" t="s">
        <v>299</v>
      </c>
      <c r="G340" s="2"/>
      <c r="H340" s="2" t="s">
        <v>298</v>
      </c>
      <c r="I340" s="2" t="s">
        <v>297</v>
      </c>
      <c r="J340" s="2" t="s">
        <v>296</v>
      </c>
      <c r="K340" s="72"/>
      <c r="L340" s="39">
        <v>34194.11</v>
      </c>
      <c r="M340" s="72">
        <f t="shared" si="22"/>
        <v>34194.11</v>
      </c>
      <c r="N340" s="72">
        <f t="shared" si="23"/>
        <v>499969.99999999942</v>
      </c>
    </row>
    <row r="341" spans="1:14" x14ac:dyDescent="0.2">
      <c r="A341" s="73" t="s">
        <v>498</v>
      </c>
      <c r="B341" s="3">
        <f t="shared" si="20"/>
        <v>2025</v>
      </c>
      <c r="C341" s="3">
        <f t="shared" si="21"/>
        <v>3</v>
      </c>
      <c r="D341" s="73" t="s">
        <v>300</v>
      </c>
      <c r="E341" s="2"/>
      <c r="F341" s="2" t="s">
        <v>325</v>
      </c>
      <c r="G341" s="2" t="s">
        <v>370</v>
      </c>
      <c r="H341" s="2" t="s">
        <v>323</v>
      </c>
      <c r="I341" s="2" t="s">
        <v>350</v>
      </c>
      <c r="J341" s="2" t="s">
        <v>27</v>
      </c>
      <c r="K341" s="72">
        <v>308.75</v>
      </c>
      <c r="L341" s="39"/>
      <c r="M341" s="72">
        <f t="shared" si="22"/>
        <v>-308.75</v>
      </c>
      <c r="N341" s="72">
        <f t="shared" si="23"/>
        <v>499661.24999999942</v>
      </c>
    </row>
    <row r="342" spans="1:14" x14ac:dyDescent="0.2">
      <c r="A342" s="73" t="s">
        <v>498</v>
      </c>
      <c r="B342" s="3">
        <f t="shared" si="20"/>
        <v>2025</v>
      </c>
      <c r="C342" s="3">
        <f t="shared" si="21"/>
        <v>3</v>
      </c>
      <c r="D342" s="73" t="s">
        <v>300</v>
      </c>
      <c r="E342" s="2"/>
      <c r="F342" s="2" t="s">
        <v>325</v>
      </c>
      <c r="G342" s="2" t="s">
        <v>369</v>
      </c>
      <c r="H342" s="2" t="s">
        <v>323</v>
      </c>
      <c r="I342" s="2" t="s">
        <v>316</v>
      </c>
      <c r="J342" s="2" t="s">
        <v>360</v>
      </c>
      <c r="K342" s="72">
        <v>2970</v>
      </c>
      <c r="L342" s="39"/>
      <c r="M342" s="72">
        <f t="shared" si="22"/>
        <v>-2970</v>
      </c>
      <c r="N342" s="72">
        <f t="shared" si="23"/>
        <v>496691.24999999942</v>
      </c>
    </row>
    <row r="343" spans="1:14" x14ac:dyDescent="0.2">
      <c r="A343" s="73" t="s">
        <v>498</v>
      </c>
      <c r="B343" s="3">
        <f t="shared" si="20"/>
        <v>2025</v>
      </c>
      <c r="C343" s="3">
        <f t="shared" si="21"/>
        <v>3</v>
      </c>
      <c r="D343" s="73" t="s">
        <v>300</v>
      </c>
      <c r="E343" s="2"/>
      <c r="F343" s="2" t="s">
        <v>325</v>
      </c>
      <c r="G343" s="2" t="s">
        <v>369</v>
      </c>
      <c r="H343" s="2" t="s">
        <v>323</v>
      </c>
      <c r="I343" s="2" t="s">
        <v>316</v>
      </c>
      <c r="J343" s="2" t="s">
        <v>360</v>
      </c>
      <c r="K343" s="72">
        <v>1700</v>
      </c>
      <c r="L343" s="39"/>
      <c r="M343" s="72">
        <f t="shared" si="22"/>
        <v>-1700</v>
      </c>
      <c r="N343" s="72">
        <f t="shared" si="23"/>
        <v>494991.24999999942</v>
      </c>
    </row>
    <row r="344" spans="1:14" x14ac:dyDescent="0.2">
      <c r="A344" s="73" t="s">
        <v>498</v>
      </c>
      <c r="B344" s="3">
        <f t="shared" si="20"/>
        <v>2025</v>
      </c>
      <c r="C344" s="3">
        <f t="shared" si="21"/>
        <v>3</v>
      </c>
      <c r="D344" s="73" t="s">
        <v>300</v>
      </c>
      <c r="E344" s="2"/>
      <c r="F344" s="2" t="s">
        <v>325</v>
      </c>
      <c r="G344" s="2" t="s">
        <v>369</v>
      </c>
      <c r="H344" s="2" t="s">
        <v>323</v>
      </c>
      <c r="I344" s="2" t="s">
        <v>316</v>
      </c>
      <c r="J344" s="2" t="s">
        <v>360</v>
      </c>
      <c r="K344" s="72">
        <v>3090</v>
      </c>
      <c r="L344" s="39"/>
      <c r="M344" s="72">
        <f t="shared" si="22"/>
        <v>-3090</v>
      </c>
      <c r="N344" s="72">
        <f t="shared" si="23"/>
        <v>491901.24999999942</v>
      </c>
    </row>
    <row r="345" spans="1:14" x14ac:dyDescent="0.2">
      <c r="A345" s="73" t="s">
        <v>498</v>
      </c>
      <c r="B345" s="3">
        <f t="shared" si="20"/>
        <v>2025</v>
      </c>
      <c r="C345" s="3">
        <f t="shared" si="21"/>
        <v>3</v>
      </c>
      <c r="D345" s="73" t="s">
        <v>300</v>
      </c>
      <c r="E345" s="2"/>
      <c r="F345" s="2" t="s">
        <v>325</v>
      </c>
      <c r="G345" s="2" t="s">
        <v>368</v>
      </c>
      <c r="H345" s="2" t="s">
        <v>323</v>
      </c>
      <c r="I345" s="2" t="s">
        <v>350</v>
      </c>
      <c r="J345" s="2" t="s">
        <v>27</v>
      </c>
      <c r="K345" s="72">
        <v>11200</v>
      </c>
      <c r="L345" s="39"/>
      <c r="M345" s="72">
        <f t="shared" si="22"/>
        <v>-11200</v>
      </c>
      <c r="N345" s="72">
        <f t="shared" si="23"/>
        <v>480701.24999999942</v>
      </c>
    </row>
    <row r="346" spans="1:14" x14ac:dyDescent="0.2">
      <c r="A346" s="73" t="s">
        <v>498</v>
      </c>
      <c r="B346" s="3">
        <f t="shared" si="20"/>
        <v>2025</v>
      </c>
      <c r="C346" s="3">
        <f t="shared" si="21"/>
        <v>3</v>
      </c>
      <c r="D346" s="73" t="s">
        <v>300</v>
      </c>
      <c r="E346" s="2"/>
      <c r="F346" s="2" t="s">
        <v>325</v>
      </c>
      <c r="G346" s="2" t="s">
        <v>366</v>
      </c>
      <c r="H346" s="2" t="s">
        <v>323</v>
      </c>
      <c r="I346" s="2" t="s">
        <v>350</v>
      </c>
      <c r="J346" s="2" t="s">
        <v>27</v>
      </c>
      <c r="K346" s="72">
        <v>2823.75</v>
      </c>
      <c r="L346" s="39"/>
      <c r="M346" s="72">
        <f t="shared" si="22"/>
        <v>-2823.75</v>
      </c>
      <c r="N346" s="72">
        <f t="shared" si="23"/>
        <v>477877.49999999942</v>
      </c>
    </row>
    <row r="347" spans="1:14" x14ac:dyDescent="0.2">
      <c r="A347" s="73" t="s">
        <v>498</v>
      </c>
      <c r="B347" s="3">
        <f t="shared" si="20"/>
        <v>2025</v>
      </c>
      <c r="C347" s="3">
        <f t="shared" si="21"/>
        <v>3</v>
      </c>
      <c r="D347" s="73" t="s">
        <v>300</v>
      </c>
      <c r="E347" s="2"/>
      <c r="F347" s="2" t="s">
        <v>325</v>
      </c>
      <c r="G347" s="2" t="s">
        <v>365</v>
      </c>
      <c r="H347" s="2" t="s">
        <v>323</v>
      </c>
      <c r="I347" s="2" t="s">
        <v>350</v>
      </c>
      <c r="J347" s="2" t="s">
        <v>353</v>
      </c>
      <c r="K347" s="72">
        <v>20000</v>
      </c>
      <c r="L347" s="39"/>
      <c r="M347" s="72">
        <f t="shared" si="22"/>
        <v>-20000</v>
      </c>
      <c r="N347" s="72">
        <f t="shared" si="23"/>
        <v>457877.49999999942</v>
      </c>
    </row>
    <row r="348" spans="1:14" x14ac:dyDescent="0.2">
      <c r="A348" s="73" t="s">
        <v>498</v>
      </c>
      <c r="B348" s="3">
        <f t="shared" si="20"/>
        <v>2025</v>
      </c>
      <c r="C348" s="3">
        <f t="shared" si="21"/>
        <v>3</v>
      </c>
      <c r="D348" s="73" t="s">
        <v>300</v>
      </c>
      <c r="E348" s="2"/>
      <c r="F348" s="2" t="s">
        <v>325</v>
      </c>
      <c r="G348" s="2" t="s">
        <v>364</v>
      </c>
      <c r="H348" s="2" t="s">
        <v>323</v>
      </c>
      <c r="I348" s="2" t="s">
        <v>350</v>
      </c>
      <c r="J348" s="2" t="s">
        <v>27</v>
      </c>
      <c r="K348" s="72">
        <v>2531.25</v>
      </c>
      <c r="L348" s="39"/>
      <c r="M348" s="72">
        <f t="shared" si="22"/>
        <v>-2531.25</v>
      </c>
      <c r="N348" s="72">
        <f t="shared" si="23"/>
        <v>455346.24999999942</v>
      </c>
    </row>
    <row r="349" spans="1:14" x14ac:dyDescent="0.2">
      <c r="A349" s="73" t="s">
        <v>498</v>
      </c>
      <c r="B349" s="3">
        <f t="shared" si="20"/>
        <v>2025</v>
      </c>
      <c r="C349" s="3">
        <f t="shared" si="21"/>
        <v>3</v>
      </c>
      <c r="D349" s="73" t="s">
        <v>300</v>
      </c>
      <c r="E349" s="2"/>
      <c r="F349" s="2" t="s">
        <v>325</v>
      </c>
      <c r="G349" s="2" t="s">
        <v>363</v>
      </c>
      <c r="H349" s="2" t="s">
        <v>323</v>
      </c>
      <c r="I349" s="2" t="s">
        <v>316</v>
      </c>
      <c r="J349" s="2" t="s">
        <v>17</v>
      </c>
      <c r="K349" s="72">
        <v>5</v>
      </c>
      <c r="L349" s="39"/>
      <c r="M349" s="72">
        <f t="shared" si="22"/>
        <v>-5</v>
      </c>
      <c r="N349" s="72">
        <f t="shared" si="23"/>
        <v>455341.24999999942</v>
      </c>
    </row>
    <row r="350" spans="1:14" x14ac:dyDescent="0.2">
      <c r="A350" s="73" t="s">
        <v>498</v>
      </c>
      <c r="B350" s="3">
        <f t="shared" si="20"/>
        <v>2025</v>
      </c>
      <c r="C350" s="3">
        <f t="shared" si="21"/>
        <v>3</v>
      </c>
      <c r="D350" s="73" t="s">
        <v>300</v>
      </c>
      <c r="E350" s="2"/>
      <c r="F350" s="2" t="s">
        <v>325</v>
      </c>
      <c r="G350" s="2" t="s">
        <v>363</v>
      </c>
      <c r="H350" s="2" t="s">
        <v>323</v>
      </c>
      <c r="I350" s="2" t="s">
        <v>316</v>
      </c>
      <c r="J350" s="2" t="s">
        <v>17</v>
      </c>
      <c r="K350" s="72">
        <v>49</v>
      </c>
      <c r="L350" s="39"/>
      <c r="M350" s="72">
        <f t="shared" si="22"/>
        <v>-49</v>
      </c>
      <c r="N350" s="72">
        <f t="shared" si="23"/>
        <v>455292.24999999942</v>
      </c>
    </row>
    <row r="351" spans="1:14" x14ac:dyDescent="0.2">
      <c r="A351" s="73" t="s">
        <v>498</v>
      </c>
      <c r="B351" s="3">
        <f t="shared" si="20"/>
        <v>2025</v>
      </c>
      <c r="C351" s="3">
        <f t="shared" si="21"/>
        <v>3</v>
      </c>
      <c r="D351" s="73" t="s">
        <v>300</v>
      </c>
      <c r="E351" s="2"/>
      <c r="F351" s="2" t="s">
        <v>325</v>
      </c>
      <c r="G351" s="2" t="s">
        <v>363</v>
      </c>
      <c r="H351" s="2" t="s">
        <v>323</v>
      </c>
      <c r="I351" s="2" t="s">
        <v>316</v>
      </c>
      <c r="J351" s="2" t="s">
        <v>17</v>
      </c>
      <c r="K351" s="72">
        <v>49</v>
      </c>
      <c r="L351" s="39"/>
      <c r="M351" s="72">
        <f t="shared" si="22"/>
        <v>-49</v>
      </c>
      <c r="N351" s="72">
        <f t="shared" si="23"/>
        <v>455243.24999999942</v>
      </c>
    </row>
    <row r="352" spans="1:14" x14ac:dyDescent="0.2">
      <c r="A352" s="73" t="s">
        <v>498</v>
      </c>
      <c r="B352" s="3">
        <f t="shared" si="20"/>
        <v>2025</v>
      </c>
      <c r="C352" s="3">
        <f t="shared" si="21"/>
        <v>3</v>
      </c>
      <c r="D352" s="73" t="s">
        <v>300</v>
      </c>
      <c r="E352" s="2"/>
      <c r="F352" s="2" t="s">
        <v>325</v>
      </c>
      <c r="G352" s="2" t="s">
        <v>363</v>
      </c>
      <c r="H352" s="2" t="s">
        <v>323</v>
      </c>
      <c r="I352" s="2" t="s">
        <v>316</v>
      </c>
      <c r="J352" s="2" t="s">
        <v>17</v>
      </c>
      <c r="K352" s="72">
        <v>49</v>
      </c>
      <c r="L352" s="39"/>
      <c r="M352" s="72">
        <f t="shared" si="22"/>
        <v>-49</v>
      </c>
      <c r="N352" s="72">
        <f t="shared" si="23"/>
        <v>455194.24999999942</v>
      </c>
    </row>
    <row r="353" spans="1:14" x14ac:dyDescent="0.2">
      <c r="A353" s="73" t="s">
        <v>498</v>
      </c>
      <c r="B353" s="3">
        <f t="shared" si="20"/>
        <v>2025</v>
      </c>
      <c r="C353" s="3">
        <f t="shared" si="21"/>
        <v>3</v>
      </c>
      <c r="D353" s="73" t="s">
        <v>300</v>
      </c>
      <c r="E353" s="2"/>
      <c r="F353" s="2" t="s">
        <v>325</v>
      </c>
      <c r="G353" s="2" t="s">
        <v>363</v>
      </c>
      <c r="H353" s="2" t="s">
        <v>323</v>
      </c>
      <c r="I353" s="2" t="s">
        <v>316</v>
      </c>
      <c r="J353" s="2" t="s">
        <v>17</v>
      </c>
      <c r="K353" s="72">
        <v>49</v>
      </c>
      <c r="L353" s="39"/>
      <c r="M353" s="72">
        <f t="shared" si="22"/>
        <v>-49</v>
      </c>
      <c r="N353" s="72">
        <f t="shared" si="23"/>
        <v>455145.24999999942</v>
      </c>
    </row>
    <row r="354" spans="1:14" x14ac:dyDescent="0.2">
      <c r="A354" s="73" t="s">
        <v>498</v>
      </c>
      <c r="B354" s="3">
        <f t="shared" si="20"/>
        <v>2025</v>
      </c>
      <c r="C354" s="3">
        <f t="shared" si="21"/>
        <v>3</v>
      </c>
      <c r="D354" s="73" t="s">
        <v>300</v>
      </c>
      <c r="E354" s="2"/>
      <c r="F354" s="2" t="s">
        <v>325</v>
      </c>
      <c r="G354" s="2" t="s">
        <v>363</v>
      </c>
      <c r="H354" s="2" t="s">
        <v>323</v>
      </c>
      <c r="I354" s="2" t="s">
        <v>316</v>
      </c>
      <c r="J354" s="2" t="s">
        <v>17</v>
      </c>
      <c r="K354" s="72">
        <v>49</v>
      </c>
      <c r="L354" s="39"/>
      <c r="M354" s="72">
        <f t="shared" si="22"/>
        <v>-49</v>
      </c>
      <c r="N354" s="72">
        <f t="shared" si="23"/>
        <v>455096.24999999942</v>
      </c>
    </row>
    <row r="355" spans="1:14" x14ac:dyDescent="0.2">
      <c r="A355" s="73" t="s">
        <v>498</v>
      </c>
      <c r="B355" s="3">
        <f t="shared" si="20"/>
        <v>2025</v>
      </c>
      <c r="C355" s="3">
        <f t="shared" si="21"/>
        <v>3</v>
      </c>
      <c r="D355" s="73" t="s">
        <v>300</v>
      </c>
      <c r="E355" s="2"/>
      <c r="F355" s="2" t="s">
        <v>325</v>
      </c>
      <c r="G355" s="2" t="s">
        <v>363</v>
      </c>
      <c r="H355" s="2" t="s">
        <v>323</v>
      </c>
      <c r="I355" s="2" t="s">
        <v>316</v>
      </c>
      <c r="J355" s="2" t="s">
        <v>17</v>
      </c>
      <c r="K355" s="72">
        <v>49</v>
      </c>
      <c r="L355" s="39"/>
      <c r="M355" s="72">
        <f t="shared" si="22"/>
        <v>-49</v>
      </c>
      <c r="N355" s="72">
        <f t="shared" si="23"/>
        <v>455047.24999999942</v>
      </c>
    </row>
    <row r="356" spans="1:14" x14ac:dyDescent="0.2">
      <c r="A356" s="73" t="s">
        <v>498</v>
      </c>
      <c r="B356" s="3">
        <f t="shared" si="20"/>
        <v>2025</v>
      </c>
      <c r="C356" s="3">
        <f t="shared" si="21"/>
        <v>3</v>
      </c>
      <c r="D356" s="73" t="s">
        <v>300</v>
      </c>
      <c r="E356" s="2"/>
      <c r="F356" s="2" t="s">
        <v>325</v>
      </c>
      <c r="G356" s="2" t="s">
        <v>363</v>
      </c>
      <c r="H356" s="2" t="s">
        <v>323</v>
      </c>
      <c r="I356" s="2" t="s">
        <v>316</v>
      </c>
      <c r="J356" s="2" t="s">
        <v>17</v>
      </c>
      <c r="K356" s="72">
        <v>49</v>
      </c>
      <c r="L356" s="39"/>
      <c r="M356" s="72">
        <f t="shared" si="22"/>
        <v>-49</v>
      </c>
      <c r="N356" s="72">
        <f t="shared" si="23"/>
        <v>454998.24999999942</v>
      </c>
    </row>
    <row r="357" spans="1:14" x14ac:dyDescent="0.2">
      <c r="A357" s="73" t="s">
        <v>498</v>
      </c>
      <c r="B357" s="3">
        <f t="shared" si="20"/>
        <v>2025</v>
      </c>
      <c r="C357" s="3">
        <f t="shared" si="21"/>
        <v>3</v>
      </c>
      <c r="D357" s="73" t="s">
        <v>300</v>
      </c>
      <c r="E357" s="2"/>
      <c r="F357" s="2" t="s">
        <v>325</v>
      </c>
      <c r="G357" s="2" t="s">
        <v>363</v>
      </c>
      <c r="H357" s="2" t="s">
        <v>323</v>
      </c>
      <c r="I357" s="2" t="s">
        <v>316</v>
      </c>
      <c r="J357" s="2" t="s">
        <v>17</v>
      </c>
      <c r="K357" s="72">
        <v>49</v>
      </c>
      <c r="L357" s="39"/>
      <c r="M357" s="72">
        <f t="shared" si="22"/>
        <v>-49</v>
      </c>
      <c r="N357" s="72">
        <f t="shared" si="23"/>
        <v>454949.24999999942</v>
      </c>
    </row>
    <row r="358" spans="1:14" x14ac:dyDescent="0.2">
      <c r="A358" s="73" t="s">
        <v>498</v>
      </c>
      <c r="B358" s="3">
        <f t="shared" si="20"/>
        <v>2025</v>
      </c>
      <c r="C358" s="3">
        <f t="shared" si="21"/>
        <v>3</v>
      </c>
      <c r="D358" s="73" t="s">
        <v>300</v>
      </c>
      <c r="E358" s="2"/>
      <c r="F358" s="2" t="s">
        <v>325</v>
      </c>
      <c r="G358" s="2" t="s">
        <v>363</v>
      </c>
      <c r="H358" s="2" t="s">
        <v>323</v>
      </c>
      <c r="I358" s="2" t="s">
        <v>316</v>
      </c>
      <c r="J358" s="2" t="s">
        <v>17</v>
      </c>
      <c r="K358" s="72">
        <v>49</v>
      </c>
      <c r="L358" s="39"/>
      <c r="M358" s="72">
        <f t="shared" si="22"/>
        <v>-49</v>
      </c>
      <c r="N358" s="72">
        <f t="shared" si="23"/>
        <v>454900.24999999942</v>
      </c>
    </row>
    <row r="359" spans="1:14" x14ac:dyDescent="0.2">
      <c r="A359" s="73" t="s">
        <v>498</v>
      </c>
      <c r="B359" s="3">
        <f t="shared" si="20"/>
        <v>2025</v>
      </c>
      <c r="C359" s="3">
        <f t="shared" si="21"/>
        <v>3</v>
      </c>
      <c r="D359" s="73" t="s">
        <v>300</v>
      </c>
      <c r="E359" s="2"/>
      <c r="F359" s="2" t="s">
        <v>325</v>
      </c>
      <c r="G359" s="2" t="s">
        <v>363</v>
      </c>
      <c r="H359" s="2" t="s">
        <v>323</v>
      </c>
      <c r="I359" s="2" t="s">
        <v>316</v>
      </c>
      <c r="J359" s="2" t="s">
        <v>17</v>
      </c>
      <c r="K359" s="72">
        <v>49</v>
      </c>
      <c r="L359" s="39"/>
      <c r="M359" s="72">
        <f t="shared" si="22"/>
        <v>-49</v>
      </c>
      <c r="N359" s="72">
        <f t="shared" si="23"/>
        <v>454851.24999999942</v>
      </c>
    </row>
    <row r="360" spans="1:14" x14ac:dyDescent="0.2">
      <c r="A360" s="73" t="s">
        <v>498</v>
      </c>
      <c r="B360" s="3">
        <f t="shared" si="20"/>
        <v>2025</v>
      </c>
      <c r="C360" s="3">
        <f t="shared" si="21"/>
        <v>3</v>
      </c>
      <c r="D360" s="73" t="s">
        <v>300</v>
      </c>
      <c r="E360" s="2"/>
      <c r="F360" s="2" t="s">
        <v>325</v>
      </c>
      <c r="G360" s="2" t="s">
        <v>363</v>
      </c>
      <c r="H360" s="2" t="s">
        <v>323</v>
      </c>
      <c r="I360" s="2" t="s">
        <v>316</v>
      </c>
      <c r="J360" s="2" t="s">
        <v>17</v>
      </c>
      <c r="K360" s="72">
        <v>49</v>
      </c>
      <c r="L360" s="39"/>
      <c r="M360" s="72">
        <f t="shared" si="22"/>
        <v>-49</v>
      </c>
      <c r="N360" s="72">
        <f t="shared" si="23"/>
        <v>454802.24999999942</v>
      </c>
    </row>
    <row r="361" spans="1:14" x14ac:dyDescent="0.2">
      <c r="A361" s="73" t="s">
        <v>498</v>
      </c>
      <c r="B361" s="3">
        <f t="shared" si="20"/>
        <v>2025</v>
      </c>
      <c r="C361" s="3">
        <f t="shared" si="21"/>
        <v>3</v>
      </c>
      <c r="D361" s="73" t="s">
        <v>300</v>
      </c>
      <c r="E361" s="2"/>
      <c r="F361" s="2" t="s">
        <v>325</v>
      </c>
      <c r="G361" s="2" t="s">
        <v>363</v>
      </c>
      <c r="H361" s="2" t="s">
        <v>323</v>
      </c>
      <c r="I361" s="2" t="s">
        <v>316</v>
      </c>
      <c r="J361" s="2" t="s">
        <v>17</v>
      </c>
      <c r="K361" s="72">
        <v>49</v>
      </c>
      <c r="L361" s="39"/>
      <c r="M361" s="72">
        <f t="shared" si="22"/>
        <v>-49</v>
      </c>
      <c r="N361" s="72">
        <f t="shared" si="23"/>
        <v>454753.24999999942</v>
      </c>
    </row>
    <row r="362" spans="1:14" x14ac:dyDescent="0.2">
      <c r="A362" s="73" t="s">
        <v>498</v>
      </c>
      <c r="B362" s="3">
        <f t="shared" si="20"/>
        <v>2025</v>
      </c>
      <c r="C362" s="3">
        <f t="shared" si="21"/>
        <v>3</v>
      </c>
      <c r="D362" s="73" t="s">
        <v>300</v>
      </c>
      <c r="E362" s="2"/>
      <c r="F362" s="2" t="s">
        <v>325</v>
      </c>
      <c r="G362" s="2" t="s">
        <v>363</v>
      </c>
      <c r="H362" s="2" t="s">
        <v>323</v>
      </c>
      <c r="I362" s="2" t="s">
        <v>316</v>
      </c>
      <c r="J362" s="2" t="s">
        <v>17</v>
      </c>
      <c r="K362" s="72">
        <v>49</v>
      </c>
      <c r="L362" s="39"/>
      <c r="M362" s="72">
        <f t="shared" si="22"/>
        <v>-49</v>
      </c>
      <c r="N362" s="72">
        <f t="shared" si="23"/>
        <v>454704.24999999942</v>
      </c>
    </row>
    <row r="363" spans="1:14" x14ac:dyDescent="0.2">
      <c r="A363" s="73" t="s">
        <v>498</v>
      </c>
      <c r="B363" s="3">
        <f t="shared" si="20"/>
        <v>2025</v>
      </c>
      <c r="C363" s="3">
        <f t="shared" si="21"/>
        <v>3</v>
      </c>
      <c r="D363" s="73" t="s">
        <v>300</v>
      </c>
      <c r="E363" s="2"/>
      <c r="F363" s="2" t="s">
        <v>325</v>
      </c>
      <c r="G363" s="2" t="s">
        <v>363</v>
      </c>
      <c r="H363" s="2" t="s">
        <v>323</v>
      </c>
      <c r="I363" s="2" t="s">
        <v>316</v>
      </c>
      <c r="J363" s="2" t="s">
        <v>17</v>
      </c>
      <c r="K363" s="72">
        <v>49</v>
      </c>
      <c r="L363" s="39"/>
      <c r="M363" s="72">
        <f t="shared" si="22"/>
        <v>-49</v>
      </c>
      <c r="N363" s="72">
        <f t="shared" si="23"/>
        <v>454655.24999999942</v>
      </c>
    </row>
    <row r="364" spans="1:14" x14ac:dyDescent="0.2">
      <c r="A364" s="73" t="s">
        <v>498</v>
      </c>
      <c r="B364" s="3">
        <f t="shared" si="20"/>
        <v>2025</v>
      </c>
      <c r="C364" s="3">
        <f t="shared" si="21"/>
        <v>3</v>
      </c>
      <c r="D364" s="73" t="s">
        <v>300</v>
      </c>
      <c r="E364" s="2"/>
      <c r="F364" s="2" t="s">
        <v>325</v>
      </c>
      <c r="G364" s="2" t="s">
        <v>363</v>
      </c>
      <c r="H364" s="2" t="s">
        <v>323</v>
      </c>
      <c r="I364" s="2" t="s">
        <v>316</v>
      </c>
      <c r="J364" s="2" t="s">
        <v>17</v>
      </c>
      <c r="K364" s="72">
        <v>49</v>
      </c>
      <c r="L364" s="39"/>
      <c r="M364" s="72">
        <f t="shared" si="22"/>
        <v>-49</v>
      </c>
      <c r="N364" s="72">
        <f t="shared" si="23"/>
        <v>454606.24999999942</v>
      </c>
    </row>
    <row r="365" spans="1:14" x14ac:dyDescent="0.2">
      <c r="A365" s="73" t="s">
        <v>498</v>
      </c>
      <c r="B365" s="3">
        <f t="shared" si="20"/>
        <v>2025</v>
      </c>
      <c r="C365" s="3">
        <f t="shared" si="21"/>
        <v>3</v>
      </c>
      <c r="D365" s="73" t="s">
        <v>300</v>
      </c>
      <c r="E365" s="2"/>
      <c r="F365" s="2" t="s">
        <v>325</v>
      </c>
      <c r="G365" s="2" t="s">
        <v>363</v>
      </c>
      <c r="H365" s="2" t="s">
        <v>323</v>
      </c>
      <c r="I365" s="2" t="s">
        <v>316</v>
      </c>
      <c r="J365" s="2" t="s">
        <v>17</v>
      </c>
      <c r="K365" s="72">
        <v>49</v>
      </c>
      <c r="L365" s="39"/>
      <c r="M365" s="72">
        <f t="shared" si="22"/>
        <v>-49</v>
      </c>
      <c r="N365" s="72">
        <f t="shared" si="23"/>
        <v>454557.24999999942</v>
      </c>
    </row>
    <row r="366" spans="1:14" x14ac:dyDescent="0.2">
      <c r="A366" s="73" t="s">
        <v>498</v>
      </c>
      <c r="B366" s="3">
        <f t="shared" si="20"/>
        <v>2025</v>
      </c>
      <c r="C366" s="3">
        <f t="shared" si="21"/>
        <v>3</v>
      </c>
      <c r="D366" s="73" t="s">
        <v>300</v>
      </c>
      <c r="E366" s="2"/>
      <c r="F366" s="2" t="s">
        <v>325</v>
      </c>
      <c r="G366" s="2" t="s">
        <v>363</v>
      </c>
      <c r="H366" s="2" t="s">
        <v>323</v>
      </c>
      <c r="I366" s="2" t="s">
        <v>316</v>
      </c>
      <c r="J366" s="2" t="s">
        <v>17</v>
      </c>
      <c r="K366" s="72">
        <v>49</v>
      </c>
      <c r="L366" s="39"/>
      <c r="M366" s="72">
        <f t="shared" si="22"/>
        <v>-49</v>
      </c>
      <c r="N366" s="72">
        <f t="shared" si="23"/>
        <v>454508.24999999942</v>
      </c>
    </row>
    <row r="367" spans="1:14" x14ac:dyDescent="0.2">
      <c r="A367" s="73" t="s">
        <v>498</v>
      </c>
      <c r="B367" s="3">
        <f t="shared" si="20"/>
        <v>2025</v>
      </c>
      <c r="C367" s="3">
        <f t="shared" si="21"/>
        <v>3</v>
      </c>
      <c r="D367" s="73" t="s">
        <v>300</v>
      </c>
      <c r="E367" s="2"/>
      <c r="F367" s="2" t="s">
        <v>325</v>
      </c>
      <c r="G367" s="2" t="s">
        <v>363</v>
      </c>
      <c r="H367" s="2" t="s">
        <v>323</v>
      </c>
      <c r="I367" s="2" t="s">
        <v>316</v>
      </c>
      <c r="J367" s="2" t="s">
        <v>17</v>
      </c>
      <c r="K367" s="72">
        <v>49</v>
      </c>
      <c r="L367" s="39"/>
      <c r="M367" s="72">
        <f t="shared" si="22"/>
        <v>-49</v>
      </c>
      <c r="N367" s="72">
        <f t="shared" si="23"/>
        <v>454459.24999999942</v>
      </c>
    </row>
    <row r="368" spans="1:14" x14ac:dyDescent="0.2">
      <c r="A368" s="73" t="s">
        <v>498</v>
      </c>
      <c r="B368" s="3">
        <f t="shared" si="20"/>
        <v>2025</v>
      </c>
      <c r="C368" s="3">
        <f t="shared" si="21"/>
        <v>3</v>
      </c>
      <c r="D368" s="73" t="s">
        <v>300</v>
      </c>
      <c r="E368" s="2"/>
      <c r="F368" s="2" t="s">
        <v>325</v>
      </c>
      <c r="G368" s="2" t="s">
        <v>363</v>
      </c>
      <c r="H368" s="2" t="s">
        <v>323</v>
      </c>
      <c r="I368" s="2" t="s">
        <v>316</v>
      </c>
      <c r="J368" s="2" t="s">
        <v>17</v>
      </c>
      <c r="K368" s="72">
        <v>49</v>
      </c>
      <c r="L368" s="39"/>
      <c r="M368" s="72">
        <f t="shared" si="22"/>
        <v>-49</v>
      </c>
      <c r="N368" s="72">
        <f t="shared" si="23"/>
        <v>454410.24999999942</v>
      </c>
    </row>
    <row r="369" spans="1:14" x14ac:dyDescent="0.2">
      <c r="A369" s="73" t="s">
        <v>498</v>
      </c>
      <c r="B369" s="3">
        <f t="shared" si="20"/>
        <v>2025</v>
      </c>
      <c r="C369" s="3">
        <f t="shared" si="21"/>
        <v>3</v>
      </c>
      <c r="D369" s="73" t="s">
        <v>300</v>
      </c>
      <c r="E369" s="2"/>
      <c r="F369" s="2" t="s">
        <v>325</v>
      </c>
      <c r="G369" s="2" t="s">
        <v>363</v>
      </c>
      <c r="H369" s="2" t="s">
        <v>323</v>
      </c>
      <c r="I369" s="2" t="s">
        <v>316</v>
      </c>
      <c r="J369" s="2" t="s">
        <v>17</v>
      </c>
      <c r="K369" s="72">
        <v>49</v>
      </c>
      <c r="L369" s="39"/>
      <c r="M369" s="72">
        <f t="shared" si="22"/>
        <v>-49</v>
      </c>
      <c r="N369" s="72">
        <f t="shared" si="23"/>
        <v>454361.24999999942</v>
      </c>
    </row>
    <row r="370" spans="1:14" x14ac:dyDescent="0.2">
      <c r="A370" s="73" t="s">
        <v>498</v>
      </c>
      <c r="B370" s="3">
        <f t="shared" si="20"/>
        <v>2025</v>
      </c>
      <c r="C370" s="3">
        <f t="shared" si="21"/>
        <v>3</v>
      </c>
      <c r="D370" s="73" t="s">
        <v>300</v>
      </c>
      <c r="E370" s="2"/>
      <c r="F370" s="2" t="s">
        <v>325</v>
      </c>
      <c r="G370" s="2" t="s">
        <v>363</v>
      </c>
      <c r="H370" s="2" t="s">
        <v>323</v>
      </c>
      <c r="I370" s="2" t="s">
        <v>316</v>
      </c>
      <c r="J370" s="2" t="s">
        <v>17</v>
      </c>
      <c r="K370" s="72">
        <v>49</v>
      </c>
      <c r="L370" s="39"/>
      <c r="M370" s="72">
        <f t="shared" si="22"/>
        <v>-49</v>
      </c>
      <c r="N370" s="72">
        <f t="shared" si="23"/>
        <v>454312.24999999942</v>
      </c>
    </row>
    <row r="371" spans="1:14" x14ac:dyDescent="0.2">
      <c r="A371" s="73" t="s">
        <v>498</v>
      </c>
      <c r="B371" s="3">
        <f t="shared" si="20"/>
        <v>2025</v>
      </c>
      <c r="C371" s="3">
        <f t="shared" si="21"/>
        <v>3</v>
      </c>
      <c r="D371" s="73" t="s">
        <v>300</v>
      </c>
      <c r="E371" s="2"/>
      <c r="F371" s="2" t="s">
        <v>325</v>
      </c>
      <c r="G371" s="2" t="s">
        <v>363</v>
      </c>
      <c r="H371" s="2" t="s">
        <v>323</v>
      </c>
      <c r="I371" s="2" t="s">
        <v>316</v>
      </c>
      <c r="J371" s="2" t="s">
        <v>17</v>
      </c>
      <c r="K371" s="72">
        <v>49</v>
      </c>
      <c r="L371" s="39"/>
      <c r="M371" s="72">
        <f t="shared" si="22"/>
        <v>-49</v>
      </c>
      <c r="N371" s="72">
        <f t="shared" si="23"/>
        <v>454263.24999999942</v>
      </c>
    </row>
    <row r="372" spans="1:14" x14ac:dyDescent="0.2">
      <c r="A372" s="73" t="s">
        <v>498</v>
      </c>
      <c r="B372" s="3">
        <f t="shared" si="20"/>
        <v>2025</v>
      </c>
      <c r="C372" s="3">
        <f t="shared" si="21"/>
        <v>3</v>
      </c>
      <c r="D372" s="73" t="s">
        <v>300</v>
      </c>
      <c r="E372" s="2"/>
      <c r="F372" s="2" t="s">
        <v>325</v>
      </c>
      <c r="G372" s="2" t="s">
        <v>363</v>
      </c>
      <c r="H372" s="2" t="s">
        <v>323</v>
      </c>
      <c r="I372" s="2" t="s">
        <v>316</v>
      </c>
      <c r="J372" s="2" t="s">
        <v>17</v>
      </c>
      <c r="K372" s="72">
        <v>49</v>
      </c>
      <c r="L372" s="39"/>
      <c r="M372" s="72">
        <f t="shared" si="22"/>
        <v>-49</v>
      </c>
      <c r="N372" s="72">
        <f t="shared" si="23"/>
        <v>454214.24999999942</v>
      </c>
    </row>
    <row r="373" spans="1:14" x14ac:dyDescent="0.2">
      <c r="A373" s="73" t="s">
        <v>498</v>
      </c>
      <c r="B373" s="3">
        <f t="shared" si="20"/>
        <v>2025</v>
      </c>
      <c r="C373" s="3">
        <f t="shared" si="21"/>
        <v>3</v>
      </c>
      <c r="D373" s="73" t="s">
        <v>300</v>
      </c>
      <c r="E373" s="2"/>
      <c r="F373" s="2" t="s">
        <v>325</v>
      </c>
      <c r="G373" s="2" t="s">
        <v>363</v>
      </c>
      <c r="H373" s="2" t="s">
        <v>323</v>
      </c>
      <c r="I373" s="2" t="s">
        <v>316</v>
      </c>
      <c r="J373" s="2" t="s">
        <v>17</v>
      </c>
      <c r="K373" s="72">
        <v>49</v>
      </c>
      <c r="L373" s="39"/>
      <c r="M373" s="72">
        <f t="shared" si="22"/>
        <v>-49</v>
      </c>
      <c r="N373" s="72">
        <f t="shared" si="23"/>
        <v>454165.24999999942</v>
      </c>
    </row>
    <row r="374" spans="1:14" x14ac:dyDescent="0.2">
      <c r="A374" s="73" t="s">
        <v>498</v>
      </c>
      <c r="B374" s="3">
        <f t="shared" si="20"/>
        <v>2025</v>
      </c>
      <c r="C374" s="3">
        <f t="shared" si="21"/>
        <v>3</v>
      </c>
      <c r="D374" s="73" t="s">
        <v>300</v>
      </c>
      <c r="E374" s="2"/>
      <c r="F374" s="2" t="s">
        <v>325</v>
      </c>
      <c r="G374" s="2" t="s">
        <v>363</v>
      </c>
      <c r="H374" s="2" t="s">
        <v>323</v>
      </c>
      <c r="I374" s="2" t="s">
        <v>316</v>
      </c>
      <c r="J374" s="2" t="s">
        <v>17</v>
      </c>
      <c r="K374" s="72">
        <v>49</v>
      </c>
      <c r="L374" s="39"/>
      <c r="M374" s="72">
        <f t="shared" si="22"/>
        <v>-49</v>
      </c>
      <c r="N374" s="72">
        <f t="shared" si="23"/>
        <v>454116.24999999942</v>
      </c>
    </row>
    <row r="375" spans="1:14" x14ac:dyDescent="0.2">
      <c r="A375" s="73" t="s">
        <v>498</v>
      </c>
      <c r="B375" s="3">
        <f t="shared" si="20"/>
        <v>2025</v>
      </c>
      <c r="C375" s="3">
        <f t="shared" si="21"/>
        <v>3</v>
      </c>
      <c r="D375" s="73" t="s">
        <v>300</v>
      </c>
      <c r="E375" s="2"/>
      <c r="F375" s="2" t="s">
        <v>325</v>
      </c>
      <c r="G375" s="2" t="s">
        <v>363</v>
      </c>
      <c r="H375" s="2" t="s">
        <v>323</v>
      </c>
      <c r="I375" s="2" t="s">
        <v>316</v>
      </c>
      <c r="J375" s="2" t="s">
        <v>17</v>
      </c>
      <c r="K375" s="72">
        <v>49</v>
      </c>
      <c r="L375" s="39"/>
      <c r="M375" s="72">
        <f t="shared" si="22"/>
        <v>-49</v>
      </c>
      <c r="N375" s="72">
        <f t="shared" si="23"/>
        <v>454067.24999999942</v>
      </c>
    </row>
    <row r="376" spans="1:14" x14ac:dyDescent="0.2">
      <c r="A376" s="73" t="s">
        <v>498</v>
      </c>
      <c r="B376" s="3">
        <f t="shared" si="20"/>
        <v>2025</v>
      </c>
      <c r="C376" s="3">
        <f t="shared" si="21"/>
        <v>3</v>
      </c>
      <c r="D376" s="73" t="s">
        <v>300</v>
      </c>
      <c r="E376" s="2"/>
      <c r="F376" s="2" t="s">
        <v>325</v>
      </c>
      <c r="G376" s="2" t="s">
        <v>363</v>
      </c>
      <c r="H376" s="2" t="s">
        <v>323</v>
      </c>
      <c r="I376" s="2" t="s">
        <v>316</v>
      </c>
      <c r="J376" s="2" t="s">
        <v>17</v>
      </c>
      <c r="K376" s="72">
        <v>49</v>
      </c>
      <c r="L376" s="39"/>
      <c r="M376" s="72">
        <f t="shared" si="22"/>
        <v>-49</v>
      </c>
      <c r="N376" s="72">
        <f t="shared" si="23"/>
        <v>454018.24999999942</v>
      </c>
    </row>
    <row r="377" spans="1:14" x14ac:dyDescent="0.2">
      <c r="A377" s="73" t="s">
        <v>498</v>
      </c>
      <c r="B377" s="3">
        <f t="shared" si="20"/>
        <v>2025</v>
      </c>
      <c r="C377" s="3">
        <f t="shared" si="21"/>
        <v>3</v>
      </c>
      <c r="D377" s="73" t="s">
        <v>300</v>
      </c>
      <c r="E377" s="2"/>
      <c r="F377" s="2" t="s">
        <v>325</v>
      </c>
      <c r="G377" s="2" t="s">
        <v>363</v>
      </c>
      <c r="H377" s="2" t="s">
        <v>323</v>
      </c>
      <c r="I377" s="2" t="s">
        <v>316</v>
      </c>
      <c r="J377" s="2" t="s">
        <v>17</v>
      </c>
      <c r="K377" s="72">
        <v>49</v>
      </c>
      <c r="L377" s="39"/>
      <c r="M377" s="72">
        <f t="shared" si="22"/>
        <v>-49</v>
      </c>
      <c r="N377" s="72">
        <f t="shared" si="23"/>
        <v>453969.24999999942</v>
      </c>
    </row>
    <row r="378" spans="1:14" x14ac:dyDescent="0.2">
      <c r="A378" s="73" t="s">
        <v>498</v>
      </c>
      <c r="B378" s="3">
        <f t="shared" si="20"/>
        <v>2025</v>
      </c>
      <c r="C378" s="3">
        <f t="shared" si="21"/>
        <v>3</v>
      </c>
      <c r="D378" s="73" t="s">
        <v>300</v>
      </c>
      <c r="E378" s="2"/>
      <c r="F378" s="2" t="s">
        <v>325</v>
      </c>
      <c r="G378" s="2" t="s">
        <v>363</v>
      </c>
      <c r="H378" s="2" t="s">
        <v>323</v>
      </c>
      <c r="I378" s="2" t="s">
        <v>316</v>
      </c>
      <c r="J378" s="2" t="s">
        <v>17</v>
      </c>
      <c r="K378" s="72">
        <v>49</v>
      </c>
      <c r="L378" s="39"/>
      <c r="M378" s="72">
        <f t="shared" si="22"/>
        <v>-49</v>
      </c>
      <c r="N378" s="72">
        <f t="shared" si="23"/>
        <v>453920.24999999942</v>
      </c>
    </row>
    <row r="379" spans="1:14" x14ac:dyDescent="0.2">
      <c r="A379" s="73" t="s">
        <v>498</v>
      </c>
      <c r="B379" s="3">
        <f t="shared" si="20"/>
        <v>2025</v>
      </c>
      <c r="C379" s="3">
        <f t="shared" si="21"/>
        <v>3</v>
      </c>
      <c r="D379" s="73" t="s">
        <v>300</v>
      </c>
      <c r="E379" s="2"/>
      <c r="F379" s="2" t="s">
        <v>325</v>
      </c>
      <c r="G379" s="2" t="s">
        <v>363</v>
      </c>
      <c r="H379" s="2" t="s">
        <v>323</v>
      </c>
      <c r="I379" s="2" t="s">
        <v>316</v>
      </c>
      <c r="J379" s="2" t="s">
        <v>17</v>
      </c>
      <c r="K379" s="72">
        <v>49</v>
      </c>
      <c r="L379" s="39"/>
      <c r="M379" s="72">
        <f t="shared" si="22"/>
        <v>-49</v>
      </c>
      <c r="N379" s="72">
        <f t="shared" si="23"/>
        <v>453871.24999999942</v>
      </c>
    </row>
    <row r="380" spans="1:14" x14ac:dyDescent="0.2">
      <c r="A380" s="73" t="s">
        <v>498</v>
      </c>
      <c r="B380" s="3">
        <f t="shared" si="20"/>
        <v>2025</v>
      </c>
      <c r="C380" s="3">
        <f t="shared" si="21"/>
        <v>3</v>
      </c>
      <c r="D380" s="73" t="s">
        <v>300</v>
      </c>
      <c r="E380" s="2"/>
      <c r="F380" s="2" t="s">
        <v>325</v>
      </c>
      <c r="G380" s="2" t="s">
        <v>363</v>
      </c>
      <c r="H380" s="2" t="s">
        <v>323</v>
      </c>
      <c r="I380" s="2" t="s">
        <v>316</v>
      </c>
      <c r="J380" s="2" t="s">
        <v>17</v>
      </c>
      <c r="K380" s="72">
        <v>49</v>
      </c>
      <c r="L380" s="39"/>
      <c r="M380" s="72">
        <f t="shared" si="22"/>
        <v>-49</v>
      </c>
      <c r="N380" s="72">
        <f t="shared" si="23"/>
        <v>453822.24999999942</v>
      </c>
    </row>
    <row r="381" spans="1:14" x14ac:dyDescent="0.2">
      <c r="A381" s="73" t="s">
        <v>498</v>
      </c>
      <c r="B381" s="3">
        <f t="shared" si="20"/>
        <v>2025</v>
      </c>
      <c r="C381" s="3">
        <f t="shared" si="21"/>
        <v>3</v>
      </c>
      <c r="D381" s="73" t="s">
        <v>300</v>
      </c>
      <c r="E381" s="2"/>
      <c r="F381" s="2" t="s">
        <v>325</v>
      </c>
      <c r="G381" s="2" t="s">
        <v>363</v>
      </c>
      <c r="H381" s="2" t="s">
        <v>323</v>
      </c>
      <c r="I381" s="2" t="s">
        <v>316</v>
      </c>
      <c r="J381" s="2" t="s">
        <v>17</v>
      </c>
      <c r="K381" s="72">
        <v>49</v>
      </c>
      <c r="L381" s="39"/>
      <c r="M381" s="72">
        <f t="shared" si="22"/>
        <v>-49</v>
      </c>
      <c r="N381" s="72">
        <f t="shared" si="23"/>
        <v>453773.24999999942</v>
      </c>
    </row>
    <row r="382" spans="1:14" x14ac:dyDescent="0.2">
      <c r="A382" s="73" t="s">
        <v>498</v>
      </c>
      <c r="B382" s="3">
        <f t="shared" si="20"/>
        <v>2025</v>
      </c>
      <c r="C382" s="3">
        <f t="shared" si="21"/>
        <v>3</v>
      </c>
      <c r="D382" s="73" t="s">
        <v>300</v>
      </c>
      <c r="E382" s="2"/>
      <c r="F382" s="2" t="s">
        <v>325</v>
      </c>
      <c r="G382" s="2" t="s">
        <v>363</v>
      </c>
      <c r="H382" s="2" t="s">
        <v>323</v>
      </c>
      <c r="I382" s="2" t="s">
        <v>316</v>
      </c>
      <c r="J382" s="2" t="s">
        <v>17</v>
      </c>
      <c r="K382" s="72">
        <v>49</v>
      </c>
      <c r="L382" s="39"/>
      <c r="M382" s="72">
        <f t="shared" si="22"/>
        <v>-49</v>
      </c>
      <c r="N382" s="72">
        <f t="shared" si="23"/>
        <v>453724.24999999942</v>
      </c>
    </row>
    <row r="383" spans="1:14" x14ac:dyDescent="0.2">
      <c r="A383" s="73" t="s">
        <v>498</v>
      </c>
      <c r="B383" s="3">
        <f t="shared" si="20"/>
        <v>2025</v>
      </c>
      <c r="C383" s="3">
        <f t="shared" si="21"/>
        <v>3</v>
      </c>
      <c r="D383" s="73" t="s">
        <v>300</v>
      </c>
      <c r="E383" s="2"/>
      <c r="F383" s="2" t="s">
        <v>325</v>
      </c>
      <c r="G383" s="2" t="s">
        <v>362</v>
      </c>
      <c r="H383" s="2" t="s">
        <v>323</v>
      </c>
      <c r="I383" s="2" t="s">
        <v>350</v>
      </c>
      <c r="J383" s="2" t="s">
        <v>353</v>
      </c>
      <c r="K383" s="72">
        <v>18615.88</v>
      </c>
      <c r="L383" s="39"/>
      <c r="M383" s="72">
        <f t="shared" si="22"/>
        <v>-18615.88</v>
      </c>
      <c r="N383" s="72">
        <f t="shared" si="23"/>
        <v>435108.36999999941</v>
      </c>
    </row>
    <row r="384" spans="1:14" x14ac:dyDescent="0.2">
      <c r="A384" s="73" t="s">
        <v>498</v>
      </c>
      <c r="B384" s="3">
        <f t="shared" si="20"/>
        <v>2025</v>
      </c>
      <c r="C384" s="3">
        <f t="shared" si="21"/>
        <v>3</v>
      </c>
      <c r="D384" s="73" t="s">
        <v>300</v>
      </c>
      <c r="E384" s="2"/>
      <c r="F384" s="2" t="s">
        <v>325</v>
      </c>
      <c r="G384" s="2" t="s">
        <v>361</v>
      </c>
      <c r="H384" s="2" t="s">
        <v>323</v>
      </c>
      <c r="I384" s="2" t="s">
        <v>316</v>
      </c>
      <c r="J384" s="2" t="s">
        <v>360</v>
      </c>
      <c r="K384" s="72">
        <v>22100</v>
      </c>
      <c r="L384" s="39"/>
      <c r="M384" s="72">
        <f t="shared" si="22"/>
        <v>-22100</v>
      </c>
      <c r="N384" s="72">
        <f t="shared" si="23"/>
        <v>413008.36999999941</v>
      </c>
    </row>
    <row r="385" spans="1:14" x14ac:dyDescent="0.2">
      <c r="A385" s="73" t="s">
        <v>498</v>
      </c>
      <c r="B385" s="3">
        <f t="shared" si="20"/>
        <v>2025</v>
      </c>
      <c r="C385" s="3">
        <f t="shared" si="21"/>
        <v>3</v>
      </c>
      <c r="D385" s="73" t="s">
        <v>300</v>
      </c>
      <c r="E385" s="2"/>
      <c r="F385" s="2" t="s">
        <v>325</v>
      </c>
      <c r="G385" s="2" t="s">
        <v>359</v>
      </c>
      <c r="H385" s="2" t="s">
        <v>323</v>
      </c>
      <c r="I385" s="2" t="s">
        <v>350</v>
      </c>
      <c r="J385" s="2" t="s">
        <v>27</v>
      </c>
      <c r="K385" s="72">
        <v>8437.5</v>
      </c>
      <c r="L385" s="39"/>
      <c r="M385" s="72">
        <f t="shared" si="22"/>
        <v>-8437.5</v>
      </c>
      <c r="N385" s="72">
        <f t="shared" si="23"/>
        <v>404570.86999999941</v>
      </c>
    </row>
    <row r="386" spans="1:14" x14ac:dyDescent="0.2">
      <c r="A386" s="73" t="s">
        <v>498</v>
      </c>
      <c r="B386" s="3">
        <f t="shared" ref="B386:B449" si="24">YEAR(A386)</f>
        <v>2025</v>
      </c>
      <c r="C386" s="3">
        <f t="shared" ref="C386:C449" si="25">MONTH(A386)</f>
        <v>3</v>
      </c>
      <c r="D386" s="73" t="s">
        <v>300</v>
      </c>
      <c r="E386" s="2"/>
      <c r="F386" s="2" t="s">
        <v>325</v>
      </c>
      <c r="G386" s="2" t="s">
        <v>474</v>
      </c>
      <c r="H386" s="2" t="s">
        <v>323</v>
      </c>
      <c r="I386" s="2" t="s">
        <v>350</v>
      </c>
      <c r="J386" s="2" t="s">
        <v>353</v>
      </c>
      <c r="K386" s="72">
        <v>12000</v>
      </c>
      <c r="L386" s="39"/>
      <c r="M386" s="72">
        <f t="shared" ref="M386:M449" si="26">IF(ISBLANK(L386),K386*-1,L386)</f>
        <v>-12000</v>
      </c>
      <c r="N386" s="72">
        <f t="shared" si="23"/>
        <v>392570.86999999941</v>
      </c>
    </row>
    <row r="387" spans="1:14" x14ac:dyDescent="0.2">
      <c r="A387" s="73" t="s">
        <v>498</v>
      </c>
      <c r="B387" s="3">
        <f t="shared" si="24"/>
        <v>2025</v>
      </c>
      <c r="C387" s="3">
        <f t="shared" si="25"/>
        <v>3</v>
      </c>
      <c r="D387" s="73" t="s">
        <v>300</v>
      </c>
      <c r="E387" s="2"/>
      <c r="F387" s="2" t="s">
        <v>325</v>
      </c>
      <c r="G387" s="2" t="s">
        <v>475</v>
      </c>
      <c r="H387" s="2" t="s">
        <v>323</v>
      </c>
      <c r="I387" s="2" t="s">
        <v>350</v>
      </c>
      <c r="J387" s="2" t="s">
        <v>353</v>
      </c>
      <c r="K387" s="72">
        <v>30</v>
      </c>
      <c r="L387" s="39"/>
      <c r="M387" s="72">
        <f t="shared" si="26"/>
        <v>-30</v>
      </c>
      <c r="N387" s="72">
        <f t="shared" ref="N387:N450" si="27">+N386+M387</f>
        <v>392540.86999999941</v>
      </c>
    </row>
    <row r="388" spans="1:14" x14ac:dyDescent="0.2">
      <c r="A388" s="73" t="s">
        <v>498</v>
      </c>
      <c r="B388" s="3">
        <f t="shared" si="24"/>
        <v>2025</v>
      </c>
      <c r="C388" s="3">
        <f t="shared" si="25"/>
        <v>3</v>
      </c>
      <c r="D388" s="73" t="s">
        <v>300</v>
      </c>
      <c r="E388" s="2"/>
      <c r="F388" s="2" t="s">
        <v>325</v>
      </c>
      <c r="G388" s="2" t="s">
        <v>515</v>
      </c>
      <c r="H388" s="2" t="s">
        <v>323</v>
      </c>
      <c r="I388" s="2" t="s">
        <v>350</v>
      </c>
      <c r="J388" s="2" t="s">
        <v>353</v>
      </c>
      <c r="K388" s="72">
        <v>3375</v>
      </c>
      <c r="L388" s="39"/>
      <c r="M388" s="72">
        <f t="shared" si="26"/>
        <v>-3375</v>
      </c>
      <c r="N388" s="72">
        <f t="shared" si="27"/>
        <v>389165.86999999941</v>
      </c>
    </row>
    <row r="389" spans="1:14" x14ac:dyDescent="0.2">
      <c r="A389" s="73" t="s">
        <v>498</v>
      </c>
      <c r="B389" s="3">
        <f t="shared" si="24"/>
        <v>2025</v>
      </c>
      <c r="C389" s="3">
        <f t="shared" si="25"/>
        <v>3</v>
      </c>
      <c r="D389" s="73" t="s">
        <v>300</v>
      </c>
      <c r="E389" s="2"/>
      <c r="F389" s="2" t="s">
        <v>325</v>
      </c>
      <c r="G389" s="2" t="s">
        <v>357</v>
      </c>
      <c r="H389" s="2" t="s">
        <v>323</v>
      </c>
      <c r="I389" s="2" t="s">
        <v>350</v>
      </c>
      <c r="J389" s="2" t="s">
        <v>353</v>
      </c>
      <c r="K389" s="72">
        <v>10000</v>
      </c>
      <c r="L389" s="39"/>
      <c r="M389" s="72">
        <f t="shared" si="26"/>
        <v>-10000</v>
      </c>
      <c r="N389" s="72">
        <f t="shared" si="27"/>
        <v>379165.86999999941</v>
      </c>
    </row>
    <row r="390" spans="1:14" x14ac:dyDescent="0.2">
      <c r="A390" s="73" t="s">
        <v>498</v>
      </c>
      <c r="B390" s="3">
        <f t="shared" si="24"/>
        <v>2025</v>
      </c>
      <c r="C390" s="3">
        <f t="shared" si="25"/>
        <v>3</v>
      </c>
      <c r="D390" s="73" t="s">
        <v>300</v>
      </c>
      <c r="E390" s="2"/>
      <c r="F390" s="2" t="s">
        <v>325</v>
      </c>
      <c r="G390" s="2" t="s">
        <v>389</v>
      </c>
      <c r="H390" s="2" t="s">
        <v>323</v>
      </c>
      <c r="I390" s="2" t="s">
        <v>350</v>
      </c>
      <c r="J390" s="2" t="s">
        <v>353</v>
      </c>
      <c r="K390" s="72">
        <v>7800</v>
      </c>
      <c r="L390" s="39"/>
      <c r="M390" s="72">
        <f t="shared" si="26"/>
        <v>-7800</v>
      </c>
      <c r="N390" s="72">
        <f t="shared" si="27"/>
        <v>371365.86999999941</v>
      </c>
    </row>
    <row r="391" spans="1:14" x14ac:dyDescent="0.2">
      <c r="A391" s="73" t="s">
        <v>498</v>
      </c>
      <c r="B391" s="3">
        <f t="shared" si="24"/>
        <v>2025</v>
      </c>
      <c r="C391" s="3">
        <f t="shared" si="25"/>
        <v>3</v>
      </c>
      <c r="D391" s="73" t="s">
        <v>300</v>
      </c>
      <c r="E391" s="2"/>
      <c r="F391" s="2" t="s">
        <v>325</v>
      </c>
      <c r="G391" s="2" t="s">
        <v>356</v>
      </c>
      <c r="H391" s="2" t="s">
        <v>323</v>
      </c>
      <c r="I391" s="2" t="s">
        <v>350</v>
      </c>
      <c r="J391" s="2" t="s">
        <v>27</v>
      </c>
      <c r="K391" s="72">
        <v>16800</v>
      </c>
      <c r="L391" s="39"/>
      <c r="M391" s="72">
        <f t="shared" si="26"/>
        <v>-16800</v>
      </c>
      <c r="N391" s="72">
        <f t="shared" si="27"/>
        <v>354565.86999999941</v>
      </c>
    </row>
    <row r="392" spans="1:14" x14ac:dyDescent="0.2">
      <c r="A392" s="73" t="s">
        <v>498</v>
      </c>
      <c r="B392" s="3">
        <f t="shared" si="24"/>
        <v>2025</v>
      </c>
      <c r="C392" s="3">
        <f t="shared" si="25"/>
        <v>3</v>
      </c>
      <c r="D392" s="73" t="s">
        <v>300</v>
      </c>
      <c r="E392" s="2"/>
      <c r="F392" s="2" t="s">
        <v>325</v>
      </c>
      <c r="G392" s="2" t="s">
        <v>7</v>
      </c>
      <c r="H392" s="2" t="s">
        <v>323</v>
      </c>
      <c r="I392" s="2" t="s">
        <v>350</v>
      </c>
      <c r="J392" s="2" t="s">
        <v>27</v>
      </c>
      <c r="K392" s="72">
        <v>4960</v>
      </c>
      <c r="L392" s="39"/>
      <c r="M392" s="72">
        <f t="shared" si="26"/>
        <v>-4960</v>
      </c>
      <c r="N392" s="72">
        <f t="shared" si="27"/>
        <v>349605.86999999941</v>
      </c>
    </row>
    <row r="393" spans="1:14" x14ac:dyDescent="0.2">
      <c r="A393" s="73" t="s">
        <v>498</v>
      </c>
      <c r="B393" s="3">
        <f t="shared" si="24"/>
        <v>2025</v>
      </c>
      <c r="C393" s="3">
        <f t="shared" si="25"/>
        <v>3</v>
      </c>
      <c r="D393" s="73" t="s">
        <v>300</v>
      </c>
      <c r="E393" s="2"/>
      <c r="F393" s="2" t="s">
        <v>325</v>
      </c>
      <c r="G393" s="2" t="s">
        <v>355</v>
      </c>
      <c r="H393" s="2" t="s">
        <v>323</v>
      </c>
      <c r="I393" s="2" t="s">
        <v>350</v>
      </c>
      <c r="J393" s="2" t="s">
        <v>27</v>
      </c>
      <c r="K393" s="72">
        <v>16141.55</v>
      </c>
      <c r="L393" s="39"/>
      <c r="M393" s="72">
        <f t="shared" si="26"/>
        <v>-16141.55</v>
      </c>
      <c r="N393" s="72">
        <f t="shared" si="27"/>
        <v>333464.31999999942</v>
      </c>
    </row>
    <row r="394" spans="1:14" x14ac:dyDescent="0.2">
      <c r="A394" s="73" t="s">
        <v>498</v>
      </c>
      <c r="B394" s="3">
        <f t="shared" si="24"/>
        <v>2025</v>
      </c>
      <c r="C394" s="3">
        <f t="shared" si="25"/>
        <v>3</v>
      </c>
      <c r="D394" s="73" t="s">
        <v>300</v>
      </c>
      <c r="E394" s="2"/>
      <c r="F394" s="2" t="s">
        <v>325</v>
      </c>
      <c r="G394" s="2" t="s">
        <v>428</v>
      </c>
      <c r="H394" s="2" t="s">
        <v>323</v>
      </c>
      <c r="I394" s="2" t="s">
        <v>350</v>
      </c>
      <c r="J394" s="2" t="s">
        <v>353</v>
      </c>
      <c r="K394" s="72">
        <v>199</v>
      </c>
      <c r="L394" s="39"/>
      <c r="M394" s="72">
        <f t="shared" si="26"/>
        <v>-199</v>
      </c>
      <c r="N394" s="72">
        <f t="shared" si="27"/>
        <v>333265.31999999942</v>
      </c>
    </row>
    <row r="395" spans="1:14" x14ac:dyDescent="0.2">
      <c r="A395" s="73" t="s">
        <v>498</v>
      </c>
      <c r="B395" s="3">
        <f t="shared" si="24"/>
        <v>2025</v>
      </c>
      <c r="C395" s="3">
        <f t="shared" si="25"/>
        <v>3</v>
      </c>
      <c r="D395" s="73" t="s">
        <v>300</v>
      </c>
      <c r="E395" s="2"/>
      <c r="F395" s="2" t="s">
        <v>325</v>
      </c>
      <c r="G395" s="2" t="s">
        <v>354</v>
      </c>
      <c r="H395" s="2" t="s">
        <v>323</v>
      </c>
      <c r="I395" s="2" t="s">
        <v>350</v>
      </c>
      <c r="J395" s="2" t="s">
        <v>353</v>
      </c>
      <c r="K395" s="72">
        <v>800</v>
      </c>
      <c r="L395" s="39"/>
      <c r="M395" s="72">
        <f t="shared" si="26"/>
        <v>-800</v>
      </c>
      <c r="N395" s="72">
        <f t="shared" si="27"/>
        <v>332465.31999999942</v>
      </c>
    </row>
    <row r="396" spans="1:14" x14ac:dyDescent="0.2">
      <c r="A396" s="73" t="s">
        <v>498</v>
      </c>
      <c r="B396" s="3">
        <f t="shared" si="24"/>
        <v>2025</v>
      </c>
      <c r="C396" s="3">
        <f t="shared" si="25"/>
        <v>3</v>
      </c>
      <c r="D396" s="73" t="s">
        <v>300</v>
      </c>
      <c r="E396" s="2"/>
      <c r="F396" s="2" t="s">
        <v>325</v>
      </c>
      <c r="G396" s="2" t="s">
        <v>354</v>
      </c>
      <c r="H396" s="2" t="s">
        <v>323</v>
      </c>
      <c r="I396" s="2" t="s">
        <v>350</v>
      </c>
      <c r="J396" s="2" t="s">
        <v>353</v>
      </c>
      <c r="K396" s="72">
        <v>5600</v>
      </c>
      <c r="L396" s="39"/>
      <c r="M396" s="72">
        <f t="shared" si="26"/>
        <v>-5600</v>
      </c>
      <c r="N396" s="72">
        <f t="shared" si="27"/>
        <v>326865.31999999942</v>
      </c>
    </row>
    <row r="397" spans="1:14" x14ac:dyDescent="0.2">
      <c r="A397" s="73" t="s">
        <v>498</v>
      </c>
      <c r="B397" s="3">
        <f t="shared" si="24"/>
        <v>2025</v>
      </c>
      <c r="C397" s="3">
        <f t="shared" si="25"/>
        <v>3</v>
      </c>
      <c r="D397" s="73" t="s">
        <v>300</v>
      </c>
      <c r="E397" s="2"/>
      <c r="F397" s="2" t="s">
        <v>325</v>
      </c>
      <c r="G397" s="2" t="s">
        <v>354</v>
      </c>
      <c r="H397" s="2" t="s">
        <v>323</v>
      </c>
      <c r="I397" s="2" t="s">
        <v>350</v>
      </c>
      <c r="J397" s="2" t="s">
        <v>353</v>
      </c>
      <c r="K397" s="72">
        <v>4000</v>
      </c>
      <c r="L397" s="39"/>
      <c r="M397" s="72">
        <f t="shared" si="26"/>
        <v>-4000</v>
      </c>
      <c r="N397" s="72">
        <f t="shared" si="27"/>
        <v>322865.31999999942</v>
      </c>
    </row>
    <row r="398" spans="1:14" x14ac:dyDescent="0.2">
      <c r="A398" s="73" t="s">
        <v>498</v>
      </c>
      <c r="B398" s="3">
        <f t="shared" si="24"/>
        <v>2025</v>
      </c>
      <c r="C398" s="3">
        <f t="shared" si="25"/>
        <v>3</v>
      </c>
      <c r="D398" s="73" t="s">
        <v>300</v>
      </c>
      <c r="E398" s="2"/>
      <c r="F398" s="2" t="s">
        <v>325</v>
      </c>
      <c r="G398" s="2" t="s">
        <v>352</v>
      </c>
      <c r="H398" s="2" t="s">
        <v>323</v>
      </c>
      <c r="I398" s="2" t="s">
        <v>350</v>
      </c>
      <c r="J398" s="2" t="s">
        <v>27</v>
      </c>
      <c r="K398" s="72">
        <v>577.5</v>
      </c>
      <c r="L398" s="39"/>
      <c r="M398" s="72">
        <f t="shared" si="26"/>
        <v>-577.5</v>
      </c>
      <c r="N398" s="72">
        <f t="shared" si="27"/>
        <v>322287.81999999942</v>
      </c>
    </row>
    <row r="399" spans="1:14" x14ac:dyDescent="0.2">
      <c r="A399" s="73" t="s">
        <v>498</v>
      </c>
      <c r="B399" s="3">
        <f t="shared" si="24"/>
        <v>2025</v>
      </c>
      <c r="C399" s="3">
        <f t="shared" si="25"/>
        <v>3</v>
      </c>
      <c r="D399" s="73" t="s">
        <v>300</v>
      </c>
      <c r="E399" s="2"/>
      <c r="F399" s="2" t="s">
        <v>325</v>
      </c>
      <c r="G399" s="2" t="s">
        <v>352</v>
      </c>
      <c r="H399" s="2" t="s">
        <v>323</v>
      </c>
      <c r="I399" s="2" t="s">
        <v>350</v>
      </c>
      <c r="J399" s="2" t="s">
        <v>27</v>
      </c>
      <c r="K399" s="72">
        <v>52.5</v>
      </c>
      <c r="L399" s="39"/>
      <c r="M399" s="72">
        <f t="shared" si="26"/>
        <v>-52.5</v>
      </c>
      <c r="N399" s="72">
        <f t="shared" si="27"/>
        <v>322235.31999999942</v>
      </c>
    </row>
    <row r="400" spans="1:14" x14ac:dyDescent="0.2">
      <c r="A400" s="73" t="s">
        <v>498</v>
      </c>
      <c r="B400" s="3">
        <f t="shared" si="24"/>
        <v>2025</v>
      </c>
      <c r="C400" s="3">
        <f t="shared" si="25"/>
        <v>3</v>
      </c>
      <c r="D400" s="73" t="s">
        <v>300</v>
      </c>
      <c r="E400" s="2"/>
      <c r="F400" s="2" t="s">
        <v>325</v>
      </c>
      <c r="G400" s="2" t="s">
        <v>352</v>
      </c>
      <c r="H400" s="2" t="s">
        <v>323</v>
      </c>
      <c r="I400" s="2" t="s">
        <v>350</v>
      </c>
      <c r="J400" s="2" t="s">
        <v>27</v>
      </c>
      <c r="K400" s="72">
        <v>2257.5</v>
      </c>
      <c r="L400" s="39"/>
      <c r="M400" s="72">
        <f t="shared" si="26"/>
        <v>-2257.5</v>
      </c>
      <c r="N400" s="72">
        <f t="shared" si="27"/>
        <v>319977.81999999942</v>
      </c>
    </row>
    <row r="401" spans="1:14" x14ac:dyDescent="0.2">
      <c r="A401" s="73" t="s">
        <v>498</v>
      </c>
      <c r="B401" s="3">
        <f t="shared" si="24"/>
        <v>2025</v>
      </c>
      <c r="C401" s="3">
        <f t="shared" si="25"/>
        <v>3</v>
      </c>
      <c r="D401" s="73" t="s">
        <v>300</v>
      </c>
      <c r="E401" s="2"/>
      <c r="F401" s="2" t="s">
        <v>325</v>
      </c>
      <c r="G401" s="2" t="s">
        <v>352</v>
      </c>
      <c r="H401" s="2" t="s">
        <v>323</v>
      </c>
      <c r="I401" s="2" t="s">
        <v>350</v>
      </c>
      <c r="J401" s="2" t="s">
        <v>27</v>
      </c>
      <c r="K401" s="72">
        <v>5285</v>
      </c>
      <c r="L401" s="39"/>
      <c r="M401" s="72">
        <f t="shared" si="26"/>
        <v>-5285</v>
      </c>
      <c r="N401" s="72">
        <f t="shared" si="27"/>
        <v>314692.81999999942</v>
      </c>
    </row>
    <row r="402" spans="1:14" x14ac:dyDescent="0.2">
      <c r="A402" s="73" t="s">
        <v>498</v>
      </c>
      <c r="B402" s="3">
        <f t="shared" si="24"/>
        <v>2025</v>
      </c>
      <c r="C402" s="3">
        <f t="shared" si="25"/>
        <v>3</v>
      </c>
      <c r="D402" s="73" t="s">
        <v>300</v>
      </c>
      <c r="E402" s="2"/>
      <c r="F402" s="2" t="s">
        <v>325</v>
      </c>
      <c r="G402" s="2" t="s">
        <v>352</v>
      </c>
      <c r="H402" s="2" t="s">
        <v>323</v>
      </c>
      <c r="I402" s="2" t="s">
        <v>350</v>
      </c>
      <c r="J402" s="2" t="s">
        <v>27</v>
      </c>
      <c r="K402" s="72">
        <v>2160</v>
      </c>
      <c r="L402" s="39"/>
      <c r="M402" s="72">
        <f t="shared" si="26"/>
        <v>-2160</v>
      </c>
      <c r="N402" s="72">
        <f t="shared" si="27"/>
        <v>312532.81999999942</v>
      </c>
    </row>
    <row r="403" spans="1:14" x14ac:dyDescent="0.2">
      <c r="A403" s="73" t="s">
        <v>498</v>
      </c>
      <c r="B403" s="3">
        <f t="shared" si="24"/>
        <v>2025</v>
      </c>
      <c r="C403" s="3">
        <f t="shared" si="25"/>
        <v>3</v>
      </c>
      <c r="D403" s="73" t="s">
        <v>300</v>
      </c>
      <c r="E403" s="2"/>
      <c r="F403" s="2" t="s">
        <v>325</v>
      </c>
      <c r="G403" s="2" t="s">
        <v>352</v>
      </c>
      <c r="H403" s="2" t="s">
        <v>323</v>
      </c>
      <c r="I403" s="2" t="s">
        <v>350</v>
      </c>
      <c r="J403" s="2" t="s">
        <v>27</v>
      </c>
      <c r="K403" s="72">
        <v>5040</v>
      </c>
      <c r="L403" s="39"/>
      <c r="M403" s="72">
        <f t="shared" si="26"/>
        <v>-5040</v>
      </c>
      <c r="N403" s="72">
        <f t="shared" si="27"/>
        <v>307492.81999999942</v>
      </c>
    </row>
    <row r="404" spans="1:14" x14ac:dyDescent="0.2">
      <c r="A404" s="73" t="s">
        <v>498</v>
      </c>
      <c r="B404" s="3">
        <f t="shared" si="24"/>
        <v>2025</v>
      </c>
      <c r="C404" s="3">
        <f t="shared" si="25"/>
        <v>3</v>
      </c>
      <c r="D404" s="73" t="s">
        <v>300</v>
      </c>
      <c r="E404" s="2"/>
      <c r="F404" s="2" t="s">
        <v>325</v>
      </c>
      <c r="G404" s="2" t="s">
        <v>352</v>
      </c>
      <c r="H404" s="2" t="s">
        <v>323</v>
      </c>
      <c r="I404" s="2" t="s">
        <v>350</v>
      </c>
      <c r="J404" s="2" t="s">
        <v>27</v>
      </c>
      <c r="K404" s="72">
        <v>1312.5</v>
      </c>
      <c r="L404" s="39"/>
      <c r="M404" s="72">
        <f t="shared" si="26"/>
        <v>-1312.5</v>
      </c>
      <c r="N404" s="72">
        <f t="shared" si="27"/>
        <v>306180.31999999942</v>
      </c>
    </row>
    <row r="405" spans="1:14" x14ac:dyDescent="0.2">
      <c r="A405" s="73" t="s">
        <v>498</v>
      </c>
      <c r="B405" s="3">
        <f t="shared" si="24"/>
        <v>2025</v>
      </c>
      <c r="C405" s="3">
        <f t="shared" si="25"/>
        <v>3</v>
      </c>
      <c r="D405" s="73" t="s">
        <v>300</v>
      </c>
      <c r="E405" s="2"/>
      <c r="F405" s="2" t="s">
        <v>325</v>
      </c>
      <c r="G405" s="2" t="s">
        <v>352</v>
      </c>
      <c r="H405" s="2" t="s">
        <v>323</v>
      </c>
      <c r="I405" s="2" t="s">
        <v>350</v>
      </c>
      <c r="J405" s="2" t="s">
        <v>27</v>
      </c>
      <c r="K405" s="72">
        <v>187.5</v>
      </c>
      <c r="L405" s="39"/>
      <c r="M405" s="72">
        <f t="shared" si="26"/>
        <v>-187.5</v>
      </c>
      <c r="N405" s="72">
        <f t="shared" si="27"/>
        <v>305992.81999999942</v>
      </c>
    </row>
    <row r="406" spans="1:14" x14ac:dyDescent="0.2">
      <c r="A406" s="73" t="s">
        <v>498</v>
      </c>
      <c r="B406" s="3">
        <f t="shared" si="24"/>
        <v>2025</v>
      </c>
      <c r="C406" s="3">
        <f t="shared" si="25"/>
        <v>3</v>
      </c>
      <c r="D406" s="73" t="s">
        <v>300</v>
      </c>
      <c r="E406" s="2"/>
      <c r="F406" s="2" t="s">
        <v>325</v>
      </c>
      <c r="G406" s="2" t="s">
        <v>352</v>
      </c>
      <c r="H406" s="2" t="s">
        <v>323</v>
      </c>
      <c r="I406" s="2" t="s">
        <v>350</v>
      </c>
      <c r="J406" s="2" t="s">
        <v>27</v>
      </c>
      <c r="K406" s="72">
        <v>1400</v>
      </c>
      <c r="L406" s="39"/>
      <c r="M406" s="72">
        <f t="shared" si="26"/>
        <v>-1400</v>
      </c>
      <c r="N406" s="72">
        <f t="shared" si="27"/>
        <v>304592.81999999942</v>
      </c>
    </row>
    <row r="407" spans="1:14" x14ac:dyDescent="0.2">
      <c r="A407" s="73" t="s">
        <v>498</v>
      </c>
      <c r="B407" s="3">
        <f t="shared" si="24"/>
        <v>2025</v>
      </c>
      <c r="C407" s="3">
        <f t="shared" si="25"/>
        <v>3</v>
      </c>
      <c r="D407" s="73" t="s">
        <v>300</v>
      </c>
      <c r="E407" s="2"/>
      <c r="F407" s="2" t="s">
        <v>325</v>
      </c>
      <c r="G407" s="2" t="s">
        <v>351</v>
      </c>
      <c r="H407" s="2" t="s">
        <v>323</v>
      </c>
      <c r="I407" s="2" t="s">
        <v>350</v>
      </c>
      <c r="J407" s="2" t="s">
        <v>27</v>
      </c>
      <c r="K407" s="72">
        <v>18180</v>
      </c>
      <c r="L407" s="39"/>
      <c r="M407" s="72">
        <f t="shared" si="26"/>
        <v>-18180</v>
      </c>
      <c r="N407" s="72">
        <f t="shared" si="27"/>
        <v>286412.81999999942</v>
      </c>
    </row>
    <row r="408" spans="1:14" x14ac:dyDescent="0.2">
      <c r="A408" s="73" t="s">
        <v>499</v>
      </c>
      <c r="B408" s="3">
        <f t="shared" si="24"/>
        <v>2025</v>
      </c>
      <c r="C408" s="3">
        <f t="shared" si="25"/>
        <v>3</v>
      </c>
      <c r="D408" s="73" t="s">
        <v>300</v>
      </c>
      <c r="E408" s="2"/>
      <c r="F408" s="2" t="s">
        <v>304</v>
      </c>
      <c r="G408" s="2" t="s">
        <v>308</v>
      </c>
      <c r="H408" s="2" t="s">
        <v>349</v>
      </c>
      <c r="I408" s="2" t="s">
        <v>297</v>
      </c>
      <c r="J408" s="2" t="s">
        <v>26</v>
      </c>
      <c r="K408" s="72">
        <v>451.18</v>
      </c>
      <c r="L408" s="39"/>
      <c r="M408" s="72">
        <f t="shared" si="26"/>
        <v>-451.18</v>
      </c>
      <c r="N408" s="72">
        <f t="shared" si="27"/>
        <v>285961.63999999943</v>
      </c>
    </row>
    <row r="409" spans="1:14" x14ac:dyDescent="0.2">
      <c r="A409" s="73" t="s">
        <v>499</v>
      </c>
      <c r="B409" s="3">
        <f t="shared" si="24"/>
        <v>2025</v>
      </c>
      <c r="C409" s="3">
        <f t="shared" si="25"/>
        <v>3</v>
      </c>
      <c r="D409" s="73" t="s">
        <v>300</v>
      </c>
      <c r="E409" s="2"/>
      <c r="F409" s="2" t="s">
        <v>321</v>
      </c>
      <c r="G409" s="2" t="s">
        <v>320</v>
      </c>
      <c r="H409" s="2" t="s">
        <v>319</v>
      </c>
      <c r="I409" s="2" t="s">
        <v>315</v>
      </c>
      <c r="J409" s="2" t="s">
        <v>23</v>
      </c>
      <c r="K409" s="72"/>
      <c r="L409" s="39">
        <v>30357.5</v>
      </c>
      <c r="M409" s="72">
        <f t="shared" si="26"/>
        <v>30357.5</v>
      </c>
      <c r="N409" s="72">
        <f t="shared" si="27"/>
        <v>316319.13999999943</v>
      </c>
    </row>
    <row r="410" spans="1:14" x14ac:dyDescent="0.2">
      <c r="A410" s="73" t="s">
        <v>499</v>
      </c>
      <c r="B410" s="3">
        <f t="shared" si="24"/>
        <v>2025</v>
      </c>
      <c r="C410" s="3">
        <f t="shared" si="25"/>
        <v>3</v>
      </c>
      <c r="D410" s="73" t="s">
        <v>300</v>
      </c>
      <c r="E410" s="2"/>
      <c r="F410" s="2" t="s">
        <v>321</v>
      </c>
      <c r="G410" s="2" t="s">
        <v>10</v>
      </c>
      <c r="H410" s="2" t="s">
        <v>319</v>
      </c>
      <c r="I410" s="2" t="s">
        <v>315</v>
      </c>
      <c r="J410" s="2" t="s">
        <v>23</v>
      </c>
      <c r="K410" s="72"/>
      <c r="L410" s="39">
        <v>4200</v>
      </c>
      <c r="M410" s="72">
        <f t="shared" si="26"/>
        <v>4200</v>
      </c>
      <c r="N410" s="72">
        <f t="shared" si="27"/>
        <v>320519.13999999943</v>
      </c>
    </row>
    <row r="411" spans="1:14" x14ac:dyDescent="0.2">
      <c r="A411" s="73" t="s">
        <v>499</v>
      </c>
      <c r="B411" s="3">
        <f t="shared" si="24"/>
        <v>2025</v>
      </c>
      <c r="C411" s="3">
        <f t="shared" si="25"/>
        <v>3</v>
      </c>
      <c r="D411" s="73" t="s">
        <v>300</v>
      </c>
      <c r="E411" s="2"/>
      <c r="F411" s="2" t="s">
        <v>325</v>
      </c>
      <c r="G411" s="2" t="s">
        <v>337</v>
      </c>
      <c r="H411" s="2" t="s">
        <v>323</v>
      </c>
      <c r="I411" s="2" t="s">
        <v>316</v>
      </c>
      <c r="J411" s="2" t="s">
        <v>22</v>
      </c>
      <c r="K411" s="72">
        <v>999</v>
      </c>
      <c r="L411" s="39"/>
      <c r="M411" s="72">
        <f t="shared" si="26"/>
        <v>-999</v>
      </c>
      <c r="N411" s="72">
        <f t="shared" si="27"/>
        <v>319520.13999999943</v>
      </c>
    </row>
    <row r="412" spans="1:14" x14ac:dyDescent="0.2">
      <c r="A412" s="73" t="s">
        <v>499</v>
      </c>
      <c r="B412" s="3">
        <f t="shared" si="24"/>
        <v>2025</v>
      </c>
      <c r="C412" s="3">
        <f t="shared" si="25"/>
        <v>3</v>
      </c>
      <c r="D412" s="73" t="s">
        <v>300</v>
      </c>
      <c r="E412" s="2"/>
      <c r="F412" s="2" t="s">
        <v>325</v>
      </c>
      <c r="G412" s="2" t="s">
        <v>337</v>
      </c>
      <c r="H412" s="2" t="s">
        <v>323</v>
      </c>
      <c r="I412" s="2" t="s">
        <v>316</v>
      </c>
      <c r="J412" s="2" t="s">
        <v>22</v>
      </c>
      <c r="K412" s="72">
        <v>339.13</v>
      </c>
      <c r="L412" s="39"/>
      <c r="M412" s="72">
        <f t="shared" si="26"/>
        <v>-339.13</v>
      </c>
      <c r="N412" s="72">
        <f t="shared" si="27"/>
        <v>319181.00999999943</v>
      </c>
    </row>
    <row r="413" spans="1:14" x14ac:dyDescent="0.2">
      <c r="A413" s="73" t="s">
        <v>499</v>
      </c>
      <c r="B413" s="3">
        <f t="shared" si="24"/>
        <v>2025</v>
      </c>
      <c r="C413" s="3">
        <f t="shared" si="25"/>
        <v>3</v>
      </c>
      <c r="D413" s="73" t="s">
        <v>300</v>
      </c>
      <c r="E413" s="2"/>
      <c r="F413" s="2" t="s">
        <v>299</v>
      </c>
      <c r="G413" s="2"/>
      <c r="H413" s="2" t="s">
        <v>298</v>
      </c>
      <c r="I413" s="2" t="s">
        <v>297</v>
      </c>
      <c r="J413" s="2" t="s">
        <v>296</v>
      </c>
      <c r="K413" s="72"/>
      <c r="L413" s="39">
        <v>180788.99</v>
      </c>
      <c r="M413" s="72">
        <f t="shared" si="26"/>
        <v>180788.99</v>
      </c>
      <c r="N413" s="72">
        <f t="shared" si="27"/>
        <v>499969.99999999942</v>
      </c>
    </row>
    <row r="414" spans="1:14" x14ac:dyDescent="0.2">
      <c r="A414" s="73" t="s">
        <v>500</v>
      </c>
      <c r="B414" s="3">
        <f t="shared" si="24"/>
        <v>2025</v>
      </c>
      <c r="C414" s="3">
        <f t="shared" si="25"/>
        <v>3</v>
      </c>
      <c r="D414" s="73" t="s">
        <v>300</v>
      </c>
      <c r="E414" s="2"/>
      <c r="F414" s="2" t="s">
        <v>309</v>
      </c>
      <c r="G414" s="2" t="s">
        <v>381</v>
      </c>
      <c r="H414" s="2" t="s">
        <v>380</v>
      </c>
      <c r="I414" s="2" t="s">
        <v>301</v>
      </c>
      <c r="J414" s="2" t="s">
        <v>11</v>
      </c>
      <c r="K414" s="72"/>
      <c r="L414" s="39">
        <v>476.36</v>
      </c>
      <c r="M414" s="72">
        <f t="shared" si="26"/>
        <v>476.36</v>
      </c>
      <c r="N414" s="72">
        <f t="shared" si="27"/>
        <v>500446.3599999994</v>
      </c>
    </row>
    <row r="415" spans="1:14" x14ac:dyDescent="0.2">
      <c r="A415" s="73" t="s">
        <v>500</v>
      </c>
      <c r="B415" s="3">
        <f t="shared" si="24"/>
        <v>2025</v>
      </c>
      <c r="C415" s="3">
        <f t="shared" si="25"/>
        <v>3</v>
      </c>
      <c r="D415" s="73" t="s">
        <v>300</v>
      </c>
      <c r="E415" s="2"/>
      <c r="F415" s="2" t="s">
        <v>304</v>
      </c>
      <c r="G415" s="2" t="s">
        <v>336</v>
      </c>
      <c r="H415" s="2" t="s">
        <v>335</v>
      </c>
      <c r="I415" s="2" t="s">
        <v>301</v>
      </c>
      <c r="J415" s="2" t="s">
        <v>11</v>
      </c>
      <c r="K415" s="72">
        <v>57.64</v>
      </c>
      <c r="L415" s="39"/>
      <c r="M415" s="72">
        <f t="shared" si="26"/>
        <v>-57.64</v>
      </c>
      <c r="N415" s="72">
        <f t="shared" si="27"/>
        <v>500388.71999999939</v>
      </c>
    </row>
    <row r="416" spans="1:14" x14ac:dyDescent="0.2">
      <c r="A416" s="73" t="s">
        <v>500</v>
      </c>
      <c r="B416" s="3">
        <f t="shared" si="24"/>
        <v>2025</v>
      </c>
      <c r="C416" s="3">
        <f t="shared" si="25"/>
        <v>3</v>
      </c>
      <c r="D416" s="73" t="s">
        <v>300</v>
      </c>
      <c r="E416" s="2"/>
      <c r="F416" s="2" t="s">
        <v>299</v>
      </c>
      <c r="G416" s="2"/>
      <c r="H416" s="2" t="s">
        <v>298</v>
      </c>
      <c r="I416" s="2" t="s">
        <v>297</v>
      </c>
      <c r="J416" s="2" t="s">
        <v>296</v>
      </c>
      <c r="K416" s="72">
        <v>418.72</v>
      </c>
      <c r="L416" s="39"/>
      <c r="M416" s="72">
        <f t="shared" si="26"/>
        <v>-418.72</v>
      </c>
      <c r="N416" s="72">
        <f t="shared" si="27"/>
        <v>499969.99999999942</v>
      </c>
    </row>
    <row r="417" spans="1:14" x14ac:dyDescent="0.2">
      <c r="A417" s="73" t="s">
        <v>501</v>
      </c>
      <c r="B417" s="3">
        <f t="shared" si="24"/>
        <v>2025</v>
      </c>
      <c r="C417" s="3">
        <f t="shared" si="25"/>
        <v>3</v>
      </c>
      <c r="D417" s="73" t="s">
        <v>300</v>
      </c>
      <c r="E417" s="2"/>
      <c r="F417" s="2" t="s">
        <v>304</v>
      </c>
      <c r="G417" s="2" t="s">
        <v>336</v>
      </c>
      <c r="H417" s="2" t="s">
        <v>335</v>
      </c>
      <c r="I417" s="2" t="s">
        <v>301</v>
      </c>
      <c r="J417" s="2" t="s">
        <v>11</v>
      </c>
      <c r="K417" s="72">
        <v>50</v>
      </c>
      <c r="L417" s="39"/>
      <c r="M417" s="72">
        <f t="shared" si="26"/>
        <v>-50</v>
      </c>
      <c r="N417" s="72">
        <f t="shared" si="27"/>
        <v>499919.99999999942</v>
      </c>
    </row>
    <row r="418" spans="1:14" x14ac:dyDescent="0.2">
      <c r="A418" s="73" t="s">
        <v>501</v>
      </c>
      <c r="B418" s="3">
        <f t="shared" si="24"/>
        <v>2025</v>
      </c>
      <c r="C418" s="3">
        <f t="shared" si="25"/>
        <v>3</v>
      </c>
      <c r="D418" s="73" t="s">
        <v>300</v>
      </c>
      <c r="E418" s="2"/>
      <c r="F418" s="2" t="s">
        <v>299</v>
      </c>
      <c r="G418" s="2"/>
      <c r="H418" s="2" t="s">
        <v>298</v>
      </c>
      <c r="I418" s="2" t="s">
        <v>297</v>
      </c>
      <c r="J418" s="2" t="s">
        <v>296</v>
      </c>
      <c r="K418" s="72"/>
      <c r="L418" s="39">
        <v>50</v>
      </c>
      <c r="M418" s="72">
        <f t="shared" si="26"/>
        <v>50</v>
      </c>
      <c r="N418" s="72">
        <f t="shared" si="27"/>
        <v>499969.99999999942</v>
      </c>
    </row>
    <row r="419" spans="1:14" x14ac:dyDescent="0.2">
      <c r="A419" s="73" t="s">
        <v>502</v>
      </c>
      <c r="B419" s="3">
        <f t="shared" si="24"/>
        <v>2025</v>
      </c>
      <c r="C419" s="3">
        <f t="shared" si="25"/>
        <v>3</v>
      </c>
      <c r="D419" s="73" t="s">
        <v>300</v>
      </c>
      <c r="E419" s="2"/>
      <c r="F419" s="2" t="s">
        <v>304</v>
      </c>
      <c r="G419" s="2" t="s">
        <v>336</v>
      </c>
      <c r="H419" s="2" t="s">
        <v>335</v>
      </c>
      <c r="I419" s="2" t="s">
        <v>301</v>
      </c>
      <c r="J419" s="2" t="s">
        <v>11</v>
      </c>
      <c r="K419" s="72">
        <v>45</v>
      </c>
      <c r="L419" s="39"/>
      <c r="M419" s="72">
        <f t="shared" si="26"/>
        <v>-45</v>
      </c>
      <c r="N419" s="72">
        <f t="shared" si="27"/>
        <v>499924.99999999942</v>
      </c>
    </row>
    <row r="420" spans="1:14" x14ac:dyDescent="0.2">
      <c r="A420" s="73" t="s">
        <v>502</v>
      </c>
      <c r="B420" s="3">
        <f t="shared" si="24"/>
        <v>2025</v>
      </c>
      <c r="C420" s="3">
        <f t="shared" si="25"/>
        <v>3</v>
      </c>
      <c r="D420" s="73" t="s">
        <v>300</v>
      </c>
      <c r="E420" s="2"/>
      <c r="F420" s="2" t="s">
        <v>304</v>
      </c>
      <c r="G420" s="2" t="s">
        <v>306</v>
      </c>
      <c r="H420" s="2" t="s">
        <v>516</v>
      </c>
      <c r="I420" s="2" t="s">
        <v>301</v>
      </c>
      <c r="J420" s="2" t="s">
        <v>24</v>
      </c>
      <c r="K420" s="72">
        <v>78161.710000000006</v>
      </c>
      <c r="L420" s="39"/>
      <c r="M420" s="72">
        <f t="shared" si="26"/>
        <v>-78161.710000000006</v>
      </c>
      <c r="N420" s="72">
        <f t="shared" si="27"/>
        <v>421763.2899999994</v>
      </c>
    </row>
    <row r="421" spans="1:14" x14ac:dyDescent="0.2">
      <c r="A421" s="73" t="s">
        <v>502</v>
      </c>
      <c r="B421" s="3">
        <f t="shared" si="24"/>
        <v>2025</v>
      </c>
      <c r="C421" s="3">
        <f t="shared" si="25"/>
        <v>3</v>
      </c>
      <c r="D421" s="73" t="s">
        <v>300</v>
      </c>
      <c r="E421" s="2"/>
      <c r="F421" s="2" t="s">
        <v>304</v>
      </c>
      <c r="G421" s="2" t="s">
        <v>306</v>
      </c>
      <c r="H421" s="2" t="s">
        <v>516</v>
      </c>
      <c r="I421" s="2" t="s">
        <v>301</v>
      </c>
      <c r="J421" s="2" t="s">
        <v>20</v>
      </c>
      <c r="K421" s="72">
        <v>41545.49</v>
      </c>
      <c r="L421" s="39"/>
      <c r="M421" s="72">
        <f t="shared" si="26"/>
        <v>-41545.49</v>
      </c>
      <c r="N421" s="72">
        <f t="shared" si="27"/>
        <v>380217.79999999941</v>
      </c>
    </row>
    <row r="422" spans="1:14" x14ac:dyDescent="0.2">
      <c r="A422" s="73" t="s">
        <v>502</v>
      </c>
      <c r="B422" s="3">
        <f t="shared" si="24"/>
        <v>2025</v>
      </c>
      <c r="C422" s="3">
        <f t="shared" si="25"/>
        <v>3</v>
      </c>
      <c r="D422" s="73" t="s">
        <v>300</v>
      </c>
      <c r="E422" s="2"/>
      <c r="F422" s="2" t="s">
        <v>304</v>
      </c>
      <c r="G422" s="2" t="s">
        <v>306</v>
      </c>
      <c r="H422" s="2" t="s">
        <v>516</v>
      </c>
      <c r="I422" s="2" t="s">
        <v>301</v>
      </c>
      <c r="J422" s="2" t="s">
        <v>11</v>
      </c>
      <c r="K422" s="72">
        <v>949.5</v>
      </c>
      <c r="L422" s="39"/>
      <c r="M422" s="72">
        <f t="shared" si="26"/>
        <v>-949.5</v>
      </c>
      <c r="N422" s="72">
        <f t="shared" si="27"/>
        <v>379268.29999999941</v>
      </c>
    </row>
    <row r="423" spans="1:14" x14ac:dyDescent="0.2">
      <c r="A423" s="73" t="s">
        <v>502</v>
      </c>
      <c r="B423" s="3">
        <f t="shared" si="24"/>
        <v>2025</v>
      </c>
      <c r="C423" s="3">
        <f t="shared" si="25"/>
        <v>3</v>
      </c>
      <c r="D423" s="73" t="s">
        <v>300</v>
      </c>
      <c r="E423" s="2"/>
      <c r="F423" s="2" t="s">
        <v>299</v>
      </c>
      <c r="G423" s="2"/>
      <c r="H423" s="2" t="s">
        <v>298</v>
      </c>
      <c r="I423" s="2" t="s">
        <v>297</v>
      </c>
      <c r="J423" s="2" t="s">
        <v>296</v>
      </c>
      <c r="K423" s="72"/>
      <c r="L423" s="39">
        <v>120701.7</v>
      </c>
      <c r="M423" s="72">
        <f t="shared" si="26"/>
        <v>120701.7</v>
      </c>
      <c r="N423" s="72">
        <f t="shared" si="27"/>
        <v>499969.99999999942</v>
      </c>
    </row>
    <row r="424" spans="1:14" x14ac:dyDescent="0.2">
      <c r="A424" s="73" t="s">
        <v>503</v>
      </c>
      <c r="B424" s="3">
        <f t="shared" si="24"/>
        <v>2025</v>
      </c>
      <c r="C424" s="3">
        <f t="shared" si="25"/>
        <v>3</v>
      </c>
      <c r="D424" s="73" t="s">
        <v>300</v>
      </c>
      <c r="E424" s="2"/>
      <c r="F424" s="2" t="s">
        <v>304</v>
      </c>
      <c r="G424" s="2" t="s">
        <v>336</v>
      </c>
      <c r="H424" s="2" t="s">
        <v>335</v>
      </c>
      <c r="I424" s="2" t="s">
        <v>301</v>
      </c>
      <c r="J424" s="2" t="s">
        <v>11</v>
      </c>
      <c r="K424" s="72">
        <v>30</v>
      </c>
      <c r="L424" s="39"/>
      <c r="M424" s="72">
        <f t="shared" si="26"/>
        <v>-30</v>
      </c>
      <c r="N424" s="72">
        <f t="shared" si="27"/>
        <v>499939.99999999942</v>
      </c>
    </row>
    <row r="425" spans="1:14" x14ac:dyDescent="0.2">
      <c r="A425" s="73" t="s">
        <v>503</v>
      </c>
      <c r="B425" s="3">
        <f t="shared" si="24"/>
        <v>2025</v>
      </c>
      <c r="C425" s="3">
        <f t="shared" si="25"/>
        <v>3</v>
      </c>
      <c r="D425" s="73" t="s">
        <v>300</v>
      </c>
      <c r="E425" s="2"/>
      <c r="F425" s="2" t="s">
        <v>325</v>
      </c>
      <c r="G425" s="2" t="s">
        <v>342</v>
      </c>
      <c r="H425" s="2" t="s">
        <v>323</v>
      </c>
      <c r="I425" s="2" t="s">
        <v>316</v>
      </c>
      <c r="J425" s="2" t="s">
        <v>22</v>
      </c>
      <c r="K425" s="72">
        <v>120</v>
      </c>
      <c r="L425" s="39"/>
      <c r="M425" s="72">
        <f t="shared" si="26"/>
        <v>-120</v>
      </c>
      <c r="N425" s="72">
        <f t="shared" si="27"/>
        <v>499819.99999999942</v>
      </c>
    </row>
    <row r="426" spans="1:14" x14ac:dyDescent="0.2">
      <c r="A426" s="73" t="s">
        <v>503</v>
      </c>
      <c r="B426" s="3">
        <f t="shared" si="24"/>
        <v>2025</v>
      </c>
      <c r="C426" s="3">
        <f t="shared" si="25"/>
        <v>3</v>
      </c>
      <c r="D426" s="73" t="s">
        <v>300</v>
      </c>
      <c r="E426" s="2"/>
      <c r="F426" s="2" t="s">
        <v>325</v>
      </c>
      <c r="G426" s="2" t="s">
        <v>473</v>
      </c>
      <c r="H426" s="2" t="s">
        <v>323</v>
      </c>
      <c r="I426" s="2" t="s">
        <v>350</v>
      </c>
      <c r="J426" s="2" t="s">
        <v>353</v>
      </c>
      <c r="K426" s="72">
        <v>5100</v>
      </c>
      <c r="L426" s="39"/>
      <c r="M426" s="72">
        <f t="shared" si="26"/>
        <v>-5100</v>
      </c>
      <c r="N426" s="72">
        <f t="shared" si="27"/>
        <v>494719.99999999942</v>
      </c>
    </row>
    <row r="427" spans="1:14" x14ac:dyDescent="0.2">
      <c r="A427" s="73" t="s">
        <v>503</v>
      </c>
      <c r="B427" s="3">
        <f t="shared" si="24"/>
        <v>2025</v>
      </c>
      <c r="C427" s="3">
        <f t="shared" si="25"/>
        <v>3</v>
      </c>
      <c r="D427" s="73" t="s">
        <v>300</v>
      </c>
      <c r="E427" s="2"/>
      <c r="F427" s="2" t="s">
        <v>325</v>
      </c>
      <c r="G427" s="2" t="s">
        <v>339</v>
      </c>
      <c r="H427" s="2" t="s">
        <v>323</v>
      </c>
      <c r="I427" s="2" t="s">
        <v>316</v>
      </c>
      <c r="J427" s="2" t="s">
        <v>22</v>
      </c>
      <c r="K427" s="72">
        <v>60</v>
      </c>
      <c r="L427" s="39"/>
      <c r="M427" s="72">
        <f t="shared" si="26"/>
        <v>-60</v>
      </c>
      <c r="N427" s="72">
        <f t="shared" si="27"/>
        <v>494659.99999999942</v>
      </c>
    </row>
    <row r="428" spans="1:14" x14ac:dyDescent="0.2">
      <c r="A428" s="73" t="s">
        <v>503</v>
      </c>
      <c r="B428" s="3">
        <f t="shared" si="24"/>
        <v>2025</v>
      </c>
      <c r="C428" s="3">
        <f t="shared" si="25"/>
        <v>3</v>
      </c>
      <c r="D428" s="73" t="s">
        <v>300</v>
      </c>
      <c r="E428" s="2"/>
      <c r="F428" s="2" t="s">
        <v>325</v>
      </c>
      <c r="G428" s="2" t="s">
        <v>375</v>
      </c>
      <c r="H428" s="2" t="s">
        <v>323</v>
      </c>
      <c r="I428" s="2" t="s">
        <v>316</v>
      </c>
      <c r="J428" s="2" t="s">
        <v>29</v>
      </c>
      <c r="K428" s="72">
        <v>1374</v>
      </c>
      <c r="L428" s="39"/>
      <c r="M428" s="72">
        <f t="shared" si="26"/>
        <v>-1374</v>
      </c>
      <c r="N428" s="72">
        <f t="shared" si="27"/>
        <v>493285.99999999942</v>
      </c>
    </row>
    <row r="429" spans="1:14" x14ac:dyDescent="0.2">
      <c r="A429" s="73" t="s">
        <v>503</v>
      </c>
      <c r="B429" s="3">
        <f t="shared" si="24"/>
        <v>2025</v>
      </c>
      <c r="C429" s="3">
        <f t="shared" si="25"/>
        <v>3</v>
      </c>
      <c r="D429" s="73" t="s">
        <v>300</v>
      </c>
      <c r="E429" s="2"/>
      <c r="F429" s="2" t="s">
        <v>325</v>
      </c>
      <c r="G429" s="2" t="s">
        <v>375</v>
      </c>
      <c r="H429" s="2" t="s">
        <v>323</v>
      </c>
      <c r="I429" s="2" t="s">
        <v>316</v>
      </c>
      <c r="J429" s="2" t="s">
        <v>29</v>
      </c>
      <c r="K429" s="72">
        <v>17492</v>
      </c>
      <c r="L429" s="39"/>
      <c r="M429" s="72">
        <f t="shared" si="26"/>
        <v>-17492</v>
      </c>
      <c r="N429" s="72">
        <f t="shared" si="27"/>
        <v>475793.99999999942</v>
      </c>
    </row>
    <row r="430" spans="1:14" x14ac:dyDescent="0.2">
      <c r="A430" s="73" t="s">
        <v>503</v>
      </c>
      <c r="B430" s="3">
        <f t="shared" si="24"/>
        <v>2025</v>
      </c>
      <c r="C430" s="3">
        <f t="shared" si="25"/>
        <v>3</v>
      </c>
      <c r="D430" s="73" t="s">
        <v>300</v>
      </c>
      <c r="E430" s="2"/>
      <c r="F430" s="2" t="s">
        <v>304</v>
      </c>
      <c r="G430" s="2" t="s">
        <v>306</v>
      </c>
      <c r="H430" s="2" t="s">
        <v>305</v>
      </c>
      <c r="I430" s="2" t="s">
        <v>301</v>
      </c>
      <c r="J430" s="2" t="s">
        <v>19</v>
      </c>
      <c r="K430" s="72">
        <v>142.44999999999999</v>
      </c>
      <c r="L430" s="39"/>
      <c r="M430" s="72">
        <f t="shared" si="26"/>
        <v>-142.44999999999999</v>
      </c>
      <c r="N430" s="72">
        <f t="shared" si="27"/>
        <v>475651.54999999941</v>
      </c>
    </row>
    <row r="431" spans="1:14" x14ac:dyDescent="0.2">
      <c r="A431" s="73" t="s">
        <v>503</v>
      </c>
      <c r="B431" s="3">
        <f t="shared" si="24"/>
        <v>2025</v>
      </c>
      <c r="C431" s="3">
        <f t="shared" si="25"/>
        <v>3</v>
      </c>
      <c r="D431" s="73" t="s">
        <v>300</v>
      </c>
      <c r="E431" s="2"/>
      <c r="F431" s="2" t="s">
        <v>325</v>
      </c>
      <c r="G431" s="2" t="s">
        <v>338</v>
      </c>
      <c r="H431" s="2" t="s">
        <v>323</v>
      </c>
      <c r="I431" s="2" t="s">
        <v>316</v>
      </c>
      <c r="J431" s="2" t="s">
        <v>22</v>
      </c>
      <c r="K431" s="72">
        <v>210</v>
      </c>
      <c r="L431" s="39"/>
      <c r="M431" s="72">
        <f t="shared" si="26"/>
        <v>-210</v>
      </c>
      <c r="N431" s="72">
        <f t="shared" si="27"/>
        <v>475441.54999999941</v>
      </c>
    </row>
    <row r="432" spans="1:14" x14ac:dyDescent="0.2">
      <c r="A432" s="73" t="s">
        <v>503</v>
      </c>
      <c r="B432" s="3">
        <f t="shared" si="24"/>
        <v>2025</v>
      </c>
      <c r="C432" s="3">
        <f t="shared" si="25"/>
        <v>3</v>
      </c>
      <c r="D432" s="73" t="s">
        <v>300</v>
      </c>
      <c r="E432" s="2"/>
      <c r="F432" s="2" t="s">
        <v>321</v>
      </c>
      <c r="G432" s="2" t="s">
        <v>348</v>
      </c>
      <c r="H432" s="2" t="s">
        <v>319</v>
      </c>
      <c r="I432" s="2" t="s">
        <v>315</v>
      </c>
      <c r="J432" s="2" t="s">
        <v>23</v>
      </c>
      <c r="K432" s="72"/>
      <c r="L432" s="39">
        <v>12400</v>
      </c>
      <c r="M432" s="72">
        <f t="shared" si="26"/>
        <v>12400</v>
      </c>
      <c r="N432" s="72">
        <f t="shared" si="27"/>
        <v>487841.54999999941</v>
      </c>
    </row>
    <row r="433" spans="1:14" x14ac:dyDescent="0.2">
      <c r="A433" s="73" t="s">
        <v>503</v>
      </c>
      <c r="B433" s="3">
        <f t="shared" si="24"/>
        <v>2025</v>
      </c>
      <c r="C433" s="3">
        <f t="shared" si="25"/>
        <v>3</v>
      </c>
      <c r="D433" s="73" t="s">
        <v>300</v>
      </c>
      <c r="E433" s="2"/>
      <c r="F433" s="2" t="s">
        <v>299</v>
      </c>
      <c r="G433" s="2"/>
      <c r="H433" s="2" t="s">
        <v>298</v>
      </c>
      <c r="I433" s="2" t="s">
        <v>297</v>
      </c>
      <c r="J433" s="2" t="s">
        <v>296</v>
      </c>
      <c r="K433" s="72"/>
      <c r="L433" s="39">
        <v>12128.45</v>
      </c>
      <c r="M433" s="72">
        <f t="shared" si="26"/>
        <v>12128.45</v>
      </c>
      <c r="N433" s="72">
        <f t="shared" si="27"/>
        <v>499969.99999999942</v>
      </c>
    </row>
    <row r="434" spans="1:14" x14ac:dyDescent="0.2">
      <c r="A434" s="73" t="s">
        <v>504</v>
      </c>
      <c r="B434" s="3">
        <f t="shared" si="24"/>
        <v>2025</v>
      </c>
      <c r="C434" s="3">
        <f t="shared" si="25"/>
        <v>3</v>
      </c>
      <c r="D434" s="73" t="s">
        <v>300</v>
      </c>
      <c r="E434" s="2"/>
      <c r="F434" s="2" t="s">
        <v>304</v>
      </c>
      <c r="G434" s="2" t="s">
        <v>303</v>
      </c>
      <c r="H434" s="2" t="s">
        <v>302</v>
      </c>
      <c r="I434" s="2" t="s">
        <v>301</v>
      </c>
      <c r="J434" s="2" t="s">
        <v>11</v>
      </c>
      <c r="K434" s="72">
        <v>208.34</v>
      </c>
      <c r="L434" s="39"/>
      <c r="M434" s="72">
        <f t="shared" si="26"/>
        <v>-208.34</v>
      </c>
      <c r="N434" s="72">
        <f t="shared" si="27"/>
        <v>499761.65999999939</v>
      </c>
    </row>
    <row r="435" spans="1:14" x14ac:dyDescent="0.2">
      <c r="A435" s="73" t="s">
        <v>504</v>
      </c>
      <c r="B435" s="3">
        <f t="shared" si="24"/>
        <v>2025</v>
      </c>
      <c r="C435" s="3">
        <f t="shared" si="25"/>
        <v>3</v>
      </c>
      <c r="D435" s="73" t="s">
        <v>300</v>
      </c>
      <c r="E435" s="2"/>
      <c r="F435" s="2" t="s">
        <v>299</v>
      </c>
      <c r="G435" s="2"/>
      <c r="H435" s="2" t="s">
        <v>298</v>
      </c>
      <c r="I435" s="2" t="s">
        <v>297</v>
      </c>
      <c r="J435" s="2" t="s">
        <v>296</v>
      </c>
      <c r="K435" s="72"/>
      <c r="L435" s="39">
        <v>208.34</v>
      </c>
      <c r="M435" s="72">
        <f t="shared" si="26"/>
        <v>208.34</v>
      </c>
      <c r="N435" s="72">
        <f t="shared" si="27"/>
        <v>499969.99999999942</v>
      </c>
    </row>
    <row r="436" spans="1:14" x14ac:dyDescent="0.2">
      <c r="A436" s="73" t="s">
        <v>505</v>
      </c>
      <c r="B436" s="3">
        <f t="shared" si="24"/>
        <v>2025</v>
      </c>
      <c r="C436" s="3">
        <f t="shared" si="25"/>
        <v>3</v>
      </c>
      <c r="D436" s="73" t="s">
        <v>300</v>
      </c>
      <c r="E436" s="2"/>
      <c r="F436" s="2" t="s">
        <v>314</v>
      </c>
      <c r="G436" s="2" t="s">
        <v>341</v>
      </c>
      <c r="H436" s="2" t="s">
        <v>340</v>
      </c>
      <c r="I436" s="2" t="s">
        <v>312</v>
      </c>
      <c r="J436" s="2" t="s">
        <v>16</v>
      </c>
      <c r="K436" s="72">
        <v>4685.37</v>
      </c>
      <c r="L436" s="39"/>
      <c r="M436" s="72">
        <f t="shared" si="26"/>
        <v>-4685.37</v>
      </c>
      <c r="N436" s="72">
        <f t="shared" si="27"/>
        <v>495284.62999999942</v>
      </c>
    </row>
    <row r="437" spans="1:14" x14ac:dyDescent="0.2">
      <c r="A437" s="73" t="s">
        <v>505</v>
      </c>
      <c r="B437" s="3">
        <f t="shared" si="24"/>
        <v>2025</v>
      </c>
      <c r="C437" s="3">
        <f t="shared" si="25"/>
        <v>3</v>
      </c>
      <c r="D437" s="73" t="s">
        <v>300</v>
      </c>
      <c r="E437" s="2"/>
      <c r="F437" s="2" t="s">
        <v>304</v>
      </c>
      <c r="G437" s="2" t="s">
        <v>517</v>
      </c>
      <c r="H437" s="2" t="s">
        <v>518</v>
      </c>
      <c r="I437" s="2" t="s">
        <v>316</v>
      </c>
      <c r="J437" s="2" t="s">
        <v>21</v>
      </c>
      <c r="K437" s="72">
        <v>4036</v>
      </c>
      <c r="L437" s="39"/>
      <c r="M437" s="72">
        <f t="shared" si="26"/>
        <v>-4036</v>
      </c>
      <c r="N437" s="72">
        <f t="shared" si="27"/>
        <v>491248.62999999942</v>
      </c>
    </row>
    <row r="438" spans="1:14" x14ac:dyDescent="0.2">
      <c r="A438" s="73" t="s">
        <v>505</v>
      </c>
      <c r="B438" s="3">
        <f t="shared" si="24"/>
        <v>2025</v>
      </c>
      <c r="C438" s="3">
        <f t="shared" si="25"/>
        <v>3</v>
      </c>
      <c r="D438" s="73" t="s">
        <v>300</v>
      </c>
      <c r="E438" s="2"/>
      <c r="F438" s="2" t="s">
        <v>299</v>
      </c>
      <c r="G438" s="2"/>
      <c r="H438" s="2" t="s">
        <v>298</v>
      </c>
      <c r="I438" s="2" t="s">
        <v>297</v>
      </c>
      <c r="J438" s="2" t="s">
        <v>296</v>
      </c>
      <c r="K438" s="72"/>
      <c r="L438" s="39">
        <v>8721.3700000000008</v>
      </c>
      <c r="M438" s="72">
        <f t="shared" si="26"/>
        <v>8721.3700000000008</v>
      </c>
      <c r="N438" s="72">
        <f t="shared" si="27"/>
        <v>499969.99999999942</v>
      </c>
    </row>
    <row r="439" spans="1:14" x14ac:dyDescent="0.2">
      <c r="A439" s="73" t="s">
        <v>506</v>
      </c>
      <c r="B439" s="3">
        <f t="shared" si="24"/>
        <v>2025</v>
      </c>
      <c r="C439" s="3">
        <f t="shared" si="25"/>
        <v>3</v>
      </c>
      <c r="D439" s="73" t="s">
        <v>300</v>
      </c>
      <c r="E439" s="2"/>
      <c r="F439" s="2" t="s">
        <v>304</v>
      </c>
      <c r="G439" s="2" t="s">
        <v>327</v>
      </c>
      <c r="H439" s="2" t="s">
        <v>326</v>
      </c>
      <c r="I439" s="2" t="s">
        <v>316</v>
      </c>
      <c r="J439" s="2" t="s">
        <v>18</v>
      </c>
      <c r="K439" s="72">
        <v>1337.67</v>
      </c>
      <c r="L439" s="39"/>
      <c r="M439" s="72">
        <f t="shared" si="26"/>
        <v>-1337.67</v>
      </c>
      <c r="N439" s="72">
        <f t="shared" si="27"/>
        <v>498632.32999999943</v>
      </c>
    </row>
    <row r="440" spans="1:14" x14ac:dyDescent="0.2">
      <c r="A440" s="73" t="s">
        <v>506</v>
      </c>
      <c r="B440" s="3">
        <f t="shared" si="24"/>
        <v>2025</v>
      </c>
      <c r="C440" s="3">
        <f t="shared" si="25"/>
        <v>3</v>
      </c>
      <c r="D440" s="73" t="s">
        <v>300</v>
      </c>
      <c r="E440" s="2"/>
      <c r="F440" s="2" t="s">
        <v>304</v>
      </c>
      <c r="G440" s="2" t="s">
        <v>344</v>
      </c>
      <c r="H440" s="2" t="s">
        <v>343</v>
      </c>
      <c r="I440" s="2" t="s">
        <v>301</v>
      </c>
      <c r="J440" s="2" t="s">
        <v>11</v>
      </c>
      <c r="K440" s="72">
        <v>10751.83</v>
      </c>
      <c r="L440" s="39"/>
      <c r="M440" s="72">
        <f t="shared" si="26"/>
        <v>-10751.83</v>
      </c>
      <c r="N440" s="72">
        <f t="shared" si="27"/>
        <v>487880.49999999942</v>
      </c>
    </row>
    <row r="441" spans="1:14" x14ac:dyDescent="0.2">
      <c r="A441" s="73" t="s">
        <v>506</v>
      </c>
      <c r="B441" s="3">
        <f t="shared" si="24"/>
        <v>2025</v>
      </c>
      <c r="C441" s="3">
        <f t="shared" si="25"/>
        <v>3</v>
      </c>
      <c r="D441" s="73" t="s">
        <v>300</v>
      </c>
      <c r="E441" s="2"/>
      <c r="F441" s="2" t="s">
        <v>299</v>
      </c>
      <c r="G441" s="2"/>
      <c r="H441" s="2" t="s">
        <v>298</v>
      </c>
      <c r="I441" s="2" t="s">
        <v>297</v>
      </c>
      <c r="J441" s="2" t="s">
        <v>296</v>
      </c>
      <c r="K441" s="72"/>
      <c r="L441" s="39">
        <v>12089.5</v>
      </c>
      <c r="M441" s="72">
        <f t="shared" si="26"/>
        <v>12089.5</v>
      </c>
      <c r="N441" s="72">
        <f t="shared" si="27"/>
        <v>499969.99999999942</v>
      </c>
    </row>
    <row r="442" spans="1:14" x14ac:dyDescent="0.2">
      <c r="A442" s="73" t="s">
        <v>507</v>
      </c>
      <c r="B442" s="3">
        <f t="shared" si="24"/>
        <v>2025</v>
      </c>
      <c r="C442" s="3">
        <f t="shared" si="25"/>
        <v>3</v>
      </c>
      <c r="D442" s="73" t="s">
        <v>300</v>
      </c>
      <c r="E442" s="2"/>
      <c r="F442" s="2" t="s">
        <v>304</v>
      </c>
      <c r="G442" s="2" t="s">
        <v>334</v>
      </c>
      <c r="H442" s="2" t="s">
        <v>333</v>
      </c>
      <c r="I442" s="2" t="s">
        <v>301</v>
      </c>
      <c r="J442" s="2" t="s">
        <v>11</v>
      </c>
      <c r="K442" s="72">
        <v>1251.92</v>
      </c>
      <c r="L442" s="39"/>
      <c r="M442" s="72">
        <f t="shared" si="26"/>
        <v>-1251.92</v>
      </c>
      <c r="N442" s="72">
        <f t="shared" si="27"/>
        <v>498718.07999999943</v>
      </c>
    </row>
    <row r="443" spans="1:14" x14ac:dyDescent="0.2">
      <c r="A443" s="73" t="s">
        <v>507</v>
      </c>
      <c r="B443" s="3">
        <f t="shared" si="24"/>
        <v>2025</v>
      </c>
      <c r="C443" s="3">
        <f t="shared" si="25"/>
        <v>3</v>
      </c>
      <c r="D443" s="73" t="s">
        <v>300</v>
      </c>
      <c r="E443" s="2"/>
      <c r="F443" s="2" t="s">
        <v>299</v>
      </c>
      <c r="G443" s="2"/>
      <c r="H443" s="2" t="s">
        <v>298</v>
      </c>
      <c r="I443" s="2" t="s">
        <v>297</v>
      </c>
      <c r="J443" s="2" t="s">
        <v>296</v>
      </c>
      <c r="K443" s="72"/>
      <c r="L443" s="39">
        <v>1251.92</v>
      </c>
      <c r="M443" s="72">
        <f t="shared" si="26"/>
        <v>1251.92</v>
      </c>
      <c r="N443" s="72">
        <f t="shared" si="27"/>
        <v>499969.99999999942</v>
      </c>
    </row>
    <row r="444" spans="1:14" x14ac:dyDescent="0.2">
      <c r="A444" s="73" t="s">
        <v>508</v>
      </c>
      <c r="B444" s="3">
        <f t="shared" si="24"/>
        <v>2025</v>
      </c>
      <c r="C444" s="3">
        <f t="shared" si="25"/>
        <v>3</v>
      </c>
      <c r="D444" s="73" t="s">
        <v>300</v>
      </c>
      <c r="E444" s="2"/>
      <c r="F444" s="2" t="s">
        <v>325</v>
      </c>
      <c r="G444" s="2" t="s">
        <v>519</v>
      </c>
      <c r="H444" s="2" t="s">
        <v>323</v>
      </c>
      <c r="I444" s="2" t="s">
        <v>316</v>
      </c>
      <c r="J444" s="2" t="s">
        <v>31</v>
      </c>
      <c r="K444" s="72">
        <v>18750</v>
      </c>
      <c r="L444" s="39"/>
      <c r="M444" s="72">
        <f t="shared" si="26"/>
        <v>-18750</v>
      </c>
      <c r="N444" s="72">
        <f t="shared" si="27"/>
        <v>481219.99999999942</v>
      </c>
    </row>
    <row r="445" spans="1:14" x14ac:dyDescent="0.2">
      <c r="A445" s="73" t="s">
        <v>508</v>
      </c>
      <c r="B445" s="3">
        <f t="shared" si="24"/>
        <v>2025</v>
      </c>
      <c r="C445" s="3">
        <f t="shared" si="25"/>
        <v>3</v>
      </c>
      <c r="D445" s="73" t="s">
        <v>300</v>
      </c>
      <c r="E445" s="2"/>
      <c r="F445" s="2" t="s">
        <v>321</v>
      </c>
      <c r="G445" s="2" t="s">
        <v>49</v>
      </c>
      <c r="H445" s="2" t="s">
        <v>319</v>
      </c>
      <c r="I445" s="2" t="s">
        <v>315</v>
      </c>
      <c r="J445" s="2" t="s">
        <v>23</v>
      </c>
      <c r="K445" s="72"/>
      <c r="L445" s="39">
        <v>8750</v>
      </c>
      <c r="M445" s="72">
        <f t="shared" si="26"/>
        <v>8750</v>
      </c>
      <c r="N445" s="72">
        <f t="shared" si="27"/>
        <v>489969.99999999942</v>
      </c>
    </row>
    <row r="446" spans="1:14" x14ac:dyDescent="0.2">
      <c r="A446" s="73" t="s">
        <v>508</v>
      </c>
      <c r="B446" s="3">
        <f t="shared" si="24"/>
        <v>2025</v>
      </c>
      <c r="C446" s="3">
        <f t="shared" si="25"/>
        <v>3</v>
      </c>
      <c r="D446" s="73" t="s">
        <v>300</v>
      </c>
      <c r="E446" s="2"/>
      <c r="F446" s="2" t="s">
        <v>321</v>
      </c>
      <c r="G446" s="2" t="s">
        <v>49</v>
      </c>
      <c r="H446" s="2" t="s">
        <v>319</v>
      </c>
      <c r="I446" s="2" t="s">
        <v>315</v>
      </c>
      <c r="J446" s="2" t="s">
        <v>23</v>
      </c>
      <c r="K446" s="72"/>
      <c r="L446" s="39">
        <v>15575</v>
      </c>
      <c r="M446" s="72">
        <f t="shared" si="26"/>
        <v>15575</v>
      </c>
      <c r="N446" s="72">
        <f t="shared" si="27"/>
        <v>505544.99999999942</v>
      </c>
    </row>
    <row r="447" spans="1:14" x14ac:dyDescent="0.2">
      <c r="A447" s="73" t="s">
        <v>508</v>
      </c>
      <c r="B447" s="3">
        <f t="shared" si="24"/>
        <v>2025</v>
      </c>
      <c r="C447" s="3">
        <f t="shared" si="25"/>
        <v>3</v>
      </c>
      <c r="D447" s="73" t="s">
        <v>300</v>
      </c>
      <c r="E447" s="2"/>
      <c r="F447" s="2" t="s">
        <v>325</v>
      </c>
      <c r="G447" s="2" t="s">
        <v>473</v>
      </c>
      <c r="H447" s="2" t="s">
        <v>323</v>
      </c>
      <c r="I447" s="2" t="s">
        <v>350</v>
      </c>
      <c r="J447" s="2" t="s">
        <v>353</v>
      </c>
      <c r="K447" s="72">
        <v>8550</v>
      </c>
      <c r="L447" s="39"/>
      <c r="M447" s="72">
        <f t="shared" si="26"/>
        <v>-8550</v>
      </c>
      <c r="N447" s="72">
        <f t="shared" si="27"/>
        <v>496994.99999999942</v>
      </c>
    </row>
    <row r="448" spans="1:14" x14ac:dyDescent="0.2">
      <c r="A448" s="73" t="s">
        <v>508</v>
      </c>
      <c r="B448" s="3">
        <f t="shared" si="24"/>
        <v>2025</v>
      </c>
      <c r="C448" s="3">
        <f t="shared" si="25"/>
        <v>3</v>
      </c>
      <c r="D448" s="73" t="s">
        <v>300</v>
      </c>
      <c r="E448" s="2"/>
      <c r="F448" s="2" t="s">
        <v>325</v>
      </c>
      <c r="G448" s="2" t="s">
        <v>473</v>
      </c>
      <c r="H448" s="2" t="s">
        <v>323</v>
      </c>
      <c r="I448" s="2" t="s">
        <v>316</v>
      </c>
      <c r="J448" s="2" t="s">
        <v>31</v>
      </c>
      <c r="K448" s="72">
        <v>45000</v>
      </c>
      <c r="L448" s="39"/>
      <c r="M448" s="72">
        <f t="shared" si="26"/>
        <v>-45000</v>
      </c>
      <c r="N448" s="72">
        <f t="shared" si="27"/>
        <v>451994.99999999942</v>
      </c>
    </row>
    <row r="449" spans="1:14" x14ac:dyDescent="0.2">
      <c r="A449" s="73" t="s">
        <v>508</v>
      </c>
      <c r="B449" s="3">
        <f t="shared" si="24"/>
        <v>2025</v>
      </c>
      <c r="C449" s="3">
        <f t="shared" si="25"/>
        <v>3</v>
      </c>
      <c r="D449" s="73" t="s">
        <v>300</v>
      </c>
      <c r="E449" s="2"/>
      <c r="F449" s="2" t="s">
        <v>304</v>
      </c>
      <c r="G449" s="2" t="s">
        <v>327</v>
      </c>
      <c r="H449" s="2" t="s">
        <v>326</v>
      </c>
      <c r="I449" s="2" t="s">
        <v>316</v>
      </c>
      <c r="J449" s="2" t="s">
        <v>18</v>
      </c>
      <c r="K449" s="72">
        <v>1752.22</v>
      </c>
      <c r="L449" s="39"/>
      <c r="M449" s="72">
        <f t="shared" si="26"/>
        <v>-1752.22</v>
      </c>
      <c r="N449" s="72">
        <f t="shared" si="27"/>
        <v>450242.77999999945</v>
      </c>
    </row>
    <row r="450" spans="1:14" x14ac:dyDescent="0.2">
      <c r="A450" s="73" t="s">
        <v>508</v>
      </c>
      <c r="B450" s="3">
        <f t="shared" ref="B450:B513" si="28">YEAR(A450)</f>
        <v>2025</v>
      </c>
      <c r="C450" s="3">
        <f t="shared" ref="C450:C513" si="29">MONTH(A450)</f>
        <v>3</v>
      </c>
      <c r="D450" s="73" t="s">
        <v>300</v>
      </c>
      <c r="E450" s="2"/>
      <c r="F450" s="2" t="s">
        <v>299</v>
      </c>
      <c r="G450" s="2"/>
      <c r="H450" s="2" t="s">
        <v>298</v>
      </c>
      <c r="I450" s="2" t="s">
        <v>297</v>
      </c>
      <c r="J450" s="2" t="s">
        <v>296</v>
      </c>
      <c r="K450" s="72"/>
      <c r="L450" s="39">
        <v>49727.22</v>
      </c>
      <c r="M450" s="72">
        <f t="shared" ref="M450:M513" si="30">IF(ISBLANK(L450),K450*-1,L450)</f>
        <v>49727.22</v>
      </c>
      <c r="N450" s="72">
        <f t="shared" si="27"/>
        <v>499969.99999999942</v>
      </c>
    </row>
    <row r="451" spans="1:14" x14ac:dyDescent="0.2">
      <c r="A451" s="73" t="s">
        <v>509</v>
      </c>
      <c r="B451" s="3">
        <f t="shared" si="28"/>
        <v>2025</v>
      </c>
      <c r="C451" s="3">
        <f t="shared" si="29"/>
        <v>3</v>
      </c>
      <c r="D451" s="73" t="s">
        <v>300</v>
      </c>
      <c r="E451" s="2"/>
      <c r="F451" s="2" t="s">
        <v>304</v>
      </c>
      <c r="G451" s="2" t="s">
        <v>336</v>
      </c>
      <c r="H451" s="2" t="s">
        <v>335</v>
      </c>
      <c r="I451" s="2" t="s">
        <v>301</v>
      </c>
      <c r="J451" s="2" t="s">
        <v>11</v>
      </c>
      <c r="K451" s="72">
        <v>65</v>
      </c>
      <c r="L451" s="39"/>
      <c r="M451" s="72">
        <f t="shared" si="30"/>
        <v>-65</v>
      </c>
      <c r="N451" s="72">
        <f t="shared" ref="N451:N514" si="31">+N450+M451</f>
        <v>499904.99999999942</v>
      </c>
    </row>
    <row r="452" spans="1:14" x14ac:dyDescent="0.2">
      <c r="A452" s="73" t="s">
        <v>509</v>
      </c>
      <c r="B452" s="3">
        <f t="shared" si="28"/>
        <v>2025</v>
      </c>
      <c r="C452" s="3">
        <f t="shared" si="29"/>
        <v>3</v>
      </c>
      <c r="D452" s="73" t="s">
        <v>300</v>
      </c>
      <c r="E452" s="2"/>
      <c r="F452" s="2" t="s">
        <v>325</v>
      </c>
      <c r="G452" s="2" t="s">
        <v>342</v>
      </c>
      <c r="H452" s="2" t="s">
        <v>323</v>
      </c>
      <c r="I452" s="2" t="s">
        <v>316</v>
      </c>
      <c r="J452" s="2" t="s">
        <v>22</v>
      </c>
      <c r="K452" s="72">
        <v>93.27</v>
      </c>
      <c r="L452" s="39"/>
      <c r="M452" s="72">
        <f t="shared" si="30"/>
        <v>-93.27</v>
      </c>
      <c r="N452" s="72">
        <f t="shared" si="31"/>
        <v>499811.7299999994</v>
      </c>
    </row>
    <row r="453" spans="1:14" x14ac:dyDescent="0.2">
      <c r="A453" s="73" t="s">
        <v>509</v>
      </c>
      <c r="B453" s="3">
        <f t="shared" si="28"/>
        <v>2025</v>
      </c>
      <c r="C453" s="3">
        <f t="shared" si="29"/>
        <v>3</v>
      </c>
      <c r="D453" s="73" t="s">
        <v>300</v>
      </c>
      <c r="E453" s="2"/>
      <c r="F453" s="2" t="s">
        <v>325</v>
      </c>
      <c r="G453" s="2" t="s">
        <v>520</v>
      </c>
      <c r="H453" s="2" t="s">
        <v>323</v>
      </c>
      <c r="I453" s="2" t="s">
        <v>316</v>
      </c>
      <c r="J453" s="2" t="s">
        <v>17</v>
      </c>
      <c r="K453" s="72">
        <v>1431.65</v>
      </c>
      <c r="L453" s="39"/>
      <c r="M453" s="72">
        <f t="shared" si="30"/>
        <v>-1431.65</v>
      </c>
      <c r="N453" s="72">
        <f t="shared" si="31"/>
        <v>498380.07999999938</v>
      </c>
    </row>
    <row r="454" spans="1:14" x14ac:dyDescent="0.2">
      <c r="A454" s="73" t="s">
        <v>509</v>
      </c>
      <c r="B454" s="3">
        <f t="shared" si="28"/>
        <v>2025</v>
      </c>
      <c r="C454" s="3">
        <f t="shared" si="29"/>
        <v>3</v>
      </c>
      <c r="D454" s="73" t="s">
        <v>300</v>
      </c>
      <c r="E454" s="2"/>
      <c r="F454" s="2" t="s">
        <v>304</v>
      </c>
      <c r="G454" s="2" t="s">
        <v>306</v>
      </c>
      <c r="H454" s="2" t="s">
        <v>516</v>
      </c>
      <c r="I454" s="2" t="s">
        <v>301</v>
      </c>
      <c r="J454" s="2" t="s">
        <v>11</v>
      </c>
      <c r="K454" s="72">
        <v>250</v>
      </c>
      <c r="L454" s="39"/>
      <c r="M454" s="72">
        <f t="shared" si="30"/>
        <v>-250</v>
      </c>
      <c r="N454" s="72">
        <f t="shared" si="31"/>
        <v>498130.07999999938</v>
      </c>
    </row>
    <row r="455" spans="1:14" x14ac:dyDescent="0.2">
      <c r="A455" s="73" t="s">
        <v>509</v>
      </c>
      <c r="B455" s="3">
        <f t="shared" si="28"/>
        <v>2025</v>
      </c>
      <c r="C455" s="3">
        <f t="shared" si="29"/>
        <v>3</v>
      </c>
      <c r="D455" s="73" t="s">
        <v>300</v>
      </c>
      <c r="E455" s="2"/>
      <c r="F455" s="2" t="s">
        <v>325</v>
      </c>
      <c r="G455" s="2" t="s">
        <v>338</v>
      </c>
      <c r="H455" s="2" t="s">
        <v>323</v>
      </c>
      <c r="I455" s="2" t="s">
        <v>316</v>
      </c>
      <c r="J455" s="2" t="s">
        <v>22</v>
      </c>
      <c r="K455" s="72">
        <v>140</v>
      </c>
      <c r="L455" s="39"/>
      <c r="M455" s="72">
        <f t="shared" si="30"/>
        <v>-140</v>
      </c>
      <c r="N455" s="72">
        <f t="shared" si="31"/>
        <v>497990.07999999938</v>
      </c>
    </row>
    <row r="456" spans="1:14" x14ac:dyDescent="0.2">
      <c r="A456" s="73" t="s">
        <v>509</v>
      </c>
      <c r="B456" s="3">
        <f t="shared" si="28"/>
        <v>2025</v>
      </c>
      <c r="C456" s="3">
        <f t="shared" si="29"/>
        <v>3</v>
      </c>
      <c r="D456" s="73" t="s">
        <v>300</v>
      </c>
      <c r="E456" s="2"/>
      <c r="F456" s="2" t="s">
        <v>299</v>
      </c>
      <c r="G456" s="2"/>
      <c r="H456" s="2" t="s">
        <v>298</v>
      </c>
      <c r="I456" s="2" t="s">
        <v>297</v>
      </c>
      <c r="J456" s="2" t="s">
        <v>296</v>
      </c>
      <c r="K456" s="72"/>
      <c r="L456" s="39">
        <v>1979.92</v>
      </c>
      <c r="M456" s="72">
        <f t="shared" si="30"/>
        <v>1979.92</v>
      </c>
      <c r="N456" s="72">
        <f t="shared" si="31"/>
        <v>499969.99999999936</v>
      </c>
    </row>
    <row r="457" spans="1:14" x14ac:dyDescent="0.2">
      <c r="A457" s="73" t="s">
        <v>510</v>
      </c>
      <c r="B457" s="3">
        <f t="shared" si="28"/>
        <v>2025</v>
      </c>
      <c r="C457" s="3">
        <f t="shared" si="29"/>
        <v>3</v>
      </c>
      <c r="D457" s="73" t="s">
        <v>300</v>
      </c>
      <c r="E457" s="2"/>
      <c r="F457" s="2" t="s">
        <v>304</v>
      </c>
      <c r="G457" s="2" t="s">
        <v>336</v>
      </c>
      <c r="H457" s="2" t="s">
        <v>335</v>
      </c>
      <c r="I457" s="2" t="s">
        <v>301</v>
      </c>
      <c r="J457" s="2" t="s">
        <v>11</v>
      </c>
      <c r="K457" s="72">
        <v>18.73</v>
      </c>
      <c r="L457" s="39"/>
      <c r="M457" s="72">
        <f t="shared" si="30"/>
        <v>-18.73</v>
      </c>
      <c r="N457" s="72">
        <f t="shared" si="31"/>
        <v>499951.26999999938</v>
      </c>
    </row>
    <row r="458" spans="1:14" x14ac:dyDescent="0.2">
      <c r="A458" s="73" t="s">
        <v>510</v>
      </c>
      <c r="B458" s="3">
        <f t="shared" si="28"/>
        <v>2025</v>
      </c>
      <c r="C458" s="3">
        <f t="shared" si="29"/>
        <v>3</v>
      </c>
      <c r="D458" s="73" t="s">
        <v>300</v>
      </c>
      <c r="E458" s="2"/>
      <c r="F458" s="2" t="s">
        <v>321</v>
      </c>
      <c r="G458" s="2" t="s">
        <v>472</v>
      </c>
      <c r="H458" s="2" t="s">
        <v>319</v>
      </c>
      <c r="I458" s="2" t="s">
        <v>315</v>
      </c>
      <c r="J458" s="2" t="s">
        <v>23</v>
      </c>
      <c r="K458" s="72"/>
      <c r="L458" s="39">
        <v>29995</v>
      </c>
      <c r="M458" s="72">
        <f t="shared" si="30"/>
        <v>29995</v>
      </c>
      <c r="N458" s="72">
        <f t="shared" si="31"/>
        <v>529946.26999999932</v>
      </c>
    </row>
    <row r="459" spans="1:14" x14ac:dyDescent="0.2">
      <c r="A459" s="73" t="s">
        <v>510</v>
      </c>
      <c r="B459" s="3">
        <f t="shared" si="28"/>
        <v>2025</v>
      </c>
      <c r="C459" s="3">
        <f t="shared" si="29"/>
        <v>3</v>
      </c>
      <c r="D459" s="73" t="s">
        <v>300</v>
      </c>
      <c r="E459" s="2"/>
      <c r="F459" s="2" t="s">
        <v>321</v>
      </c>
      <c r="G459" s="2" t="s">
        <v>472</v>
      </c>
      <c r="H459" s="2" t="s">
        <v>319</v>
      </c>
      <c r="I459" s="2" t="s">
        <v>315</v>
      </c>
      <c r="J459" s="2" t="s">
        <v>23</v>
      </c>
      <c r="K459" s="72"/>
      <c r="L459" s="39">
        <v>31667.66</v>
      </c>
      <c r="M459" s="72">
        <f t="shared" si="30"/>
        <v>31667.66</v>
      </c>
      <c r="N459" s="72">
        <f t="shared" si="31"/>
        <v>561613.92999999935</v>
      </c>
    </row>
    <row r="460" spans="1:14" x14ac:dyDescent="0.2">
      <c r="A460" s="73" t="s">
        <v>510</v>
      </c>
      <c r="B460" s="3">
        <f t="shared" si="28"/>
        <v>2025</v>
      </c>
      <c r="C460" s="3">
        <f t="shared" si="29"/>
        <v>3</v>
      </c>
      <c r="D460" s="73" t="s">
        <v>300</v>
      </c>
      <c r="E460" s="2"/>
      <c r="F460" s="2" t="s">
        <v>321</v>
      </c>
      <c r="G460" s="2" t="s">
        <v>472</v>
      </c>
      <c r="H460" s="2" t="s">
        <v>319</v>
      </c>
      <c r="I460" s="2" t="s">
        <v>315</v>
      </c>
      <c r="J460" s="2" t="s">
        <v>23</v>
      </c>
      <c r="K460" s="72"/>
      <c r="L460" s="39">
        <v>31667.66</v>
      </c>
      <c r="M460" s="72">
        <f t="shared" si="30"/>
        <v>31667.66</v>
      </c>
      <c r="N460" s="72">
        <f t="shared" si="31"/>
        <v>593281.58999999939</v>
      </c>
    </row>
    <row r="461" spans="1:14" x14ac:dyDescent="0.2">
      <c r="A461" s="73" t="s">
        <v>510</v>
      </c>
      <c r="B461" s="3">
        <f t="shared" si="28"/>
        <v>2025</v>
      </c>
      <c r="C461" s="3">
        <f t="shared" si="29"/>
        <v>3</v>
      </c>
      <c r="D461" s="73" t="s">
        <v>300</v>
      </c>
      <c r="E461" s="2"/>
      <c r="F461" s="2" t="s">
        <v>321</v>
      </c>
      <c r="G461" s="2" t="s">
        <v>472</v>
      </c>
      <c r="H461" s="2" t="s">
        <v>319</v>
      </c>
      <c r="I461" s="2" t="s">
        <v>315</v>
      </c>
      <c r="J461" s="2" t="s">
        <v>23</v>
      </c>
      <c r="K461" s="72"/>
      <c r="L461" s="39">
        <v>31667.66</v>
      </c>
      <c r="M461" s="72">
        <f t="shared" si="30"/>
        <v>31667.66</v>
      </c>
      <c r="N461" s="72">
        <f t="shared" si="31"/>
        <v>624949.24999999942</v>
      </c>
    </row>
    <row r="462" spans="1:14" x14ac:dyDescent="0.2">
      <c r="A462" s="73" t="s">
        <v>510</v>
      </c>
      <c r="B462" s="3">
        <f t="shared" si="28"/>
        <v>2025</v>
      </c>
      <c r="C462" s="3">
        <f t="shared" si="29"/>
        <v>3</v>
      </c>
      <c r="D462" s="73" t="s">
        <v>300</v>
      </c>
      <c r="E462" s="2"/>
      <c r="F462" s="2" t="s">
        <v>321</v>
      </c>
      <c r="G462" s="2" t="s">
        <v>521</v>
      </c>
      <c r="H462" s="2" t="s">
        <v>319</v>
      </c>
      <c r="I462" s="2" t="s">
        <v>315</v>
      </c>
      <c r="J462" s="2" t="s">
        <v>23</v>
      </c>
      <c r="K462" s="72"/>
      <c r="L462" s="39">
        <v>1295</v>
      </c>
      <c r="M462" s="72">
        <f t="shared" si="30"/>
        <v>1295</v>
      </c>
      <c r="N462" s="72">
        <f t="shared" si="31"/>
        <v>626244.24999999942</v>
      </c>
    </row>
    <row r="463" spans="1:14" x14ac:dyDescent="0.2">
      <c r="A463" s="73" t="s">
        <v>510</v>
      </c>
      <c r="B463" s="3">
        <f t="shared" si="28"/>
        <v>2025</v>
      </c>
      <c r="C463" s="3">
        <f t="shared" si="29"/>
        <v>3</v>
      </c>
      <c r="D463" s="73" t="s">
        <v>300</v>
      </c>
      <c r="E463" s="2"/>
      <c r="F463" s="2" t="s">
        <v>304</v>
      </c>
      <c r="G463" s="2" t="s">
        <v>303</v>
      </c>
      <c r="H463" s="2" t="s">
        <v>302</v>
      </c>
      <c r="I463" s="2" t="s">
        <v>301</v>
      </c>
      <c r="J463" s="2" t="s">
        <v>11</v>
      </c>
      <c r="K463" s="72">
        <v>61.8</v>
      </c>
      <c r="L463" s="39"/>
      <c r="M463" s="72">
        <f t="shared" si="30"/>
        <v>-61.8</v>
      </c>
      <c r="N463" s="72">
        <f t="shared" si="31"/>
        <v>626182.44999999937</v>
      </c>
    </row>
    <row r="464" spans="1:14" x14ac:dyDescent="0.2">
      <c r="A464" s="73" t="s">
        <v>510</v>
      </c>
      <c r="B464" s="3">
        <f t="shared" si="28"/>
        <v>2025</v>
      </c>
      <c r="C464" s="3">
        <f t="shared" si="29"/>
        <v>3</v>
      </c>
      <c r="D464" s="73" t="s">
        <v>300</v>
      </c>
      <c r="E464" s="2"/>
      <c r="F464" s="2" t="s">
        <v>299</v>
      </c>
      <c r="G464" s="2"/>
      <c r="H464" s="2" t="s">
        <v>298</v>
      </c>
      <c r="I464" s="2" t="s">
        <v>297</v>
      </c>
      <c r="J464" s="2" t="s">
        <v>296</v>
      </c>
      <c r="K464" s="72">
        <v>126212.45</v>
      </c>
      <c r="L464" s="39"/>
      <c r="M464" s="72">
        <f t="shared" si="30"/>
        <v>-126212.45</v>
      </c>
      <c r="N464" s="72">
        <f t="shared" si="31"/>
        <v>499969.99999999936</v>
      </c>
    </row>
    <row r="465" spans="1:14" x14ac:dyDescent="0.2">
      <c r="A465" s="73" t="s">
        <v>511</v>
      </c>
      <c r="B465" s="3">
        <f t="shared" si="28"/>
        <v>2025</v>
      </c>
      <c r="C465" s="3">
        <f t="shared" si="29"/>
        <v>3</v>
      </c>
      <c r="D465" s="73" t="s">
        <v>300</v>
      </c>
      <c r="E465" s="2"/>
      <c r="F465" s="2" t="s">
        <v>304</v>
      </c>
      <c r="G465" s="2" t="s">
        <v>336</v>
      </c>
      <c r="H465" s="2" t="s">
        <v>335</v>
      </c>
      <c r="I465" s="2" t="s">
        <v>301</v>
      </c>
      <c r="J465" s="2" t="s">
        <v>11</v>
      </c>
      <c r="K465" s="72">
        <v>40.840000000000003</v>
      </c>
      <c r="L465" s="39"/>
      <c r="M465" s="72">
        <f t="shared" si="30"/>
        <v>-40.840000000000003</v>
      </c>
      <c r="N465" s="72">
        <f t="shared" si="31"/>
        <v>499929.15999999933</v>
      </c>
    </row>
    <row r="466" spans="1:14" x14ac:dyDescent="0.2">
      <c r="A466" s="73" t="s">
        <v>511</v>
      </c>
      <c r="B466" s="3">
        <f t="shared" si="28"/>
        <v>2025</v>
      </c>
      <c r="C466" s="3">
        <f t="shared" si="29"/>
        <v>3</v>
      </c>
      <c r="D466" s="73" t="s">
        <v>300</v>
      </c>
      <c r="E466" s="2"/>
      <c r="F466" s="2" t="s">
        <v>309</v>
      </c>
      <c r="G466" s="2" t="s">
        <v>69</v>
      </c>
      <c r="H466" s="2" t="s">
        <v>346</v>
      </c>
      <c r="I466" s="2" t="s">
        <v>315</v>
      </c>
      <c r="J466" s="2" t="s">
        <v>23</v>
      </c>
      <c r="K466" s="72"/>
      <c r="L466" s="39">
        <v>14500</v>
      </c>
      <c r="M466" s="72">
        <f t="shared" si="30"/>
        <v>14500</v>
      </c>
      <c r="N466" s="72">
        <f t="shared" si="31"/>
        <v>514429.15999999933</v>
      </c>
    </row>
    <row r="467" spans="1:14" x14ac:dyDescent="0.2">
      <c r="A467" s="73" t="s">
        <v>511</v>
      </c>
      <c r="B467" s="3">
        <f t="shared" si="28"/>
        <v>2025</v>
      </c>
      <c r="C467" s="3">
        <f t="shared" si="29"/>
        <v>3</v>
      </c>
      <c r="D467" s="73" t="s">
        <v>300</v>
      </c>
      <c r="E467" s="2"/>
      <c r="F467" s="2" t="s">
        <v>304</v>
      </c>
      <c r="G467" s="2" t="s">
        <v>317</v>
      </c>
      <c r="H467" s="2" t="s">
        <v>349</v>
      </c>
      <c r="I467" s="2" t="s">
        <v>297</v>
      </c>
      <c r="J467" s="2" t="s">
        <v>26</v>
      </c>
      <c r="K467" s="72">
        <v>20</v>
      </c>
      <c r="L467" s="39"/>
      <c r="M467" s="72">
        <f t="shared" si="30"/>
        <v>-20</v>
      </c>
      <c r="N467" s="72">
        <f t="shared" si="31"/>
        <v>514409.15999999933</v>
      </c>
    </row>
    <row r="468" spans="1:14" x14ac:dyDescent="0.2">
      <c r="A468" s="73" t="s">
        <v>511</v>
      </c>
      <c r="B468" s="3">
        <f t="shared" si="28"/>
        <v>2025</v>
      </c>
      <c r="C468" s="3">
        <f t="shared" si="29"/>
        <v>3</v>
      </c>
      <c r="D468" s="73" t="s">
        <v>300</v>
      </c>
      <c r="E468" s="2"/>
      <c r="F468" s="2" t="s">
        <v>299</v>
      </c>
      <c r="G468" s="2"/>
      <c r="H468" s="2" t="s">
        <v>298</v>
      </c>
      <c r="I468" s="2" t="s">
        <v>297</v>
      </c>
      <c r="J468" s="2" t="s">
        <v>296</v>
      </c>
      <c r="K468" s="72"/>
      <c r="L468" s="39">
        <v>40.840000000000003</v>
      </c>
      <c r="M468" s="72">
        <f t="shared" si="30"/>
        <v>40.840000000000003</v>
      </c>
      <c r="N468" s="72">
        <f t="shared" si="31"/>
        <v>514449.99999999936</v>
      </c>
    </row>
    <row r="469" spans="1:14" x14ac:dyDescent="0.2">
      <c r="A469" s="73" t="s">
        <v>512</v>
      </c>
      <c r="B469" s="3">
        <f t="shared" si="28"/>
        <v>2025</v>
      </c>
      <c r="C469" s="3">
        <f t="shared" si="29"/>
        <v>3</v>
      </c>
      <c r="D469" s="73" t="s">
        <v>300</v>
      </c>
      <c r="E469" s="2"/>
      <c r="F469" s="2" t="s">
        <v>321</v>
      </c>
      <c r="G469" s="2" t="s">
        <v>328</v>
      </c>
      <c r="H469" s="2" t="s">
        <v>319</v>
      </c>
      <c r="I469" s="2" t="s">
        <v>315</v>
      </c>
      <c r="J469" s="2" t="s">
        <v>23</v>
      </c>
      <c r="K469" s="72"/>
      <c r="L469" s="39">
        <v>18447</v>
      </c>
      <c r="M469" s="72">
        <f t="shared" si="30"/>
        <v>18447</v>
      </c>
      <c r="N469" s="72">
        <f t="shared" si="31"/>
        <v>532896.9999999993</v>
      </c>
    </row>
    <row r="470" spans="1:14" x14ac:dyDescent="0.2">
      <c r="A470" s="73" t="s">
        <v>512</v>
      </c>
      <c r="B470" s="3">
        <f t="shared" si="28"/>
        <v>2025</v>
      </c>
      <c r="C470" s="3">
        <f t="shared" si="29"/>
        <v>3</v>
      </c>
      <c r="D470" s="73" t="s">
        <v>300</v>
      </c>
      <c r="E470" s="2"/>
      <c r="F470" s="2" t="s">
        <v>299</v>
      </c>
      <c r="G470" s="2"/>
      <c r="H470" s="2" t="s">
        <v>298</v>
      </c>
      <c r="I470" s="2" t="s">
        <v>297</v>
      </c>
      <c r="J470" s="2" t="s">
        <v>296</v>
      </c>
      <c r="K470" s="72">
        <v>32927</v>
      </c>
      <c r="L470" s="39"/>
      <c r="M470" s="72">
        <f t="shared" si="30"/>
        <v>-32927</v>
      </c>
      <c r="N470" s="72">
        <f t="shared" si="31"/>
        <v>499969.9999999993</v>
      </c>
    </row>
    <row r="471" spans="1:14" x14ac:dyDescent="0.2">
      <c r="A471" s="73" t="s">
        <v>513</v>
      </c>
      <c r="B471" s="3">
        <f t="shared" si="28"/>
        <v>2025</v>
      </c>
      <c r="C471" s="3">
        <f t="shared" si="29"/>
        <v>3</v>
      </c>
      <c r="D471" s="73" t="s">
        <v>300</v>
      </c>
      <c r="E471" s="2"/>
      <c r="F471" s="2" t="s">
        <v>321</v>
      </c>
      <c r="G471" s="2" t="s">
        <v>328</v>
      </c>
      <c r="H471" s="2" t="s">
        <v>319</v>
      </c>
      <c r="I471" s="2" t="s">
        <v>315</v>
      </c>
      <c r="J471" s="2" t="s">
        <v>23</v>
      </c>
      <c r="K471" s="72"/>
      <c r="L471" s="39">
        <v>22880</v>
      </c>
      <c r="M471" s="72">
        <f t="shared" si="30"/>
        <v>22880</v>
      </c>
      <c r="N471" s="72">
        <f t="shared" si="31"/>
        <v>522849.9999999993</v>
      </c>
    </row>
    <row r="472" spans="1:14" x14ac:dyDescent="0.2">
      <c r="A472" s="73" t="s">
        <v>513</v>
      </c>
      <c r="B472" s="3">
        <f t="shared" si="28"/>
        <v>2025</v>
      </c>
      <c r="C472" s="3">
        <f t="shared" si="29"/>
        <v>3</v>
      </c>
      <c r="D472" s="73" t="s">
        <v>300</v>
      </c>
      <c r="E472" s="2"/>
      <c r="F472" s="2" t="s">
        <v>325</v>
      </c>
      <c r="G472" s="2" t="s">
        <v>361</v>
      </c>
      <c r="H472" s="2" t="s">
        <v>323</v>
      </c>
      <c r="I472" s="2" t="s">
        <v>316</v>
      </c>
      <c r="J472" s="2" t="s">
        <v>28</v>
      </c>
      <c r="K472" s="72">
        <v>287.38</v>
      </c>
      <c r="L472" s="39"/>
      <c r="M472" s="72">
        <f t="shared" si="30"/>
        <v>-287.38</v>
      </c>
      <c r="N472" s="72">
        <f t="shared" si="31"/>
        <v>522562.6199999993</v>
      </c>
    </row>
    <row r="473" spans="1:14" x14ac:dyDescent="0.2">
      <c r="A473" s="73" t="s">
        <v>513</v>
      </c>
      <c r="B473" s="3">
        <f t="shared" si="28"/>
        <v>2025</v>
      </c>
      <c r="C473" s="3">
        <f t="shared" si="29"/>
        <v>3</v>
      </c>
      <c r="D473" s="73" t="s">
        <v>300</v>
      </c>
      <c r="E473" s="2"/>
      <c r="F473" s="2" t="s">
        <v>321</v>
      </c>
      <c r="G473" s="2" t="s">
        <v>322</v>
      </c>
      <c r="H473" s="2" t="s">
        <v>319</v>
      </c>
      <c r="I473" s="2" t="s">
        <v>315</v>
      </c>
      <c r="J473" s="2" t="s">
        <v>23</v>
      </c>
      <c r="K473" s="72"/>
      <c r="L473" s="39">
        <v>5250</v>
      </c>
      <c r="M473" s="72">
        <f t="shared" si="30"/>
        <v>5250</v>
      </c>
      <c r="N473" s="72">
        <f t="shared" si="31"/>
        <v>527812.6199999993</v>
      </c>
    </row>
    <row r="474" spans="1:14" x14ac:dyDescent="0.2">
      <c r="A474" s="73" t="s">
        <v>513</v>
      </c>
      <c r="B474" s="3">
        <f t="shared" si="28"/>
        <v>2025</v>
      </c>
      <c r="C474" s="3">
        <f t="shared" si="29"/>
        <v>3</v>
      </c>
      <c r="D474" s="73" t="s">
        <v>300</v>
      </c>
      <c r="E474" s="2"/>
      <c r="F474" s="2" t="s">
        <v>325</v>
      </c>
      <c r="G474" s="2" t="s">
        <v>383</v>
      </c>
      <c r="H474" s="2" t="s">
        <v>323</v>
      </c>
      <c r="I474" s="2" t="s">
        <v>316</v>
      </c>
      <c r="J474" s="2" t="s">
        <v>28</v>
      </c>
      <c r="K474" s="72">
        <v>269.18</v>
      </c>
      <c r="L474" s="39"/>
      <c r="M474" s="72">
        <f t="shared" si="30"/>
        <v>-269.18</v>
      </c>
      <c r="N474" s="72">
        <f t="shared" si="31"/>
        <v>527543.43999999925</v>
      </c>
    </row>
    <row r="475" spans="1:14" x14ac:dyDescent="0.2">
      <c r="A475" s="73" t="s">
        <v>513</v>
      </c>
      <c r="B475" s="3">
        <f t="shared" si="28"/>
        <v>2025</v>
      </c>
      <c r="C475" s="3">
        <f t="shared" si="29"/>
        <v>3</v>
      </c>
      <c r="D475" s="73" t="s">
        <v>300</v>
      </c>
      <c r="E475" s="2"/>
      <c r="F475" s="2" t="s">
        <v>304</v>
      </c>
      <c r="G475" s="2" t="s">
        <v>306</v>
      </c>
      <c r="H475" s="2" t="s">
        <v>516</v>
      </c>
      <c r="I475" s="2" t="s">
        <v>301</v>
      </c>
      <c r="J475" s="2" t="s">
        <v>20</v>
      </c>
      <c r="K475" s="72">
        <v>39113.360000000001</v>
      </c>
      <c r="L475" s="39"/>
      <c r="M475" s="72">
        <f t="shared" si="30"/>
        <v>-39113.360000000001</v>
      </c>
      <c r="N475" s="72">
        <f t="shared" si="31"/>
        <v>488430.07999999926</v>
      </c>
    </row>
    <row r="476" spans="1:14" x14ac:dyDescent="0.2">
      <c r="A476" s="73" t="s">
        <v>513</v>
      </c>
      <c r="B476" s="3">
        <f t="shared" si="28"/>
        <v>2025</v>
      </c>
      <c r="C476" s="3">
        <f t="shared" si="29"/>
        <v>3</v>
      </c>
      <c r="D476" s="73" t="s">
        <v>300</v>
      </c>
      <c r="E476" s="2"/>
      <c r="F476" s="2" t="s">
        <v>304</v>
      </c>
      <c r="G476" s="2" t="s">
        <v>306</v>
      </c>
      <c r="H476" s="2" t="s">
        <v>516</v>
      </c>
      <c r="I476" s="2" t="s">
        <v>301</v>
      </c>
      <c r="J476" s="2" t="s">
        <v>24</v>
      </c>
      <c r="K476" s="72">
        <v>69965</v>
      </c>
      <c r="L476" s="39"/>
      <c r="M476" s="72">
        <f t="shared" si="30"/>
        <v>-69965</v>
      </c>
      <c r="N476" s="72">
        <f t="shared" si="31"/>
        <v>418465.07999999926</v>
      </c>
    </row>
    <row r="477" spans="1:14" x14ac:dyDescent="0.2">
      <c r="A477" s="73" t="s">
        <v>513</v>
      </c>
      <c r="B477" s="3">
        <f t="shared" si="28"/>
        <v>2025</v>
      </c>
      <c r="C477" s="3">
        <f t="shared" si="29"/>
        <v>3</v>
      </c>
      <c r="D477" s="73" t="s">
        <v>300</v>
      </c>
      <c r="E477" s="2"/>
      <c r="F477" s="2" t="s">
        <v>304</v>
      </c>
      <c r="G477" s="2" t="s">
        <v>306</v>
      </c>
      <c r="H477" s="2" t="s">
        <v>516</v>
      </c>
      <c r="I477" s="2" t="s">
        <v>301</v>
      </c>
      <c r="J477" s="2" t="s">
        <v>11</v>
      </c>
      <c r="K477" s="72">
        <v>937</v>
      </c>
      <c r="L477" s="39"/>
      <c r="M477" s="72">
        <f t="shared" si="30"/>
        <v>-937</v>
      </c>
      <c r="N477" s="72">
        <f t="shared" si="31"/>
        <v>417528.07999999926</v>
      </c>
    </row>
    <row r="478" spans="1:14" x14ac:dyDescent="0.2">
      <c r="A478" s="73" t="s">
        <v>513</v>
      </c>
      <c r="B478" s="3">
        <f t="shared" si="28"/>
        <v>2025</v>
      </c>
      <c r="C478" s="3">
        <f t="shared" si="29"/>
        <v>3</v>
      </c>
      <c r="D478" s="73" t="s">
        <v>300</v>
      </c>
      <c r="E478" s="2"/>
      <c r="F478" s="2" t="s">
        <v>321</v>
      </c>
      <c r="G478" s="2" t="s">
        <v>348</v>
      </c>
      <c r="H478" s="2" t="s">
        <v>319</v>
      </c>
      <c r="I478" s="2" t="s">
        <v>315</v>
      </c>
      <c r="J478" s="2" t="s">
        <v>23</v>
      </c>
      <c r="K478" s="72"/>
      <c r="L478" s="39">
        <v>12400</v>
      </c>
      <c r="M478" s="72">
        <f t="shared" si="30"/>
        <v>12400</v>
      </c>
      <c r="N478" s="72">
        <f t="shared" si="31"/>
        <v>429928.07999999926</v>
      </c>
    </row>
    <row r="479" spans="1:14" x14ac:dyDescent="0.2">
      <c r="A479" s="73" t="s">
        <v>513</v>
      </c>
      <c r="B479" s="3">
        <f t="shared" si="28"/>
        <v>2025</v>
      </c>
      <c r="C479" s="3">
        <f t="shared" si="29"/>
        <v>3</v>
      </c>
      <c r="D479" s="73" t="s">
        <v>300</v>
      </c>
      <c r="E479" s="2"/>
      <c r="F479" s="2" t="s">
        <v>299</v>
      </c>
      <c r="G479" s="2"/>
      <c r="H479" s="2" t="s">
        <v>298</v>
      </c>
      <c r="I479" s="2" t="s">
        <v>297</v>
      </c>
      <c r="J479" s="2" t="s">
        <v>296</v>
      </c>
      <c r="K479" s="72"/>
      <c r="L479" s="39">
        <v>70041.919999999998</v>
      </c>
      <c r="M479" s="72">
        <f t="shared" si="30"/>
        <v>70041.919999999998</v>
      </c>
      <c r="N479" s="72">
        <f t="shared" si="31"/>
        <v>499969.99999999924</v>
      </c>
    </row>
    <row r="480" spans="1:14" x14ac:dyDescent="0.2">
      <c r="A480" s="73" t="s">
        <v>514</v>
      </c>
      <c r="B480" s="3">
        <f t="shared" si="28"/>
        <v>2025</v>
      </c>
      <c r="C480" s="3">
        <f t="shared" si="29"/>
        <v>3</v>
      </c>
      <c r="D480" s="73" t="s">
        <v>300</v>
      </c>
      <c r="E480" s="2"/>
      <c r="F480" s="2" t="s">
        <v>309</v>
      </c>
      <c r="G480" s="2" t="s">
        <v>308</v>
      </c>
      <c r="H480" s="2" t="s">
        <v>307</v>
      </c>
      <c r="I480" s="2" t="s">
        <v>297</v>
      </c>
      <c r="J480" s="2" t="s">
        <v>48</v>
      </c>
      <c r="K480" s="72"/>
      <c r="L480" s="39">
        <v>8145.22</v>
      </c>
      <c r="M480" s="72">
        <f t="shared" si="30"/>
        <v>8145.22</v>
      </c>
      <c r="N480" s="72">
        <f t="shared" si="31"/>
        <v>508115.21999999922</v>
      </c>
    </row>
    <row r="481" spans="1:14" x14ac:dyDescent="0.2">
      <c r="A481" s="73" t="s">
        <v>514</v>
      </c>
      <c r="B481" s="3">
        <f t="shared" si="28"/>
        <v>2025</v>
      </c>
      <c r="C481" s="3">
        <f t="shared" si="29"/>
        <v>3</v>
      </c>
      <c r="D481" s="73" t="s">
        <v>300</v>
      </c>
      <c r="E481" s="2"/>
      <c r="F481" s="2" t="s">
        <v>304</v>
      </c>
      <c r="G481" s="2" t="s">
        <v>306</v>
      </c>
      <c r="H481" s="2" t="s">
        <v>516</v>
      </c>
      <c r="I481" s="2" t="s">
        <v>301</v>
      </c>
      <c r="J481" s="2" t="s">
        <v>19</v>
      </c>
      <c r="K481" s="72">
        <v>317.11</v>
      </c>
      <c r="L481" s="39"/>
      <c r="M481" s="72">
        <f t="shared" si="30"/>
        <v>-317.11</v>
      </c>
      <c r="N481" s="72">
        <f t="shared" si="31"/>
        <v>507798.10999999923</v>
      </c>
    </row>
    <row r="482" spans="1:14" x14ac:dyDescent="0.2">
      <c r="A482" s="73" t="s">
        <v>514</v>
      </c>
      <c r="B482" s="3">
        <f t="shared" si="28"/>
        <v>2025</v>
      </c>
      <c r="C482" s="3">
        <f t="shared" si="29"/>
        <v>3</v>
      </c>
      <c r="D482" s="73" t="s">
        <v>300</v>
      </c>
      <c r="E482" s="2"/>
      <c r="F482" s="2" t="s">
        <v>321</v>
      </c>
      <c r="G482" s="2" t="s">
        <v>10</v>
      </c>
      <c r="H482" s="2" t="s">
        <v>319</v>
      </c>
      <c r="I482" s="2" t="s">
        <v>315</v>
      </c>
      <c r="J482" s="2" t="s">
        <v>23</v>
      </c>
      <c r="K482" s="72"/>
      <c r="L482" s="39">
        <v>4200</v>
      </c>
      <c r="M482" s="72">
        <f t="shared" si="30"/>
        <v>4200</v>
      </c>
      <c r="N482" s="72">
        <f t="shared" si="31"/>
        <v>511998.10999999923</v>
      </c>
    </row>
    <row r="483" spans="1:14" x14ac:dyDescent="0.2">
      <c r="A483" s="73" t="s">
        <v>514</v>
      </c>
      <c r="B483" s="3">
        <f t="shared" si="28"/>
        <v>2025</v>
      </c>
      <c r="C483" s="3">
        <f t="shared" si="29"/>
        <v>3</v>
      </c>
      <c r="D483" s="73" t="s">
        <v>300</v>
      </c>
      <c r="E483" s="2"/>
      <c r="F483" s="2" t="s">
        <v>325</v>
      </c>
      <c r="G483" s="2" t="s">
        <v>337</v>
      </c>
      <c r="H483" s="2" t="s">
        <v>323</v>
      </c>
      <c r="I483" s="2" t="s">
        <v>316</v>
      </c>
      <c r="J483" s="2" t="s">
        <v>22</v>
      </c>
      <c r="K483" s="72">
        <v>269.10000000000002</v>
      </c>
      <c r="L483" s="39"/>
      <c r="M483" s="72">
        <f t="shared" si="30"/>
        <v>-269.10000000000002</v>
      </c>
      <c r="N483" s="72">
        <f t="shared" si="31"/>
        <v>511729.00999999925</v>
      </c>
    </row>
    <row r="484" spans="1:14" x14ac:dyDescent="0.2">
      <c r="A484" s="90" t="s">
        <v>514</v>
      </c>
      <c r="B484" s="91">
        <f t="shared" si="28"/>
        <v>2025</v>
      </c>
      <c r="C484" s="91">
        <f t="shared" si="29"/>
        <v>3</v>
      </c>
      <c r="D484" s="90" t="s">
        <v>300</v>
      </c>
      <c r="E484" s="92"/>
      <c r="F484" s="92" t="s">
        <v>299</v>
      </c>
      <c r="G484" s="92"/>
      <c r="H484" s="92" t="s">
        <v>298</v>
      </c>
      <c r="I484" s="92" t="s">
        <v>297</v>
      </c>
      <c r="J484" s="92" t="s">
        <v>296</v>
      </c>
      <c r="K484" s="80">
        <v>11729.01</v>
      </c>
      <c r="L484" s="93"/>
      <c r="M484" s="80">
        <f t="shared" si="30"/>
        <v>-11729.01</v>
      </c>
      <c r="N484" s="80">
        <f t="shared" si="31"/>
        <v>499999.99999999924</v>
      </c>
    </row>
    <row r="485" spans="1:14" x14ac:dyDescent="0.2">
      <c r="A485" s="73" t="s">
        <v>529</v>
      </c>
      <c r="B485" s="3">
        <f t="shared" si="28"/>
        <v>2025</v>
      </c>
      <c r="C485" s="3">
        <f t="shared" si="29"/>
        <v>4</v>
      </c>
      <c r="D485" s="73" t="s">
        <v>300</v>
      </c>
      <c r="E485" s="2"/>
      <c r="F485" s="2" t="s">
        <v>304</v>
      </c>
      <c r="G485" s="2" t="s">
        <v>336</v>
      </c>
      <c r="H485" s="2" t="s">
        <v>335</v>
      </c>
      <c r="I485" s="2" t="s">
        <v>301</v>
      </c>
      <c r="J485" s="2" t="s">
        <v>11</v>
      </c>
      <c r="K485" s="72">
        <v>40.03</v>
      </c>
      <c r="L485" s="39"/>
      <c r="M485" s="72">
        <f t="shared" si="30"/>
        <v>-40.03</v>
      </c>
      <c r="N485" s="72">
        <f t="shared" si="31"/>
        <v>499959.96999999922</v>
      </c>
    </row>
    <row r="486" spans="1:14" x14ac:dyDescent="0.2">
      <c r="A486" s="73" t="s">
        <v>529</v>
      </c>
      <c r="B486" s="3">
        <f t="shared" si="28"/>
        <v>2025</v>
      </c>
      <c r="C486" s="3">
        <f t="shared" si="29"/>
        <v>4</v>
      </c>
      <c r="D486" s="73" t="s">
        <v>300</v>
      </c>
      <c r="E486" s="2"/>
      <c r="F486" s="2" t="s">
        <v>314</v>
      </c>
      <c r="G486" s="2" t="s">
        <v>0</v>
      </c>
      <c r="H486" s="2" t="s">
        <v>313</v>
      </c>
      <c r="I486" s="2" t="s">
        <v>312</v>
      </c>
      <c r="J486" s="2" t="s">
        <v>0</v>
      </c>
      <c r="K486" s="72">
        <v>1222.92</v>
      </c>
      <c r="L486" s="39"/>
      <c r="M486" s="72">
        <f t="shared" si="30"/>
        <v>-1222.92</v>
      </c>
      <c r="N486" s="72">
        <f t="shared" si="31"/>
        <v>498737.04999999923</v>
      </c>
    </row>
    <row r="487" spans="1:14" x14ac:dyDescent="0.2">
      <c r="A487" s="73" t="s">
        <v>529</v>
      </c>
      <c r="B487" s="3">
        <f t="shared" si="28"/>
        <v>2025</v>
      </c>
      <c r="C487" s="3">
        <f t="shared" si="29"/>
        <v>4</v>
      </c>
      <c r="D487" s="73" t="s">
        <v>300</v>
      </c>
      <c r="E487" s="2"/>
      <c r="F487" s="2" t="s">
        <v>309</v>
      </c>
      <c r="G487" s="2" t="s">
        <v>12</v>
      </c>
      <c r="H487" s="2" t="s">
        <v>346</v>
      </c>
      <c r="I487" s="2" t="s">
        <v>315</v>
      </c>
      <c r="J487" s="2" t="s">
        <v>23</v>
      </c>
      <c r="K487" s="72"/>
      <c r="L487" s="39">
        <v>1500</v>
      </c>
      <c r="M487" s="72">
        <f t="shared" si="30"/>
        <v>1500</v>
      </c>
      <c r="N487" s="72">
        <f t="shared" si="31"/>
        <v>500237.04999999923</v>
      </c>
    </row>
    <row r="488" spans="1:14" x14ac:dyDescent="0.2">
      <c r="A488" s="73" t="s">
        <v>529</v>
      </c>
      <c r="B488" s="3">
        <f t="shared" si="28"/>
        <v>2025</v>
      </c>
      <c r="C488" s="3">
        <f t="shared" si="29"/>
        <v>4</v>
      </c>
      <c r="D488" s="73" t="s">
        <v>300</v>
      </c>
      <c r="E488" s="2"/>
      <c r="F488" s="2" t="s">
        <v>309</v>
      </c>
      <c r="G488" s="2" t="s">
        <v>311</v>
      </c>
      <c r="H488" s="2" t="s">
        <v>310</v>
      </c>
      <c r="I488" s="2" t="s">
        <v>301</v>
      </c>
      <c r="J488" s="2" t="s">
        <v>11</v>
      </c>
      <c r="K488" s="72"/>
      <c r="L488" s="39">
        <v>84.37</v>
      </c>
      <c r="M488" s="72">
        <f t="shared" si="30"/>
        <v>84.37</v>
      </c>
      <c r="N488" s="72">
        <f t="shared" si="31"/>
        <v>500321.41999999923</v>
      </c>
    </row>
    <row r="489" spans="1:14" x14ac:dyDescent="0.2">
      <c r="A489" s="73" t="s">
        <v>529</v>
      </c>
      <c r="B489" s="3">
        <f t="shared" si="28"/>
        <v>2025</v>
      </c>
      <c r="C489" s="3">
        <f t="shared" si="29"/>
        <v>4</v>
      </c>
      <c r="D489" s="73" t="s">
        <v>300</v>
      </c>
      <c r="E489" s="2"/>
      <c r="F489" s="2" t="s">
        <v>325</v>
      </c>
      <c r="G489" s="2" t="s">
        <v>324</v>
      </c>
      <c r="H489" s="2" t="s">
        <v>323</v>
      </c>
      <c r="I489" s="2" t="s">
        <v>316</v>
      </c>
      <c r="J489" s="2" t="s">
        <v>17</v>
      </c>
      <c r="K489" s="72">
        <v>1788</v>
      </c>
      <c r="L489" s="39"/>
      <c r="M489" s="72">
        <f t="shared" si="30"/>
        <v>-1788</v>
      </c>
      <c r="N489" s="72">
        <f t="shared" si="31"/>
        <v>498533.41999999923</v>
      </c>
    </row>
    <row r="490" spans="1:14" x14ac:dyDescent="0.2">
      <c r="A490" s="73" t="s">
        <v>529</v>
      </c>
      <c r="B490" s="3">
        <f t="shared" si="28"/>
        <v>2025</v>
      </c>
      <c r="C490" s="3">
        <f t="shared" si="29"/>
        <v>4</v>
      </c>
      <c r="D490" s="73" t="s">
        <v>300</v>
      </c>
      <c r="E490" s="2"/>
      <c r="F490" s="2" t="s">
        <v>325</v>
      </c>
      <c r="G490" s="2" t="s">
        <v>324</v>
      </c>
      <c r="H490" s="2" t="s">
        <v>323</v>
      </c>
      <c r="I490" s="2" t="s">
        <v>316</v>
      </c>
      <c r="J490" s="2" t="s">
        <v>17</v>
      </c>
      <c r="K490" s="72">
        <v>2954.41</v>
      </c>
      <c r="L490" s="39"/>
      <c r="M490" s="72">
        <f t="shared" si="30"/>
        <v>-2954.41</v>
      </c>
      <c r="N490" s="72">
        <f t="shared" si="31"/>
        <v>495579.00999999925</v>
      </c>
    </row>
    <row r="491" spans="1:14" x14ac:dyDescent="0.2">
      <c r="A491" s="73" t="s">
        <v>529</v>
      </c>
      <c r="B491" s="3">
        <f t="shared" si="28"/>
        <v>2025</v>
      </c>
      <c r="C491" s="3">
        <f t="shared" si="29"/>
        <v>4</v>
      </c>
      <c r="D491" s="73" t="s">
        <v>300</v>
      </c>
      <c r="E491" s="2"/>
      <c r="F491" s="2" t="s">
        <v>321</v>
      </c>
      <c r="G491" s="2" t="s">
        <v>320</v>
      </c>
      <c r="H491" s="2" t="s">
        <v>319</v>
      </c>
      <c r="I491" s="2" t="s">
        <v>315</v>
      </c>
      <c r="J491" s="2" t="s">
        <v>23</v>
      </c>
      <c r="K491" s="72"/>
      <c r="L491" s="39">
        <v>38360</v>
      </c>
      <c r="M491" s="72">
        <f t="shared" si="30"/>
        <v>38360</v>
      </c>
      <c r="N491" s="72">
        <f t="shared" si="31"/>
        <v>533939.00999999931</v>
      </c>
    </row>
    <row r="492" spans="1:14" x14ac:dyDescent="0.2">
      <c r="A492" s="73" t="s">
        <v>529</v>
      </c>
      <c r="B492" s="3">
        <f t="shared" si="28"/>
        <v>2025</v>
      </c>
      <c r="C492" s="3">
        <f t="shared" si="29"/>
        <v>4</v>
      </c>
      <c r="D492" s="73" t="s">
        <v>300</v>
      </c>
      <c r="E492" s="2"/>
      <c r="F492" s="2" t="s">
        <v>304</v>
      </c>
      <c r="G492" s="2" t="s">
        <v>317</v>
      </c>
      <c r="H492" s="2" t="s">
        <v>349</v>
      </c>
      <c r="I492" s="2" t="s">
        <v>297</v>
      </c>
      <c r="J492" s="2" t="s">
        <v>26</v>
      </c>
      <c r="K492" s="72">
        <v>15</v>
      </c>
      <c r="L492" s="39"/>
      <c r="M492" s="72">
        <f t="shared" si="30"/>
        <v>-15</v>
      </c>
      <c r="N492" s="72">
        <f t="shared" si="31"/>
        <v>533924.00999999931</v>
      </c>
    </row>
    <row r="493" spans="1:14" x14ac:dyDescent="0.2">
      <c r="A493" s="73" t="s">
        <v>529</v>
      </c>
      <c r="B493" s="3">
        <f t="shared" si="28"/>
        <v>2025</v>
      </c>
      <c r="C493" s="3">
        <f t="shared" si="29"/>
        <v>4</v>
      </c>
      <c r="D493" s="73" t="s">
        <v>300</v>
      </c>
      <c r="E493" s="2"/>
      <c r="F493" s="2" t="s">
        <v>304</v>
      </c>
      <c r="G493" s="2" t="s">
        <v>344</v>
      </c>
      <c r="H493" s="2" t="s">
        <v>343</v>
      </c>
      <c r="I493" s="2" t="s">
        <v>301</v>
      </c>
      <c r="J493" s="2" t="s">
        <v>11</v>
      </c>
      <c r="K493" s="72">
        <v>14491.74</v>
      </c>
      <c r="L493" s="39"/>
      <c r="M493" s="72">
        <f t="shared" si="30"/>
        <v>-14491.74</v>
      </c>
      <c r="N493" s="72">
        <f t="shared" si="31"/>
        <v>519432.26999999932</v>
      </c>
    </row>
    <row r="494" spans="1:14" x14ac:dyDescent="0.2">
      <c r="A494" s="73" t="s">
        <v>529</v>
      </c>
      <c r="B494" s="3">
        <f t="shared" si="28"/>
        <v>2025</v>
      </c>
      <c r="C494" s="3">
        <f t="shared" si="29"/>
        <v>4</v>
      </c>
      <c r="D494" s="73" t="s">
        <v>300</v>
      </c>
      <c r="E494" s="2"/>
      <c r="F494" s="2" t="s">
        <v>304</v>
      </c>
      <c r="G494" s="2" t="s">
        <v>303</v>
      </c>
      <c r="H494" s="2" t="s">
        <v>302</v>
      </c>
      <c r="I494" s="2" t="s">
        <v>301</v>
      </c>
      <c r="J494" s="2" t="s">
        <v>11</v>
      </c>
      <c r="K494" s="72">
        <v>137.82</v>
      </c>
      <c r="L494" s="39"/>
      <c r="M494" s="72">
        <f t="shared" si="30"/>
        <v>-137.82</v>
      </c>
      <c r="N494" s="72">
        <f t="shared" si="31"/>
        <v>519294.44999999931</v>
      </c>
    </row>
    <row r="495" spans="1:14" x14ac:dyDescent="0.2">
      <c r="A495" s="73" t="s">
        <v>529</v>
      </c>
      <c r="B495" s="3">
        <f t="shared" si="28"/>
        <v>2025</v>
      </c>
      <c r="C495" s="3">
        <f t="shared" si="29"/>
        <v>4</v>
      </c>
      <c r="D495" s="73" t="s">
        <v>300</v>
      </c>
      <c r="E495" s="2"/>
      <c r="F495" s="2" t="s">
        <v>325</v>
      </c>
      <c r="G495" s="2" t="s">
        <v>347</v>
      </c>
      <c r="H495" s="2" t="s">
        <v>323</v>
      </c>
      <c r="I495" s="2" t="s">
        <v>316</v>
      </c>
      <c r="J495" s="2" t="s">
        <v>22</v>
      </c>
      <c r="K495" s="72">
        <v>10034.530000000001</v>
      </c>
      <c r="L495" s="39"/>
      <c r="M495" s="72">
        <f t="shared" si="30"/>
        <v>-10034.530000000001</v>
      </c>
      <c r="N495" s="72">
        <f t="shared" si="31"/>
        <v>509259.91999999929</v>
      </c>
    </row>
    <row r="496" spans="1:14" x14ac:dyDescent="0.2">
      <c r="A496" s="73" t="s">
        <v>529</v>
      </c>
      <c r="B496" s="3">
        <f t="shared" si="28"/>
        <v>2025</v>
      </c>
      <c r="C496" s="3">
        <f t="shared" si="29"/>
        <v>4</v>
      </c>
      <c r="D496" s="73" t="s">
        <v>300</v>
      </c>
      <c r="E496" s="2"/>
      <c r="F496" s="2" t="s">
        <v>299</v>
      </c>
      <c r="G496" s="2"/>
      <c r="H496" s="2" t="s">
        <v>298</v>
      </c>
      <c r="I496" s="2" t="s">
        <v>297</v>
      </c>
      <c r="J496" s="2" t="s">
        <v>296</v>
      </c>
      <c r="K496" s="72">
        <v>10482.84</v>
      </c>
      <c r="L496" s="39"/>
      <c r="M496" s="72">
        <f t="shared" si="30"/>
        <v>-10482.84</v>
      </c>
      <c r="N496" s="72">
        <f t="shared" si="31"/>
        <v>498777.07999999926</v>
      </c>
    </row>
    <row r="497" spans="1:14" x14ac:dyDescent="0.2">
      <c r="A497" s="73" t="s">
        <v>574</v>
      </c>
      <c r="B497" s="3">
        <f t="shared" si="28"/>
        <v>2025</v>
      </c>
      <c r="C497" s="3">
        <f t="shared" si="29"/>
        <v>4</v>
      </c>
      <c r="D497" s="73" t="s">
        <v>300</v>
      </c>
      <c r="E497" s="2"/>
      <c r="F497" s="2" t="s">
        <v>304</v>
      </c>
      <c r="G497" s="2" t="s">
        <v>336</v>
      </c>
      <c r="H497" s="2" t="s">
        <v>335</v>
      </c>
      <c r="I497" s="2" t="s">
        <v>301</v>
      </c>
      <c r="J497" s="2" t="s">
        <v>11</v>
      </c>
      <c r="K497" s="72">
        <v>149.1</v>
      </c>
      <c r="L497" s="39"/>
      <c r="M497" s="72">
        <f t="shared" si="30"/>
        <v>-149.1</v>
      </c>
      <c r="N497" s="72">
        <f t="shared" si="31"/>
        <v>498627.97999999928</v>
      </c>
    </row>
    <row r="498" spans="1:14" x14ac:dyDescent="0.2">
      <c r="A498" s="73" t="s">
        <v>574</v>
      </c>
      <c r="B498" s="3">
        <f t="shared" si="28"/>
        <v>2025</v>
      </c>
      <c r="C498" s="3">
        <f t="shared" si="29"/>
        <v>4</v>
      </c>
      <c r="D498" s="73" t="s">
        <v>300</v>
      </c>
      <c r="E498" s="2"/>
      <c r="F498" s="2" t="s">
        <v>304</v>
      </c>
      <c r="G498" s="2" t="s">
        <v>373</v>
      </c>
      <c r="H498" s="2" t="s">
        <v>372</v>
      </c>
      <c r="I498" s="2" t="s">
        <v>301</v>
      </c>
      <c r="J498" s="2" t="s">
        <v>11</v>
      </c>
      <c r="K498" s="72">
        <v>18179.86</v>
      </c>
      <c r="L498" s="39"/>
      <c r="M498" s="72">
        <f t="shared" si="30"/>
        <v>-18179.86</v>
      </c>
      <c r="N498" s="72">
        <f t="shared" si="31"/>
        <v>480448.1199999993</v>
      </c>
    </row>
    <row r="499" spans="1:14" x14ac:dyDescent="0.2">
      <c r="A499" s="73" t="s">
        <v>574</v>
      </c>
      <c r="B499" s="3">
        <f t="shared" si="28"/>
        <v>2025</v>
      </c>
      <c r="C499" s="3">
        <f t="shared" si="29"/>
        <v>4</v>
      </c>
      <c r="D499" s="73" t="s">
        <v>300</v>
      </c>
      <c r="E499" s="2"/>
      <c r="F499" s="2" t="s">
        <v>304</v>
      </c>
      <c r="G499" s="2" t="s">
        <v>385</v>
      </c>
      <c r="H499" s="2" t="s">
        <v>326</v>
      </c>
      <c r="I499" s="2" t="s">
        <v>316</v>
      </c>
      <c r="J499" s="2" t="s">
        <v>18</v>
      </c>
      <c r="K499" s="72">
        <v>3797</v>
      </c>
      <c r="L499" s="39"/>
      <c r="M499" s="72">
        <f t="shared" si="30"/>
        <v>-3797</v>
      </c>
      <c r="N499" s="72">
        <f t="shared" si="31"/>
        <v>476651.1199999993</v>
      </c>
    </row>
    <row r="500" spans="1:14" x14ac:dyDescent="0.2">
      <c r="A500" s="73" t="s">
        <v>574</v>
      </c>
      <c r="B500" s="3">
        <f t="shared" si="28"/>
        <v>2025</v>
      </c>
      <c r="C500" s="3">
        <f t="shared" si="29"/>
        <v>4</v>
      </c>
      <c r="D500" s="73" t="s">
        <v>300</v>
      </c>
      <c r="E500" s="2"/>
      <c r="F500" s="2" t="s">
        <v>304</v>
      </c>
      <c r="G500" s="2" t="s">
        <v>377</v>
      </c>
      <c r="H500" s="2" t="s">
        <v>376</v>
      </c>
      <c r="I500" s="2" t="s">
        <v>301</v>
      </c>
      <c r="J500" s="2" t="s">
        <v>11</v>
      </c>
      <c r="K500" s="72">
        <v>1097.31</v>
      </c>
      <c r="L500" s="39"/>
      <c r="M500" s="72">
        <f t="shared" si="30"/>
        <v>-1097.31</v>
      </c>
      <c r="N500" s="72">
        <f t="shared" si="31"/>
        <v>475553.8099999993</v>
      </c>
    </row>
    <row r="501" spans="1:14" x14ac:dyDescent="0.2">
      <c r="A501" s="73" t="s">
        <v>574</v>
      </c>
      <c r="B501" s="3">
        <f t="shared" si="28"/>
        <v>2025</v>
      </c>
      <c r="C501" s="3">
        <f t="shared" si="29"/>
        <v>4</v>
      </c>
      <c r="D501" s="73" t="s">
        <v>300</v>
      </c>
      <c r="E501" s="2"/>
      <c r="F501" s="2" t="s">
        <v>299</v>
      </c>
      <c r="G501" s="2"/>
      <c r="H501" s="2" t="s">
        <v>298</v>
      </c>
      <c r="I501" s="2" t="s">
        <v>297</v>
      </c>
      <c r="J501" s="2" t="s">
        <v>296</v>
      </c>
      <c r="K501" s="72"/>
      <c r="L501" s="39">
        <v>24446.19</v>
      </c>
      <c r="M501" s="72">
        <f t="shared" si="30"/>
        <v>24446.19</v>
      </c>
      <c r="N501" s="72">
        <f t="shared" si="31"/>
        <v>499999.9999999993</v>
      </c>
    </row>
    <row r="502" spans="1:14" x14ac:dyDescent="0.2">
      <c r="A502" s="73" t="s">
        <v>575</v>
      </c>
      <c r="B502" s="3">
        <f t="shared" si="28"/>
        <v>2025</v>
      </c>
      <c r="C502" s="3">
        <f t="shared" si="29"/>
        <v>4</v>
      </c>
      <c r="D502" s="73" t="s">
        <v>300</v>
      </c>
      <c r="E502" s="2"/>
      <c r="F502" s="2" t="s">
        <v>321</v>
      </c>
      <c r="G502" s="2" t="s">
        <v>328</v>
      </c>
      <c r="H502" s="2" t="s">
        <v>319</v>
      </c>
      <c r="I502" s="2" t="s">
        <v>315</v>
      </c>
      <c r="J502" s="2" t="s">
        <v>23</v>
      </c>
      <c r="K502" s="72"/>
      <c r="L502" s="39">
        <v>22880</v>
      </c>
      <c r="M502" s="72">
        <f t="shared" si="30"/>
        <v>22880</v>
      </c>
      <c r="N502" s="72">
        <f t="shared" si="31"/>
        <v>522879.9999999993</v>
      </c>
    </row>
    <row r="503" spans="1:14" x14ac:dyDescent="0.2">
      <c r="A503" s="73" t="s">
        <v>575</v>
      </c>
      <c r="B503" s="3">
        <f t="shared" si="28"/>
        <v>2025</v>
      </c>
      <c r="C503" s="3">
        <f t="shared" si="29"/>
        <v>4</v>
      </c>
      <c r="D503" s="73" t="s">
        <v>300</v>
      </c>
      <c r="E503" s="2"/>
      <c r="F503" s="2" t="s">
        <v>299</v>
      </c>
      <c r="G503" s="2"/>
      <c r="H503" s="2" t="s">
        <v>298</v>
      </c>
      <c r="I503" s="2" t="s">
        <v>297</v>
      </c>
      <c r="J503" s="2" t="s">
        <v>296</v>
      </c>
      <c r="K503" s="72">
        <v>22880</v>
      </c>
      <c r="L503" s="39"/>
      <c r="M503" s="72">
        <f t="shared" si="30"/>
        <v>-22880</v>
      </c>
      <c r="N503" s="72">
        <f t="shared" si="31"/>
        <v>499999.9999999993</v>
      </c>
    </row>
    <row r="504" spans="1:14" x14ac:dyDescent="0.2">
      <c r="A504" s="73" t="s">
        <v>576</v>
      </c>
      <c r="B504" s="3">
        <f t="shared" si="28"/>
        <v>2025</v>
      </c>
      <c r="C504" s="3">
        <f t="shared" si="29"/>
        <v>4</v>
      </c>
      <c r="D504" s="73" t="s">
        <v>300</v>
      </c>
      <c r="E504" s="2"/>
      <c r="F504" s="2" t="s">
        <v>321</v>
      </c>
      <c r="G504" s="2" t="s">
        <v>329</v>
      </c>
      <c r="H504" s="2" t="s">
        <v>319</v>
      </c>
      <c r="I504" s="2" t="s">
        <v>315</v>
      </c>
      <c r="J504" s="2" t="s">
        <v>23</v>
      </c>
      <c r="K504" s="72"/>
      <c r="L504" s="39">
        <v>24777.599999999999</v>
      </c>
      <c r="M504" s="72">
        <f t="shared" si="30"/>
        <v>24777.599999999999</v>
      </c>
      <c r="N504" s="72">
        <f t="shared" si="31"/>
        <v>524777.59999999928</v>
      </c>
    </row>
    <row r="505" spans="1:14" x14ac:dyDescent="0.2">
      <c r="A505" s="73" t="s">
        <v>576</v>
      </c>
      <c r="B505" s="3">
        <f t="shared" si="28"/>
        <v>2025</v>
      </c>
      <c r="C505" s="3">
        <f t="shared" si="29"/>
        <v>4</v>
      </c>
      <c r="D505" s="73" t="s">
        <v>300</v>
      </c>
      <c r="E505" s="2"/>
      <c r="F505" s="2" t="s">
        <v>299</v>
      </c>
      <c r="G505" s="2"/>
      <c r="H505" s="2" t="s">
        <v>298</v>
      </c>
      <c r="I505" s="2" t="s">
        <v>297</v>
      </c>
      <c r="J505" s="2" t="s">
        <v>296</v>
      </c>
      <c r="K505" s="72">
        <v>24777.599999999999</v>
      </c>
      <c r="L505" s="39"/>
      <c r="M505" s="72">
        <f t="shared" si="30"/>
        <v>-24777.599999999999</v>
      </c>
      <c r="N505" s="72">
        <f t="shared" si="31"/>
        <v>499999.9999999993</v>
      </c>
    </row>
    <row r="506" spans="1:14" x14ac:dyDescent="0.2">
      <c r="A506" s="73" t="s">
        <v>577</v>
      </c>
      <c r="B506" s="3">
        <f t="shared" si="28"/>
        <v>2025</v>
      </c>
      <c r="C506" s="3">
        <f t="shared" si="29"/>
        <v>4</v>
      </c>
      <c r="D506" s="73" t="s">
        <v>300</v>
      </c>
      <c r="E506" s="2"/>
      <c r="F506" s="2" t="s">
        <v>304</v>
      </c>
      <c r="G506" s="2" t="s">
        <v>336</v>
      </c>
      <c r="H506" s="2" t="s">
        <v>335</v>
      </c>
      <c r="I506" s="2" t="s">
        <v>301</v>
      </c>
      <c r="J506" s="2" t="s">
        <v>11</v>
      </c>
      <c r="K506" s="72">
        <v>25</v>
      </c>
      <c r="L506" s="39"/>
      <c r="M506" s="72">
        <f t="shared" si="30"/>
        <v>-25</v>
      </c>
      <c r="N506" s="72">
        <f t="shared" si="31"/>
        <v>499974.9999999993</v>
      </c>
    </row>
    <row r="507" spans="1:14" x14ac:dyDescent="0.2">
      <c r="A507" s="73" t="s">
        <v>577</v>
      </c>
      <c r="B507" s="3">
        <f t="shared" si="28"/>
        <v>2025</v>
      </c>
      <c r="C507" s="3">
        <f t="shared" si="29"/>
        <v>4</v>
      </c>
      <c r="D507" s="73" t="s">
        <v>300</v>
      </c>
      <c r="E507" s="2"/>
      <c r="F507" s="2" t="s">
        <v>325</v>
      </c>
      <c r="G507" s="2" t="s">
        <v>393</v>
      </c>
      <c r="H507" s="2" t="s">
        <v>323</v>
      </c>
      <c r="I507" s="2" t="s">
        <v>316</v>
      </c>
      <c r="J507" s="2" t="s">
        <v>22</v>
      </c>
      <c r="K507" s="72">
        <v>228.65</v>
      </c>
      <c r="L507" s="39"/>
      <c r="M507" s="72">
        <f t="shared" si="30"/>
        <v>-228.65</v>
      </c>
      <c r="N507" s="72">
        <f t="shared" si="31"/>
        <v>499746.34999999928</v>
      </c>
    </row>
    <row r="508" spans="1:14" x14ac:dyDescent="0.2">
      <c r="A508" s="73" t="s">
        <v>577</v>
      </c>
      <c r="B508" s="3">
        <f t="shared" si="28"/>
        <v>2025</v>
      </c>
      <c r="C508" s="3">
        <f t="shared" si="29"/>
        <v>4</v>
      </c>
      <c r="D508" s="73" t="s">
        <v>300</v>
      </c>
      <c r="E508" s="2"/>
      <c r="F508" s="2" t="s">
        <v>299</v>
      </c>
      <c r="G508" s="2"/>
      <c r="H508" s="2" t="s">
        <v>298</v>
      </c>
      <c r="I508" s="2" t="s">
        <v>297</v>
      </c>
      <c r="J508" s="2" t="s">
        <v>296</v>
      </c>
      <c r="K508" s="72"/>
      <c r="L508" s="39">
        <v>253.65</v>
      </c>
      <c r="M508" s="72">
        <f t="shared" si="30"/>
        <v>253.65</v>
      </c>
      <c r="N508" s="72">
        <f t="shared" si="31"/>
        <v>499999.9999999993</v>
      </c>
    </row>
    <row r="509" spans="1:14" x14ac:dyDescent="0.2">
      <c r="A509" s="73" t="s">
        <v>578</v>
      </c>
      <c r="B509" s="3">
        <f t="shared" si="28"/>
        <v>2025</v>
      </c>
      <c r="C509" s="3">
        <f t="shared" si="29"/>
        <v>4</v>
      </c>
      <c r="D509" s="73" t="s">
        <v>300</v>
      </c>
      <c r="E509" s="2" t="s">
        <v>628</v>
      </c>
      <c r="F509" s="2" t="s">
        <v>325</v>
      </c>
      <c r="G509" s="2" t="s">
        <v>369</v>
      </c>
      <c r="H509" s="2" t="s">
        <v>323</v>
      </c>
      <c r="I509" s="2" t="s">
        <v>316</v>
      </c>
      <c r="J509" s="2" t="s">
        <v>360</v>
      </c>
      <c r="K509" s="72">
        <v>2460</v>
      </c>
      <c r="L509" s="39"/>
      <c r="M509" s="72">
        <f t="shared" si="30"/>
        <v>-2460</v>
      </c>
      <c r="N509" s="72">
        <f t="shared" si="31"/>
        <v>497539.9999999993</v>
      </c>
    </row>
    <row r="510" spans="1:14" x14ac:dyDescent="0.2">
      <c r="A510" s="73" t="s">
        <v>578</v>
      </c>
      <c r="B510" s="3">
        <f t="shared" si="28"/>
        <v>2025</v>
      </c>
      <c r="C510" s="3">
        <f t="shared" si="29"/>
        <v>4</v>
      </c>
      <c r="D510" s="73" t="s">
        <v>300</v>
      </c>
      <c r="E510" s="2" t="s">
        <v>631</v>
      </c>
      <c r="F510" s="2" t="s">
        <v>325</v>
      </c>
      <c r="G510" s="2" t="s">
        <v>369</v>
      </c>
      <c r="H510" s="2" t="s">
        <v>323</v>
      </c>
      <c r="I510" s="2" t="s">
        <v>316</v>
      </c>
      <c r="J510" s="2" t="s">
        <v>360</v>
      </c>
      <c r="K510" s="72">
        <v>1150</v>
      </c>
      <c r="L510" s="39"/>
      <c r="M510" s="72">
        <f t="shared" si="30"/>
        <v>-1150</v>
      </c>
      <c r="N510" s="72">
        <f t="shared" si="31"/>
        <v>496389.9999999993</v>
      </c>
    </row>
    <row r="511" spans="1:14" x14ac:dyDescent="0.2">
      <c r="A511" s="73" t="s">
        <v>578</v>
      </c>
      <c r="B511" s="3">
        <f t="shared" si="28"/>
        <v>2025</v>
      </c>
      <c r="C511" s="3">
        <f t="shared" si="29"/>
        <v>4</v>
      </c>
      <c r="D511" s="73" t="s">
        <v>300</v>
      </c>
      <c r="E511" s="2" t="s">
        <v>632</v>
      </c>
      <c r="F511" s="2" t="s">
        <v>325</v>
      </c>
      <c r="G511" s="2" t="s">
        <v>369</v>
      </c>
      <c r="H511" s="2" t="s">
        <v>323</v>
      </c>
      <c r="I511" s="2" t="s">
        <v>316</v>
      </c>
      <c r="J511" s="2" t="s">
        <v>360</v>
      </c>
      <c r="K511" s="72">
        <v>2610</v>
      </c>
      <c r="L511" s="39"/>
      <c r="M511" s="72">
        <f t="shared" si="30"/>
        <v>-2610</v>
      </c>
      <c r="N511" s="72">
        <f t="shared" si="31"/>
        <v>493779.9999999993</v>
      </c>
    </row>
    <row r="512" spans="1:14" x14ac:dyDescent="0.2">
      <c r="A512" s="73" t="s">
        <v>578</v>
      </c>
      <c r="B512" s="3">
        <f t="shared" si="28"/>
        <v>2025</v>
      </c>
      <c r="C512" s="3">
        <f t="shared" si="29"/>
        <v>4</v>
      </c>
      <c r="D512" s="73" t="s">
        <v>300</v>
      </c>
      <c r="E512" s="2" t="s">
        <v>619</v>
      </c>
      <c r="F512" s="2" t="s">
        <v>325</v>
      </c>
      <c r="G512" s="2" t="s">
        <v>368</v>
      </c>
      <c r="H512" s="2" t="s">
        <v>323</v>
      </c>
      <c r="I512" s="2" t="s">
        <v>350</v>
      </c>
      <c r="J512" s="2" t="s">
        <v>27</v>
      </c>
      <c r="K512" s="72">
        <v>4585</v>
      </c>
      <c r="L512" s="39"/>
      <c r="M512" s="72">
        <f t="shared" si="30"/>
        <v>-4585</v>
      </c>
      <c r="N512" s="72">
        <f t="shared" si="31"/>
        <v>489194.9999999993</v>
      </c>
    </row>
    <row r="513" spans="1:14" x14ac:dyDescent="0.2">
      <c r="A513" s="73" t="s">
        <v>578</v>
      </c>
      <c r="B513" s="3">
        <f t="shared" si="28"/>
        <v>2025</v>
      </c>
      <c r="C513" s="3">
        <f t="shared" si="29"/>
        <v>4</v>
      </c>
      <c r="D513" s="73" t="s">
        <v>300</v>
      </c>
      <c r="E513" s="2" t="s">
        <v>610</v>
      </c>
      <c r="F513" s="2" t="s">
        <v>325</v>
      </c>
      <c r="G513" s="2" t="s">
        <v>366</v>
      </c>
      <c r="H513" s="2" t="s">
        <v>323</v>
      </c>
      <c r="I513" s="2" t="s">
        <v>350</v>
      </c>
      <c r="J513" s="2" t="s">
        <v>27</v>
      </c>
      <c r="K513" s="72">
        <v>1912.5</v>
      </c>
      <c r="L513" s="39"/>
      <c r="M513" s="72">
        <f t="shared" si="30"/>
        <v>-1912.5</v>
      </c>
      <c r="N513" s="72">
        <f t="shared" si="31"/>
        <v>487282.4999999993</v>
      </c>
    </row>
    <row r="514" spans="1:14" x14ac:dyDescent="0.2">
      <c r="A514" s="73" t="s">
        <v>578</v>
      </c>
      <c r="B514" s="3">
        <f t="shared" ref="B514:B577" si="32">YEAR(A514)</f>
        <v>2025</v>
      </c>
      <c r="C514" s="3">
        <f t="shared" ref="C514:C577" si="33">MONTH(A514)</f>
        <v>4</v>
      </c>
      <c r="D514" s="73" t="s">
        <v>300</v>
      </c>
      <c r="E514" s="2" t="s">
        <v>599</v>
      </c>
      <c r="F514" s="2" t="s">
        <v>325</v>
      </c>
      <c r="G514" s="2" t="s">
        <v>365</v>
      </c>
      <c r="H514" s="2" t="s">
        <v>323</v>
      </c>
      <c r="I514" s="2" t="s">
        <v>350</v>
      </c>
      <c r="J514" s="2" t="s">
        <v>353</v>
      </c>
      <c r="K514" s="72">
        <v>20228.689999999999</v>
      </c>
      <c r="L514" s="39"/>
      <c r="M514" s="72">
        <f t="shared" ref="M514:M577" si="34">IF(ISBLANK(L514),K514*-1,L514)</f>
        <v>-20228.689999999999</v>
      </c>
      <c r="N514" s="72">
        <f t="shared" si="31"/>
        <v>467053.8099999993</v>
      </c>
    </row>
    <row r="515" spans="1:14" x14ac:dyDescent="0.2">
      <c r="A515" s="73" t="s">
        <v>578</v>
      </c>
      <c r="B515" s="3">
        <f t="shared" si="32"/>
        <v>2025</v>
      </c>
      <c r="C515" s="3">
        <f t="shared" si="33"/>
        <v>4</v>
      </c>
      <c r="D515" s="73" t="s">
        <v>300</v>
      </c>
      <c r="E515" s="2"/>
      <c r="F515" s="2" t="s">
        <v>321</v>
      </c>
      <c r="G515" s="2" t="s">
        <v>109</v>
      </c>
      <c r="H515" s="2" t="s">
        <v>319</v>
      </c>
      <c r="I515" s="2" t="s">
        <v>315</v>
      </c>
      <c r="J515" s="2" t="s">
        <v>23</v>
      </c>
      <c r="K515" s="72"/>
      <c r="L515" s="39">
        <v>495</v>
      </c>
      <c r="M515" s="72">
        <f t="shared" si="34"/>
        <v>495</v>
      </c>
      <c r="N515" s="72">
        <f t="shared" ref="N515:N578" si="35">+N514+M515</f>
        <v>467548.8099999993</v>
      </c>
    </row>
    <row r="516" spans="1:14" x14ac:dyDescent="0.2">
      <c r="A516" s="73" t="s">
        <v>578</v>
      </c>
      <c r="B516" s="3">
        <f t="shared" si="32"/>
        <v>2025</v>
      </c>
      <c r="C516" s="3">
        <f t="shared" si="33"/>
        <v>4</v>
      </c>
      <c r="D516" s="73" t="s">
        <v>300</v>
      </c>
      <c r="E516" s="2" t="s">
        <v>611</v>
      </c>
      <c r="F516" s="2" t="s">
        <v>325</v>
      </c>
      <c r="G516" s="2" t="s">
        <v>364</v>
      </c>
      <c r="H516" s="2" t="s">
        <v>323</v>
      </c>
      <c r="I516" s="2" t="s">
        <v>350</v>
      </c>
      <c r="J516" s="2" t="s">
        <v>27</v>
      </c>
      <c r="K516" s="72">
        <v>2031.25</v>
      </c>
      <c r="L516" s="39"/>
      <c r="M516" s="72">
        <f t="shared" si="34"/>
        <v>-2031.25</v>
      </c>
      <c r="N516" s="72">
        <f t="shared" si="35"/>
        <v>465517.5599999993</v>
      </c>
    </row>
    <row r="517" spans="1:14" x14ac:dyDescent="0.2">
      <c r="A517" s="73" t="s">
        <v>578</v>
      </c>
      <c r="B517" s="3">
        <f t="shared" si="32"/>
        <v>2025</v>
      </c>
      <c r="C517" s="3">
        <f t="shared" si="33"/>
        <v>4</v>
      </c>
      <c r="D517" s="73" t="s">
        <v>300</v>
      </c>
      <c r="E517" s="2" t="s">
        <v>595</v>
      </c>
      <c r="F517" s="2" t="s">
        <v>325</v>
      </c>
      <c r="G517" s="2" t="s">
        <v>363</v>
      </c>
      <c r="H517" s="2" t="s">
        <v>323</v>
      </c>
      <c r="I517" s="2" t="s">
        <v>316</v>
      </c>
      <c r="J517" s="2" t="s">
        <v>17</v>
      </c>
      <c r="K517" s="72">
        <v>5</v>
      </c>
      <c r="L517" s="39"/>
      <c r="M517" s="72">
        <f t="shared" si="34"/>
        <v>-5</v>
      </c>
      <c r="N517" s="72">
        <f t="shared" si="35"/>
        <v>465512.5599999993</v>
      </c>
    </row>
    <row r="518" spans="1:14" x14ac:dyDescent="0.2">
      <c r="A518" s="73" t="s">
        <v>578</v>
      </c>
      <c r="B518" s="3">
        <f t="shared" si="32"/>
        <v>2025</v>
      </c>
      <c r="C518" s="3">
        <f t="shared" si="33"/>
        <v>4</v>
      </c>
      <c r="D518" s="73" t="s">
        <v>300</v>
      </c>
      <c r="E518" s="2" t="s">
        <v>624</v>
      </c>
      <c r="F518" s="2" t="s">
        <v>325</v>
      </c>
      <c r="G518" s="2" t="s">
        <v>363</v>
      </c>
      <c r="H518" s="2" t="s">
        <v>323</v>
      </c>
      <c r="I518" s="2" t="s">
        <v>316</v>
      </c>
      <c r="J518" s="2" t="s">
        <v>17</v>
      </c>
      <c r="K518" s="72">
        <v>49</v>
      </c>
      <c r="L518" s="39"/>
      <c r="M518" s="72">
        <f t="shared" si="34"/>
        <v>-49</v>
      </c>
      <c r="N518" s="72">
        <f t="shared" si="35"/>
        <v>465463.5599999993</v>
      </c>
    </row>
    <row r="519" spans="1:14" x14ac:dyDescent="0.2">
      <c r="A519" s="73" t="s">
        <v>578</v>
      </c>
      <c r="B519" s="3">
        <f t="shared" si="32"/>
        <v>2025</v>
      </c>
      <c r="C519" s="3">
        <f t="shared" si="33"/>
        <v>4</v>
      </c>
      <c r="D519" s="73" t="s">
        <v>300</v>
      </c>
      <c r="E519" s="2" t="s">
        <v>625</v>
      </c>
      <c r="F519" s="2" t="s">
        <v>325</v>
      </c>
      <c r="G519" s="2" t="s">
        <v>363</v>
      </c>
      <c r="H519" s="2" t="s">
        <v>323</v>
      </c>
      <c r="I519" s="2" t="s">
        <v>316</v>
      </c>
      <c r="J519" s="2" t="s">
        <v>17</v>
      </c>
      <c r="K519" s="72">
        <v>49</v>
      </c>
      <c r="L519" s="39"/>
      <c r="M519" s="72">
        <f t="shared" si="34"/>
        <v>-49</v>
      </c>
      <c r="N519" s="72">
        <f t="shared" si="35"/>
        <v>465414.5599999993</v>
      </c>
    </row>
    <row r="520" spans="1:14" x14ac:dyDescent="0.2">
      <c r="A520" s="73" t="s">
        <v>578</v>
      </c>
      <c r="B520" s="3">
        <f t="shared" si="32"/>
        <v>2025</v>
      </c>
      <c r="C520" s="3">
        <f t="shared" si="33"/>
        <v>4</v>
      </c>
      <c r="D520" s="73" t="s">
        <v>300</v>
      </c>
      <c r="E520" s="2" t="s">
        <v>626</v>
      </c>
      <c r="F520" s="2" t="s">
        <v>325</v>
      </c>
      <c r="G520" s="2" t="s">
        <v>363</v>
      </c>
      <c r="H520" s="2" t="s">
        <v>323</v>
      </c>
      <c r="I520" s="2" t="s">
        <v>316</v>
      </c>
      <c r="J520" s="2" t="s">
        <v>17</v>
      </c>
      <c r="K520" s="72">
        <v>49</v>
      </c>
      <c r="L520" s="39"/>
      <c r="M520" s="72">
        <f t="shared" si="34"/>
        <v>-49</v>
      </c>
      <c r="N520" s="72">
        <f t="shared" si="35"/>
        <v>465365.5599999993</v>
      </c>
    </row>
    <row r="521" spans="1:14" x14ac:dyDescent="0.2">
      <c r="A521" s="73" t="s">
        <v>578</v>
      </c>
      <c r="B521" s="3">
        <f t="shared" si="32"/>
        <v>2025</v>
      </c>
      <c r="C521" s="3">
        <f t="shared" si="33"/>
        <v>4</v>
      </c>
      <c r="D521" s="73" t="s">
        <v>300</v>
      </c>
      <c r="E521" s="2" t="s">
        <v>633</v>
      </c>
      <c r="F521" s="2" t="s">
        <v>325</v>
      </c>
      <c r="G521" s="2" t="s">
        <v>363</v>
      </c>
      <c r="H521" s="2" t="s">
        <v>323</v>
      </c>
      <c r="I521" s="2" t="s">
        <v>316</v>
      </c>
      <c r="J521" s="2" t="s">
        <v>17</v>
      </c>
      <c r="K521" s="72">
        <v>49</v>
      </c>
      <c r="L521" s="39"/>
      <c r="M521" s="72">
        <f t="shared" si="34"/>
        <v>-49</v>
      </c>
      <c r="N521" s="72">
        <f t="shared" si="35"/>
        <v>465316.5599999993</v>
      </c>
    </row>
    <row r="522" spans="1:14" x14ac:dyDescent="0.2">
      <c r="A522" s="73" t="s">
        <v>578</v>
      </c>
      <c r="B522" s="3">
        <f t="shared" si="32"/>
        <v>2025</v>
      </c>
      <c r="C522" s="3">
        <f t="shared" si="33"/>
        <v>4</v>
      </c>
      <c r="D522" s="73" t="s">
        <v>300</v>
      </c>
      <c r="E522" s="2" t="s">
        <v>634</v>
      </c>
      <c r="F522" s="2" t="s">
        <v>325</v>
      </c>
      <c r="G522" s="2" t="s">
        <v>363</v>
      </c>
      <c r="H522" s="2" t="s">
        <v>323</v>
      </c>
      <c r="I522" s="2" t="s">
        <v>316</v>
      </c>
      <c r="J522" s="2" t="s">
        <v>17</v>
      </c>
      <c r="K522" s="72">
        <v>49</v>
      </c>
      <c r="L522" s="39"/>
      <c r="M522" s="72">
        <f t="shared" si="34"/>
        <v>-49</v>
      </c>
      <c r="N522" s="72">
        <f t="shared" si="35"/>
        <v>465267.5599999993</v>
      </c>
    </row>
    <row r="523" spans="1:14" x14ac:dyDescent="0.2">
      <c r="A523" s="73" t="s">
        <v>578</v>
      </c>
      <c r="B523" s="3">
        <f t="shared" si="32"/>
        <v>2025</v>
      </c>
      <c r="C523" s="3">
        <f t="shared" si="33"/>
        <v>4</v>
      </c>
      <c r="D523" s="73" t="s">
        <v>300</v>
      </c>
      <c r="E523" s="2" t="s">
        <v>635</v>
      </c>
      <c r="F523" s="2" t="s">
        <v>325</v>
      </c>
      <c r="G523" s="2" t="s">
        <v>363</v>
      </c>
      <c r="H523" s="2" t="s">
        <v>323</v>
      </c>
      <c r="I523" s="2" t="s">
        <v>316</v>
      </c>
      <c r="J523" s="2" t="s">
        <v>17</v>
      </c>
      <c r="K523" s="72">
        <v>49</v>
      </c>
      <c r="L523" s="39"/>
      <c r="M523" s="72">
        <f t="shared" si="34"/>
        <v>-49</v>
      </c>
      <c r="N523" s="72">
        <f t="shared" si="35"/>
        <v>465218.5599999993</v>
      </c>
    </row>
    <row r="524" spans="1:14" x14ac:dyDescent="0.2">
      <c r="A524" s="73" t="s">
        <v>578</v>
      </c>
      <c r="B524" s="3">
        <f t="shared" si="32"/>
        <v>2025</v>
      </c>
      <c r="C524" s="3">
        <f t="shared" si="33"/>
        <v>4</v>
      </c>
      <c r="D524" s="73" t="s">
        <v>300</v>
      </c>
      <c r="E524" s="2" t="s">
        <v>636</v>
      </c>
      <c r="F524" s="2" t="s">
        <v>325</v>
      </c>
      <c r="G524" s="2" t="s">
        <v>363</v>
      </c>
      <c r="H524" s="2" t="s">
        <v>323</v>
      </c>
      <c r="I524" s="2" t="s">
        <v>316</v>
      </c>
      <c r="J524" s="2" t="s">
        <v>17</v>
      </c>
      <c r="K524" s="72">
        <v>49</v>
      </c>
      <c r="L524" s="39"/>
      <c r="M524" s="72">
        <f t="shared" si="34"/>
        <v>-49</v>
      </c>
      <c r="N524" s="72">
        <f t="shared" si="35"/>
        <v>465169.5599999993</v>
      </c>
    </row>
    <row r="525" spans="1:14" x14ac:dyDescent="0.2">
      <c r="A525" s="73" t="s">
        <v>578</v>
      </c>
      <c r="B525" s="3">
        <f t="shared" si="32"/>
        <v>2025</v>
      </c>
      <c r="C525" s="3">
        <f t="shared" si="33"/>
        <v>4</v>
      </c>
      <c r="D525" s="73" t="s">
        <v>300</v>
      </c>
      <c r="E525" s="2" t="s">
        <v>637</v>
      </c>
      <c r="F525" s="2" t="s">
        <v>325</v>
      </c>
      <c r="G525" s="2" t="s">
        <v>363</v>
      </c>
      <c r="H525" s="2" t="s">
        <v>323</v>
      </c>
      <c r="I525" s="2" t="s">
        <v>316</v>
      </c>
      <c r="J525" s="2" t="s">
        <v>17</v>
      </c>
      <c r="K525" s="72">
        <v>49</v>
      </c>
      <c r="L525" s="39"/>
      <c r="M525" s="72">
        <f t="shared" si="34"/>
        <v>-49</v>
      </c>
      <c r="N525" s="72">
        <f t="shared" si="35"/>
        <v>465120.5599999993</v>
      </c>
    </row>
    <row r="526" spans="1:14" x14ac:dyDescent="0.2">
      <c r="A526" s="73" t="s">
        <v>578</v>
      </c>
      <c r="B526" s="3">
        <f t="shared" si="32"/>
        <v>2025</v>
      </c>
      <c r="C526" s="3">
        <f t="shared" si="33"/>
        <v>4</v>
      </c>
      <c r="D526" s="73" t="s">
        <v>300</v>
      </c>
      <c r="E526" s="2" t="s">
        <v>638</v>
      </c>
      <c r="F526" s="2" t="s">
        <v>325</v>
      </c>
      <c r="G526" s="2" t="s">
        <v>363</v>
      </c>
      <c r="H526" s="2" t="s">
        <v>323</v>
      </c>
      <c r="I526" s="2" t="s">
        <v>316</v>
      </c>
      <c r="J526" s="2" t="s">
        <v>17</v>
      </c>
      <c r="K526" s="72">
        <v>49</v>
      </c>
      <c r="L526" s="39"/>
      <c r="M526" s="72">
        <f t="shared" si="34"/>
        <v>-49</v>
      </c>
      <c r="N526" s="72">
        <f t="shared" si="35"/>
        <v>465071.5599999993</v>
      </c>
    </row>
    <row r="527" spans="1:14" x14ac:dyDescent="0.2">
      <c r="A527" s="73" t="s">
        <v>578</v>
      </c>
      <c r="B527" s="3">
        <f t="shared" si="32"/>
        <v>2025</v>
      </c>
      <c r="C527" s="3">
        <f t="shared" si="33"/>
        <v>4</v>
      </c>
      <c r="D527" s="73" t="s">
        <v>300</v>
      </c>
      <c r="E527" s="2" t="s">
        <v>639</v>
      </c>
      <c r="F527" s="2" t="s">
        <v>325</v>
      </c>
      <c r="G527" s="2" t="s">
        <v>363</v>
      </c>
      <c r="H527" s="2" t="s">
        <v>323</v>
      </c>
      <c r="I527" s="2" t="s">
        <v>316</v>
      </c>
      <c r="J527" s="2" t="s">
        <v>17</v>
      </c>
      <c r="K527" s="72">
        <v>49</v>
      </c>
      <c r="L527" s="39"/>
      <c r="M527" s="72">
        <f t="shared" si="34"/>
        <v>-49</v>
      </c>
      <c r="N527" s="72">
        <f t="shared" si="35"/>
        <v>465022.5599999993</v>
      </c>
    </row>
    <row r="528" spans="1:14" x14ac:dyDescent="0.2">
      <c r="A528" s="73" t="s">
        <v>578</v>
      </c>
      <c r="B528" s="3">
        <f t="shared" si="32"/>
        <v>2025</v>
      </c>
      <c r="C528" s="3">
        <f t="shared" si="33"/>
        <v>4</v>
      </c>
      <c r="D528" s="73" t="s">
        <v>300</v>
      </c>
      <c r="E528" s="2" t="s">
        <v>640</v>
      </c>
      <c r="F528" s="2" t="s">
        <v>325</v>
      </c>
      <c r="G528" s="2" t="s">
        <v>363</v>
      </c>
      <c r="H528" s="2" t="s">
        <v>323</v>
      </c>
      <c r="I528" s="2" t="s">
        <v>316</v>
      </c>
      <c r="J528" s="2" t="s">
        <v>17</v>
      </c>
      <c r="K528" s="72">
        <v>49</v>
      </c>
      <c r="L528" s="39"/>
      <c r="M528" s="72">
        <f t="shared" si="34"/>
        <v>-49</v>
      </c>
      <c r="N528" s="72">
        <f t="shared" si="35"/>
        <v>464973.5599999993</v>
      </c>
    </row>
    <row r="529" spans="1:14" x14ac:dyDescent="0.2">
      <c r="A529" s="73" t="s">
        <v>578</v>
      </c>
      <c r="B529" s="3">
        <f t="shared" si="32"/>
        <v>2025</v>
      </c>
      <c r="C529" s="3">
        <f t="shared" si="33"/>
        <v>4</v>
      </c>
      <c r="D529" s="73" t="s">
        <v>300</v>
      </c>
      <c r="E529" s="2" t="s">
        <v>641</v>
      </c>
      <c r="F529" s="2" t="s">
        <v>325</v>
      </c>
      <c r="G529" s="2" t="s">
        <v>363</v>
      </c>
      <c r="H529" s="2" t="s">
        <v>323</v>
      </c>
      <c r="I529" s="2" t="s">
        <v>316</v>
      </c>
      <c r="J529" s="2" t="s">
        <v>17</v>
      </c>
      <c r="K529" s="72">
        <v>49</v>
      </c>
      <c r="L529" s="39"/>
      <c r="M529" s="72">
        <f t="shared" si="34"/>
        <v>-49</v>
      </c>
      <c r="N529" s="72">
        <f t="shared" si="35"/>
        <v>464924.5599999993</v>
      </c>
    </row>
    <row r="530" spans="1:14" x14ac:dyDescent="0.2">
      <c r="A530" s="73" t="s">
        <v>578</v>
      </c>
      <c r="B530" s="3">
        <f t="shared" si="32"/>
        <v>2025</v>
      </c>
      <c r="C530" s="3">
        <f t="shared" si="33"/>
        <v>4</v>
      </c>
      <c r="D530" s="73" t="s">
        <v>300</v>
      </c>
      <c r="E530" s="2" t="s">
        <v>642</v>
      </c>
      <c r="F530" s="2" t="s">
        <v>325</v>
      </c>
      <c r="G530" s="2" t="s">
        <v>363</v>
      </c>
      <c r="H530" s="2" t="s">
        <v>323</v>
      </c>
      <c r="I530" s="2" t="s">
        <v>316</v>
      </c>
      <c r="J530" s="2" t="s">
        <v>17</v>
      </c>
      <c r="K530" s="72">
        <v>49</v>
      </c>
      <c r="L530" s="39"/>
      <c r="M530" s="72">
        <f t="shared" si="34"/>
        <v>-49</v>
      </c>
      <c r="N530" s="72">
        <f t="shared" si="35"/>
        <v>464875.5599999993</v>
      </c>
    </row>
    <row r="531" spans="1:14" x14ac:dyDescent="0.2">
      <c r="A531" s="73" t="s">
        <v>578</v>
      </c>
      <c r="B531" s="3">
        <f t="shared" si="32"/>
        <v>2025</v>
      </c>
      <c r="C531" s="3">
        <f t="shared" si="33"/>
        <v>4</v>
      </c>
      <c r="D531" s="73" t="s">
        <v>300</v>
      </c>
      <c r="E531" s="2" t="s">
        <v>643</v>
      </c>
      <c r="F531" s="2" t="s">
        <v>325</v>
      </c>
      <c r="G531" s="2" t="s">
        <v>363</v>
      </c>
      <c r="H531" s="2" t="s">
        <v>323</v>
      </c>
      <c r="I531" s="2" t="s">
        <v>316</v>
      </c>
      <c r="J531" s="2" t="s">
        <v>17</v>
      </c>
      <c r="K531" s="72">
        <v>49</v>
      </c>
      <c r="L531" s="39"/>
      <c r="M531" s="72">
        <f t="shared" si="34"/>
        <v>-49</v>
      </c>
      <c r="N531" s="72">
        <f t="shared" si="35"/>
        <v>464826.5599999993</v>
      </c>
    </row>
    <row r="532" spans="1:14" x14ac:dyDescent="0.2">
      <c r="A532" s="73" t="s">
        <v>578</v>
      </c>
      <c r="B532" s="3">
        <f t="shared" si="32"/>
        <v>2025</v>
      </c>
      <c r="C532" s="3">
        <f t="shared" si="33"/>
        <v>4</v>
      </c>
      <c r="D532" s="73" t="s">
        <v>300</v>
      </c>
      <c r="E532" s="2" t="s">
        <v>644</v>
      </c>
      <c r="F532" s="2" t="s">
        <v>325</v>
      </c>
      <c r="G532" s="2" t="s">
        <v>363</v>
      </c>
      <c r="H532" s="2" t="s">
        <v>323</v>
      </c>
      <c r="I532" s="2" t="s">
        <v>316</v>
      </c>
      <c r="J532" s="2" t="s">
        <v>17</v>
      </c>
      <c r="K532" s="72">
        <v>49</v>
      </c>
      <c r="L532" s="39"/>
      <c r="M532" s="72">
        <f t="shared" si="34"/>
        <v>-49</v>
      </c>
      <c r="N532" s="72">
        <f t="shared" si="35"/>
        <v>464777.5599999993</v>
      </c>
    </row>
    <row r="533" spans="1:14" x14ac:dyDescent="0.2">
      <c r="A533" s="73" t="s">
        <v>578</v>
      </c>
      <c r="B533" s="3">
        <f t="shared" si="32"/>
        <v>2025</v>
      </c>
      <c r="C533" s="3">
        <f t="shared" si="33"/>
        <v>4</v>
      </c>
      <c r="D533" s="73" t="s">
        <v>300</v>
      </c>
      <c r="E533" s="2" t="s">
        <v>645</v>
      </c>
      <c r="F533" s="2" t="s">
        <v>325</v>
      </c>
      <c r="G533" s="2" t="s">
        <v>363</v>
      </c>
      <c r="H533" s="2" t="s">
        <v>323</v>
      </c>
      <c r="I533" s="2" t="s">
        <v>316</v>
      </c>
      <c r="J533" s="2" t="s">
        <v>17</v>
      </c>
      <c r="K533" s="72">
        <v>49</v>
      </c>
      <c r="L533" s="39"/>
      <c r="M533" s="72">
        <f t="shared" si="34"/>
        <v>-49</v>
      </c>
      <c r="N533" s="72">
        <f t="shared" si="35"/>
        <v>464728.5599999993</v>
      </c>
    </row>
    <row r="534" spans="1:14" x14ac:dyDescent="0.2">
      <c r="A534" s="73" t="s">
        <v>578</v>
      </c>
      <c r="B534" s="3">
        <f t="shared" si="32"/>
        <v>2025</v>
      </c>
      <c r="C534" s="3">
        <f t="shared" si="33"/>
        <v>4</v>
      </c>
      <c r="D534" s="73" t="s">
        <v>300</v>
      </c>
      <c r="E534" s="2" t="s">
        <v>646</v>
      </c>
      <c r="F534" s="2" t="s">
        <v>325</v>
      </c>
      <c r="G534" s="2" t="s">
        <v>363</v>
      </c>
      <c r="H534" s="2" t="s">
        <v>323</v>
      </c>
      <c r="I534" s="2" t="s">
        <v>316</v>
      </c>
      <c r="J534" s="2" t="s">
        <v>17</v>
      </c>
      <c r="K534" s="72">
        <v>49</v>
      </c>
      <c r="L534" s="39"/>
      <c r="M534" s="72">
        <f t="shared" si="34"/>
        <v>-49</v>
      </c>
      <c r="N534" s="72">
        <f t="shared" si="35"/>
        <v>464679.5599999993</v>
      </c>
    </row>
    <row r="535" spans="1:14" x14ac:dyDescent="0.2">
      <c r="A535" s="73" t="s">
        <v>578</v>
      </c>
      <c r="B535" s="3">
        <f t="shared" si="32"/>
        <v>2025</v>
      </c>
      <c r="C535" s="3">
        <f t="shared" si="33"/>
        <v>4</v>
      </c>
      <c r="D535" s="73" t="s">
        <v>300</v>
      </c>
      <c r="E535" s="2" t="s">
        <v>647</v>
      </c>
      <c r="F535" s="2" t="s">
        <v>325</v>
      </c>
      <c r="G535" s="2" t="s">
        <v>363</v>
      </c>
      <c r="H535" s="2" t="s">
        <v>323</v>
      </c>
      <c r="I535" s="2" t="s">
        <v>316</v>
      </c>
      <c r="J535" s="2" t="s">
        <v>17</v>
      </c>
      <c r="K535" s="72">
        <v>49</v>
      </c>
      <c r="L535" s="39"/>
      <c r="M535" s="72">
        <f t="shared" si="34"/>
        <v>-49</v>
      </c>
      <c r="N535" s="72">
        <f t="shared" si="35"/>
        <v>464630.5599999993</v>
      </c>
    </row>
    <row r="536" spans="1:14" x14ac:dyDescent="0.2">
      <c r="A536" s="73" t="s">
        <v>578</v>
      </c>
      <c r="B536" s="3">
        <f t="shared" si="32"/>
        <v>2025</v>
      </c>
      <c r="C536" s="3">
        <f t="shared" si="33"/>
        <v>4</v>
      </c>
      <c r="D536" s="73" t="s">
        <v>300</v>
      </c>
      <c r="E536" s="2" t="s">
        <v>648</v>
      </c>
      <c r="F536" s="2" t="s">
        <v>325</v>
      </c>
      <c r="G536" s="2" t="s">
        <v>363</v>
      </c>
      <c r="H536" s="2" t="s">
        <v>323</v>
      </c>
      <c r="I536" s="2" t="s">
        <v>316</v>
      </c>
      <c r="J536" s="2" t="s">
        <v>17</v>
      </c>
      <c r="K536" s="72">
        <v>49</v>
      </c>
      <c r="L536" s="39"/>
      <c r="M536" s="72">
        <f t="shared" si="34"/>
        <v>-49</v>
      </c>
      <c r="N536" s="72">
        <f t="shared" si="35"/>
        <v>464581.5599999993</v>
      </c>
    </row>
    <row r="537" spans="1:14" x14ac:dyDescent="0.2">
      <c r="A537" s="73" t="s">
        <v>578</v>
      </c>
      <c r="B537" s="3">
        <f t="shared" si="32"/>
        <v>2025</v>
      </c>
      <c r="C537" s="3">
        <f t="shared" si="33"/>
        <v>4</v>
      </c>
      <c r="D537" s="73" t="s">
        <v>300</v>
      </c>
      <c r="E537" s="2" t="s">
        <v>649</v>
      </c>
      <c r="F537" s="2" t="s">
        <v>325</v>
      </c>
      <c r="G537" s="2" t="s">
        <v>363</v>
      </c>
      <c r="H537" s="2" t="s">
        <v>323</v>
      </c>
      <c r="I537" s="2" t="s">
        <v>316</v>
      </c>
      <c r="J537" s="2" t="s">
        <v>17</v>
      </c>
      <c r="K537" s="72">
        <v>49</v>
      </c>
      <c r="L537" s="39"/>
      <c r="M537" s="72">
        <f t="shared" si="34"/>
        <v>-49</v>
      </c>
      <c r="N537" s="72">
        <f t="shared" si="35"/>
        <v>464532.5599999993</v>
      </c>
    </row>
    <row r="538" spans="1:14" x14ac:dyDescent="0.2">
      <c r="A538" s="73" t="s">
        <v>578</v>
      </c>
      <c r="B538" s="3">
        <f t="shared" si="32"/>
        <v>2025</v>
      </c>
      <c r="C538" s="3">
        <f t="shared" si="33"/>
        <v>4</v>
      </c>
      <c r="D538" s="73" t="s">
        <v>300</v>
      </c>
      <c r="E538" s="2" t="s">
        <v>650</v>
      </c>
      <c r="F538" s="2" t="s">
        <v>325</v>
      </c>
      <c r="G538" s="2" t="s">
        <v>363</v>
      </c>
      <c r="H538" s="2" t="s">
        <v>323</v>
      </c>
      <c r="I538" s="2" t="s">
        <v>316</v>
      </c>
      <c r="J538" s="2" t="s">
        <v>17</v>
      </c>
      <c r="K538" s="72">
        <v>49</v>
      </c>
      <c r="L538" s="39"/>
      <c r="M538" s="72">
        <f t="shared" si="34"/>
        <v>-49</v>
      </c>
      <c r="N538" s="72">
        <f t="shared" si="35"/>
        <v>464483.5599999993</v>
      </c>
    </row>
    <row r="539" spans="1:14" x14ac:dyDescent="0.2">
      <c r="A539" s="73" t="s">
        <v>578</v>
      </c>
      <c r="B539" s="3">
        <f t="shared" si="32"/>
        <v>2025</v>
      </c>
      <c r="C539" s="3">
        <f t="shared" si="33"/>
        <v>4</v>
      </c>
      <c r="D539" s="73" t="s">
        <v>300</v>
      </c>
      <c r="E539" s="2" t="s">
        <v>651</v>
      </c>
      <c r="F539" s="2" t="s">
        <v>325</v>
      </c>
      <c r="G539" s="2" t="s">
        <v>363</v>
      </c>
      <c r="H539" s="2" t="s">
        <v>323</v>
      </c>
      <c r="I539" s="2" t="s">
        <v>316</v>
      </c>
      <c r="J539" s="2" t="s">
        <v>17</v>
      </c>
      <c r="K539" s="72">
        <v>49</v>
      </c>
      <c r="L539" s="39"/>
      <c r="M539" s="72">
        <f t="shared" si="34"/>
        <v>-49</v>
      </c>
      <c r="N539" s="72">
        <f t="shared" si="35"/>
        <v>464434.5599999993</v>
      </c>
    </row>
    <row r="540" spans="1:14" x14ac:dyDescent="0.2">
      <c r="A540" s="73" t="s">
        <v>578</v>
      </c>
      <c r="B540" s="3">
        <f t="shared" si="32"/>
        <v>2025</v>
      </c>
      <c r="C540" s="3">
        <f t="shared" si="33"/>
        <v>4</v>
      </c>
      <c r="D540" s="73" t="s">
        <v>300</v>
      </c>
      <c r="E540" s="2" t="s">
        <v>652</v>
      </c>
      <c r="F540" s="2" t="s">
        <v>325</v>
      </c>
      <c r="G540" s="2" t="s">
        <v>363</v>
      </c>
      <c r="H540" s="2" t="s">
        <v>323</v>
      </c>
      <c r="I540" s="2" t="s">
        <v>316</v>
      </c>
      <c r="J540" s="2" t="s">
        <v>17</v>
      </c>
      <c r="K540" s="72">
        <v>49</v>
      </c>
      <c r="L540" s="39"/>
      <c r="M540" s="72">
        <f t="shared" si="34"/>
        <v>-49</v>
      </c>
      <c r="N540" s="72">
        <f t="shared" si="35"/>
        <v>464385.5599999993</v>
      </c>
    </row>
    <row r="541" spans="1:14" x14ac:dyDescent="0.2">
      <c r="A541" s="73" t="s">
        <v>578</v>
      </c>
      <c r="B541" s="3">
        <f t="shared" si="32"/>
        <v>2025</v>
      </c>
      <c r="C541" s="3">
        <f t="shared" si="33"/>
        <v>4</v>
      </c>
      <c r="D541" s="73" t="s">
        <v>300</v>
      </c>
      <c r="E541" s="2" t="s">
        <v>653</v>
      </c>
      <c r="F541" s="2" t="s">
        <v>325</v>
      </c>
      <c r="G541" s="2" t="s">
        <v>363</v>
      </c>
      <c r="H541" s="2" t="s">
        <v>323</v>
      </c>
      <c r="I541" s="2" t="s">
        <v>316</v>
      </c>
      <c r="J541" s="2" t="s">
        <v>17</v>
      </c>
      <c r="K541" s="72">
        <v>49</v>
      </c>
      <c r="L541" s="39"/>
      <c r="M541" s="72">
        <f t="shared" si="34"/>
        <v>-49</v>
      </c>
      <c r="N541" s="72">
        <f t="shared" si="35"/>
        <v>464336.5599999993</v>
      </c>
    </row>
    <row r="542" spans="1:14" x14ac:dyDescent="0.2">
      <c r="A542" s="73" t="s">
        <v>578</v>
      </c>
      <c r="B542" s="3">
        <f t="shared" si="32"/>
        <v>2025</v>
      </c>
      <c r="C542" s="3">
        <f t="shared" si="33"/>
        <v>4</v>
      </c>
      <c r="D542" s="73" t="s">
        <v>300</v>
      </c>
      <c r="E542" s="2" t="s">
        <v>654</v>
      </c>
      <c r="F542" s="2" t="s">
        <v>325</v>
      </c>
      <c r="G542" s="2" t="s">
        <v>363</v>
      </c>
      <c r="H542" s="2" t="s">
        <v>323</v>
      </c>
      <c r="I542" s="2" t="s">
        <v>316</v>
      </c>
      <c r="J542" s="2" t="s">
        <v>17</v>
      </c>
      <c r="K542" s="72">
        <v>49</v>
      </c>
      <c r="L542" s="39"/>
      <c r="M542" s="72">
        <f t="shared" si="34"/>
        <v>-49</v>
      </c>
      <c r="N542" s="72">
        <f t="shared" si="35"/>
        <v>464287.5599999993</v>
      </c>
    </row>
    <row r="543" spans="1:14" x14ac:dyDescent="0.2">
      <c r="A543" s="73" t="s">
        <v>578</v>
      </c>
      <c r="B543" s="3">
        <f t="shared" si="32"/>
        <v>2025</v>
      </c>
      <c r="C543" s="3">
        <f t="shared" si="33"/>
        <v>4</v>
      </c>
      <c r="D543" s="73" t="s">
        <v>300</v>
      </c>
      <c r="E543" s="2" t="s">
        <v>655</v>
      </c>
      <c r="F543" s="2" t="s">
        <v>325</v>
      </c>
      <c r="G543" s="2" t="s">
        <v>363</v>
      </c>
      <c r="H543" s="2" t="s">
        <v>323</v>
      </c>
      <c r="I543" s="2" t="s">
        <v>316</v>
      </c>
      <c r="J543" s="2" t="s">
        <v>17</v>
      </c>
      <c r="K543" s="72">
        <v>49</v>
      </c>
      <c r="L543" s="39"/>
      <c r="M543" s="72">
        <f t="shared" si="34"/>
        <v>-49</v>
      </c>
      <c r="N543" s="72">
        <f t="shared" si="35"/>
        <v>464238.5599999993</v>
      </c>
    </row>
    <row r="544" spans="1:14" x14ac:dyDescent="0.2">
      <c r="A544" s="73" t="s">
        <v>578</v>
      </c>
      <c r="B544" s="3">
        <f t="shared" si="32"/>
        <v>2025</v>
      </c>
      <c r="C544" s="3">
        <f t="shared" si="33"/>
        <v>4</v>
      </c>
      <c r="D544" s="73" t="s">
        <v>300</v>
      </c>
      <c r="E544" s="2" t="s">
        <v>656</v>
      </c>
      <c r="F544" s="2" t="s">
        <v>325</v>
      </c>
      <c r="G544" s="2" t="s">
        <v>363</v>
      </c>
      <c r="H544" s="2" t="s">
        <v>323</v>
      </c>
      <c r="I544" s="2" t="s">
        <v>316</v>
      </c>
      <c r="J544" s="2" t="s">
        <v>17</v>
      </c>
      <c r="K544" s="72">
        <v>49</v>
      </c>
      <c r="L544" s="39"/>
      <c r="M544" s="72">
        <f t="shared" si="34"/>
        <v>-49</v>
      </c>
      <c r="N544" s="72">
        <f t="shared" si="35"/>
        <v>464189.5599999993</v>
      </c>
    </row>
    <row r="545" spans="1:14" x14ac:dyDescent="0.2">
      <c r="A545" s="73" t="s">
        <v>578</v>
      </c>
      <c r="B545" s="3">
        <f t="shared" si="32"/>
        <v>2025</v>
      </c>
      <c r="C545" s="3">
        <f t="shared" si="33"/>
        <v>4</v>
      </c>
      <c r="D545" s="73" t="s">
        <v>300</v>
      </c>
      <c r="E545" s="2" t="s">
        <v>657</v>
      </c>
      <c r="F545" s="2" t="s">
        <v>325</v>
      </c>
      <c r="G545" s="2" t="s">
        <v>363</v>
      </c>
      <c r="H545" s="2" t="s">
        <v>323</v>
      </c>
      <c r="I545" s="2" t="s">
        <v>316</v>
      </c>
      <c r="J545" s="2" t="s">
        <v>17</v>
      </c>
      <c r="K545" s="72">
        <v>49</v>
      </c>
      <c r="L545" s="39"/>
      <c r="M545" s="72">
        <f t="shared" si="34"/>
        <v>-49</v>
      </c>
      <c r="N545" s="72">
        <f t="shared" si="35"/>
        <v>464140.5599999993</v>
      </c>
    </row>
    <row r="546" spans="1:14" x14ac:dyDescent="0.2">
      <c r="A546" s="73" t="s">
        <v>578</v>
      </c>
      <c r="B546" s="3">
        <f t="shared" si="32"/>
        <v>2025</v>
      </c>
      <c r="C546" s="3">
        <f t="shared" si="33"/>
        <v>4</v>
      </c>
      <c r="D546" s="73" t="s">
        <v>300</v>
      </c>
      <c r="E546" s="2" t="s">
        <v>658</v>
      </c>
      <c r="F546" s="2" t="s">
        <v>325</v>
      </c>
      <c r="G546" s="2" t="s">
        <v>363</v>
      </c>
      <c r="H546" s="2" t="s">
        <v>323</v>
      </c>
      <c r="I546" s="2" t="s">
        <v>316</v>
      </c>
      <c r="J546" s="2" t="s">
        <v>17</v>
      </c>
      <c r="K546" s="72">
        <v>49</v>
      </c>
      <c r="L546" s="39"/>
      <c r="M546" s="72">
        <f t="shared" si="34"/>
        <v>-49</v>
      </c>
      <c r="N546" s="72">
        <f t="shared" si="35"/>
        <v>464091.5599999993</v>
      </c>
    </row>
    <row r="547" spans="1:14" x14ac:dyDescent="0.2">
      <c r="A547" s="73" t="s">
        <v>578</v>
      </c>
      <c r="B547" s="3">
        <f t="shared" si="32"/>
        <v>2025</v>
      </c>
      <c r="C547" s="3">
        <f t="shared" si="33"/>
        <v>4</v>
      </c>
      <c r="D547" s="73" t="s">
        <v>300</v>
      </c>
      <c r="E547" s="2" t="s">
        <v>659</v>
      </c>
      <c r="F547" s="2" t="s">
        <v>325</v>
      </c>
      <c r="G547" s="2" t="s">
        <v>363</v>
      </c>
      <c r="H547" s="2" t="s">
        <v>323</v>
      </c>
      <c r="I547" s="2" t="s">
        <v>316</v>
      </c>
      <c r="J547" s="2" t="s">
        <v>17</v>
      </c>
      <c r="K547" s="72">
        <v>49</v>
      </c>
      <c r="L547" s="39"/>
      <c r="M547" s="72">
        <f t="shared" si="34"/>
        <v>-49</v>
      </c>
      <c r="N547" s="72">
        <f t="shared" si="35"/>
        <v>464042.5599999993</v>
      </c>
    </row>
    <row r="548" spans="1:14" x14ac:dyDescent="0.2">
      <c r="A548" s="73" t="s">
        <v>578</v>
      </c>
      <c r="B548" s="3">
        <f t="shared" si="32"/>
        <v>2025</v>
      </c>
      <c r="C548" s="3">
        <f t="shared" si="33"/>
        <v>4</v>
      </c>
      <c r="D548" s="73" t="s">
        <v>300</v>
      </c>
      <c r="E548" s="2" t="s">
        <v>660</v>
      </c>
      <c r="F548" s="2" t="s">
        <v>325</v>
      </c>
      <c r="G548" s="2" t="s">
        <v>363</v>
      </c>
      <c r="H548" s="2" t="s">
        <v>323</v>
      </c>
      <c r="I548" s="2" t="s">
        <v>316</v>
      </c>
      <c r="J548" s="2" t="s">
        <v>17</v>
      </c>
      <c r="K548" s="72">
        <v>49</v>
      </c>
      <c r="L548" s="39"/>
      <c r="M548" s="72">
        <f t="shared" si="34"/>
        <v>-49</v>
      </c>
      <c r="N548" s="72">
        <f t="shared" si="35"/>
        <v>463993.5599999993</v>
      </c>
    </row>
    <row r="549" spans="1:14" x14ac:dyDescent="0.2">
      <c r="A549" s="73" t="s">
        <v>578</v>
      </c>
      <c r="B549" s="3">
        <f t="shared" si="32"/>
        <v>2025</v>
      </c>
      <c r="C549" s="3">
        <f t="shared" si="33"/>
        <v>4</v>
      </c>
      <c r="D549" s="73" t="s">
        <v>300</v>
      </c>
      <c r="E549" s="2" t="s">
        <v>661</v>
      </c>
      <c r="F549" s="2" t="s">
        <v>325</v>
      </c>
      <c r="G549" s="2" t="s">
        <v>363</v>
      </c>
      <c r="H549" s="2" t="s">
        <v>323</v>
      </c>
      <c r="I549" s="2" t="s">
        <v>316</v>
      </c>
      <c r="J549" s="2" t="s">
        <v>17</v>
      </c>
      <c r="K549" s="72">
        <v>49</v>
      </c>
      <c r="L549" s="39"/>
      <c r="M549" s="72">
        <f t="shared" si="34"/>
        <v>-49</v>
      </c>
      <c r="N549" s="72">
        <f t="shared" si="35"/>
        <v>463944.5599999993</v>
      </c>
    </row>
    <row r="550" spans="1:14" x14ac:dyDescent="0.2">
      <c r="A550" s="73" t="s">
        <v>578</v>
      </c>
      <c r="B550" s="3">
        <f t="shared" si="32"/>
        <v>2025</v>
      </c>
      <c r="C550" s="3">
        <f t="shared" si="33"/>
        <v>4</v>
      </c>
      <c r="D550" s="73" t="s">
        <v>300</v>
      </c>
      <c r="E550" s="2" t="s">
        <v>598</v>
      </c>
      <c r="F550" s="2" t="s">
        <v>325</v>
      </c>
      <c r="G550" s="2" t="s">
        <v>362</v>
      </c>
      <c r="H550" s="2" t="s">
        <v>323</v>
      </c>
      <c r="I550" s="2" t="s">
        <v>350</v>
      </c>
      <c r="J550" s="2" t="s">
        <v>353</v>
      </c>
      <c r="K550" s="72">
        <v>18600</v>
      </c>
      <c r="L550" s="39"/>
      <c r="M550" s="72">
        <f t="shared" si="34"/>
        <v>-18600</v>
      </c>
      <c r="N550" s="72">
        <f t="shared" si="35"/>
        <v>445344.5599999993</v>
      </c>
    </row>
    <row r="551" spans="1:14" x14ac:dyDescent="0.2">
      <c r="A551" s="73" t="s">
        <v>578</v>
      </c>
      <c r="B551" s="3">
        <f t="shared" si="32"/>
        <v>2025</v>
      </c>
      <c r="C551" s="3">
        <f t="shared" si="33"/>
        <v>4</v>
      </c>
      <c r="D551" s="73" t="s">
        <v>300</v>
      </c>
      <c r="E551" s="2" t="s">
        <v>630</v>
      </c>
      <c r="F551" s="2" t="s">
        <v>325</v>
      </c>
      <c r="G551" s="2" t="s">
        <v>361</v>
      </c>
      <c r="H551" s="2" t="s">
        <v>323</v>
      </c>
      <c r="I551" s="2" t="s">
        <v>316</v>
      </c>
      <c r="J551" s="2" t="s">
        <v>360</v>
      </c>
      <c r="K551" s="72">
        <v>19900</v>
      </c>
      <c r="L551" s="39"/>
      <c r="M551" s="72">
        <f t="shared" si="34"/>
        <v>-19900</v>
      </c>
      <c r="N551" s="72">
        <f t="shared" si="35"/>
        <v>425444.5599999993</v>
      </c>
    </row>
    <row r="552" spans="1:14" x14ac:dyDescent="0.2">
      <c r="A552" s="73" t="s">
        <v>578</v>
      </c>
      <c r="B552" s="3">
        <f t="shared" si="32"/>
        <v>2025</v>
      </c>
      <c r="C552" s="3">
        <f t="shared" si="33"/>
        <v>4</v>
      </c>
      <c r="D552" s="73" t="s">
        <v>300</v>
      </c>
      <c r="E552" s="2"/>
      <c r="F552" s="2" t="s">
        <v>304</v>
      </c>
      <c r="G552" s="2" t="s">
        <v>311</v>
      </c>
      <c r="H552" s="2" t="s">
        <v>310</v>
      </c>
      <c r="I552" s="2" t="s">
        <v>301</v>
      </c>
      <c r="J552" s="2" t="s">
        <v>11</v>
      </c>
      <c r="K552" s="72">
        <v>84.37</v>
      </c>
      <c r="L552" s="39"/>
      <c r="M552" s="72">
        <f t="shared" si="34"/>
        <v>-84.37</v>
      </c>
      <c r="N552" s="72">
        <f t="shared" si="35"/>
        <v>425360.1899999993</v>
      </c>
    </row>
    <row r="553" spans="1:14" x14ac:dyDescent="0.2">
      <c r="A553" s="73" t="s">
        <v>578</v>
      </c>
      <c r="B553" s="3">
        <f t="shared" si="32"/>
        <v>2025</v>
      </c>
      <c r="C553" s="3">
        <f t="shared" si="33"/>
        <v>4</v>
      </c>
      <c r="D553" s="73" t="s">
        <v>300</v>
      </c>
      <c r="E553" s="2" t="s">
        <v>618</v>
      </c>
      <c r="F553" s="2" t="s">
        <v>325</v>
      </c>
      <c r="G553" s="2" t="s">
        <v>359</v>
      </c>
      <c r="H553" s="2" t="s">
        <v>323</v>
      </c>
      <c r="I553" s="2" t="s">
        <v>350</v>
      </c>
      <c r="J553" s="2" t="s">
        <v>27</v>
      </c>
      <c r="K553" s="72">
        <v>8587.5</v>
      </c>
      <c r="L553" s="39"/>
      <c r="M553" s="72">
        <f t="shared" si="34"/>
        <v>-8587.5</v>
      </c>
      <c r="N553" s="72">
        <f t="shared" si="35"/>
        <v>416772.6899999993</v>
      </c>
    </row>
    <row r="554" spans="1:14" x14ac:dyDescent="0.2">
      <c r="A554" s="73" t="s">
        <v>578</v>
      </c>
      <c r="B554" s="3">
        <f t="shared" si="32"/>
        <v>2025</v>
      </c>
      <c r="C554" s="3">
        <f t="shared" si="33"/>
        <v>4</v>
      </c>
      <c r="D554" s="73" t="s">
        <v>300</v>
      </c>
      <c r="E554" s="2" t="s">
        <v>620</v>
      </c>
      <c r="F554" s="2" t="s">
        <v>325</v>
      </c>
      <c r="G554" s="2" t="s">
        <v>474</v>
      </c>
      <c r="H554" s="2" t="s">
        <v>323</v>
      </c>
      <c r="I554" s="2" t="s">
        <v>350</v>
      </c>
      <c r="J554" s="2" t="s">
        <v>353</v>
      </c>
      <c r="K554" s="72">
        <v>4500</v>
      </c>
      <c r="L554" s="39"/>
      <c r="M554" s="72">
        <f t="shared" si="34"/>
        <v>-4500</v>
      </c>
      <c r="N554" s="72">
        <f t="shared" si="35"/>
        <v>412272.6899999993</v>
      </c>
    </row>
    <row r="555" spans="1:14" x14ac:dyDescent="0.2">
      <c r="A555" s="73" t="s">
        <v>578</v>
      </c>
      <c r="B555" s="3">
        <f t="shared" si="32"/>
        <v>2025</v>
      </c>
      <c r="C555" s="3">
        <f t="shared" si="33"/>
        <v>4</v>
      </c>
      <c r="D555" s="73" t="s">
        <v>300</v>
      </c>
      <c r="E555" s="2" t="s">
        <v>627</v>
      </c>
      <c r="F555" s="2" t="s">
        <v>325</v>
      </c>
      <c r="G555" s="2" t="s">
        <v>475</v>
      </c>
      <c r="H555" s="2" t="s">
        <v>323</v>
      </c>
      <c r="I555" s="2" t="s">
        <v>350</v>
      </c>
      <c r="J555" s="2" t="s">
        <v>353</v>
      </c>
      <c r="K555" s="72">
        <v>615</v>
      </c>
      <c r="L555" s="39"/>
      <c r="M555" s="72">
        <f t="shared" si="34"/>
        <v>-615</v>
      </c>
      <c r="N555" s="72">
        <f t="shared" si="35"/>
        <v>411657.6899999993</v>
      </c>
    </row>
    <row r="556" spans="1:14" x14ac:dyDescent="0.2">
      <c r="A556" s="73" t="s">
        <v>578</v>
      </c>
      <c r="B556" s="3">
        <f t="shared" si="32"/>
        <v>2025</v>
      </c>
      <c r="C556" s="3">
        <f t="shared" si="33"/>
        <v>4</v>
      </c>
      <c r="D556" s="73" t="s">
        <v>300</v>
      </c>
      <c r="E556" s="2" t="s">
        <v>623</v>
      </c>
      <c r="F556" s="2" t="s">
        <v>325</v>
      </c>
      <c r="G556" s="2" t="s">
        <v>515</v>
      </c>
      <c r="H556" s="2" t="s">
        <v>323</v>
      </c>
      <c r="I556" s="2" t="s">
        <v>350</v>
      </c>
      <c r="J556" s="2" t="s">
        <v>353</v>
      </c>
      <c r="K556" s="72">
        <v>5400</v>
      </c>
      <c r="L556" s="39"/>
      <c r="M556" s="72">
        <f t="shared" si="34"/>
        <v>-5400</v>
      </c>
      <c r="N556" s="72">
        <f t="shared" si="35"/>
        <v>406257.6899999993</v>
      </c>
    </row>
    <row r="557" spans="1:14" x14ac:dyDescent="0.2">
      <c r="A557" s="73" t="s">
        <v>578</v>
      </c>
      <c r="B557" s="3">
        <f t="shared" si="32"/>
        <v>2025</v>
      </c>
      <c r="C557" s="3">
        <f t="shared" si="33"/>
        <v>4</v>
      </c>
      <c r="D557" s="73" t="s">
        <v>300</v>
      </c>
      <c r="E557" s="2" t="s">
        <v>622</v>
      </c>
      <c r="F557" s="2" t="s">
        <v>325</v>
      </c>
      <c r="G557" s="2" t="s">
        <v>358</v>
      </c>
      <c r="H557" s="2" t="s">
        <v>323</v>
      </c>
      <c r="I557" s="2" t="s">
        <v>350</v>
      </c>
      <c r="J557" s="2" t="s">
        <v>353</v>
      </c>
      <c r="K557" s="72">
        <v>249.6</v>
      </c>
      <c r="L557" s="39"/>
      <c r="M557" s="72">
        <f t="shared" si="34"/>
        <v>-249.6</v>
      </c>
      <c r="N557" s="72">
        <f t="shared" si="35"/>
        <v>406008.08999999933</v>
      </c>
    </row>
    <row r="558" spans="1:14" x14ac:dyDescent="0.2">
      <c r="A558" s="73" t="s">
        <v>578</v>
      </c>
      <c r="B558" s="3">
        <f t="shared" si="32"/>
        <v>2025</v>
      </c>
      <c r="C558" s="3">
        <f t="shared" si="33"/>
        <v>4</v>
      </c>
      <c r="D558" s="73" t="s">
        <v>300</v>
      </c>
      <c r="E558" s="2" t="s">
        <v>597</v>
      </c>
      <c r="F558" s="2" t="s">
        <v>325</v>
      </c>
      <c r="G558" s="2" t="s">
        <v>357</v>
      </c>
      <c r="H558" s="2" t="s">
        <v>323</v>
      </c>
      <c r="I558" s="2" t="s">
        <v>350</v>
      </c>
      <c r="J558" s="2" t="s">
        <v>353</v>
      </c>
      <c r="K558" s="72">
        <v>10000</v>
      </c>
      <c r="L558" s="39"/>
      <c r="M558" s="72">
        <f t="shared" si="34"/>
        <v>-10000</v>
      </c>
      <c r="N558" s="72">
        <f t="shared" si="35"/>
        <v>396008.08999999933</v>
      </c>
    </row>
    <row r="559" spans="1:14" x14ac:dyDescent="0.2">
      <c r="A559" s="73" t="s">
        <v>578</v>
      </c>
      <c r="B559" s="3">
        <f t="shared" si="32"/>
        <v>2025</v>
      </c>
      <c r="C559" s="3">
        <f t="shared" si="33"/>
        <v>4</v>
      </c>
      <c r="D559" s="73" t="s">
        <v>300</v>
      </c>
      <c r="E559" s="2" t="s">
        <v>621</v>
      </c>
      <c r="F559" s="2" t="s">
        <v>325</v>
      </c>
      <c r="G559" s="2" t="s">
        <v>357</v>
      </c>
      <c r="H559" s="2" t="s">
        <v>323</v>
      </c>
      <c r="I559" s="2" t="s">
        <v>350</v>
      </c>
      <c r="J559" s="2" t="s">
        <v>353</v>
      </c>
      <c r="K559" s="72">
        <v>45000</v>
      </c>
      <c r="L559" s="39"/>
      <c r="M559" s="72">
        <f t="shared" si="34"/>
        <v>-45000</v>
      </c>
      <c r="N559" s="72">
        <f t="shared" si="35"/>
        <v>351008.08999999933</v>
      </c>
    </row>
    <row r="560" spans="1:14" x14ac:dyDescent="0.2">
      <c r="A560" s="73" t="s">
        <v>578</v>
      </c>
      <c r="B560" s="3">
        <f t="shared" si="32"/>
        <v>2025</v>
      </c>
      <c r="C560" s="3">
        <f t="shared" si="33"/>
        <v>4</v>
      </c>
      <c r="D560" s="73" t="s">
        <v>300</v>
      </c>
      <c r="E560" s="2" t="s">
        <v>629</v>
      </c>
      <c r="F560" s="2" t="s">
        <v>325</v>
      </c>
      <c r="G560" s="2" t="s">
        <v>389</v>
      </c>
      <c r="H560" s="2" t="s">
        <v>323</v>
      </c>
      <c r="I560" s="2" t="s">
        <v>350</v>
      </c>
      <c r="J560" s="2" t="s">
        <v>353</v>
      </c>
      <c r="K560" s="72">
        <v>9300</v>
      </c>
      <c r="L560" s="39"/>
      <c r="M560" s="72">
        <f t="shared" si="34"/>
        <v>-9300</v>
      </c>
      <c r="N560" s="72">
        <f t="shared" si="35"/>
        <v>341708.08999999933</v>
      </c>
    </row>
    <row r="561" spans="1:14" x14ac:dyDescent="0.2">
      <c r="A561" s="73" t="s">
        <v>578</v>
      </c>
      <c r="B561" s="3">
        <f t="shared" si="32"/>
        <v>2025</v>
      </c>
      <c r="C561" s="3">
        <f t="shared" si="33"/>
        <v>4</v>
      </c>
      <c r="D561" s="73" t="s">
        <v>300</v>
      </c>
      <c r="E561" s="2"/>
      <c r="F561" s="2" t="s">
        <v>304</v>
      </c>
      <c r="G561" s="2" t="s">
        <v>308</v>
      </c>
      <c r="H561" s="2" t="s">
        <v>349</v>
      </c>
      <c r="I561" s="2" t="s">
        <v>297</v>
      </c>
      <c r="J561" s="2" t="s">
        <v>26</v>
      </c>
      <c r="K561" s="72">
        <v>311.98</v>
      </c>
      <c r="L561" s="39"/>
      <c r="M561" s="72">
        <f t="shared" si="34"/>
        <v>-311.98</v>
      </c>
      <c r="N561" s="72">
        <f t="shared" si="35"/>
        <v>341396.10999999935</v>
      </c>
    </row>
    <row r="562" spans="1:14" x14ac:dyDescent="0.2">
      <c r="A562" s="73" t="s">
        <v>578</v>
      </c>
      <c r="B562" s="3">
        <f t="shared" si="32"/>
        <v>2025</v>
      </c>
      <c r="C562" s="3">
        <f t="shared" si="33"/>
        <v>4</v>
      </c>
      <c r="D562" s="73" t="s">
        <v>300</v>
      </c>
      <c r="E562" s="2" t="s">
        <v>616</v>
      </c>
      <c r="F562" s="2" t="s">
        <v>325</v>
      </c>
      <c r="G562" s="2" t="s">
        <v>7</v>
      </c>
      <c r="H562" s="2" t="s">
        <v>323</v>
      </c>
      <c r="I562" s="2" t="s">
        <v>350</v>
      </c>
      <c r="J562" s="2" t="s">
        <v>27</v>
      </c>
      <c r="K562" s="72">
        <v>5025</v>
      </c>
      <c r="L562" s="39"/>
      <c r="M562" s="72">
        <f t="shared" si="34"/>
        <v>-5025</v>
      </c>
      <c r="N562" s="72">
        <f t="shared" si="35"/>
        <v>336371.10999999935</v>
      </c>
    </row>
    <row r="563" spans="1:14" x14ac:dyDescent="0.2">
      <c r="A563" s="73" t="s">
        <v>578</v>
      </c>
      <c r="B563" s="3">
        <f t="shared" si="32"/>
        <v>2025</v>
      </c>
      <c r="C563" s="3">
        <f t="shared" si="33"/>
        <v>4</v>
      </c>
      <c r="D563" s="73" t="s">
        <v>300</v>
      </c>
      <c r="E563" s="2" t="s">
        <v>615</v>
      </c>
      <c r="F563" s="2" t="s">
        <v>325</v>
      </c>
      <c r="G563" s="2" t="s">
        <v>355</v>
      </c>
      <c r="H563" s="2" t="s">
        <v>323</v>
      </c>
      <c r="I563" s="2" t="s">
        <v>350</v>
      </c>
      <c r="J563" s="2" t="s">
        <v>27</v>
      </c>
      <c r="K563" s="72">
        <v>12000</v>
      </c>
      <c r="L563" s="39"/>
      <c r="M563" s="72">
        <f t="shared" si="34"/>
        <v>-12000</v>
      </c>
      <c r="N563" s="72">
        <f t="shared" si="35"/>
        <v>324371.10999999935</v>
      </c>
    </row>
    <row r="564" spans="1:14" x14ac:dyDescent="0.2">
      <c r="A564" s="73" t="s">
        <v>578</v>
      </c>
      <c r="B564" s="3">
        <f t="shared" si="32"/>
        <v>2025</v>
      </c>
      <c r="C564" s="3">
        <f t="shared" si="33"/>
        <v>4</v>
      </c>
      <c r="D564" s="73" t="s">
        <v>300</v>
      </c>
      <c r="E564" s="2"/>
      <c r="F564" s="2" t="s">
        <v>304</v>
      </c>
      <c r="G564" s="2" t="s">
        <v>306</v>
      </c>
      <c r="H564" s="2" t="s">
        <v>305</v>
      </c>
      <c r="I564" s="2" t="s">
        <v>301</v>
      </c>
      <c r="J564" s="2" t="s">
        <v>19</v>
      </c>
      <c r="K564" s="72">
        <v>4</v>
      </c>
      <c r="L564" s="39"/>
      <c r="M564" s="72">
        <f t="shared" si="34"/>
        <v>-4</v>
      </c>
      <c r="N564" s="72">
        <f t="shared" si="35"/>
        <v>324367.10999999935</v>
      </c>
    </row>
    <row r="565" spans="1:14" x14ac:dyDescent="0.2">
      <c r="A565" s="73" t="s">
        <v>578</v>
      </c>
      <c r="B565" s="3">
        <f t="shared" si="32"/>
        <v>2025</v>
      </c>
      <c r="C565" s="3">
        <f t="shared" si="33"/>
        <v>4</v>
      </c>
      <c r="D565" s="73" t="s">
        <v>300</v>
      </c>
      <c r="E565" s="2" t="s">
        <v>602</v>
      </c>
      <c r="F565" s="2" t="s">
        <v>325</v>
      </c>
      <c r="G565" s="2" t="s">
        <v>428</v>
      </c>
      <c r="H565" s="2" t="s">
        <v>323</v>
      </c>
      <c r="I565" s="2" t="s">
        <v>350</v>
      </c>
      <c r="J565" s="2" t="s">
        <v>353</v>
      </c>
      <c r="K565" s="72">
        <v>199</v>
      </c>
      <c r="L565" s="39"/>
      <c r="M565" s="72">
        <f t="shared" si="34"/>
        <v>-199</v>
      </c>
      <c r="N565" s="72">
        <f t="shared" si="35"/>
        <v>324168.10999999935</v>
      </c>
    </row>
    <row r="566" spans="1:14" x14ac:dyDescent="0.2">
      <c r="A566" s="73" t="s">
        <v>578</v>
      </c>
      <c r="B566" s="3">
        <f t="shared" si="32"/>
        <v>2025</v>
      </c>
      <c r="C566" s="3">
        <f t="shared" si="33"/>
        <v>4</v>
      </c>
      <c r="D566" s="73" t="s">
        <v>300</v>
      </c>
      <c r="E566" s="2" t="s">
        <v>596</v>
      </c>
      <c r="F566" s="2" t="s">
        <v>325</v>
      </c>
      <c r="G566" s="2" t="s">
        <v>354</v>
      </c>
      <c r="H566" s="2" t="s">
        <v>323</v>
      </c>
      <c r="I566" s="2" t="s">
        <v>350</v>
      </c>
      <c r="J566" s="2" t="s">
        <v>353</v>
      </c>
      <c r="K566" s="72">
        <v>4200</v>
      </c>
      <c r="L566" s="39"/>
      <c r="M566" s="72">
        <f t="shared" si="34"/>
        <v>-4200</v>
      </c>
      <c r="N566" s="72">
        <f t="shared" si="35"/>
        <v>319968.10999999935</v>
      </c>
    </row>
    <row r="567" spans="1:14" x14ac:dyDescent="0.2">
      <c r="A567" s="73" t="s">
        <v>578</v>
      </c>
      <c r="B567" s="3">
        <f t="shared" si="32"/>
        <v>2025</v>
      </c>
      <c r="C567" s="3">
        <f t="shared" si="33"/>
        <v>4</v>
      </c>
      <c r="D567" s="73" t="s">
        <v>300</v>
      </c>
      <c r="E567" s="2" t="s">
        <v>600</v>
      </c>
      <c r="F567" s="2" t="s">
        <v>325</v>
      </c>
      <c r="G567" s="2" t="s">
        <v>354</v>
      </c>
      <c r="H567" s="2" t="s">
        <v>323</v>
      </c>
      <c r="I567" s="2" t="s">
        <v>350</v>
      </c>
      <c r="J567" s="2" t="s">
        <v>353</v>
      </c>
      <c r="K567" s="72">
        <v>3360</v>
      </c>
      <c r="L567" s="39"/>
      <c r="M567" s="72">
        <f t="shared" si="34"/>
        <v>-3360</v>
      </c>
      <c r="N567" s="72">
        <f t="shared" si="35"/>
        <v>316608.10999999935</v>
      </c>
    </row>
    <row r="568" spans="1:14" x14ac:dyDescent="0.2">
      <c r="A568" s="73" t="s">
        <v>578</v>
      </c>
      <c r="B568" s="3">
        <f t="shared" si="32"/>
        <v>2025</v>
      </c>
      <c r="C568" s="3">
        <f t="shared" si="33"/>
        <v>4</v>
      </c>
      <c r="D568" s="73" t="s">
        <v>300</v>
      </c>
      <c r="E568" s="2" t="s">
        <v>601</v>
      </c>
      <c r="F568" s="2" t="s">
        <v>325</v>
      </c>
      <c r="G568" s="2" t="s">
        <v>354</v>
      </c>
      <c r="H568" s="2" t="s">
        <v>323</v>
      </c>
      <c r="I568" s="2" t="s">
        <v>350</v>
      </c>
      <c r="J568" s="2" t="s">
        <v>353</v>
      </c>
      <c r="K568" s="72">
        <v>5880</v>
      </c>
      <c r="L568" s="39"/>
      <c r="M568" s="72">
        <f t="shared" si="34"/>
        <v>-5880</v>
      </c>
      <c r="N568" s="72">
        <f t="shared" si="35"/>
        <v>310728.10999999935</v>
      </c>
    </row>
    <row r="569" spans="1:14" x14ac:dyDescent="0.2">
      <c r="A569" s="73" t="s">
        <v>578</v>
      </c>
      <c r="B569" s="3">
        <f t="shared" si="32"/>
        <v>2025</v>
      </c>
      <c r="C569" s="3">
        <f t="shared" si="33"/>
        <v>4</v>
      </c>
      <c r="D569" s="73" t="s">
        <v>300</v>
      </c>
      <c r="E569" s="2" t="s">
        <v>603</v>
      </c>
      <c r="F569" s="2" t="s">
        <v>325</v>
      </c>
      <c r="G569" s="2" t="s">
        <v>352</v>
      </c>
      <c r="H569" s="2" t="s">
        <v>323</v>
      </c>
      <c r="I569" s="2" t="s">
        <v>350</v>
      </c>
      <c r="J569" s="2" t="s">
        <v>27</v>
      </c>
      <c r="K569" s="72">
        <v>900</v>
      </c>
      <c r="L569" s="39"/>
      <c r="M569" s="72">
        <f t="shared" si="34"/>
        <v>-900</v>
      </c>
      <c r="N569" s="72">
        <f t="shared" si="35"/>
        <v>309828.10999999935</v>
      </c>
    </row>
    <row r="570" spans="1:14" x14ac:dyDescent="0.2">
      <c r="A570" s="73" t="s">
        <v>578</v>
      </c>
      <c r="B570" s="3">
        <f t="shared" si="32"/>
        <v>2025</v>
      </c>
      <c r="C570" s="3">
        <f t="shared" si="33"/>
        <v>4</v>
      </c>
      <c r="D570" s="73" t="s">
        <v>300</v>
      </c>
      <c r="E570" s="2" t="s">
        <v>604</v>
      </c>
      <c r="F570" s="2" t="s">
        <v>325</v>
      </c>
      <c r="G570" s="2" t="s">
        <v>352</v>
      </c>
      <c r="H570" s="2" t="s">
        <v>323</v>
      </c>
      <c r="I570" s="2" t="s">
        <v>350</v>
      </c>
      <c r="J570" s="2" t="s">
        <v>27</v>
      </c>
      <c r="K570" s="72">
        <v>175</v>
      </c>
      <c r="L570" s="39"/>
      <c r="M570" s="72">
        <f t="shared" si="34"/>
        <v>-175</v>
      </c>
      <c r="N570" s="72">
        <f t="shared" si="35"/>
        <v>309653.10999999935</v>
      </c>
    </row>
    <row r="571" spans="1:14" x14ac:dyDescent="0.2">
      <c r="A571" s="73" t="s">
        <v>578</v>
      </c>
      <c r="B571" s="3">
        <f t="shared" si="32"/>
        <v>2025</v>
      </c>
      <c r="C571" s="3">
        <f t="shared" si="33"/>
        <v>4</v>
      </c>
      <c r="D571" s="73" t="s">
        <v>300</v>
      </c>
      <c r="E571" s="2" t="s">
        <v>605</v>
      </c>
      <c r="F571" s="2" t="s">
        <v>325</v>
      </c>
      <c r="G571" s="2" t="s">
        <v>352</v>
      </c>
      <c r="H571" s="2" t="s">
        <v>323</v>
      </c>
      <c r="I571" s="2" t="s">
        <v>350</v>
      </c>
      <c r="J571" s="2" t="s">
        <v>27</v>
      </c>
      <c r="K571" s="72">
        <v>80</v>
      </c>
      <c r="L571" s="39"/>
      <c r="M571" s="72">
        <f t="shared" si="34"/>
        <v>-80</v>
      </c>
      <c r="N571" s="72">
        <f t="shared" si="35"/>
        <v>309573.10999999935</v>
      </c>
    </row>
    <row r="572" spans="1:14" x14ac:dyDescent="0.2">
      <c r="A572" s="73" t="s">
        <v>578</v>
      </c>
      <c r="B572" s="3">
        <f t="shared" si="32"/>
        <v>2025</v>
      </c>
      <c r="C572" s="3">
        <f t="shared" si="33"/>
        <v>4</v>
      </c>
      <c r="D572" s="73" t="s">
        <v>300</v>
      </c>
      <c r="E572" s="2" t="s">
        <v>606</v>
      </c>
      <c r="F572" s="2" t="s">
        <v>325</v>
      </c>
      <c r="G572" s="2" t="s">
        <v>352</v>
      </c>
      <c r="H572" s="2" t="s">
        <v>323</v>
      </c>
      <c r="I572" s="2" t="s">
        <v>350</v>
      </c>
      <c r="J572" s="2" t="s">
        <v>27</v>
      </c>
      <c r="K572" s="72">
        <v>1056</v>
      </c>
      <c r="L572" s="39"/>
      <c r="M572" s="72">
        <f t="shared" si="34"/>
        <v>-1056</v>
      </c>
      <c r="N572" s="72">
        <f t="shared" si="35"/>
        <v>308517.10999999935</v>
      </c>
    </row>
    <row r="573" spans="1:14" x14ac:dyDescent="0.2">
      <c r="A573" s="73" t="s">
        <v>578</v>
      </c>
      <c r="B573" s="3">
        <f t="shared" si="32"/>
        <v>2025</v>
      </c>
      <c r="C573" s="3">
        <f t="shared" si="33"/>
        <v>4</v>
      </c>
      <c r="D573" s="73" t="s">
        <v>300</v>
      </c>
      <c r="E573" s="2" t="s">
        <v>607</v>
      </c>
      <c r="F573" s="2" t="s">
        <v>325</v>
      </c>
      <c r="G573" s="2" t="s">
        <v>352</v>
      </c>
      <c r="H573" s="2" t="s">
        <v>323</v>
      </c>
      <c r="I573" s="2" t="s">
        <v>350</v>
      </c>
      <c r="J573" s="2" t="s">
        <v>27</v>
      </c>
      <c r="K573" s="72">
        <v>3024</v>
      </c>
      <c r="L573" s="39"/>
      <c r="M573" s="72">
        <f t="shared" si="34"/>
        <v>-3024</v>
      </c>
      <c r="N573" s="72">
        <f t="shared" si="35"/>
        <v>305493.10999999935</v>
      </c>
    </row>
    <row r="574" spans="1:14" x14ac:dyDescent="0.2">
      <c r="A574" s="73" t="s">
        <v>578</v>
      </c>
      <c r="B574" s="3">
        <f t="shared" si="32"/>
        <v>2025</v>
      </c>
      <c r="C574" s="3">
        <f t="shared" si="33"/>
        <v>4</v>
      </c>
      <c r="D574" s="73" t="s">
        <v>300</v>
      </c>
      <c r="E574" s="2" t="s">
        <v>608</v>
      </c>
      <c r="F574" s="2" t="s">
        <v>325</v>
      </c>
      <c r="G574" s="2" t="s">
        <v>352</v>
      </c>
      <c r="H574" s="2" t="s">
        <v>323</v>
      </c>
      <c r="I574" s="2" t="s">
        <v>350</v>
      </c>
      <c r="J574" s="2" t="s">
        <v>27</v>
      </c>
      <c r="K574" s="72">
        <v>1190</v>
      </c>
      <c r="L574" s="39"/>
      <c r="M574" s="72">
        <f t="shared" si="34"/>
        <v>-1190</v>
      </c>
      <c r="N574" s="72">
        <f t="shared" si="35"/>
        <v>304303.10999999935</v>
      </c>
    </row>
    <row r="575" spans="1:14" x14ac:dyDescent="0.2">
      <c r="A575" s="73" t="s">
        <v>578</v>
      </c>
      <c r="B575" s="3">
        <f t="shared" si="32"/>
        <v>2025</v>
      </c>
      <c r="C575" s="3">
        <f t="shared" si="33"/>
        <v>4</v>
      </c>
      <c r="D575" s="73" t="s">
        <v>300</v>
      </c>
      <c r="E575" s="2" t="s">
        <v>609</v>
      </c>
      <c r="F575" s="2" t="s">
        <v>325</v>
      </c>
      <c r="G575" s="2" t="s">
        <v>352</v>
      </c>
      <c r="H575" s="2" t="s">
        <v>323</v>
      </c>
      <c r="I575" s="2" t="s">
        <v>350</v>
      </c>
      <c r="J575" s="2" t="s">
        <v>27</v>
      </c>
      <c r="K575" s="72">
        <v>6650</v>
      </c>
      <c r="L575" s="39"/>
      <c r="M575" s="72">
        <f t="shared" si="34"/>
        <v>-6650</v>
      </c>
      <c r="N575" s="72">
        <f t="shared" si="35"/>
        <v>297653.10999999935</v>
      </c>
    </row>
    <row r="576" spans="1:14" x14ac:dyDescent="0.2">
      <c r="A576" s="73" t="s">
        <v>578</v>
      </c>
      <c r="B576" s="3">
        <f t="shared" si="32"/>
        <v>2025</v>
      </c>
      <c r="C576" s="3">
        <f t="shared" si="33"/>
        <v>4</v>
      </c>
      <c r="D576" s="73" t="s">
        <v>300</v>
      </c>
      <c r="E576" s="2" t="s">
        <v>613</v>
      </c>
      <c r="F576" s="2" t="s">
        <v>325</v>
      </c>
      <c r="G576" s="2" t="s">
        <v>352</v>
      </c>
      <c r="H576" s="2" t="s">
        <v>323</v>
      </c>
      <c r="I576" s="2" t="s">
        <v>350</v>
      </c>
      <c r="J576" s="2" t="s">
        <v>27</v>
      </c>
      <c r="K576" s="72">
        <v>490</v>
      </c>
      <c r="L576" s="39"/>
      <c r="M576" s="72">
        <f t="shared" si="34"/>
        <v>-490</v>
      </c>
      <c r="N576" s="72">
        <f t="shared" si="35"/>
        <v>297163.10999999935</v>
      </c>
    </row>
    <row r="577" spans="1:14" x14ac:dyDescent="0.2">
      <c r="A577" s="73" t="s">
        <v>578</v>
      </c>
      <c r="B577" s="3">
        <f t="shared" si="32"/>
        <v>2025</v>
      </c>
      <c r="C577" s="3">
        <f t="shared" si="33"/>
        <v>4</v>
      </c>
      <c r="D577" s="73" t="s">
        <v>300</v>
      </c>
      <c r="E577" s="2" t="s">
        <v>614</v>
      </c>
      <c r="F577" s="2" t="s">
        <v>325</v>
      </c>
      <c r="G577" s="2" t="s">
        <v>352</v>
      </c>
      <c r="H577" s="2" t="s">
        <v>323</v>
      </c>
      <c r="I577" s="2" t="s">
        <v>350</v>
      </c>
      <c r="J577" s="2" t="s">
        <v>27</v>
      </c>
      <c r="K577" s="72">
        <v>1750</v>
      </c>
      <c r="L577" s="39"/>
      <c r="M577" s="72">
        <f t="shared" si="34"/>
        <v>-1750</v>
      </c>
      <c r="N577" s="72">
        <f t="shared" si="35"/>
        <v>295413.10999999935</v>
      </c>
    </row>
    <row r="578" spans="1:14" x14ac:dyDescent="0.2">
      <c r="A578" s="73" t="s">
        <v>578</v>
      </c>
      <c r="B578" s="3">
        <f t="shared" ref="B578:B641" si="36">YEAR(A578)</f>
        <v>2025</v>
      </c>
      <c r="C578" s="3">
        <f t="shared" ref="C578:C641" si="37">MONTH(A578)</f>
        <v>4</v>
      </c>
      <c r="D578" s="73" t="s">
        <v>300</v>
      </c>
      <c r="E578" s="2" t="s">
        <v>617</v>
      </c>
      <c r="F578" s="2" t="s">
        <v>325</v>
      </c>
      <c r="G578" s="2" t="s">
        <v>352</v>
      </c>
      <c r="H578" s="2" t="s">
        <v>323</v>
      </c>
      <c r="I578" s="2" t="s">
        <v>350</v>
      </c>
      <c r="J578" s="2" t="s">
        <v>27</v>
      </c>
      <c r="K578" s="72">
        <v>5530</v>
      </c>
      <c r="L578" s="39"/>
      <c r="M578" s="72">
        <f t="shared" ref="M578:M641" si="38">IF(ISBLANK(L578),K578*-1,L578)</f>
        <v>-5530</v>
      </c>
      <c r="N578" s="72">
        <f t="shared" si="35"/>
        <v>289883.10999999935</v>
      </c>
    </row>
    <row r="579" spans="1:14" x14ac:dyDescent="0.2">
      <c r="A579" s="73" t="s">
        <v>578</v>
      </c>
      <c r="B579" s="3">
        <f t="shared" si="36"/>
        <v>2025</v>
      </c>
      <c r="C579" s="3">
        <f t="shared" si="37"/>
        <v>4</v>
      </c>
      <c r="D579" s="73" t="s">
        <v>300</v>
      </c>
      <c r="E579" s="2" t="s">
        <v>612</v>
      </c>
      <c r="F579" s="2" t="s">
        <v>325</v>
      </c>
      <c r="G579" s="2" t="s">
        <v>351</v>
      </c>
      <c r="H579" s="2" t="s">
        <v>323</v>
      </c>
      <c r="I579" s="2" t="s">
        <v>350</v>
      </c>
      <c r="J579" s="2" t="s">
        <v>27</v>
      </c>
      <c r="K579" s="72">
        <v>18544</v>
      </c>
      <c r="L579" s="39"/>
      <c r="M579" s="72">
        <f t="shared" si="38"/>
        <v>-18544</v>
      </c>
      <c r="N579" s="72">
        <f t="shared" ref="N579:N642" si="39">+N578+M579</f>
        <v>271339.10999999935</v>
      </c>
    </row>
    <row r="580" spans="1:14" x14ac:dyDescent="0.2">
      <c r="A580" s="73" t="s">
        <v>578</v>
      </c>
      <c r="B580" s="3">
        <f t="shared" si="36"/>
        <v>2025</v>
      </c>
      <c r="C580" s="3">
        <f t="shared" si="37"/>
        <v>4</v>
      </c>
      <c r="D580" s="73" t="s">
        <v>300</v>
      </c>
      <c r="E580" s="2"/>
      <c r="F580" s="2" t="s">
        <v>304</v>
      </c>
      <c r="G580" s="2" t="s">
        <v>594</v>
      </c>
      <c r="H580" s="2" t="s">
        <v>518</v>
      </c>
      <c r="I580" s="2" t="s">
        <v>316</v>
      </c>
      <c r="J580" s="2" t="s">
        <v>21</v>
      </c>
      <c r="K580" s="72">
        <v>20</v>
      </c>
      <c r="L580" s="39"/>
      <c r="M580" s="72">
        <f t="shared" si="38"/>
        <v>-20</v>
      </c>
      <c r="N580" s="72">
        <f t="shared" si="39"/>
        <v>271319.10999999935</v>
      </c>
    </row>
    <row r="581" spans="1:14" x14ac:dyDescent="0.2">
      <c r="A581" s="73" t="s">
        <v>578</v>
      </c>
      <c r="B581" s="3">
        <f t="shared" si="36"/>
        <v>2025</v>
      </c>
      <c r="C581" s="3">
        <f t="shared" si="37"/>
        <v>4</v>
      </c>
      <c r="D581" s="73" t="s">
        <v>300</v>
      </c>
      <c r="E581" s="2"/>
      <c r="F581" s="2" t="s">
        <v>299</v>
      </c>
      <c r="G581" s="2"/>
      <c r="H581" s="2" t="s">
        <v>298</v>
      </c>
      <c r="I581" s="2" t="s">
        <v>297</v>
      </c>
      <c r="J581" s="2" t="s">
        <v>296</v>
      </c>
      <c r="K581" s="72"/>
      <c r="L581" s="39">
        <v>228680.89</v>
      </c>
      <c r="M581" s="72">
        <f t="shared" si="38"/>
        <v>228680.89</v>
      </c>
      <c r="N581" s="72">
        <f t="shared" si="39"/>
        <v>499999.99999999936</v>
      </c>
    </row>
    <row r="582" spans="1:14" x14ac:dyDescent="0.2">
      <c r="A582" s="73" t="s">
        <v>579</v>
      </c>
      <c r="B582" s="3">
        <f t="shared" si="36"/>
        <v>2025</v>
      </c>
      <c r="C582" s="3">
        <f t="shared" si="37"/>
        <v>4</v>
      </c>
      <c r="D582" s="73" t="s">
        <v>300</v>
      </c>
      <c r="E582" s="2"/>
      <c r="F582" s="2" t="s">
        <v>309</v>
      </c>
      <c r="G582" s="2" t="s">
        <v>303</v>
      </c>
      <c r="H582" s="2" t="s">
        <v>302</v>
      </c>
      <c r="I582" s="2" t="s">
        <v>301</v>
      </c>
      <c r="J582" s="2" t="s">
        <v>11</v>
      </c>
      <c r="K582" s="72"/>
      <c r="L582" s="39">
        <v>292.77999999999997</v>
      </c>
      <c r="M582" s="72">
        <f t="shared" si="38"/>
        <v>292.77999999999997</v>
      </c>
      <c r="N582" s="72">
        <f t="shared" si="39"/>
        <v>500292.77999999939</v>
      </c>
    </row>
    <row r="583" spans="1:14" x14ac:dyDescent="0.2">
      <c r="A583" s="73" t="s">
        <v>579</v>
      </c>
      <c r="B583" s="3">
        <f t="shared" si="36"/>
        <v>2025</v>
      </c>
      <c r="C583" s="3">
        <f t="shared" si="37"/>
        <v>4</v>
      </c>
      <c r="D583" s="73" t="s">
        <v>300</v>
      </c>
      <c r="E583" s="2"/>
      <c r="F583" s="2" t="s">
        <v>299</v>
      </c>
      <c r="G583" s="2"/>
      <c r="H583" s="2" t="s">
        <v>298</v>
      </c>
      <c r="I583" s="2" t="s">
        <v>297</v>
      </c>
      <c r="J583" s="2" t="s">
        <v>296</v>
      </c>
      <c r="K583" s="72">
        <v>292.77999999999997</v>
      </c>
      <c r="L583" s="39"/>
      <c r="M583" s="72">
        <f t="shared" si="38"/>
        <v>-292.77999999999997</v>
      </c>
      <c r="N583" s="72">
        <f t="shared" si="39"/>
        <v>499999.99999999936</v>
      </c>
    </row>
    <row r="584" spans="1:14" x14ac:dyDescent="0.2">
      <c r="A584" s="73" t="s">
        <v>580</v>
      </c>
      <c r="B584" s="3">
        <f t="shared" si="36"/>
        <v>2025</v>
      </c>
      <c r="C584" s="3">
        <f t="shared" si="37"/>
        <v>4</v>
      </c>
      <c r="D584" s="73" t="s">
        <v>300</v>
      </c>
      <c r="E584" s="2"/>
      <c r="F584" s="2" t="s">
        <v>325</v>
      </c>
      <c r="G584" s="2" t="s">
        <v>375</v>
      </c>
      <c r="H584" s="2" t="s">
        <v>323</v>
      </c>
      <c r="I584" s="2" t="s">
        <v>316</v>
      </c>
      <c r="J584" s="2" t="s">
        <v>29</v>
      </c>
      <c r="K584" s="72">
        <v>11432</v>
      </c>
      <c r="L584" s="39"/>
      <c r="M584" s="72">
        <f t="shared" si="38"/>
        <v>-11432</v>
      </c>
      <c r="N584" s="72">
        <f t="shared" si="39"/>
        <v>488567.99999999936</v>
      </c>
    </row>
    <row r="585" spans="1:14" x14ac:dyDescent="0.2">
      <c r="A585" s="73" t="s">
        <v>580</v>
      </c>
      <c r="B585" s="3">
        <f t="shared" si="36"/>
        <v>2025</v>
      </c>
      <c r="C585" s="3">
        <f t="shared" si="37"/>
        <v>4</v>
      </c>
      <c r="D585" s="73" t="s">
        <v>300</v>
      </c>
      <c r="E585" s="2"/>
      <c r="F585" s="2" t="s">
        <v>325</v>
      </c>
      <c r="G585" s="2" t="s">
        <v>375</v>
      </c>
      <c r="H585" s="2" t="s">
        <v>323</v>
      </c>
      <c r="I585" s="2" t="s">
        <v>316</v>
      </c>
      <c r="J585" s="2" t="s">
        <v>29</v>
      </c>
      <c r="K585" s="72">
        <v>726</v>
      </c>
      <c r="L585" s="39"/>
      <c r="M585" s="72">
        <f t="shared" si="38"/>
        <v>-726</v>
      </c>
      <c r="N585" s="72">
        <f t="shared" si="39"/>
        <v>487841.99999999936</v>
      </c>
    </row>
    <row r="586" spans="1:14" x14ac:dyDescent="0.2">
      <c r="A586" s="73" t="s">
        <v>580</v>
      </c>
      <c r="B586" s="3">
        <f t="shared" si="36"/>
        <v>2025</v>
      </c>
      <c r="C586" s="3">
        <f t="shared" si="37"/>
        <v>4</v>
      </c>
      <c r="D586" s="73" t="s">
        <v>300</v>
      </c>
      <c r="E586" s="2"/>
      <c r="F586" s="2" t="s">
        <v>325</v>
      </c>
      <c r="G586" s="2" t="s">
        <v>375</v>
      </c>
      <c r="H586" s="2" t="s">
        <v>323</v>
      </c>
      <c r="I586" s="2" t="s">
        <v>316</v>
      </c>
      <c r="J586" s="2" t="s">
        <v>29</v>
      </c>
      <c r="K586" s="72">
        <v>9787</v>
      </c>
      <c r="L586" s="39"/>
      <c r="M586" s="72">
        <f t="shared" si="38"/>
        <v>-9787</v>
      </c>
      <c r="N586" s="72">
        <f t="shared" si="39"/>
        <v>478054.99999999936</v>
      </c>
    </row>
    <row r="587" spans="1:14" x14ac:dyDescent="0.2">
      <c r="A587" s="73" t="s">
        <v>580</v>
      </c>
      <c r="B587" s="3">
        <f t="shared" si="36"/>
        <v>2025</v>
      </c>
      <c r="C587" s="3">
        <f t="shared" si="37"/>
        <v>4</v>
      </c>
      <c r="D587" s="73" t="s">
        <v>300</v>
      </c>
      <c r="E587" s="2"/>
      <c r="F587" s="2" t="s">
        <v>299</v>
      </c>
      <c r="G587" s="2"/>
      <c r="H587" s="2" t="s">
        <v>298</v>
      </c>
      <c r="I587" s="2" t="s">
        <v>297</v>
      </c>
      <c r="J587" s="2" t="s">
        <v>296</v>
      </c>
      <c r="K587" s="72"/>
      <c r="L587" s="39">
        <v>21945</v>
      </c>
      <c r="M587" s="72">
        <f t="shared" si="38"/>
        <v>21945</v>
      </c>
      <c r="N587" s="72">
        <f t="shared" si="39"/>
        <v>499999.99999999936</v>
      </c>
    </row>
    <row r="588" spans="1:14" x14ac:dyDescent="0.2">
      <c r="A588" s="73" t="s">
        <v>581</v>
      </c>
      <c r="B588" s="3">
        <f t="shared" si="36"/>
        <v>2025</v>
      </c>
      <c r="C588" s="3">
        <f t="shared" si="37"/>
        <v>4</v>
      </c>
      <c r="D588" s="73" t="s">
        <v>300</v>
      </c>
      <c r="E588" s="2"/>
      <c r="F588" s="2" t="s">
        <v>309</v>
      </c>
      <c r="G588" s="2" t="s">
        <v>381</v>
      </c>
      <c r="H588" s="2" t="s">
        <v>380</v>
      </c>
      <c r="I588" s="2" t="s">
        <v>301</v>
      </c>
      <c r="J588" s="2" t="s">
        <v>11</v>
      </c>
      <c r="K588" s="72"/>
      <c r="L588" s="39">
        <v>476.36</v>
      </c>
      <c r="M588" s="72">
        <f t="shared" si="38"/>
        <v>476.36</v>
      </c>
      <c r="N588" s="72">
        <f t="shared" si="39"/>
        <v>500476.35999999935</v>
      </c>
    </row>
    <row r="589" spans="1:14" x14ac:dyDescent="0.2">
      <c r="A589" s="73" t="s">
        <v>581</v>
      </c>
      <c r="B589" s="3">
        <f t="shared" si="36"/>
        <v>2025</v>
      </c>
      <c r="C589" s="3">
        <f t="shared" si="37"/>
        <v>4</v>
      </c>
      <c r="D589" s="73" t="s">
        <v>300</v>
      </c>
      <c r="E589" s="2"/>
      <c r="F589" s="2" t="s">
        <v>304</v>
      </c>
      <c r="G589" s="2" t="s">
        <v>336</v>
      </c>
      <c r="H589" s="2" t="s">
        <v>335</v>
      </c>
      <c r="I589" s="2" t="s">
        <v>301</v>
      </c>
      <c r="J589" s="2" t="s">
        <v>11</v>
      </c>
      <c r="K589" s="72">
        <v>50</v>
      </c>
      <c r="L589" s="39"/>
      <c r="M589" s="72">
        <f t="shared" si="38"/>
        <v>-50</v>
      </c>
      <c r="N589" s="72">
        <f t="shared" si="39"/>
        <v>500426.35999999935</v>
      </c>
    </row>
    <row r="590" spans="1:14" x14ac:dyDescent="0.2">
      <c r="A590" s="73" t="s">
        <v>581</v>
      </c>
      <c r="B590" s="3">
        <f t="shared" si="36"/>
        <v>2025</v>
      </c>
      <c r="C590" s="3">
        <f t="shared" si="37"/>
        <v>4</v>
      </c>
      <c r="D590" s="73" t="s">
        <v>300</v>
      </c>
      <c r="E590" s="2"/>
      <c r="F590" s="2" t="s">
        <v>321</v>
      </c>
      <c r="G590" s="2" t="s">
        <v>348</v>
      </c>
      <c r="H590" s="2" t="s">
        <v>319</v>
      </c>
      <c r="I590" s="2" t="s">
        <v>315</v>
      </c>
      <c r="J590" s="2" t="s">
        <v>23</v>
      </c>
      <c r="K590" s="72"/>
      <c r="L590" s="39">
        <v>13640</v>
      </c>
      <c r="M590" s="72">
        <f t="shared" si="38"/>
        <v>13640</v>
      </c>
      <c r="N590" s="72">
        <f t="shared" si="39"/>
        <v>514066.35999999935</v>
      </c>
    </row>
    <row r="591" spans="1:14" x14ac:dyDescent="0.2">
      <c r="A591" s="73" t="s">
        <v>581</v>
      </c>
      <c r="B591" s="3">
        <f t="shared" si="36"/>
        <v>2025</v>
      </c>
      <c r="C591" s="3">
        <f t="shared" si="37"/>
        <v>4</v>
      </c>
      <c r="D591" s="73" t="s">
        <v>300</v>
      </c>
      <c r="E591" s="2"/>
      <c r="F591" s="2" t="s">
        <v>299</v>
      </c>
      <c r="G591" s="2"/>
      <c r="H591" s="2" t="s">
        <v>298</v>
      </c>
      <c r="I591" s="2" t="s">
        <v>297</v>
      </c>
      <c r="J591" s="2" t="s">
        <v>296</v>
      </c>
      <c r="K591" s="72">
        <v>14066.36</v>
      </c>
      <c r="L591" s="39"/>
      <c r="M591" s="72">
        <f t="shared" si="38"/>
        <v>-14066.36</v>
      </c>
      <c r="N591" s="72">
        <f t="shared" si="39"/>
        <v>499999.99999999936</v>
      </c>
    </row>
    <row r="592" spans="1:14" x14ac:dyDescent="0.2">
      <c r="A592" s="73" t="s">
        <v>582</v>
      </c>
      <c r="B592" s="3">
        <f t="shared" si="36"/>
        <v>2025</v>
      </c>
      <c r="C592" s="3">
        <f t="shared" si="37"/>
        <v>4</v>
      </c>
      <c r="D592" s="73" t="s">
        <v>300</v>
      </c>
      <c r="E592" s="2"/>
      <c r="F592" s="2" t="s">
        <v>304</v>
      </c>
      <c r="G592" s="2" t="s">
        <v>336</v>
      </c>
      <c r="H592" s="2" t="s">
        <v>335</v>
      </c>
      <c r="I592" s="2" t="s">
        <v>301</v>
      </c>
      <c r="J592" s="2" t="s">
        <v>11</v>
      </c>
      <c r="K592" s="72">
        <v>9.3000000000000007</v>
      </c>
      <c r="L592" s="39"/>
      <c r="M592" s="72">
        <f t="shared" si="38"/>
        <v>-9.3000000000000007</v>
      </c>
      <c r="N592" s="72">
        <f t="shared" si="39"/>
        <v>499990.69999999937</v>
      </c>
    </row>
    <row r="593" spans="1:14" x14ac:dyDescent="0.2">
      <c r="A593" s="73" t="s">
        <v>582</v>
      </c>
      <c r="B593" s="3">
        <f t="shared" si="36"/>
        <v>2025</v>
      </c>
      <c r="C593" s="3">
        <f t="shared" si="37"/>
        <v>4</v>
      </c>
      <c r="D593" s="73" t="s">
        <v>300</v>
      </c>
      <c r="E593" s="2"/>
      <c r="F593" s="2" t="s">
        <v>304</v>
      </c>
      <c r="G593" s="2" t="s">
        <v>306</v>
      </c>
      <c r="H593" s="2" t="s">
        <v>516</v>
      </c>
      <c r="I593" s="2" t="s">
        <v>301</v>
      </c>
      <c r="J593" s="2" t="s">
        <v>24</v>
      </c>
      <c r="K593" s="72">
        <v>71927.87</v>
      </c>
      <c r="L593" s="39"/>
      <c r="M593" s="72">
        <f t="shared" si="38"/>
        <v>-71927.87</v>
      </c>
      <c r="N593" s="72">
        <f t="shared" si="39"/>
        <v>428062.82999999938</v>
      </c>
    </row>
    <row r="594" spans="1:14" x14ac:dyDescent="0.2">
      <c r="A594" s="73" t="s">
        <v>582</v>
      </c>
      <c r="B594" s="3">
        <f t="shared" si="36"/>
        <v>2025</v>
      </c>
      <c r="C594" s="3">
        <f t="shared" si="37"/>
        <v>4</v>
      </c>
      <c r="D594" s="73" t="s">
        <v>300</v>
      </c>
      <c r="E594" s="2"/>
      <c r="F594" s="2" t="s">
        <v>304</v>
      </c>
      <c r="G594" s="2" t="s">
        <v>306</v>
      </c>
      <c r="H594" s="2" t="s">
        <v>516</v>
      </c>
      <c r="I594" s="2" t="s">
        <v>301</v>
      </c>
      <c r="J594" s="2" t="s">
        <v>20</v>
      </c>
      <c r="K594" s="72">
        <v>38927.22</v>
      </c>
      <c r="L594" s="39"/>
      <c r="M594" s="72">
        <f t="shared" si="38"/>
        <v>-38927.22</v>
      </c>
      <c r="N594" s="72">
        <f t="shared" si="39"/>
        <v>389135.6099999994</v>
      </c>
    </row>
    <row r="595" spans="1:14" x14ac:dyDescent="0.2">
      <c r="A595" s="73" t="s">
        <v>582</v>
      </c>
      <c r="B595" s="3">
        <f t="shared" si="36"/>
        <v>2025</v>
      </c>
      <c r="C595" s="3">
        <f t="shared" si="37"/>
        <v>4</v>
      </c>
      <c r="D595" s="73" t="s">
        <v>300</v>
      </c>
      <c r="E595" s="2"/>
      <c r="F595" s="2" t="s">
        <v>304</v>
      </c>
      <c r="G595" s="2" t="s">
        <v>306</v>
      </c>
      <c r="H595" s="2" t="s">
        <v>516</v>
      </c>
      <c r="I595" s="2" t="s">
        <v>301</v>
      </c>
      <c r="J595" s="2" t="s">
        <v>11</v>
      </c>
      <c r="K595" s="72">
        <v>1462</v>
      </c>
      <c r="L595" s="39"/>
      <c r="M595" s="72">
        <f t="shared" si="38"/>
        <v>-1462</v>
      </c>
      <c r="N595" s="72">
        <f t="shared" si="39"/>
        <v>387673.6099999994</v>
      </c>
    </row>
    <row r="596" spans="1:14" x14ac:dyDescent="0.2">
      <c r="A596" s="73" t="s">
        <v>582</v>
      </c>
      <c r="B596" s="3">
        <f t="shared" si="36"/>
        <v>2025</v>
      </c>
      <c r="C596" s="3">
        <f t="shared" si="37"/>
        <v>4</v>
      </c>
      <c r="D596" s="73" t="s">
        <v>300</v>
      </c>
      <c r="E596" s="2"/>
      <c r="F596" s="2" t="s">
        <v>299</v>
      </c>
      <c r="G596" s="2"/>
      <c r="H596" s="2" t="s">
        <v>298</v>
      </c>
      <c r="I596" s="2" t="s">
        <v>297</v>
      </c>
      <c r="J596" s="2" t="s">
        <v>296</v>
      </c>
      <c r="K596" s="72"/>
      <c r="L596" s="39">
        <v>112326.39</v>
      </c>
      <c r="M596" s="72">
        <f t="shared" si="38"/>
        <v>112326.39</v>
      </c>
      <c r="N596" s="72">
        <f t="shared" si="39"/>
        <v>499999.99999999942</v>
      </c>
    </row>
    <row r="597" spans="1:14" x14ac:dyDescent="0.2">
      <c r="A597" s="73" t="s">
        <v>583</v>
      </c>
      <c r="B597" s="3">
        <f t="shared" si="36"/>
        <v>2025</v>
      </c>
      <c r="C597" s="3">
        <f t="shared" si="37"/>
        <v>4</v>
      </c>
      <c r="D597" s="73" t="s">
        <v>300</v>
      </c>
      <c r="E597" s="2"/>
      <c r="F597" s="2" t="s">
        <v>321</v>
      </c>
      <c r="G597" s="2" t="s">
        <v>521</v>
      </c>
      <c r="H597" s="2" t="s">
        <v>319</v>
      </c>
      <c r="I597" s="2" t="s">
        <v>315</v>
      </c>
      <c r="J597" s="2" t="s">
        <v>23</v>
      </c>
      <c r="K597" s="72"/>
      <c r="L597" s="39">
        <v>11377.5</v>
      </c>
      <c r="M597" s="72">
        <f t="shared" si="38"/>
        <v>11377.5</v>
      </c>
      <c r="N597" s="72">
        <f t="shared" si="39"/>
        <v>511377.49999999942</v>
      </c>
    </row>
    <row r="598" spans="1:14" x14ac:dyDescent="0.2">
      <c r="A598" s="73" t="s">
        <v>583</v>
      </c>
      <c r="B598" s="3">
        <f t="shared" si="36"/>
        <v>2025</v>
      </c>
      <c r="C598" s="3">
        <f t="shared" si="37"/>
        <v>4</v>
      </c>
      <c r="D598" s="73" t="s">
        <v>300</v>
      </c>
      <c r="E598" s="2"/>
      <c r="F598" s="2" t="s">
        <v>304</v>
      </c>
      <c r="G598" s="2" t="s">
        <v>306</v>
      </c>
      <c r="H598" s="2" t="s">
        <v>305</v>
      </c>
      <c r="I598" s="2" t="s">
        <v>301</v>
      </c>
      <c r="J598" s="2" t="s">
        <v>19</v>
      </c>
      <c r="K598" s="72">
        <v>140.32</v>
      </c>
      <c r="L598" s="39"/>
      <c r="M598" s="72">
        <f t="shared" si="38"/>
        <v>-140.32</v>
      </c>
      <c r="N598" s="72">
        <f t="shared" si="39"/>
        <v>511237.17999999941</v>
      </c>
    </row>
    <row r="599" spans="1:14" x14ac:dyDescent="0.2">
      <c r="A599" s="73" t="s">
        <v>583</v>
      </c>
      <c r="B599" s="3">
        <f t="shared" si="36"/>
        <v>2025</v>
      </c>
      <c r="C599" s="3">
        <f t="shared" si="37"/>
        <v>4</v>
      </c>
      <c r="D599" s="73" t="s">
        <v>300</v>
      </c>
      <c r="E599" s="2"/>
      <c r="F599" s="2" t="s">
        <v>299</v>
      </c>
      <c r="G599" s="2"/>
      <c r="H599" s="2" t="s">
        <v>298</v>
      </c>
      <c r="I599" s="2" t="s">
        <v>297</v>
      </c>
      <c r="J599" s="2" t="s">
        <v>296</v>
      </c>
      <c r="K599" s="72">
        <v>11237.18</v>
      </c>
      <c r="L599" s="39"/>
      <c r="M599" s="72">
        <f t="shared" si="38"/>
        <v>-11237.18</v>
      </c>
      <c r="N599" s="72">
        <f t="shared" si="39"/>
        <v>499999.99999999942</v>
      </c>
    </row>
    <row r="600" spans="1:14" x14ac:dyDescent="0.2">
      <c r="A600" s="73" t="s">
        <v>584</v>
      </c>
      <c r="B600" s="3">
        <f t="shared" si="36"/>
        <v>2025</v>
      </c>
      <c r="C600" s="3">
        <f t="shared" si="37"/>
        <v>4</v>
      </c>
      <c r="D600" s="73" t="s">
        <v>300</v>
      </c>
      <c r="E600" s="2"/>
      <c r="F600" s="2" t="s">
        <v>304</v>
      </c>
      <c r="G600" s="2" t="s">
        <v>306</v>
      </c>
      <c r="H600" s="2" t="s">
        <v>516</v>
      </c>
      <c r="I600" s="2" t="s">
        <v>301</v>
      </c>
      <c r="J600" s="2" t="s">
        <v>20</v>
      </c>
      <c r="K600" s="72">
        <v>1072.97</v>
      </c>
      <c r="L600" s="39"/>
      <c r="M600" s="72">
        <f t="shared" si="38"/>
        <v>-1072.97</v>
      </c>
      <c r="N600" s="72">
        <f t="shared" si="39"/>
        <v>498927.02999999945</v>
      </c>
    </row>
    <row r="601" spans="1:14" x14ac:dyDescent="0.2">
      <c r="A601" s="73" t="s">
        <v>584</v>
      </c>
      <c r="B601" s="3">
        <f t="shared" si="36"/>
        <v>2025</v>
      </c>
      <c r="C601" s="3">
        <f t="shared" si="37"/>
        <v>4</v>
      </c>
      <c r="D601" s="73" t="s">
        <v>300</v>
      </c>
      <c r="E601" s="2"/>
      <c r="F601" s="2" t="s">
        <v>304</v>
      </c>
      <c r="G601" s="2" t="s">
        <v>344</v>
      </c>
      <c r="H601" s="2" t="s">
        <v>343</v>
      </c>
      <c r="I601" s="2" t="s">
        <v>301</v>
      </c>
      <c r="J601" s="2" t="s">
        <v>11</v>
      </c>
      <c r="K601" s="72">
        <v>12530.75</v>
      </c>
      <c r="L601" s="39"/>
      <c r="M601" s="72">
        <f t="shared" si="38"/>
        <v>-12530.75</v>
      </c>
      <c r="N601" s="72">
        <f t="shared" si="39"/>
        <v>486396.27999999945</v>
      </c>
    </row>
    <row r="602" spans="1:14" x14ac:dyDescent="0.2">
      <c r="A602" s="73" t="s">
        <v>584</v>
      </c>
      <c r="B602" s="3">
        <f t="shared" si="36"/>
        <v>2025</v>
      </c>
      <c r="C602" s="3">
        <f t="shared" si="37"/>
        <v>4</v>
      </c>
      <c r="D602" s="73" t="s">
        <v>300</v>
      </c>
      <c r="E602" s="2"/>
      <c r="F602" s="2" t="s">
        <v>299</v>
      </c>
      <c r="G602" s="2"/>
      <c r="H602" s="2" t="s">
        <v>298</v>
      </c>
      <c r="I602" s="2" t="s">
        <v>297</v>
      </c>
      <c r="J602" s="2" t="s">
        <v>296</v>
      </c>
      <c r="K602" s="72"/>
      <c r="L602" s="39">
        <v>13603.72</v>
      </c>
      <c r="M602" s="72">
        <f t="shared" si="38"/>
        <v>13603.72</v>
      </c>
      <c r="N602" s="72">
        <f t="shared" si="39"/>
        <v>499999.99999999942</v>
      </c>
    </row>
    <row r="603" spans="1:14" x14ac:dyDescent="0.2">
      <c r="A603" s="73" t="s">
        <v>585</v>
      </c>
      <c r="B603" s="3">
        <f t="shared" si="36"/>
        <v>2025</v>
      </c>
      <c r="C603" s="3">
        <f t="shared" si="37"/>
        <v>4</v>
      </c>
      <c r="D603" s="73" t="s">
        <v>300</v>
      </c>
      <c r="E603" s="2"/>
      <c r="F603" s="2" t="s">
        <v>304</v>
      </c>
      <c r="G603" s="2" t="s">
        <v>303</v>
      </c>
      <c r="H603" s="2" t="s">
        <v>302</v>
      </c>
      <c r="I603" s="2" t="s">
        <v>301</v>
      </c>
      <c r="J603" s="2" t="s">
        <v>11</v>
      </c>
      <c r="K603" s="72">
        <v>1732.29</v>
      </c>
      <c r="L603" s="39"/>
      <c r="M603" s="72">
        <f t="shared" si="38"/>
        <v>-1732.29</v>
      </c>
      <c r="N603" s="72">
        <f t="shared" si="39"/>
        <v>498267.70999999944</v>
      </c>
    </row>
    <row r="604" spans="1:14" x14ac:dyDescent="0.2">
      <c r="A604" s="73" t="s">
        <v>585</v>
      </c>
      <c r="B604" s="3">
        <f t="shared" si="36"/>
        <v>2025</v>
      </c>
      <c r="C604" s="3">
        <f t="shared" si="37"/>
        <v>4</v>
      </c>
      <c r="D604" s="73" t="s">
        <v>300</v>
      </c>
      <c r="E604" s="2"/>
      <c r="F604" s="2" t="s">
        <v>299</v>
      </c>
      <c r="G604" s="2"/>
      <c r="H604" s="2" t="s">
        <v>298</v>
      </c>
      <c r="I604" s="2" t="s">
        <v>297</v>
      </c>
      <c r="J604" s="2" t="s">
        <v>296</v>
      </c>
      <c r="K604" s="72"/>
      <c r="L604" s="39">
        <v>1732.29</v>
      </c>
      <c r="M604" s="72">
        <f t="shared" si="38"/>
        <v>1732.29</v>
      </c>
      <c r="N604" s="72">
        <f t="shared" si="39"/>
        <v>499999.99999999942</v>
      </c>
    </row>
    <row r="605" spans="1:14" x14ac:dyDescent="0.2">
      <c r="A605" s="73" t="s">
        <v>586</v>
      </c>
      <c r="B605" s="3">
        <f t="shared" si="36"/>
        <v>2025</v>
      </c>
      <c r="C605" s="3">
        <f t="shared" si="37"/>
        <v>4</v>
      </c>
      <c r="D605" s="73" t="s">
        <v>300</v>
      </c>
      <c r="E605" s="2"/>
      <c r="F605" s="2" t="s">
        <v>314</v>
      </c>
      <c r="G605" s="2" t="s">
        <v>341</v>
      </c>
      <c r="H605" s="2" t="s">
        <v>340</v>
      </c>
      <c r="I605" s="2" t="s">
        <v>312</v>
      </c>
      <c r="J605" s="2" t="s">
        <v>16</v>
      </c>
      <c r="K605" s="72">
        <v>3686.29</v>
      </c>
      <c r="L605" s="39"/>
      <c r="M605" s="72">
        <f t="shared" si="38"/>
        <v>-3686.29</v>
      </c>
      <c r="N605" s="72">
        <f t="shared" si="39"/>
        <v>496313.70999999944</v>
      </c>
    </row>
    <row r="606" spans="1:14" x14ac:dyDescent="0.2">
      <c r="A606" s="73" t="s">
        <v>586</v>
      </c>
      <c r="B606" s="3">
        <f t="shared" si="36"/>
        <v>2025</v>
      </c>
      <c r="C606" s="3">
        <f t="shared" si="37"/>
        <v>4</v>
      </c>
      <c r="D606" s="73" t="s">
        <v>300</v>
      </c>
      <c r="E606" s="2"/>
      <c r="F606" s="2" t="s">
        <v>321</v>
      </c>
      <c r="G606" s="2" t="s">
        <v>49</v>
      </c>
      <c r="H606" s="2" t="s">
        <v>319</v>
      </c>
      <c r="I606" s="2" t="s">
        <v>315</v>
      </c>
      <c r="J606" s="2" t="s">
        <v>23</v>
      </c>
      <c r="K606" s="72"/>
      <c r="L606" s="39">
        <v>8750</v>
      </c>
      <c r="M606" s="72">
        <f t="shared" si="38"/>
        <v>8750</v>
      </c>
      <c r="N606" s="72">
        <f t="shared" si="39"/>
        <v>505063.70999999944</v>
      </c>
    </row>
    <row r="607" spans="1:14" x14ac:dyDescent="0.2">
      <c r="A607" s="73" t="s">
        <v>586</v>
      </c>
      <c r="B607" s="3">
        <f t="shared" si="36"/>
        <v>2025</v>
      </c>
      <c r="C607" s="3">
        <f t="shared" si="37"/>
        <v>4</v>
      </c>
      <c r="D607" s="73" t="s">
        <v>300</v>
      </c>
      <c r="E607" s="2"/>
      <c r="F607" s="2" t="s">
        <v>321</v>
      </c>
      <c r="G607" s="2" t="s">
        <v>49</v>
      </c>
      <c r="H607" s="2" t="s">
        <v>319</v>
      </c>
      <c r="I607" s="2" t="s">
        <v>315</v>
      </c>
      <c r="J607" s="2" t="s">
        <v>23</v>
      </c>
      <c r="K607" s="72"/>
      <c r="L607" s="39">
        <v>15575</v>
      </c>
      <c r="M607" s="72">
        <f t="shared" si="38"/>
        <v>15575</v>
      </c>
      <c r="N607" s="72">
        <f t="shared" si="39"/>
        <v>520638.70999999944</v>
      </c>
    </row>
    <row r="608" spans="1:14" x14ac:dyDescent="0.2">
      <c r="A608" s="73" t="s">
        <v>586</v>
      </c>
      <c r="B608" s="3">
        <f t="shared" si="36"/>
        <v>2025</v>
      </c>
      <c r="C608" s="3">
        <f t="shared" si="37"/>
        <v>4</v>
      </c>
      <c r="D608" s="73" t="s">
        <v>300</v>
      </c>
      <c r="E608" s="2"/>
      <c r="F608" s="2" t="s">
        <v>325</v>
      </c>
      <c r="G608" s="2" t="s">
        <v>374</v>
      </c>
      <c r="H608" s="2" t="s">
        <v>323</v>
      </c>
      <c r="I608" s="2" t="s">
        <v>316</v>
      </c>
      <c r="J608" s="2" t="s">
        <v>29</v>
      </c>
      <c r="K608" s="72">
        <v>6185</v>
      </c>
      <c r="L608" s="39"/>
      <c r="M608" s="72">
        <f t="shared" si="38"/>
        <v>-6185</v>
      </c>
      <c r="N608" s="72">
        <f t="shared" si="39"/>
        <v>514453.70999999944</v>
      </c>
    </row>
    <row r="609" spans="1:14" x14ac:dyDescent="0.2">
      <c r="A609" s="73" t="s">
        <v>586</v>
      </c>
      <c r="B609" s="3">
        <f t="shared" si="36"/>
        <v>2025</v>
      </c>
      <c r="C609" s="3">
        <f t="shared" si="37"/>
        <v>4</v>
      </c>
      <c r="D609" s="73" t="s">
        <v>300</v>
      </c>
      <c r="E609" s="2"/>
      <c r="F609" s="2" t="s">
        <v>299</v>
      </c>
      <c r="G609" s="2"/>
      <c r="H609" s="2" t="s">
        <v>298</v>
      </c>
      <c r="I609" s="2" t="s">
        <v>297</v>
      </c>
      <c r="J609" s="2" t="s">
        <v>296</v>
      </c>
      <c r="K609" s="72">
        <v>14453.71</v>
      </c>
      <c r="L609" s="39"/>
      <c r="M609" s="72">
        <f t="shared" si="38"/>
        <v>-14453.71</v>
      </c>
      <c r="N609" s="72">
        <f t="shared" si="39"/>
        <v>499999.99999999942</v>
      </c>
    </row>
    <row r="610" spans="1:14" x14ac:dyDescent="0.2">
      <c r="A610" s="73" t="s">
        <v>587</v>
      </c>
      <c r="B610" s="3">
        <f t="shared" si="36"/>
        <v>2025</v>
      </c>
      <c r="C610" s="3">
        <f t="shared" si="37"/>
        <v>4</v>
      </c>
      <c r="D610" s="73" t="s">
        <v>300</v>
      </c>
      <c r="E610" s="2"/>
      <c r="F610" s="2" t="s">
        <v>304</v>
      </c>
      <c r="G610" s="2" t="s">
        <v>336</v>
      </c>
      <c r="H610" s="2" t="s">
        <v>335</v>
      </c>
      <c r="I610" s="2" t="s">
        <v>301</v>
      </c>
      <c r="J610" s="2" t="s">
        <v>11</v>
      </c>
      <c r="K610" s="72">
        <v>50</v>
      </c>
      <c r="L610" s="39"/>
      <c r="M610" s="72">
        <f t="shared" si="38"/>
        <v>-50</v>
      </c>
      <c r="N610" s="72">
        <f t="shared" si="39"/>
        <v>499949.99999999942</v>
      </c>
    </row>
    <row r="611" spans="1:14" x14ac:dyDescent="0.2">
      <c r="A611" s="73" t="s">
        <v>587</v>
      </c>
      <c r="B611" s="3">
        <f t="shared" si="36"/>
        <v>2025</v>
      </c>
      <c r="C611" s="3">
        <f t="shared" si="37"/>
        <v>4</v>
      </c>
      <c r="D611" s="73" t="s">
        <v>300</v>
      </c>
      <c r="E611" s="2"/>
      <c r="F611" s="2" t="s">
        <v>325</v>
      </c>
      <c r="G611" s="2" t="s">
        <v>342</v>
      </c>
      <c r="H611" s="2" t="s">
        <v>323</v>
      </c>
      <c r="I611" s="2" t="s">
        <v>316</v>
      </c>
      <c r="J611" s="2" t="s">
        <v>22</v>
      </c>
      <c r="K611" s="72">
        <v>50</v>
      </c>
      <c r="L611" s="39"/>
      <c r="M611" s="72">
        <f t="shared" si="38"/>
        <v>-50</v>
      </c>
      <c r="N611" s="72">
        <f t="shared" si="39"/>
        <v>499899.99999999942</v>
      </c>
    </row>
    <row r="612" spans="1:14" x14ac:dyDescent="0.2">
      <c r="A612" s="73" t="s">
        <v>587</v>
      </c>
      <c r="B612" s="3">
        <f t="shared" si="36"/>
        <v>2025</v>
      </c>
      <c r="C612" s="3">
        <f t="shared" si="37"/>
        <v>4</v>
      </c>
      <c r="D612" s="73" t="s">
        <v>300</v>
      </c>
      <c r="E612" s="2"/>
      <c r="F612" s="2" t="s">
        <v>325</v>
      </c>
      <c r="G612" s="2" t="s">
        <v>662</v>
      </c>
      <c r="H612" s="2" t="s">
        <v>323</v>
      </c>
      <c r="I612" s="2" t="s">
        <v>316</v>
      </c>
      <c r="J612" s="2" t="s">
        <v>22</v>
      </c>
      <c r="K612" s="72">
        <v>150</v>
      </c>
      <c r="L612" s="39"/>
      <c r="M612" s="72">
        <f t="shared" si="38"/>
        <v>-150</v>
      </c>
      <c r="N612" s="72">
        <f t="shared" si="39"/>
        <v>499749.99999999942</v>
      </c>
    </row>
    <row r="613" spans="1:14" x14ac:dyDescent="0.2">
      <c r="A613" s="73" t="s">
        <v>587</v>
      </c>
      <c r="B613" s="3">
        <f t="shared" si="36"/>
        <v>2025</v>
      </c>
      <c r="C613" s="3">
        <f t="shared" si="37"/>
        <v>4</v>
      </c>
      <c r="D613" s="73" t="s">
        <v>300</v>
      </c>
      <c r="E613" s="2"/>
      <c r="F613" s="2" t="s">
        <v>325</v>
      </c>
      <c r="G613" s="2" t="s">
        <v>662</v>
      </c>
      <c r="H613" s="2" t="s">
        <v>323</v>
      </c>
      <c r="I613" s="2" t="s">
        <v>316</v>
      </c>
      <c r="J613" s="2" t="s">
        <v>17</v>
      </c>
      <c r="K613" s="72">
        <v>2116.94</v>
      </c>
      <c r="L613" s="39"/>
      <c r="M613" s="72">
        <f t="shared" si="38"/>
        <v>-2116.94</v>
      </c>
      <c r="N613" s="72">
        <f t="shared" si="39"/>
        <v>497633.05999999942</v>
      </c>
    </row>
    <row r="614" spans="1:14" x14ac:dyDescent="0.2">
      <c r="A614" s="73" t="s">
        <v>587</v>
      </c>
      <c r="B614" s="3">
        <f t="shared" si="36"/>
        <v>2025</v>
      </c>
      <c r="C614" s="3">
        <f t="shared" si="37"/>
        <v>4</v>
      </c>
      <c r="D614" s="73" t="s">
        <v>300</v>
      </c>
      <c r="E614" s="2"/>
      <c r="F614" s="2" t="s">
        <v>325</v>
      </c>
      <c r="G614" s="2" t="s">
        <v>338</v>
      </c>
      <c r="H614" s="2" t="s">
        <v>323</v>
      </c>
      <c r="I614" s="2" t="s">
        <v>316</v>
      </c>
      <c r="J614" s="2" t="s">
        <v>22</v>
      </c>
      <c r="K614" s="72">
        <v>20</v>
      </c>
      <c r="L614" s="39"/>
      <c r="M614" s="72">
        <f t="shared" si="38"/>
        <v>-20</v>
      </c>
      <c r="N614" s="72">
        <f t="shared" si="39"/>
        <v>497613.05999999942</v>
      </c>
    </row>
    <row r="615" spans="1:14" x14ac:dyDescent="0.2">
      <c r="A615" s="73" t="s">
        <v>587</v>
      </c>
      <c r="B615" s="3">
        <f t="shared" si="36"/>
        <v>2025</v>
      </c>
      <c r="C615" s="3">
        <f t="shared" si="37"/>
        <v>4</v>
      </c>
      <c r="D615" s="73" t="s">
        <v>300</v>
      </c>
      <c r="E615" s="2"/>
      <c r="F615" s="2" t="s">
        <v>325</v>
      </c>
      <c r="G615" s="2" t="s">
        <v>330</v>
      </c>
      <c r="H615" s="2" t="s">
        <v>323</v>
      </c>
      <c r="I615" s="2" t="s">
        <v>316</v>
      </c>
      <c r="J615" s="2" t="s">
        <v>22</v>
      </c>
      <c r="K615" s="72">
        <v>1272.18</v>
      </c>
      <c r="L615" s="39"/>
      <c r="M615" s="72">
        <f t="shared" si="38"/>
        <v>-1272.18</v>
      </c>
      <c r="N615" s="72">
        <f t="shared" si="39"/>
        <v>496340.87999999942</v>
      </c>
    </row>
    <row r="616" spans="1:14" x14ac:dyDescent="0.2">
      <c r="A616" s="73" t="s">
        <v>587</v>
      </c>
      <c r="B616" s="3">
        <f t="shared" si="36"/>
        <v>2025</v>
      </c>
      <c r="C616" s="3">
        <f t="shared" si="37"/>
        <v>4</v>
      </c>
      <c r="D616" s="73" t="s">
        <v>300</v>
      </c>
      <c r="E616" s="2"/>
      <c r="F616" s="2" t="s">
        <v>304</v>
      </c>
      <c r="G616" s="2" t="s">
        <v>327</v>
      </c>
      <c r="H616" s="2" t="s">
        <v>326</v>
      </c>
      <c r="I616" s="2" t="s">
        <v>316</v>
      </c>
      <c r="J616" s="2" t="s">
        <v>18</v>
      </c>
      <c r="K616" s="72">
        <v>3855</v>
      </c>
      <c r="L616" s="39"/>
      <c r="M616" s="72">
        <f t="shared" si="38"/>
        <v>-3855</v>
      </c>
      <c r="N616" s="72">
        <f t="shared" si="39"/>
        <v>492485.87999999942</v>
      </c>
    </row>
    <row r="617" spans="1:14" x14ac:dyDescent="0.2">
      <c r="A617" s="73" t="s">
        <v>587</v>
      </c>
      <c r="B617" s="3">
        <f t="shared" si="36"/>
        <v>2025</v>
      </c>
      <c r="C617" s="3">
        <f t="shared" si="37"/>
        <v>4</v>
      </c>
      <c r="D617" s="73" t="s">
        <v>300</v>
      </c>
      <c r="E617" s="2"/>
      <c r="F617" s="2" t="s">
        <v>304</v>
      </c>
      <c r="G617" s="2" t="s">
        <v>327</v>
      </c>
      <c r="H617" s="2" t="s">
        <v>326</v>
      </c>
      <c r="I617" s="2" t="s">
        <v>316</v>
      </c>
      <c r="J617" s="2" t="s">
        <v>18</v>
      </c>
      <c r="K617" s="72">
        <v>1332.89</v>
      </c>
      <c r="L617" s="39"/>
      <c r="M617" s="72">
        <f t="shared" si="38"/>
        <v>-1332.89</v>
      </c>
      <c r="N617" s="72">
        <f t="shared" si="39"/>
        <v>491152.98999999941</v>
      </c>
    </row>
    <row r="618" spans="1:14" x14ac:dyDescent="0.2">
      <c r="A618" s="73" t="s">
        <v>587</v>
      </c>
      <c r="B618" s="3">
        <f t="shared" si="36"/>
        <v>2025</v>
      </c>
      <c r="C618" s="3">
        <f t="shared" si="37"/>
        <v>4</v>
      </c>
      <c r="D618" s="73" t="s">
        <v>300</v>
      </c>
      <c r="E618" s="2"/>
      <c r="F618" s="2" t="s">
        <v>299</v>
      </c>
      <c r="G618" s="2"/>
      <c r="H618" s="2" t="s">
        <v>298</v>
      </c>
      <c r="I618" s="2" t="s">
        <v>297</v>
      </c>
      <c r="J618" s="2" t="s">
        <v>296</v>
      </c>
      <c r="K618" s="72"/>
      <c r="L618" s="39">
        <v>8847.01</v>
      </c>
      <c r="M618" s="72">
        <f t="shared" si="38"/>
        <v>8847.01</v>
      </c>
      <c r="N618" s="72">
        <f t="shared" si="39"/>
        <v>499999.99999999942</v>
      </c>
    </row>
    <row r="619" spans="1:14" x14ac:dyDescent="0.2">
      <c r="A619" s="73" t="s">
        <v>588</v>
      </c>
      <c r="B619" s="3">
        <f t="shared" si="36"/>
        <v>2025</v>
      </c>
      <c r="C619" s="3">
        <f t="shared" si="37"/>
        <v>4</v>
      </c>
      <c r="D619" s="73" t="s">
        <v>300</v>
      </c>
      <c r="E619" s="2"/>
      <c r="F619" s="2" t="s">
        <v>304</v>
      </c>
      <c r="G619" s="2" t="s">
        <v>334</v>
      </c>
      <c r="H619" s="2" t="s">
        <v>333</v>
      </c>
      <c r="I619" s="2" t="s">
        <v>301</v>
      </c>
      <c r="J619" s="2" t="s">
        <v>11</v>
      </c>
      <c r="K619" s="72">
        <v>656.55</v>
      </c>
      <c r="L619" s="39"/>
      <c r="M619" s="72">
        <f t="shared" si="38"/>
        <v>-656.55</v>
      </c>
      <c r="N619" s="72">
        <f t="shared" si="39"/>
        <v>499343.44999999943</v>
      </c>
    </row>
    <row r="620" spans="1:14" x14ac:dyDescent="0.2">
      <c r="A620" s="73" t="s">
        <v>588</v>
      </c>
      <c r="B620" s="3">
        <f t="shared" si="36"/>
        <v>2025</v>
      </c>
      <c r="C620" s="3">
        <f t="shared" si="37"/>
        <v>4</v>
      </c>
      <c r="D620" s="73" t="s">
        <v>300</v>
      </c>
      <c r="E620" s="2"/>
      <c r="F620" s="2" t="s">
        <v>299</v>
      </c>
      <c r="G620" s="2"/>
      <c r="H620" s="2" t="s">
        <v>298</v>
      </c>
      <c r="I620" s="2" t="s">
        <v>297</v>
      </c>
      <c r="J620" s="2" t="s">
        <v>296</v>
      </c>
      <c r="K620" s="72"/>
      <c r="L620" s="39">
        <v>656.55</v>
      </c>
      <c r="M620" s="72">
        <f t="shared" si="38"/>
        <v>656.55</v>
      </c>
      <c r="N620" s="72">
        <f t="shared" si="39"/>
        <v>499999.99999999942</v>
      </c>
    </row>
    <row r="621" spans="1:14" x14ac:dyDescent="0.2">
      <c r="A621" s="73" t="s">
        <v>589</v>
      </c>
      <c r="B621" s="3">
        <f t="shared" si="36"/>
        <v>2025</v>
      </c>
      <c r="C621" s="3">
        <f t="shared" si="37"/>
        <v>4</v>
      </c>
      <c r="D621" s="73" t="s">
        <v>300</v>
      </c>
      <c r="E621" s="2"/>
      <c r="F621" s="2" t="s">
        <v>304</v>
      </c>
      <c r="G621" s="2" t="s">
        <v>336</v>
      </c>
      <c r="H621" s="2" t="s">
        <v>335</v>
      </c>
      <c r="I621" s="2" t="s">
        <v>301</v>
      </c>
      <c r="J621" s="2" t="s">
        <v>11</v>
      </c>
      <c r="K621" s="72">
        <v>25</v>
      </c>
      <c r="L621" s="39"/>
      <c r="M621" s="72">
        <f t="shared" si="38"/>
        <v>-25</v>
      </c>
      <c r="N621" s="72">
        <f t="shared" si="39"/>
        <v>499974.99999999942</v>
      </c>
    </row>
    <row r="622" spans="1:14" x14ac:dyDescent="0.2">
      <c r="A622" s="73" t="s">
        <v>589</v>
      </c>
      <c r="B622" s="3">
        <f t="shared" si="36"/>
        <v>2025</v>
      </c>
      <c r="C622" s="3">
        <f t="shared" si="37"/>
        <v>4</v>
      </c>
      <c r="D622" s="73" t="s">
        <v>300</v>
      </c>
      <c r="E622" s="2"/>
      <c r="F622" s="2" t="s">
        <v>304</v>
      </c>
      <c r="G622" s="2" t="s">
        <v>303</v>
      </c>
      <c r="H622" s="2" t="s">
        <v>302</v>
      </c>
      <c r="I622" s="2" t="s">
        <v>301</v>
      </c>
      <c r="J622" s="2" t="s">
        <v>11</v>
      </c>
      <c r="K622" s="72">
        <v>11</v>
      </c>
      <c r="L622" s="39"/>
      <c r="M622" s="72">
        <f t="shared" si="38"/>
        <v>-11</v>
      </c>
      <c r="N622" s="72">
        <f t="shared" si="39"/>
        <v>499963.99999999942</v>
      </c>
    </row>
    <row r="623" spans="1:14" x14ac:dyDescent="0.2">
      <c r="A623" s="73" t="s">
        <v>589</v>
      </c>
      <c r="B623" s="3">
        <f t="shared" si="36"/>
        <v>2025</v>
      </c>
      <c r="C623" s="3">
        <f t="shared" si="37"/>
        <v>4</v>
      </c>
      <c r="D623" s="73" t="s">
        <v>300</v>
      </c>
      <c r="E623" s="2"/>
      <c r="F623" s="2" t="s">
        <v>299</v>
      </c>
      <c r="G623" s="2"/>
      <c r="H623" s="2" t="s">
        <v>298</v>
      </c>
      <c r="I623" s="2" t="s">
        <v>297</v>
      </c>
      <c r="J623" s="2" t="s">
        <v>296</v>
      </c>
      <c r="K623" s="72"/>
      <c r="L623" s="39">
        <v>36</v>
      </c>
      <c r="M623" s="72">
        <f t="shared" si="38"/>
        <v>36</v>
      </c>
      <c r="N623" s="72">
        <f t="shared" si="39"/>
        <v>499999.99999999942</v>
      </c>
    </row>
    <row r="624" spans="1:14" x14ac:dyDescent="0.2">
      <c r="A624" s="73" t="s">
        <v>590</v>
      </c>
      <c r="B624" s="3">
        <f t="shared" si="36"/>
        <v>2025</v>
      </c>
      <c r="C624" s="3">
        <f t="shared" si="37"/>
        <v>4</v>
      </c>
      <c r="D624" s="73" t="s">
        <v>300</v>
      </c>
      <c r="E624" s="2"/>
      <c r="F624" s="2" t="s">
        <v>321</v>
      </c>
      <c r="G624" s="2" t="s">
        <v>348</v>
      </c>
      <c r="H624" s="2" t="s">
        <v>319</v>
      </c>
      <c r="I624" s="2" t="s">
        <v>315</v>
      </c>
      <c r="J624" s="2" t="s">
        <v>23</v>
      </c>
      <c r="K624" s="72"/>
      <c r="L624" s="39">
        <v>6200</v>
      </c>
      <c r="M624" s="72">
        <f t="shared" si="38"/>
        <v>6200</v>
      </c>
      <c r="N624" s="72">
        <f t="shared" si="39"/>
        <v>506199.99999999942</v>
      </c>
    </row>
    <row r="625" spans="1:14" x14ac:dyDescent="0.2">
      <c r="A625" s="73" t="s">
        <v>590</v>
      </c>
      <c r="B625" s="3">
        <f t="shared" si="36"/>
        <v>2025</v>
      </c>
      <c r="C625" s="3">
        <f t="shared" si="37"/>
        <v>4</v>
      </c>
      <c r="D625" s="73" t="s">
        <v>300</v>
      </c>
      <c r="E625" s="2"/>
      <c r="F625" s="2" t="s">
        <v>321</v>
      </c>
      <c r="G625" s="2" t="s">
        <v>329</v>
      </c>
      <c r="H625" s="2" t="s">
        <v>319</v>
      </c>
      <c r="I625" s="2" t="s">
        <v>315</v>
      </c>
      <c r="J625" s="2" t="s">
        <v>23</v>
      </c>
      <c r="K625" s="72"/>
      <c r="L625" s="39">
        <v>24777.599999999999</v>
      </c>
      <c r="M625" s="72">
        <f t="shared" si="38"/>
        <v>24777.599999999999</v>
      </c>
      <c r="N625" s="72">
        <f t="shared" si="39"/>
        <v>530977.59999999939</v>
      </c>
    </row>
    <row r="626" spans="1:14" x14ac:dyDescent="0.2">
      <c r="A626" s="73" t="s">
        <v>590</v>
      </c>
      <c r="B626" s="3">
        <f t="shared" si="36"/>
        <v>2025</v>
      </c>
      <c r="C626" s="3">
        <f t="shared" si="37"/>
        <v>4</v>
      </c>
      <c r="D626" s="73" t="s">
        <v>300</v>
      </c>
      <c r="E626" s="2"/>
      <c r="F626" s="2" t="s">
        <v>325</v>
      </c>
      <c r="G626" s="2" t="s">
        <v>663</v>
      </c>
      <c r="H626" s="2" t="s">
        <v>323</v>
      </c>
      <c r="I626" s="2" t="s">
        <v>316</v>
      </c>
      <c r="J626" s="2" t="s">
        <v>28</v>
      </c>
      <c r="K626" s="72">
        <v>556</v>
      </c>
      <c r="L626" s="39"/>
      <c r="M626" s="72">
        <f t="shared" si="38"/>
        <v>-556</v>
      </c>
      <c r="N626" s="72">
        <f t="shared" si="39"/>
        <v>530421.59999999939</v>
      </c>
    </row>
    <row r="627" spans="1:14" x14ac:dyDescent="0.2">
      <c r="A627" s="73" t="s">
        <v>590</v>
      </c>
      <c r="B627" s="3">
        <f t="shared" si="36"/>
        <v>2025</v>
      </c>
      <c r="C627" s="3">
        <f t="shared" si="37"/>
        <v>4</v>
      </c>
      <c r="D627" s="73" t="s">
        <v>300</v>
      </c>
      <c r="E627" s="2"/>
      <c r="F627" s="2" t="s">
        <v>304</v>
      </c>
      <c r="G627" s="2" t="s">
        <v>303</v>
      </c>
      <c r="H627" s="2" t="s">
        <v>302</v>
      </c>
      <c r="I627" s="2" t="s">
        <v>301</v>
      </c>
      <c r="J627" s="2" t="s">
        <v>11</v>
      </c>
      <c r="K627" s="72">
        <v>61.8</v>
      </c>
      <c r="L627" s="39"/>
      <c r="M627" s="72">
        <f t="shared" si="38"/>
        <v>-61.8</v>
      </c>
      <c r="N627" s="72">
        <f t="shared" si="39"/>
        <v>530359.79999999935</v>
      </c>
    </row>
    <row r="628" spans="1:14" x14ac:dyDescent="0.2">
      <c r="A628" s="73" t="s">
        <v>590</v>
      </c>
      <c r="B628" s="3">
        <f t="shared" si="36"/>
        <v>2025</v>
      </c>
      <c r="C628" s="3">
        <f t="shared" si="37"/>
        <v>4</v>
      </c>
      <c r="D628" s="73" t="s">
        <v>300</v>
      </c>
      <c r="E628" s="2"/>
      <c r="F628" s="2" t="s">
        <v>299</v>
      </c>
      <c r="G628" s="2"/>
      <c r="H628" s="2" t="s">
        <v>298</v>
      </c>
      <c r="I628" s="2" t="s">
        <v>297</v>
      </c>
      <c r="J628" s="2" t="s">
        <v>296</v>
      </c>
      <c r="K628" s="72">
        <v>30359.8</v>
      </c>
      <c r="L628" s="39"/>
      <c r="M628" s="72">
        <f t="shared" si="38"/>
        <v>-30359.8</v>
      </c>
      <c r="N628" s="72">
        <f t="shared" si="39"/>
        <v>499999.99999999936</v>
      </c>
    </row>
    <row r="629" spans="1:14" x14ac:dyDescent="0.2">
      <c r="A629" s="73" t="s">
        <v>591</v>
      </c>
      <c r="B629" s="3">
        <f t="shared" si="36"/>
        <v>2025</v>
      </c>
      <c r="C629" s="3">
        <f t="shared" si="37"/>
        <v>4</v>
      </c>
      <c r="D629" s="73" t="s">
        <v>300</v>
      </c>
      <c r="E629" s="2"/>
      <c r="F629" s="2" t="s">
        <v>304</v>
      </c>
      <c r="G629" s="2" t="s">
        <v>336</v>
      </c>
      <c r="H629" s="2" t="s">
        <v>335</v>
      </c>
      <c r="I629" s="2" t="s">
        <v>301</v>
      </c>
      <c r="J629" s="2" t="s">
        <v>11</v>
      </c>
      <c r="K629" s="72">
        <v>225</v>
      </c>
      <c r="L629" s="39"/>
      <c r="M629" s="72">
        <f t="shared" si="38"/>
        <v>-225</v>
      </c>
      <c r="N629" s="72">
        <f t="shared" si="39"/>
        <v>499774.99999999936</v>
      </c>
    </row>
    <row r="630" spans="1:14" x14ac:dyDescent="0.2">
      <c r="A630" s="73" t="s">
        <v>591</v>
      </c>
      <c r="B630" s="3">
        <f t="shared" si="36"/>
        <v>2025</v>
      </c>
      <c r="C630" s="3">
        <f t="shared" si="37"/>
        <v>4</v>
      </c>
      <c r="D630" s="73" t="s">
        <v>300</v>
      </c>
      <c r="E630" s="2"/>
      <c r="F630" s="2" t="s">
        <v>325</v>
      </c>
      <c r="G630" s="2" t="s">
        <v>342</v>
      </c>
      <c r="H630" s="2" t="s">
        <v>323</v>
      </c>
      <c r="I630" s="2" t="s">
        <v>316</v>
      </c>
      <c r="J630" s="2" t="s">
        <v>22</v>
      </c>
      <c r="K630" s="72">
        <v>46.23</v>
      </c>
      <c r="L630" s="39"/>
      <c r="M630" s="72">
        <f t="shared" si="38"/>
        <v>-46.23</v>
      </c>
      <c r="N630" s="72">
        <f t="shared" si="39"/>
        <v>499728.76999999938</v>
      </c>
    </row>
    <row r="631" spans="1:14" x14ac:dyDescent="0.2">
      <c r="A631" s="73" t="s">
        <v>591</v>
      </c>
      <c r="B631" s="3">
        <f t="shared" si="36"/>
        <v>2025</v>
      </c>
      <c r="C631" s="3">
        <f t="shared" si="37"/>
        <v>4</v>
      </c>
      <c r="D631" s="73" t="s">
        <v>300</v>
      </c>
      <c r="E631" s="2"/>
      <c r="F631" s="2" t="s">
        <v>321</v>
      </c>
      <c r="G631" s="2" t="s">
        <v>664</v>
      </c>
      <c r="H631" s="2" t="s">
        <v>319</v>
      </c>
      <c r="I631" s="2" t="s">
        <v>315</v>
      </c>
      <c r="J631" s="2" t="s">
        <v>23</v>
      </c>
      <c r="K631" s="72"/>
      <c r="L631" s="39">
        <v>25000</v>
      </c>
      <c r="M631" s="72">
        <f t="shared" si="38"/>
        <v>25000</v>
      </c>
      <c r="N631" s="72">
        <f t="shared" si="39"/>
        <v>524728.76999999932</v>
      </c>
    </row>
    <row r="632" spans="1:14" x14ac:dyDescent="0.2">
      <c r="A632" s="73" t="s">
        <v>591</v>
      </c>
      <c r="B632" s="3">
        <f t="shared" si="36"/>
        <v>2025</v>
      </c>
      <c r="C632" s="3">
        <f t="shared" si="37"/>
        <v>4</v>
      </c>
      <c r="D632" s="73" t="s">
        <v>300</v>
      </c>
      <c r="E632" s="2"/>
      <c r="F632" s="2" t="s">
        <v>325</v>
      </c>
      <c r="G632" s="2" t="s">
        <v>324</v>
      </c>
      <c r="H632" s="2" t="s">
        <v>323</v>
      </c>
      <c r="I632" s="2" t="s">
        <v>316</v>
      </c>
      <c r="J632" s="2" t="s">
        <v>17</v>
      </c>
      <c r="K632" s="72">
        <v>2682</v>
      </c>
      <c r="L632" s="39"/>
      <c r="M632" s="72">
        <f t="shared" si="38"/>
        <v>-2682</v>
      </c>
      <c r="N632" s="72">
        <f t="shared" si="39"/>
        <v>522046.76999999932</v>
      </c>
    </row>
    <row r="633" spans="1:14" x14ac:dyDescent="0.2">
      <c r="A633" s="73" t="s">
        <v>591</v>
      </c>
      <c r="B633" s="3">
        <f t="shared" si="36"/>
        <v>2025</v>
      </c>
      <c r="C633" s="3">
        <f t="shared" si="37"/>
        <v>4</v>
      </c>
      <c r="D633" s="73" t="s">
        <v>300</v>
      </c>
      <c r="E633" s="2"/>
      <c r="F633" s="2" t="s">
        <v>325</v>
      </c>
      <c r="G633" s="2" t="s">
        <v>662</v>
      </c>
      <c r="H633" s="2" t="s">
        <v>323</v>
      </c>
      <c r="I633" s="2" t="s">
        <v>316</v>
      </c>
      <c r="J633" s="2" t="s">
        <v>22</v>
      </c>
      <c r="K633" s="72">
        <v>1988.11</v>
      </c>
      <c r="L633" s="39"/>
      <c r="M633" s="72">
        <f t="shared" si="38"/>
        <v>-1988.11</v>
      </c>
      <c r="N633" s="72">
        <f t="shared" si="39"/>
        <v>520058.65999999933</v>
      </c>
    </row>
    <row r="634" spans="1:14" x14ac:dyDescent="0.2">
      <c r="A634" s="73" t="s">
        <v>591</v>
      </c>
      <c r="B634" s="3">
        <f t="shared" si="36"/>
        <v>2025</v>
      </c>
      <c r="C634" s="3">
        <f t="shared" si="37"/>
        <v>4</v>
      </c>
      <c r="D634" s="73" t="s">
        <v>300</v>
      </c>
      <c r="E634" s="2"/>
      <c r="F634" s="2" t="s">
        <v>325</v>
      </c>
      <c r="G634" s="2" t="s">
        <v>339</v>
      </c>
      <c r="H634" s="2" t="s">
        <v>323</v>
      </c>
      <c r="I634" s="2" t="s">
        <v>316</v>
      </c>
      <c r="J634" s="2" t="s">
        <v>22</v>
      </c>
      <c r="K634" s="72">
        <v>60</v>
      </c>
      <c r="L634" s="39"/>
      <c r="M634" s="72">
        <f t="shared" si="38"/>
        <v>-60</v>
      </c>
      <c r="N634" s="72">
        <f t="shared" si="39"/>
        <v>519998.65999999933</v>
      </c>
    </row>
    <row r="635" spans="1:14" x14ac:dyDescent="0.2">
      <c r="A635" s="73" t="s">
        <v>591</v>
      </c>
      <c r="B635" s="3">
        <f t="shared" si="36"/>
        <v>2025</v>
      </c>
      <c r="C635" s="3">
        <f t="shared" si="37"/>
        <v>4</v>
      </c>
      <c r="D635" s="73" t="s">
        <v>300</v>
      </c>
      <c r="E635" s="2"/>
      <c r="F635" s="2" t="s">
        <v>299</v>
      </c>
      <c r="G635" s="2"/>
      <c r="H635" s="2" t="s">
        <v>298</v>
      </c>
      <c r="I635" s="2" t="s">
        <v>297</v>
      </c>
      <c r="J635" s="2" t="s">
        <v>296</v>
      </c>
      <c r="K635" s="72">
        <v>19998.66</v>
      </c>
      <c r="L635" s="39"/>
      <c r="M635" s="72">
        <f t="shared" si="38"/>
        <v>-19998.66</v>
      </c>
      <c r="N635" s="72">
        <f t="shared" si="39"/>
        <v>499999.99999999936</v>
      </c>
    </row>
    <row r="636" spans="1:14" x14ac:dyDescent="0.2">
      <c r="A636" s="73" t="s">
        <v>592</v>
      </c>
      <c r="B636" s="3">
        <f t="shared" si="36"/>
        <v>2025</v>
      </c>
      <c r="C636" s="3">
        <f t="shared" si="37"/>
        <v>4</v>
      </c>
      <c r="D636" s="73" t="s">
        <v>300</v>
      </c>
      <c r="E636" s="2"/>
      <c r="F636" s="2" t="s">
        <v>304</v>
      </c>
      <c r="G636" s="2" t="s">
        <v>336</v>
      </c>
      <c r="H636" s="2" t="s">
        <v>335</v>
      </c>
      <c r="I636" s="2" t="s">
        <v>301</v>
      </c>
      <c r="J636" s="2" t="s">
        <v>11</v>
      </c>
      <c r="K636" s="72">
        <v>100</v>
      </c>
      <c r="L636" s="39"/>
      <c r="M636" s="72">
        <f t="shared" si="38"/>
        <v>-100</v>
      </c>
      <c r="N636" s="72">
        <f t="shared" si="39"/>
        <v>499899.99999999936</v>
      </c>
    </row>
    <row r="637" spans="1:14" x14ac:dyDescent="0.2">
      <c r="A637" s="73" t="s">
        <v>592</v>
      </c>
      <c r="B637" s="3">
        <f t="shared" si="36"/>
        <v>2025</v>
      </c>
      <c r="C637" s="3">
        <f t="shared" si="37"/>
        <v>4</v>
      </c>
      <c r="D637" s="73" t="s">
        <v>300</v>
      </c>
      <c r="E637" s="2"/>
      <c r="F637" s="2" t="s">
        <v>309</v>
      </c>
      <c r="G637" s="2" t="s">
        <v>69</v>
      </c>
      <c r="H637" s="2" t="s">
        <v>346</v>
      </c>
      <c r="I637" s="2" t="s">
        <v>315</v>
      </c>
      <c r="J637" s="2" t="s">
        <v>23</v>
      </c>
      <c r="K637" s="72"/>
      <c r="L637" s="39">
        <v>14500</v>
      </c>
      <c r="M637" s="72">
        <f t="shared" si="38"/>
        <v>14500</v>
      </c>
      <c r="N637" s="72">
        <f t="shared" si="39"/>
        <v>514399.99999999936</v>
      </c>
    </row>
    <row r="638" spans="1:14" x14ac:dyDescent="0.2">
      <c r="A638" s="73" t="s">
        <v>592</v>
      </c>
      <c r="B638" s="3">
        <f t="shared" si="36"/>
        <v>2025</v>
      </c>
      <c r="C638" s="3">
        <f t="shared" si="37"/>
        <v>4</v>
      </c>
      <c r="D638" s="73" t="s">
        <v>300</v>
      </c>
      <c r="E638" s="2"/>
      <c r="F638" s="2" t="s">
        <v>304</v>
      </c>
      <c r="G638" s="2" t="s">
        <v>306</v>
      </c>
      <c r="H638" s="2" t="s">
        <v>516</v>
      </c>
      <c r="I638" s="2" t="s">
        <v>301</v>
      </c>
      <c r="J638" s="2" t="s">
        <v>24</v>
      </c>
      <c r="K638" s="72">
        <v>87235.24</v>
      </c>
      <c r="L638" s="39"/>
      <c r="M638" s="72">
        <f t="shared" si="38"/>
        <v>-87235.24</v>
      </c>
      <c r="N638" s="72">
        <f t="shared" si="39"/>
        <v>427164.75999999937</v>
      </c>
    </row>
    <row r="639" spans="1:14" x14ac:dyDescent="0.2">
      <c r="A639" s="73" t="s">
        <v>592</v>
      </c>
      <c r="B639" s="3">
        <f t="shared" si="36"/>
        <v>2025</v>
      </c>
      <c r="C639" s="3">
        <f t="shared" si="37"/>
        <v>4</v>
      </c>
      <c r="D639" s="73" t="s">
        <v>300</v>
      </c>
      <c r="E639" s="2"/>
      <c r="F639" s="2" t="s">
        <v>304</v>
      </c>
      <c r="G639" s="2" t="s">
        <v>306</v>
      </c>
      <c r="H639" s="2" t="s">
        <v>516</v>
      </c>
      <c r="I639" s="2" t="s">
        <v>301</v>
      </c>
      <c r="J639" s="2" t="s">
        <v>11</v>
      </c>
      <c r="K639" s="72">
        <v>1229</v>
      </c>
      <c r="L639" s="39"/>
      <c r="M639" s="72">
        <f t="shared" si="38"/>
        <v>-1229</v>
      </c>
      <c r="N639" s="72">
        <f t="shared" si="39"/>
        <v>425935.75999999937</v>
      </c>
    </row>
    <row r="640" spans="1:14" x14ac:dyDescent="0.2">
      <c r="A640" s="73" t="s">
        <v>592</v>
      </c>
      <c r="B640" s="3">
        <f t="shared" si="36"/>
        <v>2025</v>
      </c>
      <c r="C640" s="3">
        <f t="shared" si="37"/>
        <v>4</v>
      </c>
      <c r="D640" s="73" t="s">
        <v>300</v>
      </c>
      <c r="E640" s="2"/>
      <c r="F640" s="2" t="s">
        <v>304</v>
      </c>
      <c r="G640" s="2" t="s">
        <v>306</v>
      </c>
      <c r="H640" s="2" t="s">
        <v>516</v>
      </c>
      <c r="I640" s="2" t="s">
        <v>301</v>
      </c>
      <c r="J640" s="2" t="s">
        <v>20</v>
      </c>
      <c r="K640" s="72">
        <v>42593.1</v>
      </c>
      <c r="L640" s="39"/>
      <c r="M640" s="72">
        <f t="shared" si="38"/>
        <v>-42593.1</v>
      </c>
      <c r="N640" s="72">
        <f t="shared" si="39"/>
        <v>383342.65999999939</v>
      </c>
    </row>
    <row r="641" spans="1:14" x14ac:dyDescent="0.2">
      <c r="A641" s="73" t="s">
        <v>592</v>
      </c>
      <c r="B641" s="3">
        <f t="shared" si="36"/>
        <v>2025</v>
      </c>
      <c r="C641" s="3">
        <f t="shared" si="37"/>
        <v>4</v>
      </c>
      <c r="D641" s="73" t="s">
        <v>300</v>
      </c>
      <c r="E641" s="2"/>
      <c r="F641" s="2" t="s">
        <v>304</v>
      </c>
      <c r="G641" s="2" t="s">
        <v>317</v>
      </c>
      <c r="H641" s="2" t="s">
        <v>349</v>
      </c>
      <c r="I641" s="2" t="s">
        <v>297</v>
      </c>
      <c r="J641" s="2" t="s">
        <v>26</v>
      </c>
      <c r="K641" s="72">
        <v>20</v>
      </c>
      <c r="L641" s="39"/>
      <c r="M641" s="72">
        <f t="shared" si="38"/>
        <v>-20</v>
      </c>
      <c r="N641" s="72">
        <f t="shared" si="39"/>
        <v>383322.65999999939</v>
      </c>
    </row>
    <row r="642" spans="1:14" x14ac:dyDescent="0.2">
      <c r="A642" s="73" t="s">
        <v>592</v>
      </c>
      <c r="B642" s="3">
        <f t="shared" ref="B642:B705" si="40">YEAR(A642)</f>
        <v>2025</v>
      </c>
      <c r="C642" s="3">
        <f t="shared" ref="C642:C705" si="41">MONTH(A642)</f>
        <v>4</v>
      </c>
      <c r="D642" s="73" t="s">
        <v>300</v>
      </c>
      <c r="E642" s="2"/>
      <c r="F642" s="2" t="s">
        <v>299</v>
      </c>
      <c r="G642" s="2"/>
      <c r="H642" s="2" t="s">
        <v>298</v>
      </c>
      <c r="I642" s="2" t="s">
        <v>297</v>
      </c>
      <c r="J642" s="2" t="s">
        <v>296</v>
      </c>
      <c r="K642" s="72"/>
      <c r="L642" s="39">
        <v>131157.34</v>
      </c>
      <c r="M642" s="72">
        <f t="shared" ref="M642:M705" si="42">IF(ISBLANK(L642),K642*-1,L642)</f>
        <v>131157.34</v>
      </c>
      <c r="N642" s="72">
        <f t="shared" si="39"/>
        <v>514479.99999999942</v>
      </c>
    </row>
    <row r="643" spans="1:14" x14ac:dyDescent="0.2">
      <c r="A643" s="73" t="s">
        <v>593</v>
      </c>
      <c r="B643" s="3">
        <f t="shared" si="40"/>
        <v>2025</v>
      </c>
      <c r="C643" s="3">
        <f t="shared" si="41"/>
        <v>4</v>
      </c>
      <c r="D643" s="73" t="s">
        <v>300</v>
      </c>
      <c r="E643" s="2"/>
      <c r="F643" s="2" t="s">
        <v>304</v>
      </c>
      <c r="G643" s="2" t="s">
        <v>336</v>
      </c>
      <c r="H643" s="2" t="s">
        <v>335</v>
      </c>
      <c r="I643" s="2" t="s">
        <v>301</v>
      </c>
      <c r="J643" s="2" t="s">
        <v>11</v>
      </c>
      <c r="K643" s="72">
        <v>99.1</v>
      </c>
      <c r="L643" s="39"/>
      <c r="M643" s="72">
        <f t="shared" si="42"/>
        <v>-99.1</v>
      </c>
      <c r="N643" s="72">
        <f t="shared" ref="N643:N706" si="43">+N642+M643</f>
        <v>514380.89999999944</v>
      </c>
    </row>
    <row r="644" spans="1:14" x14ac:dyDescent="0.2">
      <c r="A644" s="73" t="s">
        <v>593</v>
      </c>
      <c r="B644" s="3">
        <f t="shared" si="40"/>
        <v>2025</v>
      </c>
      <c r="C644" s="3">
        <f t="shared" si="41"/>
        <v>4</v>
      </c>
      <c r="D644" s="73" t="s">
        <v>300</v>
      </c>
      <c r="E644" s="2"/>
      <c r="F644" s="2" t="s">
        <v>309</v>
      </c>
      <c r="G644" s="2" t="s">
        <v>308</v>
      </c>
      <c r="H644" s="2" t="s">
        <v>307</v>
      </c>
      <c r="I644" s="2" t="s">
        <v>297</v>
      </c>
      <c r="J644" s="2" t="s">
        <v>48</v>
      </c>
      <c r="K644" s="72"/>
      <c r="L644" s="39">
        <v>6912.1</v>
      </c>
      <c r="M644" s="72">
        <f t="shared" si="42"/>
        <v>6912.1</v>
      </c>
      <c r="N644" s="72">
        <f t="shared" si="43"/>
        <v>521292.99999999942</v>
      </c>
    </row>
    <row r="645" spans="1:14" x14ac:dyDescent="0.2">
      <c r="A645" s="73" t="s">
        <v>593</v>
      </c>
      <c r="B645" s="3">
        <f t="shared" si="40"/>
        <v>2025</v>
      </c>
      <c r="C645" s="3">
        <f t="shared" si="41"/>
        <v>4</v>
      </c>
      <c r="D645" s="73" t="s">
        <v>300</v>
      </c>
      <c r="E645" s="2"/>
      <c r="F645" s="2" t="s">
        <v>304</v>
      </c>
      <c r="G645" s="2" t="s">
        <v>306</v>
      </c>
      <c r="H645" s="2" t="s">
        <v>516</v>
      </c>
      <c r="I645" s="2" t="s">
        <v>301</v>
      </c>
      <c r="J645" s="2" t="s">
        <v>19</v>
      </c>
      <c r="K645" s="72">
        <v>309.93</v>
      </c>
      <c r="L645" s="39"/>
      <c r="M645" s="72">
        <f t="shared" si="42"/>
        <v>-309.93</v>
      </c>
      <c r="N645" s="72">
        <f t="shared" si="43"/>
        <v>520983.06999999942</v>
      </c>
    </row>
    <row r="646" spans="1:14" x14ac:dyDescent="0.2">
      <c r="A646" s="73" t="s">
        <v>593</v>
      </c>
      <c r="B646" s="3">
        <f t="shared" si="40"/>
        <v>2025</v>
      </c>
      <c r="C646" s="3">
        <f t="shared" si="41"/>
        <v>4</v>
      </c>
      <c r="D646" s="73" t="s">
        <v>300</v>
      </c>
      <c r="E646" s="2"/>
      <c r="F646" s="2" t="s">
        <v>321</v>
      </c>
      <c r="G646" s="2" t="s">
        <v>10</v>
      </c>
      <c r="H646" s="2" t="s">
        <v>319</v>
      </c>
      <c r="I646" s="2" t="s">
        <v>315</v>
      </c>
      <c r="J646" s="2" t="s">
        <v>23</v>
      </c>
      <c r="K646" s="72"/>
      <c r="L646" s="39">
        <v>4200</v>
      </c>
      <c r="M646" s="72">
        <f t="shared" si="42"/>
        <v>4200</v>
      </c>
      <c r="N646" s="72">
        <f t="shared" si="43"/>
        <v>525183.06999999937</v>
      </c>
    </row>
    <row r="647" spans="1:14" x14ac:dyDescent="0.2">
      <c r="A647" s="90" t="s">
        <v>593</v>
      </c>
      <c r="B647" s="91">
        <f t="shared" si="40"/>
        <v>2025</v>
      </c>
      <c r="C647" s="91">
        <f t="shared" si="41"/>
        <v>4</v>
      </c>
      <c r="D647" s="90" t="s">
        <v>300</v>
      </c>
      <c r="E647" s="92"/>
      <c r="F647" s="92" t="s">
        <v>299</v>
      </c>
      <c r="G647" s="92"/>
      <c r="H647" s="92" t="s">
        <v>298</v>
      </c>
      <c r="I647" s="92" t="s">
        <v>297</v>
      </c>
      <c r="J647" s="92" t="s">
        <v>296</v>
      </c>
      <c r="K647" s="80">
        <v>25183.07</v>
      </c>
      <c r="L647" s="93"/>
      <c r="M647" s="80">
        <f t="shared" si="42"/>
        <v>-25183.07</v>
      </c>
      <c r="N647" s="80">
        <f t="shared" si="43"/>
        <v>499999.99999999936</v>
      </c>
    </row>
    <row r="648" spans="1:14" x14ac:dyDescent="0.2">
      <c r="A648" s="73" t="s">
        <v>667</v>
      </c>
      <c r="B648" s="3">
        <f t="shared" si="40"/>
        <v>2025</v>
      </c>
      <c r="C648" s="3">
        <f t="shared" si="41"/>
        <v>5</v>
      </c>
      <c r="D648" s="73" t="s">
        <v>300</v>
      </c>
      <c r="E648" s="2"/>
      <c r="F648" s="2" t="s">
        <v>321</v>
      </c>
      <c r="G648" s="2" t="s">
        <v>320</v>
      </c>
      <c r="H648" s="2" t="s">
        <v>319</v>
      </c>
      <c r="I648" s="2" t="s">
        <v>315</v>
      </c>
      <c r="J648" s="2" t="s">
        <v>23</v>
      </c>
      <c r="K648" s="72"/>
      <c r="L648" s="39">
        <v>63412</v>
      </c>
      <c r="M648" s="72">
        <f t="shared" si="42"/>
        <v>63412</v>
      </c>
      <c r="N648" s="72">
        <f t="shared" si="43"/>
        <v>563411.9999999993</v>
      </c>
    </row>
    <row r="649" spans="1:14" x14ac:dyDescent="0.2">
      <c r="A649" s="73" t="s">
        <v>667</v>
      </c>
      <c r="B649" s="3">
        <f t="shared" si="40"/>
        <v>2025</v>
      </c>
      <c r="C649" s="3">
        <f t="shared" si="41"/>
        <v>5</v>
      </c>
      <c r="D649" s="73" t="s">
        <v>300</v>
      </c>
      <c r="E649" s="2"/>
      <c r="F649" s="2" t="s">
        <v>309</v>
      </c>
      <c r="G649" s="2" t="s">
        <v>692</v>
      </c>
      <c r="H649" s="2" t="s">
        <v>518</v>
      </c>
      <c r="I649" s="2" t="s">
        <v>316</v>
      </c>
      <c r="J649" s="2" t="s">
        <v>21</v>
      </c>
      <c r="K649" s="72"/>
      <c r="L649" s="39">
        <v>326.17</v>
      </c>
      <c r="M649" s="72">
        <f t="shared" si="42"/>
        <v>326.17</v>
      </c>
      <c r="N649" s="72">
        <f t="shared" si="43"/>
        <v>563738.16999999934</v>
      </c>
    </row>
    <row r="650" spans="1:14" x14ac:dyDescent="0.2">
      <c r="A650" s="73" t="s">
        <v>667</v>
      </c>
      <c r="B650" s="3">
        <f t="shared" si="40"/>
        <v>2025</v>
      </c>
      <c r="C650" s="3">
        <f t="shared" si="41"/>
        <v>5</v>
      </c>
      <c r="D650" s="73" t="s">
        <v>300</v>
      </c>
      <c r="E650" s="2"/>
      <c r="F650" s="2" t="s">
        <v>304</v>
      </c>
      <c r="G650" s="2" t="s">
        <v>344</v>
      </c>
      <c r="H650" s="2" t="s">
        <v>343</v>
      </c>
      <c r="I650" s="2" t="s">
        <v>301</v>
      </c>
      <c r="J650" s="2" t="s">
        <v>11</v>
      </c>
      <c r="K650" s="72">
        <v>12530.75</v>
      </c>
      <c r="L650" s="39"/>
      <c r="M650" s="72">
        <f t="shared" si="42"/>
        <v>-12530.75</v>
      </c>
      <c r="N650" s="72">
        <f t="shared" si="43"/>
        <v>551207.41999999934</v>
      </c>
    </row>
    <row r="651" spans="1:14" x14ac:dyDescent="0.2">
      <c r="A651" s="73" t="s">
        <v>667</v>
      </c>
      <c r="B651" s="3">
        <f t="shared" si="40"/>
        <v>2025</v>
      </c>
      <c r="C651" s="3">
        <f t="shared" si="41"/>
        <v>5</v>
      </c>
      <c r="D651" s="73" t="s">
        <v>300</v>
      </c>
      <c r="E651" s="2"/>
      <c r="F651" s="2" t="s">
        <v>304</v>
      </c>
      <c r="G651" s="2" t="s">
        <v>303</v>
      </c>
      <c r="H651" s="2" t="s">
        <v>302</v>
      </c>
      <c r="I651" s="2" t="s">
        <v>301</v>
      </c>
      <c r="J651" s="2" t="s">
        <v>11</v>
      </c>
      <c r="K651" s="72">
        <v>208.34</v>
      </c>
      <c r="L651" s="39"/>
      <c r="M651" s="72">
        <f t="shared" si="42"/>
        <v>-208.34</v>
      </c>
      <c r="N651" s="72">
        <f t="shared" si="43"/>
        <v>550999.07999999938</v>
      </c>
    </row>
    <row r="652" spans="1:14" x14ac:dyDescent="0.2">
      <c r="A652" s="73" t="s">
        <v>667</v>
      </c>
      <c r="B652" s="3">
        <f t="shared" si="40"/>
        <v>2025</v>
      </c>
      <c r="C652" s="3">
        <f t="shared" si="41"/>
        <v>5</v>
      </c>
      <c r="D652" s="73" t="s">
        <v>300</v>
      </c>
      <c r="E652" s="2"/>
      <c r="F652" s="2" t="s">
        <v>299</v>
      </c>
      <c r="G652" s="2"/>
      <c r="H652" s="2" t="s">
        <v>298</v>
      </c>
      <c r="I652" s="2" t="s">
        <v>297</v>
      </c>
      <c r="J652" s="2" t="s">
        <v>296</v>
      </c>
      <c r="K652" s="72">
        <v>50923.08</v>
      </c>
      <c r="L652" s="39"/>
      <c r="M652" s="72">
        <f t="shared" si="42"/>
        <v>-50923.08</v>
      </c>
      <c r="N652" s="72">
        <f t="shared" si="43"/>
        <v>500075.99999999936</v>
      </c>
    </row>
    <row r="653" spans="1:14" x14ac:dyDescent="0.2">
      <c r="A653" s="73" t="s">
        <v>671</v>
      </c>
      <c r="B653" s="3">
        <f t="shared" si="40"/>
        <v>2025</v>
      </c>
      <c r="C653" s="3">
        <f t="shared" si="41"/>
        <v>5</v>
      </c>
      <c r="D653" s="73" t="s">
        <v>300</v>
      </c>
      <c r="E653" s="2"/>
      <c r="F653" s="2" t="s">
        <v>304</v>
      </c>
      <c r="G653" s="2" t="s">
        <v>373</v>
      </c>
      <c r="H653" s="2" t="s">
        <v>372</v>
      </c>
      <c r="I653" s="2" t="s">
        <v>301</v>
      </c>
      <c r="J653" s="2" t="s">
        <v>11</v>
      </c>
      <c r="K653" s="72">
        <v>17374.64</v>
      </c>
      <c r="L653" s="39"/>
      <c r="M653" s="72">
        <f t="shared" si="42"/>
        <v>-17374.64</v>
      </c>
      <c r="N653" s="72">
        <f t="shared" si="43"/>
        <v>482701.35999999935</v>
      </c>
    </row>
    <row r="654" spans="1:14" x14ac:dyDescent="0.2">
      <c r="A654" s="73" t="s">
        <v>671</v>
      </c>
      <c r="B654" s="3">
        <f t="shared" si="40"/>
        <v>2025</v>
      </c>
      <c r="C654" s="3">
        <f t="shared" si="41"/>
        <v>5</v>
      </c>
      <c r="D654" s="73" t="s">
        <v>300</v>
      </c>
      <c r="E654" s="2"/>
      <c r="F654" s="2" t="s">
        <v>314</v>
      </c>
      <c r="G654" s="2" t="s">
        <v>0</v>
      </c>
      <c r="H654" s="2" t="s">
        <v>313</v>
      </c>
      <c r="I654" s="2" t="s">
        <v>312</v>
      </c>
      <c r="J654" s="2" t="s">
        <v>0</v>
      </c>
      <c r="K654" s="72">
        <v>2521.11</v>
      </c>
      <c r="L654" s="39"/>
      <c r="M654" s="72">
        <f t="shared" si="42"/>
        <v>-2521.11</v>
      </c>
      <c r="N654" s="72">
        <f t="shared" si="43"/>
        <v>480180.24999999936</v>
      </c>
    </row>
    <row r="655" spans="1:14" x14ac:dyDescent="0.2">
      <c r="A655" s="73" t="s">
        <v>671</v>
      </c>
      <c r="B655" s="3">
        <f t="shared" si="40"/>
        <v>2025</v>
      </c>
      <c r="C655" s="3">
        <f t="shared" si="41"/>
        <v>5</v>
      </c>
      <c r="D655" s="73" t="s">
        <v>300</v>
      </c>
      <c r="E655" s="2"/>
      <c r="F655" s="2" t="s">
        <v>309</v>
      </c>
      <c r="G655" s="2" t="s">
        <v>12</v>
      </c>
      <c r="H655" s="2" t="s">
        <v>346</v>
      </c>
      <c r="I655" s="2" t="s">
        <v>315</v>
      </c>
      <c r="J655" s="2" t="s">
        <v>23</v>
      </c>
      <c r="K655" s="72"/>
      <c r="L655" s="39">
        <v>1500</v>
      </c>
      <c r="M655" s="72">
        <f t="shared" si="42"/>
        <v>1500</v>
      </c>
      <c r="N655" s="72">
        <f t="shared" si="43"/>
        <v>481680.24999999936</v>
      </c>
    </row>
    <row r="656" spans="1:14" x14ac:dyDescent="0.2">
      <c r="A656" s="73" t="s">
        <v>671</v>
      </c>
      <c r="B656" s="3">
        <f t="shared" si="40"/>
        <v>2025</v>
      </c>
      <c r="C656" s="3">
        <f t="shared" si="41"/>
        <v>5</v>
      </c>
      <c r="D656" s="73" t="s">
        <v>300</v>
      </c>
      <c r="E656" s="2"/>
      <c r="F656" s="2" t="s">
        <v>321</v>
      </c>
      <c r="G656" s="2" t="s">
        <v>322</v>
      </c>
      <c r="H656" s="2" t="s">
        <v>319</v>
      </c>
      <c r="I656" s="2" t="s">
        <v>315</v>
      </c>
      <c r="J656" s="2" t="s">
        <v>23</v>
      </c>
      <c r="K656" s="72"/>
      <c r="L656" s="39">
        <v>5250</v>
      </c>
      <c r="M656" s="72">
        <f t="shared" si="42"/>
        <v>5250</v>
      </c>
      <c r="N656" s="72">
        <f t="shared" si="43"/>
        <v>486930.24999999936</v>
      </c>
    </row>
    <row r="657" spans="1:15" x14ac:dyDescent="0.2">
      <c r="A657" s="73" t="s">
        <v>671</v>
      </c>
      <c r="B657" s="3">
        <f t="shared" si="40"/>
        <v>2025</v>
      </c>
      <c r="C657" s="3">
        <f t="shared" si="41"/>
        <v>5</v>
      </c>
      <c r="D657" s="73" t="s">
        <v>300</v>
      </c>
      <c r="E657" s="2"/>
      <c r="F657" s="2" t="s">
        <v>325</v>
      </c>
      <c r="G657" s="2" t="s">
        <v>383</v>
      </c>
      <c r="H657" s="2" t="s">
        <v>323</v>
      </c>
      <c r="I657" s="2" t="s">
        <v>316</v>
      </c>
      <c r="J657" s="2" t="s">
        <v>28</v>
      </c>
      <c r="K657" s="72">
        <v>354.79</v>
      </c>
      <c r="L657" s="39"/>
      <c r="M657" s="72">
        <f t="shared" si="42"/>
        <v>-354.79</v>
      </c>
      <c r="N657" s="72">
        <f t="shared" si="43"/>
        <v>486575.45999999938</v>
      </c>
    </row>
    <row r="658" spans="1:15" x14ac:dyDescent="0.2">
      <c r="A658" s="73" t="s">
        <v>671</v>
      </c>
      <c r="B658" s="3">
        <f t="shared" si="40"/>
        <v>2025</v>
      </c>
      <c r="C658" s="3">
        <f t="shared" si="41"/>
        <v>5</v>
      </c>
      <c r="D658" s="73" t="s">
        <v>300</v>
      </c>
      <c r="E658" s="2"/>
      <c r="F658" s="2" t="s">
        <v>304</v>
      </c>
      <c r="G658" s="2" t="s">
        <v>317</v>
      </c>
      <c r="H658" s="2" t="s">
        <v>349</v>
      </c>
      <c r="I658" s="2" t="s">
        <v>297</v>
      </c>
      <c r="J658" s="2" t="s">
        <v>26</v>
      </c>
      <c r="K658" s="72">
        <v>15</v>
      </c>
      <c r="L658" s="39"/>
      <c r="M658" s="72">
        <f t="shared" si="42"/>
        <v>-15</v>
      </c>
      <c r="N658" s="72">
        <f t="shared" si="43"/>
        <v>486560.45999999938</v>
      </c>
    </row>
    <row r="659" spans="1:15" x14ac:dyDescent="0.2">
      <c r="A659" s="73" t="s">
        <v>671</v>
      </c>
      <c r="B659" s="3">
        <f t="shared" si="40"/>
        <v>2025</v>
      </c>
      <c r="C659" s="3">
        <f t="shared" si="41"/>
        <v>5</v>
      </c>
      <c r="D659" s="73" t="s">
        <v>300</v>
      </c>
      <c r="E659" s="2"/>
      <c r="F659" s="2" t="s">
        <v>325</v>
      </c>
      <c r="G659" s="2" t="s">
        <v>347</v>
      </c>
      <c r="H659" s="2" t="s">
        <v>323</v>
      </c>
      <c r="I659" s="2" t="s">
        <v>316</v>
      </c>
      <c r="J659" s="2" t="s">
        <v>22</v>
      </c>
      <c r="K659" s="72">
        <v>4692.7299999999996</v>
      </c>
      <c r="L659" s="39"/>
      <c r="M659" s="72">
        <f t="shared" si="42"/>
        <v>-4692.7299999999996</v>
      </c>
      <c r="N659" s="72">
        <f t="shared" si="43"/>
        <v>481867.7299999994</v>
      </c>
    </row>
    <row r="660" spans="1:15" x14ac:dyDescent="0.2">
      <c r="A660" s="73" t="s">
        <v>671</v>
      </c>
      <c r="B660" s="3">
        <f t="shared" si="40"/>
        <v>2025</v>
      </c>
      <c r="C660" s="3">
        <f t="shared" si="41"/>
        <v>5</v>
      </c>
      <c r="D660" s="73" t="s">
        <v>300</v>
      </c>
      <c r="E660" s="2"/>
      <c r="F660" s="2" t="s">
        <v>299</v>
      </c>
      <c r="G660" s="2"/>
      <c r="H660" s="2" t="s">
        <v>298</v>
      </c>
      <c r="I660" s="2" t="s">
        <v>297</v>
      </c>
      <c r="J660" s="2" t="s">
        <v>296</v>
      </c>
      <c r="K660" s="72"/>
      <c r="L660" s="39">
        <v>18132.27</v>
      </c>
      <c r="M660" s="72">
        <f t="shared" si="42"/>
        <v>18132.27</v>
      </c>
      <c r="N660" s="72">
        <f t="shared" si="43"/>
        <v>499999.99999999942</v>
      </c>
    </row>
    <row r="661" spans="1:15" x14ac:dyDescent="0.2">
      <c r="A661" s="77" t="s">
        <v>891</v>
      </c>
      <c r="B661" s="78">
        <f t="shared" si="40"/>
        <v>2025</v>
      </c>
      <c r="C661" s="78">
        <f t="shared" si="41"/>
        <v>5</v>
      </c>
      <c r="D661" s="77" t="s">
        <v>300</v>
      </c>
      <c r="E661" s="76"/>
      <c r="F661" s="76" t="s">
        <v>325</v>
      </c>
      <c r="G661" s="76" t="s">
        <v>892</v>
      </c>
      <c r="H661" s="76" t="s">
        <v>323</v>
      </c>
      <c r="I661" s="76" t="s">
        <v>316</v>
      </c>
      <c r="J661" s="76" t="s">
        <v>22</v>
      </c>
      <c r="K661" s="74">
        <v>532.53</v>
      </c>
      <c r="L661" s="75"/>
      <c r="M661" s="74">
        <f t="shared" si="42"/>
        <v>-532.53</v>
      </c>
      <c r="N661" s="74">
        <f t="shared" si="43"/>
        <v>499467.46999999939</v>
      </c>
      <c r="O661" s="72"/>
    </row>
    <row r="662" spans="1:15" x14ac:dyDescent="0.2">
      <c r="A662" s="73" t="s">
        <v>672</v>
      </c>
      <c r="B662" s="3">
        <f t="shared" si="40"/>
        <v>2025</v>
      </c>
      <c r="C662" s="3">
        <f t="shared" si="41"/>
        <v>5</v>
      </c>
      <c r="D662" s="73" t="s">
        <v>300</v>
      </c>
      <c r="E662" s="2"/>
      <c r="F662" s="2" t="s">
        <v>304</v>
      </c>
      <c r="G662" s="2" t="s">
        <v>336</v>
      </c>
      <c r="H662" s="2" t="s">
        <v>335</v>
      </c>
      <c r="I662" s="2" t="s">
        <v>301</v>
      </c>
      <c r="J662" s="2" t="s">
        <v>11</v>
      </c>
      <c r="K662" s="72">
        <v>28.34</v>
      </c>
      <c r="L662" s="39"/>
      <c r="M662" s="72">
        <f t="shared" si="42"/>
        <v>-28.34</v>
      </c>
      <c r="N662" s="72">
        <f t="shared" si="43"/>
        <v>499439.12999999936</v>
      </c>
      <c r="O662" s="72"/>
    </row>
    <row r="663" spans="1:15" x14ac:dyDescent="0.2">
      <c r="A663" s="73" t="s">
        <v>672</v>
      </c>
      <c r="B663" s="3">
        <f t="shared" si="40"/>
        <v>2025</v>
      </c>
      <c r="C663" s="3">
        <f t="shared" si="41"/>
        <v>5</v>
      </c>
      <c r="D663" s="73" t="s">
        <v>300</v>
      </c>
      <c r="E663" s="2"/>
      <c r="F663" s="2" t="s">
        <v>325</v>
      </c>
      <c r="G663" s="2" t="s">
        <v>693</v>
      </c>
      <c r="H663" s="2" t="s">
        <v>323</v>
      </c>
      <c r="I663" s="2" t="s">
        <v>316</v>
      </c>
      <c r="J663" s="2" t="s">
        <v>22</v>
      </c>
      <c r="K663" s="72">
        <v>45.56</v>
      </c>
      <c r="L663" s="39"/>
      <c r="M663" s="72">
        <f t="shared" si="42"/>
        <v>-45.56</v>
      </c>
      <c r="N663" s="72">
        <f t="shared" si="43"/>
        <v>499393.56999999937</v>
      </c>
      <c r="O663" s="72"/>
    </row>
    <row r="664" spans="1:15" x14ac:dyDescent="0.2">
      <c r="A664" s="73" t="s">
        <v>672</v>
      </c>
      <c r="B664" s="3">
        <f t="shared" si="40"/>
        <v>2025</v>
      </c>
      <c r="C664" s="3">
        <f t="shared" si="41"/>
        <v>5</v>
      </c>
      <c r="D664" s="73" t="s">
        <v>300</v>
      </c>
      <c r="E664" s="2"/>
      <c r="F664" s="2" t="s">
        <v>325</v>
      </c>
      <c r="G664" s="2" t="s">
        <v>694</v>
      </c>
      <c r="H664" s="2" t="s">
        <v>323</v>
      </c>
      <c r="I664" s="2" t="s">
        <v>316</v>
      </c>
      <c r="J664" s="2" t="s">
        <v>34</v>
      </c>
      <c r="K664" s="72">
        <v>3545.63</v>
      </c>
      <c r="L664" s="39"/>
      <c r="M664" s="72">
        <f t="shared" si="42"/>
        <v>-3545.63</v>
      </c>
      <c r="N664" s="72">
        <f t="shared" si="43"/>
        <v>495847.93999999936</v>
      </c>
      <c r="O664" s="72"/>
    </row>
    <row r="665" spans="1:15" x14ac:dyDescent="0.2">
      <c r="A665" s="73" t="s">
        <v>672</v>
      </c>
      <c r="B665" s="3">
        <f t="shared" si="40"/>
        <v>2025</v>
      </c>
      <c r="C665" s="3">
        <f t="shared" si="41"/>
        <v>5</v>
      </c>
      <c r="D665" s="73" t="s">
        <v>300</v>
      </c>
      <c r="E665" s="2"/>
      <c r="F665" s="2" t="s">
        <v>325</v>
      </c>
      <c r="G665" s="2" t="s">
        <v>5</v>
      </c>
      <c r="H665" s="2" t="s">
        <v>323</v>
      </c>
      <c r="I665" s="2" t="s">
        <v>301</v>
      </c>
      <c r="J665" s="2" t="s">
        <v>11</v>
      </c>
      <c r="K665" s="72">
        <v>30</v>
      </c>
      <c r="L665" s="39"/>
      <c r="M665" s="72">
        <f t="shared" si="42"/>
        <v>-30</v>
      </c>
      <c r="N665" s="72">
        <f t="shared" si="43"/>
        <v>495817.93999999936</v>
      </c>
      <c r="O665" s="72"/>
    </row>
    <row r="666" spans="1:15" x14ac:dyDescent="0.2">
      <c r="A666" s="73" t="s">
        <v>672</v>
      </c>
      <c r="B666" s="3">
        <f t="shared" si="40"/>
        <v>2025</v>
      </c>
      <c r="C666" s="3">
        <f t="shared" si="41"/>
        <v>5</v>
      </c>
      <c r="D666" s="73" t="s">
        <v>300</v>
      </c>
      <c r="E666" s="2"/>
      <c r="F666" s="2" t="s">
        <v>325</v>
      </c>
      <c r="G666" s="2" t="s">
        <v>324</v>
      </c>
      <c r="H666" s="2" t="s">
        <v>323</v>
      </c>
      <c r="I666" s="2" t="s">
        <v>316</v>
      </c>
      <c r="J666" s="2" t="s">
        <v>17</v>
      </c>
      <c r="K666" s="72">
        <v>301.91000000000003</v>
      </c>
      <c r="L666" s="39"/>
      <c r="M666" s="72">
        <f t="shared" si="42"/>
        <v>-301.91000000000003</v>
      </c>
      <c r="N666" s="72">
        <f t="shared" si="43"/>
        <v>495516.02999999939</v>
      </c>
      <c r="O666" s="72"/>
    </row>
    <row r="667" spans="1:15" x14ac:dyDescent="0.2">
      <c r="A667" s="73" t="s">
        <v>672</v>
      </c>
      <c r="B667" s="3">
        <f t="shared" si="40"/>
        <v>2025</v>
      </c>
      <c r="C667" s="3">
        <f t="shared" si="41"/>
        <v>5</v>
      </c>
      <c r="D667" s="73" t="s">
        <v>300</v>
      </c>
      <c r="E667" s="2"/>
      <c r="F667" s="2" t="s">
        <v>325</v>
      </c>
      <c r="G667" s="2" t="s">
        <v>324</v>
      </c>
      <c r="H667" s="2" t="s">
        <v>323</v>
      </c>
      <c r="I667" s="2" t="s">
        <v>316</v>
      </c>
      <c r="J667" s="2" t="s">
        <v>17</v>
      </c>
      <c r="K667" s="72">
        <v>3463.35</v>
      </c>
      <c r="L667" s="39"/>
      <c r="M667" s="72">
        <f t="shared" si="42"/>
        <v>-3463.35</v>
      </c>
      <c r="N667" s="72">
        <f t="shared" si="43"/>
        <v>492052.67999999941</v>
      </c>
      <c r="O667" s="72"/>
    </row>
    <row r="668" spans="1:15" x14ac:dyDescent="0.2">
      <c r="A668" s="73" t="s">
        <v>672</v>
      </c>
      <c r="B668" s="3">
        <f t="shared" si="40"/>
        <v>2025</v>
      </c>
      <c r="C668" s="3">
        <f t="shared" si="41"/>
        <v>5</v>
      </c>
      <c r="D668" s="73" t="s">
        <v>300</v>
      </c>
      <c r="E668" s="2"/>
      <c r="F668" s="2" t="s">
        <v>304</v>
      </c>
      <c r="G668" s="2" t="s">
        <v>306</v>
      </c>
      <c r="H668" s="2" t="s">
        <v>305</v>
      </c>
      <c r="I668" s="2" t="s">
        <v>301</v>
      </c>
      <c r="J668" s="2" t="s">
        <v>19</v>
      </c>
      <c r="K668" s="72">
        <v>4</v>
      </c>
      <c r="L668" s="39"/>
      <c r="M668" s="72">
        <f t="shared" si="42"/>
        <v>-4</v>
      </c>
      <c r="N668" s="72">
        <f t="shared" si="43"/>
        <v>492048.67999999941</v>
      </c>
      <c r="O668" s="72"/>
    </row>
    <row r="669" spans="1:15" x14ac:dyDescent="0.2">
      <c r="A669" s="73" t="s">
        <v>672</v>
      </c>
      <c r="B669" s="3">
        <f t="shared" si="40"/>
        <v>2025</v>
      </c>
      <c r="C669" s="3">
        <f t="shared" si="41"/>
        <v>5</v>
      </c>
      <c r="D669" s="73" t="s">
        <v>300</v>
      </c>
      <c r="E669" s="2"/>
      <c r="F669" s="2" t="s">
        <v>299</v>
      </c>
      <c r="G669" s="2"/>
      <c r="H669" s="2" t="s">
        <v>298</v>
      </c>
      <c r="I669" s="2" t="s">
        <v>297</v>
      </c>
      <c r="J669" s="2" t="s">
        <v>296</v>
      </c>
      <c r="K669" s="72"/>
      <c r="L669" s="39">
        <v>7418.79</v>
      </c>
      <c r="M669" s="72">
        <f t="shared" si="42"/>
        <v>7418.79</v>
      </c>
      <c r="N669" s="72">
        <f t="shared" si="43"/>
        <v>499467.46999999939</v>
      </c>
      <c r="O669" s="72"/>
    </row>
    <row r="670" spans="1:15" x14ac:dyDescent="0.2">
      <c r="A670" s="73" t="s">
        <v>673</v>
      </c>
      <c r="B670" s="3">
        <f t="shared" si="40"/>
        <v>2025</v>
      </c>
      <c r="C670" s="3">
        <f t="shared" si="41"/>
        <v>5</v>
      </c>
      <c r="D670" s="73" t="s">
        <v>300</v>
      </c>
      <c r="E670" s="2"/>
      <c r="F670" s="2" t="s">
        <v>304</v>
      </c>
      <c r="G670" s="2" t="s">
        <v>336</v>
      </c>
      <c r="H670" s="2" t="s">
        <v>335</v>
      </c>
      <c r="I670" s="2" t="s">
        <v>301</v>
      </c>
      <c r="J670" s="2" t="s">
        <v>11</v>
      </c>
      <c r="K670" s="72">
        <v>1</v>
      </c>
      <c r="L670" s="39"/>
      <c r="M670" s="72">
        <f t="shared" si="42"/>
        <v>-1</v>
      </c>
      <c r="N670" s="72">
        <f t="shared" si="43"/>
        <v>499466.46999999939</v>
      </c>
      <c r="O670" s="72"/>
    </row>
    <row r="671" spans="1:15" x14ac:dyDescent="0.2">
      <c r="A671" s="73" t="s">
        <v>673</v>
      </c>
      <c r="B671" s="3">
        <f t="shared" si="40"/>
        <v>2025</v>
      </c>
      <c r="C671" s="3">
        <f t="shared" si="41"/>
        <v>5</v>
      </c>
      <c r="D671" s="73" t="s">
        <v>300</v>
      </c>
      <c r="E671" s="2"/>
      <c r="F671" s="2" t="s">
        <v>304</v>
      </c>
      <c r="G671" s="2" t="s">
        <v>336</v>
      </c>
      <c r="H671" s="2" t="s">
        <v>335</v>
      </c>
      <c r="I671" s="2" t="s">
        <v>301</v>
      </c>
      <c r="J671" s="2" t="s">
        <v>11</v>
      </c>
      <c r="K671" s="72">
        <v>20.170000000000002</v>
      </c>
      <c r="L671" s="39"/>
      <c r="M671" s="72">
        <f t="shared" si="42"/>
        <v>-20.170000000000002</v>
      </c>
      <c r="N671" s="72">
        <f t="shared" si="43"/>
        <v>499446.29999999941</v>
      </c>
      <c r="O671" s="72"/>
    </row>
    <row r="672" spans="1:15" x14ac:dyDescent="0.2">
      <c r="A672" s="73" t="s">
        <v>673</v>
      </c>
      <c r="B672" s="3">
        <f t="shared" si="40"/>
        <v>2025</v>
      </c>
      <c r="C672" s="3">
        <f t="shared" si="41"/>
        <v>5</v>
      </c>
      <c r="D672" s="73" t="s">
        <v>300</v>
      </c>
      <c r="E672" s="2"/>
      <c r="F672" s="2" t="s">
        <v>304</v>
      </c>
      <c r="G672" s="2" t="s">
        <v>311</v>
      </c>
      <c r="H672" s="2" t="s">
        <v>310</v>
      </c>
      <c r="I672" s="2" t="s">
        <v>301</v>
      </c>
      <c r="J672" s="2" t="s">
        <v>11</v>
      </c>
      <c r="K672" s="72">
        <v>41.84</v>
      </c>
      <c r="L672" s="39"/>
      <c r="M672" s="72">
        <f t="shared" si="42"/>
        <v>-41.84</v>
      </c>
      <c r="N672" s="72">
        <f t="shared" si="43"/>
        <v>499404.45999999938</v>
      </c>
      <c r="O672" s="72"/>
    </row>
    <row r="673" spans="1:15" x14ac:dyDescent="0.2">
      <c r="A673" s="73" t="s">
        <v>673</v>
      </c>
      <c r="B673" s="3">
        <f t="shared" si="40"/>
        <v>2025</v>
      </c>
      <c r="C673" s="3">
        <f t="shared" si="41"/>
        <v>5</v>
      </c>
      <c r="D673" s="73" t="s">
        <v>300</v>
      </c>
      <c r="E673" s="2"/>
      <c r="F673" s="2" t="s">
        <v>304</v>
      </c>
      <c r="G673" s="2" t="s">
        <v>377</v>
      </c>
      <c r="H673" s="2" t="s">
        <v>376</v>
      </c>
      <c r="I673" s="2" t="s">
        <v>301</v>
      </c>
      <c r="J673" s="2" t="s">
        <v>11</v>
      </c>
      <c r="K673" s="72">
        <v>1115.94</v>
      </c>
      <c r="L673" s="39"/>
      <c r="M673" s="72">
        <f t="shared" si="42"/>
        <v>-1115.94</v>
      </c>
      <c r="N673" s="72">
        <f t="shared" si="43"/>
        <v>498288.51999999938</v>
      </c>
      <c r="O673" s="72"/>
    </row>
    <row r="674" spans="1:15" x14ac:dyDescent="0.2">
      <c r="A674" s="73" t="s">
        <v>673</v>
      </c>
      <c r="B674" s="3">
        <f t="shared" si="40"/>
        <v>2025</v>
      </c>
      <c r="C674" s="3">
        <f t="shared" si="41"/>
        <v>5</v>
      </c>
      <c r="D674" s="73" t="s">
        <v>300</v>
      </c>
      <c r="E674" s="2"/>
      <c r="F674" s="2" t="s">
        <v>299</v>
      </c>
      <c r="G674" s="2"/>
      <c r="H674" s="2" t="s">
        <v>298</v>
      </c>
      <c r="I674" s="2" t="s">
        <v>297</v>
      </c>
      <c r="J674" s="2" t="s">
        <v>296</v>
      </c>
      <c r="K674" s="72"/>
      <c r="L674" s="39">
        <v>1178.95</v>
      </c>
      <c r="M674" s="72">
        <f t="shared" si="42"/>
        <v>1178.95</v>
      </c>
      <c r="N674" s="72">
        <f t="shared" si="43"/>
        <v>499467.46999999939</v>
      </c>
      <c r="O674" s="72"/>
    </row>
    <row r="675" spans="1:15" x14ac:dyDescent="0.2">
      <c r="A675" s="73" t="s">
        <v>674</v>
      </c>
      <c r="B675" s="3">
        <f t="shared" si="40"/>
        <v>2025</v>
      </c>
      <c r="C675" s="3">
        <f t="shared" si="41"/>
        <v>5</v>
      </c>
      <c r="D675" s="73" t="s">
        <v>300</v>
      </c>
      <c r="E675" s="2"/>
      <c r="F675" s="2" t="s">
        <v>304</v>
      </c>
      <c r="G675" s="2" t="s">
        <v>336</v>
      </c>
      <c r="H675" s="2" t="s">
        <v>335</v>
      </c>
      <c r="I675" s="2" t="s">
        <v>301</v>
      </c>
      <c r="J675" s="2" t="s">
        <v>11</v>
      </c>
      <c r="K675" s="72">
        <v>25</v>
      </c>
      <c r="L675" s="39"/>
      <c r="M675" s="72">
        <f t="shared" si="42"/>
        <v>-25</v>
      </c>
      <c r="N675" s="72">
        <f t="shared" si="43"/>
        <v>499442.46999999939</v>
      </c>
      <c r="O675" s="72"/>
    </row>
    <row r="676" spans="1:15" x14ac:dyDescent="0.2">
      <c r="A676" s="73" t="s">
        <v>674</v>
      </c>
      <c r="B676" s="3">
        <f t="shared" si="40"/>
        <v>2025</v>
      </c>
      <c r="C676" s="3">
        <f t="shared" si="41"/>
        <v>5</v>
      </c>
      <c r="D676" s="73" t="s">
        <v>300</v>
      </c>
      <c r="E676" s="2"/>
      <c r="F676" s="2" t="s">
        <v>299</v>
      </c>
      <c r="G676" s="2"/>
      <c r="H676" s="2" t="s">
        <v>298</v>
      </c>
      <c r="I676" s="2" t="s">
        <v>297</v>
      </c>
      <c r="J676" s="2" t="s">
        <v>296</v>
      </c>
      <c r="K676" s="72"/>
      <c r="L676" s="39">
        <v>25</v>
      </c>
      <c r="M676" s="72">
        <f t="shared" si="42"/>
        <v>25</v>
      </c>
      <c r="N676" s="72">
        <f t="shared" si="43"/>
        <v>499467.46999999939</v>
      </c>
      <c r="O676" s="72"/>
    </row>
    <row r="677" spans="1:15" x14ac:dyDescent="0.2">
      <c r="A677" s="73" t="s">
        <v>675</v>
      </c>
      <c r="B677" s="3">
        <f t="shared" si="40"/>
        <v>2025</v>
      </c>
      <c r="C677" s="3">
        <f t="shared" si="41"/>
        <v>5</v>
      </c>
      <c r="D677" s="73" t="s">
        <v>300</v>
      </c>
      <c r="E677" s="2" t="s">
        <v>695</v>
      </c>
      <c r="F677" s="2" t="s">
        <v>325</v>
      </c>
      <c r="G677" s="2" t="s">
        <v>696</v>
      </c>
      <c r="H677" s="2" t="s">
        <v>323</v>
      </c>
      <c r="I677" s="2" t="s">
        <v>350</v>
      </c>
      <c r="J677" s="2" t="s">
        <v>353</v>
      </c>
      <c r="K677" s="72">
        <v>1400</v>
      </c>
      <c r="L677" s="39"/>
      <c r="M677" s="72">
        <f t="shared" si="42"/>
        <v>-1400</v>
      </c>
      <c r="N677" s="72">
        <f t="shared" si="43"/>
        <v>498067.46999999939</v>
      </c>
      <c r="O677" s="72"/>
    </row>
    <row r="678" spans="1:15" x14ac:dyDescent="0.2">
      <c r="A678" s="73" t="s">
        <v>675</v>
      </c>
      <c r="B678" s="3">
        <f t="shared" si="40"/>
        <v>2025</v>
      </c>
      <c r="C678" s="3">
        <f t="shared" si="41"/>
        <v>5</v>
      </c>
      <c r="D678" s="73" t="s">
        <v>300</v>
      </c>
      <c r="E678" s="2" t="s">
        <v>697</v>
      </c>
      <c r="F678" s="2" t="s">
        <v>325</v>
      </c>
      <c r="G678" s="2" t="s">
        <v>369</v>
      </c>
      <c r="H678" s="2" t="s">
        <v>323</v>
      </c>
      <c r="I678" s="2" t="s">
        <v>316</v>
      </c>
      <c r="J678" s="2" t="s">
        <v>360</v>
      </c>
      <c r="K678" s="72">
        <v>875</v>
      </c>
      <c r="L678" s="39"/>
      <c r="M678" s="72">
        <f t="shared" si="42"/>
        <v>-875</v>
      </c>
      <c r="N678" s="72">
        <f t="shared" si="43"/>
        <v>497192.46999999939</v>
      </c>
      <c r="O678" s="72"/>
    </row>
    <row r="679" spans="1:15" x14ac:dyDescent="0.2">
      <c r="A679" s="73" t="s">
        <v>675</v>
      </c>
      <c r="B679" s="3">
        <f t="shared" si="40"/>
        <v>2025</v>
      </c>
      <c r="C679" s="3">
        <f t="shared" si="41"/>
        <v>5</v>
      </c>
      <c r="D679" s="73" t="s">
        <v>300</v>
      </c>
      <c r="E679" s="2" t="s">
        <v>698</v>
      </c>
      <c r="F679" s="2" t="s">
        <v>325</v>
      </c>
      <c r="G679" s="2" t="s">
        <v>369</v>
      </c>
      <c r="H679" s="2" t="s">
        <v>323</v>
      </c>
      <c r="I679" s="2" t="s">
        <v>316</v>
      </c>
      <c r="J679" s="2" t="s">
        <v>360</v>
      </c>
      <c r="K679" s="72">
        <v>2520</v>
      </c>
      <c r="L679" s="39"/>
      <c r="M679" s="72">
        <f t="shared" si="42"/>
        <v>-2520</v>
      </c>
      <c r="N679" s="72">
        <f t="shared" si="43"/>
        <v>494672.46999999939</v>
      </c>
      <c r="O679" s="72"/>
    </row>
    <row r="680" spans="1:15" x14ac:dyDescent="0.2">
      <c r="A680" s="73" t="s">
        <v>675</v>
      </c>
      <c r="B680" s="3">
        <f t="shared" si="40"/>
        <v>2025</v>
      </c>
      <c r="C680" s="3">
        <f t="shared" si="41"/>
        <v>5</v>
      </c>
      <c r="D680" s="73" t="s">
        <v>300</v>
      </c>
      <c r="E680" s="2" t="s">
        <v>699</v>
      </c>
      <c r="F680" s="2" t="s">
        <v>325</v>
      </c>
      <c r="G680" s="2" t="s">
        <v>369</v>
      </c>
      <c r="H680" s="2" t="s">
        <v>323</v>
      </c>
      <c r="I680" s="2" t="s">
        <v>316</v>
      </c>
      <c r="J680" s="2" t="s">
        <v>360</v>
      </c>
      <c r="K680" s="72">
        <v>2550</v>
      </c>
      <c r="L680" s="39"/>
      <c r="M680" s="72">
        <f t="shared" si="42"/>
        <v>-2550</v>
      </c>
      <c r="N680" s="72">
        <f t="shared" si="43"/>
        <v>492122.46999999939</v>
      </c>
      <c r="O680" s="72"/>
    </row>
    <row r="681" spans="1:15" x14ac:dyDescent="0.2">
      <c r="A681" s="73" t="s">
        <v>675</v>
      </c>
      <c r="B681" s="3">
        <f t="shared" si="40"/>
        <v>2025</v>
      </c>
      <c r="C681" s="3">
        <f t="shared" si="41"/>
        <v>5</v>
      </c>
      <c r="D681" s="73" t="s">
        <v>300</v>
      </c>
      <c r="E681" s="2" t="s">
        <v>700</v>
      </c>
      <c r="F681" s="2" t="s">
        <v>325</v>
      </c>
      <c r="G681" s="2" t="s">
        <v>368</v>
      </c>
      <c r="H681" s="2" t="s">
        <v>323</v>
      </c>
      <c r="I681" s="2" t="s">
        <v>350</v>
      </c>
      <c r="J681" s="2" t="s">
        <v>27</v>
      </c>
      <c r="K681" s="72">
        <v>4970</v>
      </c>
      <c r="L681" s="39"/>
      <c r="M681" s="72">
        <f t="shared" si="42"/>
        <v>-4970</v>
      </c>
      <c r="N681" s="72">
        <f t="shared" si="43"/>
        <v>487152.46999999939</v>
      </c>
      <c r="O681" s="72"/>
    </row>
    <row r="682" spans="1:15" x14ac:dyDescent="0.2">
      <c r="A682" s="73" t="s">
        <v>675</v>
      </c>
      <c r="B682" s="3">
        <f t="shared" si="40"/>
        <v>2025</v>
      </c>
      <c r="C682" s="3">
        <f t="shared" si="41"/>
        <v>5</v>
      </c>
      <c r="D682" s="73" t="s">
        <v>300</v>
      </c>
      <c r="E682" s="2" t="s">
        <v>701</v>
      </c>
      <c r="F682" s="2" t="s">
        <v>325</v>
      </c>
      <c r="G682" s="2" t="s">
        <v>366</v>
      </c>
      <c r="H682" s="2" t="s">
        <v>323</v>
      </c>
      <c r="I682" s="2" t="s">
        <v>350</v>
      </c>
      <c r="J682" s="2" t="s">
        <v>27</v>
      </c>
      <c r="K682" s="72">
        <v>472.5</v>
      </c>
      <c r="L682" s="39"/>
      <c r="M682" s="72">
        <f t="shared" si="42"/>
        <v>-472.5</v>
      </c>
      <c r="N682" s="72">
        <f t="shared" si="43"/>
        <v>486679.96999999939</v>
      </c>
      <c r="O682" s="72"/>
    </row>
    <row r="683" spans="1:15" x14ac:dyDescent="0.2">
      <c r="A683" s="73" t="s">
        <v>675</v>
      </c>
      <c r="B683" s="3">
        <f t="shared" si="40"/>
        <v>2025</v>
      </c>
      <c r="C683" s="3">
        <f t="shared" si="41"/>
        <v>5</v>
      </c>
      <c r="D683" s="73" t="s">
        <v>300</v>
      </c>
      <c r="E683" s="2" t="s">
        <v>702</v>
      </c>
      <c r="F683" s="2" t="s">
        <v>325</v>
      </c>
      <c r="G683" s="2" t="s">
        <v>365</v>
      </c>
      <c r="H683" s="2" t="s">
        <v>323</v>
      </c>
      <c r="I683" s="2" t="s">
        <v>350</v>
      </c>
      <c r="J683" s="2" t="s">
        <v>353</v>
      </c>
      <c r="K683" s="72">
        <v>20000</v>
      </c>
      <c r="L683" s="39"/>
      <c r="M683" s="72">
        <f t="shared" si="42"/>
        <v>-20000</v>
      </c>
      <c r="N683" s="72">
        <f t="shared" si="43"/>
        <v>466679.96999999939</v>
      </c>
      <c r="O683" s="72"/>
    </row>
    <row r="684" spans="1:15" x14ac:dyDescent="0.2">
      <c r="A684" s="73" t="s">
        <v>675</v>
      </c>
      <c r="B684" s="3">
        <f t="shared" si="40"/>
        <v>2025</v>
      </c>
      <c r="C684" s="3">
        <f t="shared" si="41"/>
        <v>5</v>
      </c>
      <c r="D684" s="73" t="s">
        <v>300</v>
      </c>
      <c r="E684" s="2" t="s">
        <v>703</v>
      </c>
      <c r="F684" s="2" t="s">
        <v>325</v>
      </c>
      <c r="G684" s="2" t="s">
        <v>364</v>
      </c>
      <c r="H684" s="2" t="s">
        <v>323</v>
      </c>
      <c r="I684" s="2" t="s">
        <v>350</v>
      </c>
      <c r="J684" s="2" t="s">
        <v>27</v>
      </c>
      <c r="K684" s="72">
        <v>2218.75</v>
      </c>
      <c r="L684" s="39"/>
      <c r="M684" s="72">
        <f t="shared" si="42"/>
        <v>-2218.75</v>
      </c>
      <c r="N684" s="72">
        <f t="shared" si="43"/>
        <v>464461.21999999939</v>
      </c>
      <c r="O684" s="72"/>
    </row>
    <row r="685" spans="1:15" x14ac:dyDescent="0.2">
      <c r="A685" s="73" t="s">
        <v>675</v>
      </c>
      <c r="B685" s="3">
        <f t="shared" si="40"/>
        <v>2025</v>
      </c>
      <c r="C685" s="3">
        <f t="shared" si="41"/>
        <v>5</v>
      </c>
      <c r="D685" s="73" t="s">
        <v>300</v>
      </c>
      <c r="E685" s="2"/>
      <c r="F685" s="2" t="s">
        <v>325</v>
      </c>
      <c r="G685" s="2" t="s">
        <v>363</v>
      </c>
      <c r="H685" s="2" t="s">
        <v>323</v>
      </c>
      <c r="I685" s="2" t="s">
        <v>316</v>
      </c>
      <c r="J685" s="2" t="s">
        <v>17</v>
      </c>
      <c r="K685" s="72">
        <v>5</v>
      </c>
      <c r="L685" s="39"/>
      <c r="M685" s="72">
        <f t="shared" si="42"/>
        <v>-5</v>
      </c>
      <c r="N685" s="72">
        <f t="shared" si="43"/>
        <v>464456.21999999939</v>
      </c>
      <c r="O685" s="72"/>
    </row>
    <row r="686" spans="1:15" x14ac:dyDescent="0.2">
      <c r="A686" s="73" t="s">
        <v>675</v>
      </c>
      <c r="B686" s="3">
        <f t="shared" si="40"/>
        <v>2025</v>
      </c>
      <c r="C686" s="3">
        <f t="shared" si="41"/>
        <v>5</v>
      </c>
      <c r="D686" s="73" t="s">
        <v>300</v>
      </c>
      <c r="E686" s="2"/>
      <c r="F686" s="2" t="s">
        <v>325</v>
      </c>
      <c r="G686" s="2" t="s">
        <v>363</v>
      </c>
      <c r="H686" s="2" t="s">
        <v>323</v>
      </c>
      <c r="I686" s="2" t="s">
        <v>316</v>
      </c>
      <c r="J686" s="2" t="s">
        <v>17</v>
      </c>
      <c r="K686" s="72">
        <v>49</v>
      </c>
      <c r="L686" s="39"/>
      <c r="M686" s="72">
        <f t="shared" si="42"/>
        <v>-49</v>
      </c>
      <c r="N686" s="72">
        <f t="shared" si="43"/>
        <v>464407.21999999939</v>
      </c>
      <c r="O686" s="72"/>
    </row>
    <row r="687" spans="1:15" x14ac:dyDescent="0.2">
      <c r="A687" s="73" t="s">
        <v>675</v>
      </c>
      <c r="B687" s="3">
        <f t="shared" si="40"/>
        <v>2025</v>
      </c>
      <c r="C687" s="3">
        <f t="shared" si="41"/>
        <v>5</v>
      </c>
      <c r="D687" s="73" t="s">
        <v>300</v>
      </c>
      <c r="E687" s="2"/>
      <c r="F687" s="2" t="s">
        <v>325</v>
      </c>
      <c r="G687" s="2" t="s">
        <v>363</v>
      </c>
      <c r="H687" s="2" t="s">
        <v>323</v>
      </c>
      <c r="I687" s="2" t="s">
        <v>316</v>
      </c>
      <c r="J687" s="2" t="s">
        <v>17</v>
      </c>
      <c r="K687" s="72">
        <v>49</v>
      </c>
      <c r="L687" s="39"/>
      <c r="M687" s="72">
        <f t="shared" si="42"/>
        <v>-49</v>
      </c>
      <c r="N687" s="72">
        <f t="shared" si="43"/>
        <v>464358.21999999939</v>
      </c>
      <c r="O687" s="72"/>
    </row>
    <row r="688" spans="1:15" x14ac:dyDescent="0.2">
      <c r="A688" s="73" t="s">
        <v>675</v>
      </c>
      <c r="B688" s="3">
        <f t="shared" si="40"/>
        <v>2025</v>
      </c>
      <c r="C688" s="3">
        <f t="shared" si="41"/>
        <v>5</v>
      </c>
      <c r="D688" s="73" t="s">
        <v>300</v>
      </c>
      <c r="E688" s="2"/>
      <c r="F688" s="2" t="s">
        <v>325</v>
      </c>
      <c r="G688" s="2" t="s">
        <v>363</v>
      </c>
      <c r="H688" s="2" t="s">
        <v>323</v>
      </c>
      <c r="I688" s="2" t="s">
        <v>316</v>
      </c>
      <c r="J688" s="2" t="s">
        <v>17</v>
      </c>
      <c r="K688" s="72">
        <v>49</v>
      </c>
      <c r="L688" s="39"/>
      <c r="M688" s="72">
        <f t="shared" si="42"/>
        <v>-49</v>
      </c>
      <c r="N688" s="72">
        <f t="shared" si="43"/>
        <v>464309.21999999939</v>
      </c>
      <c r="O688" s="72"/>
    </row>
    <row r="689" spans="1:15" x14ac:dyDescent="0.2">
      <c r="A689" s="73" t="s">
        <v>675</v>
      </c>
      <c r="B689" s="3">
        <f t="shared" si="40"/>
        <v>2025</v>
      </c>
      <c r="C689" s="3">
        <f t="shared" si="41"/>
        <v>5</v>
      </c>
      <c r="D689" s="73" t="s">
        <v>300</v>
      </c>
      <c r="E689" s="2"/>
      <c r="F689" s="2" t="s">
        <v>325</v>
      </c>
      <c r="G689" s="2" t="s">
        <v>363</v>
      </c>
      <c r="H689" s="2" t="s">
        <v>323</v>
      </c>
      <c r="I689" s="2" t="s">
        <v>316</v>
      </c>
      <c r="J689" s="2" t="s">
        <v>17</v>
      </c>
      <c r="K689" s="72">
        <v>49</v>
      </c>
      <c r="L689" s="39"/>
      <c r="M689" s="72">
        <f t="shared" si="42"/>
        <v>-49</v>
      </c>
      <c r="N689" s="72">
        <f t="shared" si="43"/>
        <v>464260.21999999939</v>
      </c>
      <c r="O689" s="72"/>
    </row>
    <row r="690" spans="1:15" x14ac:dyDescent="0.2">
      <c r="A690" s="73" t="s">
        <v>675</v>
      </c>
      <c r="B690" s="3">
        <f t="shared" si="40"/>
        <v>2025</v>
      </c>
      <c r="C690" s="3">
        <f t="shared" si="41"/>
        <v>5</v>
      </c>
      <c r="D690" s="73" t="s">
        <v>300</v>
      </c>
      <c r="E690" s="2"/>
      <c r="F690" s="2" t="s">
        <v>325</v>
      </c>
      <c r="G690" s="2" t="s">
        <v>363</v>
      </c>
      <c r="H690" s="2" t="s">
        <v>323</v>
      </c>
      <c r="I690" s="2" t="s">
        <v>316</v>
      </c>
      <c r="J690" s="2" t="s">
        <v>17</v>
      </c>
      <c r="K690" s="72">
        <v>49</v>
      </c>
      <c r="L690" s="39"/>
      <c r="M690" s="72">
        <f t="shared" si="42"/>
        <v>-49</v>
      </c>
      <c r="N690" s="72">
        <f t="shared" si="43"/>
        <v>464211.21999999939</v>
      </c>
      <c r="O690" s="72"/>
    </row>
    <row r="691" spans="1:15" x14ac:dyDescent="0.2">
      <c r="A691" s="73" t="s">
        <v>675</v>
      </c>
      <c r="B691" s="3">
        <f t="shared" si="40"/>
        <v>2025</v>
      </c>
      <c r="C691" s="3">
        <f t="shared" si="41"/>
        <v>5</v>
      </c>
      <c r="D691" s="73" t="s">
        <v>300</v>
      </c>
      <c r="E691" s="2"/>
      <c r="F691" s="2" t="s">
        <v>325</v>
      </c>
      <c r="G691" s="2" t="s">
        <v>363</v>
      </c>
      <c r="H691" s="2" t="s">
        <v>323</v>
      </c>
      <c r="I691" s="2" t="s">
        <v>316</v>
      </c>
      <c r="J691" s="2" t="s">
        <v>17</v>
      </c>
      <c r="K691" s="72">
        <v>49</v>
      </c>
      <c r="L691" s="39"/>
      <c r="M691" s="72">
        <f t="shared" si="42"/>
        <v>-49</v>
      </c>
      <c r="N691" s="72">
        <f t="shared" si="43"/>
        <v>464162.21999999939</v>
      </c>
      <c r="O691" s="72"/>
    </row>
    <row r="692" spans="1:15" x14ac:dyDescent="0.2">
      <c r="A692" s="73" t="s">
        <v>675</v>
      </c>
      <c r="B692" s="3">
        <f t="shared" si="40"/>
        <v>2025</v>
      </c>
      <c r="C692" s="3">
        <f t="shared" si="41"/>
        <v>5</v>
      </c>
      <c r="D692" s="73" t="s">
        <v>300</v>
      </c>
      <c r="E692" s="2"/>
      <c r="F692" s="2" t="s">
        <v>325</v>
      </c>
      <c r="G692" s="2" t="s">
        <v>363</v>
      </c>
      <c r="H692" s="2" t="s">
        <v>323</v>
      </c>
      <c r="I692" s="2" t="s">
        <v>316</v>
      </c>
      <c r="J692" s="2" t="s">
        <v>17</v>
      </c>
      <c r="K692" s="72">
        <v>49</v>
      </c>
      <c r="L692" s="39"/>
      <c r="M692" s="72">
        <f t="shared" si="42"/>
        <v>-49</v>
      </c>
      <c r="N692" s="72">
        <f t="shared" si="43"/>
        <v>464113.21999999939</v>
      </c>
      <c r="O692" s="72"/>
    </row>
    <row r="693" spans="1:15" x14ac:dyDescent="0.2">
      <c r="A693" s="73" t="s">
        <v>675</v>
      </c>
      <c r="B693" s="3">
        <f t="shared" si="40"/>
        <v>2025</v>
      </c>
      <c r="C693" s="3">
        <f t="shared" si="41"/>
        <v>5</v>
      </c>
      <c r="D693" s="73" t="s">
        <v>300</v>
      </c>
      <c r="E693" s="2"/>
      <c r="F693" s="2" t="s">
        <v>325</v>
      </c>
      <c r="G693" s="2" t="s">
        <v>363</v>
      </c>
      <c r="H693" s="2" t="s">
        <v>323</v>
      </c>
      <c r="I693" s="2" t="s">
        <v>316</v>
      </c>
      <c r="J693" s="2" t="s">
        <v>17</v>
      </c>
      <c r="K693" s="72">
        <v>49</v>
      </c>
      <c r="L693" s="39"/>
      <c r="M693" s="72">
        <f t="shared" si="42"/>
        <v>-49</v>
      </c>
      <c r="N693" s="72">
        <f t="shared" si="43"/>
        <v>464064.21999999939</v>
      </c>
      <c r="O693" s="72"/>
    </row>
    <row r="694" spans="1:15" x14ac:dyDescent="0.2">
      <c r="A694" s="73" t="s">
        <v>675</v>
      </c>
      <c r="B694" s="3">
        <f t="shared" si="40"/>
        <v>2025</v>
      </c>
      <c r="C694" s="3">
        <f t="shared" si="41"/>
        <v>5</v>
      </c>
      <c r="D694" s="73" t="s">
        <v>300</v>
      </c>
      <c r="E694" s="2"/>
      <c r="F694" s="2" t="s">
        <v>325</v>
      </c>
      <c r="G694" s="2" t="s">
        <v>363</v>
      </c>
      <c r="H694" s="2" t="s">
        <v>323</v>
      </c>
      <c r="I694" s="2" t="s">
        <v>316</v>
      </c>
      <c r="J694" s="2" t="s">
        <v>17</v>
      </c>
      <c r="K694" s="72">
        <v>49</v>
      </c>
      <c r="L694" s="39"/>
      <c r="M694" s="72">
        <f t="shared" si="42"/>
        <v>-49</v>
      </c>
      <c r="N694" s="72">
        <f t="shared" si="43"/>
        <v>464015.21999999939</v>
      </c>
      <c r="O694" s="72"/>
    </row>
    <row r="695" spans="1:15" x14ac:dyDescent="0.2">
      <c r="A695" s="73" t="s">
        <v>675</v>
      </c>
      <c r="B695" s="3">
        <f t="shared" si="40"/>
        <v>2025</v>
      </c>
      <c r="C695" s="3">
        <f t="shared" si="41"/>
        <v>5</v>
      </c>
      <c r="D695" s="73" t="s">
        <v>300</v>
      </c>
      <c r="E695" s="2"/>
      <c r="F695" s="2" t="s">
        <v>325</v>
      </c>
      <c r="G695" s="2" t="s">
        <v>363</v>
      </c>
      <c r="H695" s="2" t="s">
        <v>323</v>
      </c>
      <c r="I695" s="2" t="s">
        <v>316</v>
      </c>
      <c r="J695" s="2" t="s">
        <v>17</v>
      </c>
      <c r="K695" s="72">
        <v>49</v>
      </c>
      <c r="L695" s="39"/>
      <c r="M695" s="72">
        <f t="shared" si="42"/>
        <v>-49</v>
      </c>
      <c r="N695" s="72">
        <f t="shared" si="43"/>
        <v>463966.21999999939</v>
      </c>
      <c r="O695" s="72"/>
    </row>
    <row r="696" spans="1:15" x14ac:dyDescent="0.2">
      <c r="A696" s="73" t="s">
        <v>675</v>
      </c>
      <c r="B696" s="3">
        <f t="shared" si="40"/>
        <v>2025</v>
      </c>
      <c r="C696" s="3">
        <f t="shared" si="41"/>
        <v>5</v>
      </c>
      <c r="D696" s="73" t="s">
        <v>300</v>
      </c>
      <c r="E696" s="2"/>
      <c r="F696" s="2" t="s">
        <v>325</v>
      </c>
      <c r="G696" s="2" t="s">
        <v>363</v>
      </c>
      <c r="H696" s="2" t="s">
        <v>323</v>
      </c>
      <c r="I696" s="2" t="s">
        <v>316</v>
      </c>
      <c r="J696" s="2" t="s">
        <v>17</v>
      </c>
      <c r="K696" s="72">
        <v>49</v>
      </c>
      <c r="L696" s="39"/>
      <c r="M696" s="72">
        <f t="shared" si="42"/>
        <v>-49</v>
      </c>
      <c r="N696" s="72">
        <f t="shared" si="43"/>
        <v>463917.21999999939</v>
      </c>
      <c r="O696" s="72"/>
    </row>
    <row r="697" spans="1:15" x14ac:dyDescent="0.2">
      <c r="A697" s="73" t="s">
        <v>675</v>
      </c>
      <c r="B697" s="3">
        <f t="shared" si="40"/>
        <v>2025</v>
      </c>
      <c r="C697" s="3">
        <f t="shared" si="41"/>
        <v>5</v>
      </c>
      <c r="D697" s="73" t="s">
        <v>300</v>
      </c>
      <c r="E697" s="2"/>
      <c r="F697" s="2" t="s">
        <v>325</v>
      </c>
      <c r="G697" s="2" t="s">
        <v>363</v>
      </c>
      <c r="H697" s="2" t="s">
        <v>323</v>
      </c>
      <c r="I697" s="2" t="s">
        <v>316</v>
      </c>
      <c r="J697" s="2" t="s">
        <v>17</v>
      </c>
      <c r="K697" s="72">
        <v>49</v>
      </c>
      <c r="L697" s="39"/>
      <c r="M697" s="72">
        <f t="shared" si="42"/>
        <v>-49</v>
      </c>
      <c r="N697" s="72">
        <f t="shared" si="43"/>
        <v>463868.21999999939</v>
      </c>
      <c r="O697" s="72"/>
    </row>
    <row r="698" spans="1:15" x14ac:dyDescent="0.2">
      <c r="A698" s="73" t="s">
        <v>675</v>
      </c>
      <c r="B698" s="3">
        <f t="shared" si="40"/>
        <v>2025</v>
      </c>
      <c r="C698" s="3">
        <f t="shared" si="41"/>
        <v>5</v>
      </c>
      <c r="D698" s="73" t="s">
        <v>300</v>
      </c>
      <c r="E698" s="2"/>
      <c r="F698" s="2" t="s">
        <v>325</v>
      </c>
      <c r="G698" s="2" t="s">
        <v>363</v>
      </c>
      <c r="H698" s="2" t="s">
        <v>323</v>
      </c>
      <c r="I698" s="2" t="s">
        <v>316</v>
      </c>
      <c r="J698" s="2" t="s">
        <v>17</v>
      </c>
      <c r="K698" s="72">
        <v>49</v>
      </c>
      <c r="L698" s="39"/>
      <c r="M698" s="72">
        <f t="shared" si="42"/>
        <v>-49</v>
      </c>
      <c r="N698" s="72">
        <f t="shared" si="43"/>
        <v>463819.21999999939</v>
      </c>
      <c r="O698" s="72"/>
    </row>
    <row r="699" spans="1:15" x14ac:dyDescent="0.2">
      <c r="A699" s="73" t="s">
        <v>675</v>
      </c>
      <c r="B699" s="3">
        <f t="shared" si="40"/>
        <v>2025</v>
      </c>
      <c r="C699" s="3">
        <f t="shared" si="41"/>
        <v>5</v>
      </c>
      <c r="D699" s="73" t="s">
        <v>300</v>
      </c>
      <c r="E699" s="2"/>
      <c r="F699" s="2" t="s">
        <v>325</v>
      </c>
      <c r="G699" s="2" t="s">
        <v>363</v>
      </c>
      <c r="H699" s="2" t="s">
        <v>323</v>
      </c>
      <c r="I699" s="2" t="s">
        <v>316</v>
      </c>
      <c r="J699" s="2" t="s">
        <v>17</v>
      </c>
      <c r="K699" s="72">
        <v>49</v>
      </c>
      <c r="L699" s="39"/>
      <c r="M699" s="72">
        <f t="shared" si="42"/>
        <v>-49</v>
      </c>
      <c r="N699" s="72">
        <f t="shared" si="43"/>
        <v>463770.21999999939</v>
      </c>
      <c r="O699" s="72"/>
    </row>
    <row r="700" spans="1:15" x14ac:dyDescent="0.2">
      <c r="A700" s="73" t="s">
        <v>675</v>
      </c>
      <c r="B700" s="3">
        <f t="shared" si="40"/>
        <v>2025</v>
      </c>
      <c r="C700" s="3">
        <f t="shared" si="41"/>
        <v>5</v>
      </c>
      <c r="D700" s="73" t="s">
        <v>300</v>
      </c>
      <c r="E700" s="2"/>
      <c r="F700" s="2" t="s">
        <v>325</v>
      </c>
      <c r="G700" s="2" t="s">
        <v>363</v>
      </c>
      <c r="H700" s="2" t="s">
        <v>323</v>
      </c>
      <c r="I700" s="2" t="s">
        <v>316</v>
      </c>
      <c r="J700" s="2" t="s">
        <v>17</v>
      </c>
      <c r="K700" s="72">
        <v>49</v>
      </c>
      <c r="L700" s="39"/>
      <c r="M700" s="72">
        <f t="shared" si="42"/>
        <v>-49</v>
      </c>
      <c r="N700" s="72">
        <f t="shared" si="43"/>
        <v>463721.21999999939</v>
      </c>
      <c r="O700" s="72"/>
    </row>
    <row r="701" spans="1:15" x14ac:dyDescent="0.2">
      <c r="A701" s="73" t="s">
        <v>675</v>
      </c>
      <c r="B701" s="3">
        <f t="shared" si="40"/>
        <v>2025</v>
      </c>
      <c r="C701" s="3">
        <f t="shared" si="41"/>
        <v>5</v>
      </c>
      <c r="D701" s="73" t="s">
        <v>300</v>
      </c>
      <c r="E701" s="2"/>
      <c r="F701" s="2" t="s">
        <v>325</v>
      </c>
      <c r="G701" s="2" t="s">
        <v>363</v>
      </c>
      <c r="H701" s="2" t="s">
        <v>323</v>
      </c>
      <c r="I701" s="2" t="s">
        <v>316</v>
      </c>
      <c r="J701" s="2" t="s">
        <v>17</v>
      </c>
      <c r="K701" s="72">
        <v>49</v>
      </c>
      <c r="L701" s="39"/>
      <c r="M701" s="72">
        <f t="shared" si="42"/>
        <v>-49</v>
      </c>
      <c r="N701" s="72">
        <f t="shared" si="43"/>
        <v>463672.21999999939</v>
      </c>
      <c r="O701" s="72"/>
    </row>
    <row r="702" spans="1:15" x14ac:dyDescent="0.2">
      <c r="A702" s="73" t="s">
        <v>675</v>
      </c>
      <c r="B702" s="3">
        <f t="shared" si="40"/>
        <v>2025</v>
      </c>
      <c r="C702" s="3">
        <f t="shared" si="41"/>
        <v>5</v>
      </c>
      <c r="D702" s="73" t="s">
        <v>300</v>
      </c>
      <c r="E702" s="2"/>
      <c r="F702" s="2" t="s">
        <v>325</v>
      </c>
      <c r="G702" s="2" t="s">
        <v>363</v>
      </c>
      <c r="H702" s="2" t="s">
        <v>323</v>
      </c>
      <c r="I702" s="2" t="s">
        <v>316</v>
      </c>
      <c r="J702" s="2" t="s">
        <v>17</v>
      </c>
      <c r="K702" s="72">
        <v>49</v>
      </c>
      <c r="L702" s="39"/>
      <c r="M702" s="72">
        <f t="shared" si="42"/>
        <v>-49</v>
      </c>
      <c r="N702" s="72">
        <f t="shared" si="43"/>
        <v>463623.21999999939</v>
      </c>
      <c r="O702" s="72"/>
    </row>
    <row r="703" spans="1:15" x14ac:dyDescent="0.2">
      <c r="A703" s="73" t="s">
        <v>675</v>
      </c>
      <c r="B703" s="3">
        <f t="shared" si="40"/>
        <v>2025</v>
      </c>
      <c r="C703" s="3">
        <f t="shared" si="41"/>
        <v>5</v>
      </c>
      <c r="D703" s="73" t="s">
        <v>300</v>
      </c>
      <c r="E703" s="2"/>
      <c r="F703" s="2" t="s">
        <v>325</v>
      </c>
      <c r="G703" s="2" t="s">
        <v>363</v>
      </c>
      <c r="H703" s="2" t="s">
        <v>323</v>
      </c>
      <c r="I703" s="2" t="s">
        <v>316</v>
      </c>
      <c r="J703" s="2" t="s">
        <v>17</v>
      </c>
      <c r="K703" s="72">
        <v>49</v>
      </c>
      <c r="L703" s="39"/>
      <c r="M703" s="72">
        <f t="shared" si="42"/>
        <v>-49</v>
      </c>
      <c r="N703" s="72">
        <f t="shared" si="43"/>
        <v>463574.21999999939</v>
      </c>
      <c r="O703" s="72"/>
    </row>
    <row r="704" spans="1:15" x14ac:dyDescent="0.2">
      <c r="A704" s="73" t="s">
        <v>675</v>
      </c>
      <c r="B704" s="3">
        <f t="shared" si="40"/>
        <v>2025</v>
      </c>
      <c r="C704" s="3">
        <f t="shared" si="41"/>
        <v>5</v>
      </c>
      <c r="D704" s="73" t="s">
        <v>300</v>
      </c>
      <c r="E704" s="2"/>
      <c r="F704" s="2" t="s">
        <v>325</v>
      </c>
      <c r="G704" s="2" t="s">
        <v>363</v>
      </c>
      <c r="H704" s="2" t="s">
        <v>323</v>
      </c>
      <c r="I704" s="2" t="s">
        <v>316</v>
      </c>
      <c r="J704" s="2" t="s">
        <v>17</v>
      </c>
      <c r="K704" s="72">
        <v>49</v>
      </c>
      <c r="L704" s="39"/>
      <c r="M704" s="72">
        <f t="shared" si="42"/>
        <v>-49</v>
      </c>
      <c r="N704" s="72">
        <f t="shared" si="43"/>
        <v>463525.21999999939</v>
      </c>
      <c r="O704" s="72"/>
    </row>
    <row r="705" spans="1:15" x14ac:dyDescent="0.2">
      <c r="A705" s="73" t="s">
        <v>675</v>
      </c>
      <c r="B705" s="3">
        <f t="shared" si="40"/>
        <v>2025</v>
      </c>
      <c r="C705" s="3">
        <f t="shared" si="41"/>
        <v>5</v>
      </c>
      <c r="D705" s="73" t="s">
        <v>300</v>
      </c>
      <c r="E705" s="2"/>
      <c r="F705" s="2" t="s">
        <v>325</v>
      </c>
      <c r="G705" s="2" t="s">
        <v>363</v>
      </c>
      <c r="H705" s="2" t="s">
        <v>323</v>
      </c>
      <c r="I705" s="2" t="s">
        <v>316</v>
      </c>
      <c r="J705" s="2" t="s">
        <v>17</v>
      </c>
      <c r="K705" s="72">
        <v>49</v>
      </c>
      <c r="L705" s="39"/>
      <c r="M705" s="72">
        <f t="shared" si="42"/>
        <v>-49</v>
      </c>
      <c r="N705" s="72">
        <f t="shared" si="43"/>
        <v>463476.21999999939</v>
      </c>
      <c r="O705" s="72"/>
    </row>
    <row r="706" spans="1:15" x14ac:dyDescent="0.2">
      <c r="A706" s="73" t="s">
        <v>675</v>
      </c>
      <c r="B706" s="3">
        <f t="shared" ref="B706:B769" si="44">YEAR(A706)</f>
        <v>2025</v>
      </c>
      <c r="C706" s="3">
        <f t="shared" ref="C706:C769" si="45">MONTH(A706)</f>
        <v>5</v>
      </c>
      <c r="D706" s="73" t="s">
        <v>300</v>
      </c>
      <c r="E706" s="2"/>
      <c r="F706" s="2" t="s">
        <v>325</v>
      </c>
      <c r="G706" s="2" t="s">
        <v>363</v>
      </c>
      <c r="H706" s="2" t="s">
        <v>323</v>
      </c>
      <c r="I706" s="2" t="s">
        <v>316</v>
      </c>
      <c r="J706" s="2" t="s">
        <v>17</v>
      </c>
      <c r="K706" s="72">
        <v>49</v>
      </c>
      <c r="L706" s="39"/>
      <c r="M706" s="72">
        <f t="shared" ref="M706:M769" si="46">IF(ISBLANK(L706),K706*-1,L706)</f>
        <v>-49</v>
      </c>
      <c r="N706" s="72">
        <f t="shared" si="43"/>
        <v>463427.21999999939</v>
      </c>
      <c r="O706" s="72"/>
    </row>
    <row r="707" spans="1:15" x14ac:dyDescent="0.2">
      <c r="A707" s="73" t="s">
        <v>675</v>
      </c>
      <c r="B707" s="3">
        <f t="shared" si="44"/>
        <v>2025</v>
      </c>
      <c r="C707" s="3">
        <f t="shared" si="45"/>
        <v>5</v>
      </c>
      <c r="D707" s="73" t="s">
        <v>300</v>
      </c>
      <c r="E707" s="2"/>
      <c r="F707" s="2" t="s">
        <v>325</v>
      </c>
      <c r="G707" s="2" t="s">
        <v>363</v>
      </c>
      <c r="H707" s="2" t="s">
        <v>323</v>
      </c>
      <c r="I707" s="2" t="s">
        <v>316</v>
      </c>
      <c r="J707" s="2" t="s">
        <v>17</v>
      </c>
      <c r="K707" s="72">
        <v>49</v>
      </c>
      <c r="L707" s="39"/>
      <c r="M707" s="72">
        <f t="shared" si="46"/>
        <v>-49</v>
      </c>
      <c r="N707" s="72">
        <f t="shared" ref="N707:N770" si="47">+N706+M707</f>
        <v>463378.21999999939</v>
      </c>
      <c r="O707" s="72"/>
    </row>
    <row r="708" spans="1:15" x14ac:dyDescent="0.2">
      <c r="A708" s="73" t="s">
        <v>675</v>
      </c>
      <c r="B708" s="3">
        <f t="shared" si="44"/>
        <v>2025</v>
      </c>
      <c r="C708" s="3">
        <f t="shared" si="45"/>
        <v>5</v>
      </c>
      <c r="D708" s="73" t="s">
        <v>300</v>
      </c>
      <c r="E708" s="2"/>
      <c r="F708" s="2" t="s">
        <v>325</v>
      </c>
      <c r="G708" s="2" t="s">
        <v>363</v>
      </c>
      <c r="H708" s="2" t="s">
        <v>323</v>
      </c>
      <c r="I708" s="2" t="s">
        <v>316</v>
      </c>
      <c r="J708" s="2" t="s">
        <v>17</v>
      </c>
      <c r="K708" s="72">
        <v>49</v>
      </c>
      <c r="L708" s="39"/>
      <c r="M708" s="72">
        <f t="shared" si="46"/>
        <v>-49</v>
      </c>
      <c r="N708" s="72">
        <f t="shared" si="47"/>
        <v>463329.21999999939</v>
      </c>
      <c r="O708" s="72"/>
    </row>
    <row r="709" spans="1:15" x14ac:dyDescent="0.2">
      <c r="A709" s="73" t="s">
        <v>675</v>
      </c>
      <c r="B709" s="3">
        <f t="shared" si="44"/>
        <v>2025</v>
      </c>
      <c r="C709" s="3">
        <f t="shared" si="45"/>
        <v>5</v>
      </c>
      <c r="D709" s="73" t="s">
        <v>300</v>
      </c>
      <c r="E709" s="2"/>
      <c r="F709" s="2" t="s">
        <v>325</v>
      </c>
      <c r="G709" s="2" t="s">
        <v>363</v>
      </c>
      <c r="H709" s="2" t="s">
        <v>323</v>
      </c>
      <c r="I709" s="2" t="s">
        <v>316</v>
      </c>
      <c r="J709" s="2" t="s">
        <v>17</v>
      </c>
      <c r="K709" s="72">
        <v>49</v>
      </c>
      <c r="L709" s="39"/>
      <c r="M709" s="72">
        <f t="shared" si="46"/>
        <v>-49</v>
      </c>
      <c r="N709" s="72">
        <f t="shared" si="47"/>
        <v>463280.21999999939</v>
      </c>
      <c r="O709" s="72"/>
    </row>
    <row r="710" spans="1:15" x14ac:dyDescent="0.2">
      <c r="A710" s="73" t="s">
        <v>675</v>
      </c>
      <c r="B710" s="3">
        <f t="shared" si="44"/>
        <v>2025</v>
      </c>
      <c r="C710" s="3">
        <f t="shared" si="45"/>
        <v>5</v>
      </c>
      <c r="D710" s="73" t="s">
        <v>300</v>
      </c>
      <c r="E710" s="2"/>
      <c r="F710" s="2" t="s">
        <v>325</v>
      </c>
      <c r="G710" s="2" t="s">
        <v>363</v>
      </c>
      <c r="H710" s="2" t="s">
        <v>323</v>
      </c>
      <c r="I710" s="2" t="s">
        <v>316</v>
      </c>
      <c r="J710" s="2" t="s">
        <v>17</v>
      </c>
      <c r="K710" s="72">
        <v>49</v>
      </c>
      <c r="L710" s="39"/>
      <c r="M710" s="72">
        <f t="shared" si="46"/>
        <v>-49</v>
      </c>
      <c r="N710" s="72">
        <f t="shared" si="47"/>
        <v>463231.21999999939</v>
      </c>
      <c r="O710" s="72"/>
    </row>
    <row r="711" spans="1:15" x14ac:dyDescent="0.2">
      <c r="A711" s="73" t="s">
        <v>675</v>
      </c>
      <c r="B711" s="3">
        <f t="shared" si="44"/>
        <v>2025</v>
      </c>
      <c r="C711" s="3">
        <f t="shared" si="45"/>
        <v>5</v>
      </c>
      <c r="D711" s="73" t="s">
        <v>300</v>
      </c>
      <c r="E711" s="2"/>
      <c r="F711" s="2" t="s">
        <v>325</v>
      </c>
      <c r="G711" s="2" t="s">
        <v>363</v>
      </c>
      <c r="H711" s="2" t="s">
        <v>323</v>
      </c>
      <c r="I711" s="2" t="s">
        <v>316</v>
      </c>
      <c r="J711" s="2" t="s">
        <v>17</v>
      </c>
      <c r="K711" s="72">
        <v>49</v>
      </c>
      <c r="L711" s="39"/>
      <c r="M711" s="72">
        <f t="shared" si="46"/>
        <v>-49</v>
      </c>
      <c r="N711" s="72">
        <f t="shared" si="47"/>
        <v>463182.21999999939</v>
      </c>
      <c r="O711" s="72"/>
    </row>
    <row r="712" spans="1:15" x14ac:dyDescent="0.2">
      <c r="A712" s="73" t="s">
        <v>675</v>
      </c>
      <c r="B712" s="3">
        <f t="shared" si="44"/>
        <v>2025</v>
      </c>
      <c r="C712" s="3">
        <f t="shared" si="45"/>
        <v>5</v>
      </c>
      <c r="D712" s="73" t="s">
        <v>300</v>
      </c>
      <c r="E712" s="2"/>
      <c r="F712" s="2" t="s">
        <v>325</v>
      </c>
      <c r="G712" s="2" t="s">
        <v>363</v>
      </c>
      <c r="H712" s="2" t="s">
        <v>323</v>
      </c>
      <c r="I712" s="2" t="s">
        <v>316</v>
      </c>
      <c r="J712" s="2" t="s">
        <v>17</v>
      </c>
      <c r="K712" s="72">
        <v>49</v>
      </c>
      <c r="L712" s="39"/>
      <c r="M712" s="72">
        <f t="shared" si="46"/>
        <v>-49</v>
      </c>
      <c r="N712" s="72">
        <f t="shared" si="47"/>
        <v>463133.21999999939</v>
      </c>
      <c r="O712" s="72"/>
    </row>
    <row r="713" spans="1:15" x14ac:dyDescent="0.2">
      <c r="A713" s="73" t="s">
        <v>675</v>
      </c>
      <c r="B713" s="3">
        <f t="shared" si="44"/>
        <v>2025</v>
      </c>
      <c r="C713" s="3">
        <f t="shared" si="45"/>
        <v>5</v>
      </c>
      <c r="D713" s="73" t="s">
        <v>300</v>
      </c>
      <c r="E713" s="2"/>
      <c r="F713" s="2" t="s">
        <v>325</v>
      </c>
      <c r="G713" s="2" t="s">
        <v>363</v>
      </c>
      <c r="H713" s="2" t="s">
        <v>323</v>
      </c>
      <c r="I713" s="2" t="s">
        <v>316</v>
      </c>
      <c r="J713" s="2" t="s">
        <v>17</v>
      </c>
      <c r="K713" s="72">
        <v>49</v>
      </c>
      <c r="L713" s="39"/>
      <c r="M713" s="72">
        <f t="shared" si="46"/>
        <v>-49</v>
      </c>
      <c r="N713" s="72">
        <f t="shared" si="47"/>
        <v>463084.21999999939</v>
      </c>
      <c r="O713" s="72"/>
    </row>
    <row r="714" spans="1:15" x14ac:dyDescent="0.2">
      <c r="A714" s="73" t="s">
        <v>675</v>
      </c>
      <c r="B714" s="3">
        <f t="shared" si="44"/>
        <v>2025</v>
      </c>
      <c r="C714" s="3">
        <f t="shared" si="45"/>
        <v>5</v>
      </c>
      <c r="D714" s="73" t="s">
        <v>300</v>
      </c>
      <c r="E714" s="2"/>
      <c r="F714" s="2" t="s">
        <v>325</v>
      </c>
      <c r="G714" s="2" t="s">
        <v>363</v>
      </c>
      <c r="H714" s="2" t="s">
        <v>323</v>
      </c>
      <c r="I714" s="2" t="s">
        <v>316</v>
      </c>
      <c r="J714" s="2" t="s">
        <v>17</v>
      </c>
      <c r="K714" s="72">
        <v>49</v>
      </c>
      <c r="L714" s="39"/>
      <c r="M714" s="72">
        <f t="shared" si="46"/>
        <v>-49</v>
      </c>
      <c r="N714" s="72">
        <f t="shared" si="47"/>
        <v>463035.21999999939</v>
      </c>
      <c r="O714" s="72"/>
    </row>
    <row r="715" spans="1:15" x14ac:dyDescent="0.2">
      <c r="A715" s="73" t="s">
        <v>675</v>
      </c>
      <c r="B715" s="3">
        <f t="shared" si="44"/>
        <v>2025</v>
      </c>
      <c r="C715" s="3">
        <f t="shared" si="45"/>
        <v>5</v>
      </c>
      <c r="D715" s="73" t="s">
        <v>300</v>
      </c>
      <c r="E715" s="2"/>
      <c r="F715" s="2" t="s">
        <v>325</v>
      </c>
      <c r="G715" s="2" t="s">
        <v>363</v>
      </c>
      <c r="H715" s="2" t="s">
        <v>323</v>
      </c>
      <c r="I715" s="2" t="s">
        <v>316</v>
      </c>
      <c r="J715" s="2" t="s">
        <v>17</v>
      </c>
      <c r="K715" s="72">
        <v>49</v>
      </c>
      <c r="L715" s="39"/>
      <c r="M715" s="72">
        <f t="shared" si="46"/>
        <v>-49</v>
      </c>
      <c r="N715" s="72">
        <f t="shared" si="47"/>
        <v>462986.21999999939</v>
      </c>
      <c r="O715" s="72"/>
    </row>
    <row r="716" spans="1:15" x14ac:dyDescent="0.2">
      <c r="A716" s="73" t="s">
        <v>675</v>
      </c>
      <c r="B716" s="3">
        <f t="shared" si="44"/>
        <v>2025</v>
      </c>
      <c r="C716" s="3">
        <f t="shared" si="45"/>
        <v>5</v>
      </c>
      <c r="D716" s="73" t="s">
        <v>300</v>
      </c>
      <c r="E716" s="2"/>
      <c r="F716" s="2" t="s">
        <v>325</v>
      </c>
      <c r="G716" s="2" t="s">
        <v>363</v>
      </c>
      <c r="H716" s="2" t="s">
        <v>323</v>
      </c>
      <c r="I716" s="2" t="s">
        <v>316</v>
      </c>
      <c r="J716" s="2" t="s">
        <v>17</v>
      </c>
      <c r="K716" s="72">
        <v>49</v>
      </c>
      <c r="L716" s="39"/>
      <c r="M716" s="72">
        <f t="shared" si="46"/>
        <v>-49</v>
      </c>
      <c r="N716" s="72">
        <f t="shared" si="47"/>
        <v>462937.21999999939</v>
      </c>
      <c r="O716" s="72"/>
    </row>
    <row r="717" spans="1:15" x14ac:dyDescent="0.2">
      <c r="A717" s="73" t="s">
        <v>675</v>
      </c>
      <c r="B717" s="3">
        <f t="shared" si="44"/>
        <v>2025</v>
      </c>
      <c r="C717" s="3">
        <f t="shared" si="45"/>
        <v>5</v>
      </c>
      <c r="D717" s="73" t="s">
        <v>300</v>
      </c>
      <c r="E717" s="2"/>
      <c r="F717" s="2" t="s">
        <v>304</v>
      </c>
      <c r="G717" s="2" t="s">
        <v>363</v>
      </c>
      <c r="H717" s="2" t="s">
        <v>349</v>
      </c>
      <c r="I717" s="2" t="s">
        <v>297</v>
      </c>
      <c r="J717" s="2" t="s">
        <v>26</v>
      </c>
      <c r="K717" s="72">
        <v>0.39</v>
      </c>
      <c r="L717" s="39"/>
      <c r="M717" s="72">
        <f t="shared" si="46"/>
        <v>-0.39</v>
      </c>
      <c r="N717" s="72">
        <f t="shared" si="47"/>
        <v>462936.82999999938</v>
      </c>
      <c r="O717" s="72"/>
    </row>
    <row r="718" spans="1:15" x14ac:dyDescent="0.2">
      <c r="A718" s="73" t="s">
        <v>675</v>
      </c>
      <c r="B718" s="3">
        <f t="shared" si="44"/>
        <v>2025</v>
      </c>
      <c r="C718" s="3">
        <f t="shared" si="45"/>
        <v>5</v>
      </c>
      <c r="D718" s="73" t="s">
        <v>300</v>
      </c>
      <c r="E718" s="2"/>
      <c r="F718" s="2" t="s">
        <v>309</v>
      </c>
      <c r="G718" s="2" t="s">
        <v>363</v>
      </c>
      <c r="H718" s="2" t="s">
        <v>349</v>
      </c>
      <c r="I718" s="2" t="s">
        <v>297</v>
      </c>
      <c r="J718" s="2" t="s">
        <v>26</v>
      </c>
      <c r="K718" s="72"/>
      <c r="L718" s="39">
        <v>0.26</v>
      </c>
      <c r="M718" s="72">
        <f t="shared" si="46"/>
        <v>0.26</v>
      </c>
      <c r="N718" s="72">
        <f t="shared" si="47"/>
        <v>462937.08999999939</v>
      </c>
      <c r="O718" s="72"/>
    </row>
    <row r="719" spans="1:15" x14ac:dyDescent="0.2">
      <c r="A719" s="73" t="s">
        <v>675</v>
      </c>
      <c r="B719" s="3">
        <f t="shared" si="44"/>
        <v>2025</v>
      </c>
      <c r="C719" s="3">
        <f t="shared" si="45"/>
        <v>5</v>
      </c>
      <c r="D719" s="73" t="s">
        <v>300</v>
      </c>
      <c r="E719" s="2"/>
      <c r="F719" s="2" t="s">
        <v>309</v>
      </c>
      <c r="G719" s="2" t="s">
        <v>363</v>
      </c>
      <c r="H719" s="2" t="s">
        <v>349</v>
      </c>
      <c r="I719" s="2" t="s">
        <v>297</v>
      </c>
      <c r="J719" s="2" t="s">
        <v>26</v>
      </c>
      <c r="K719" s="72"/>
      <c r="L719" s="39">
        <v>0.13</v>
      </c>
      <c r="M719" s="72">
        <f t="shared" si="46"/>
        <v>0.13</v>
      </c>
      <c r="N719" s="72">
        <f t="shared" si="47"/>
        <v>462937.21999999939</v>
      </c>
      <c r="O719" s="72"/>
    </row>
    <row r="720" spans="1:15" x14ac:dyDescent="0.2">
      <c r="A720" s="73" t="s">
        <v>675</v>
      </c>
      <c r="B720" s="3">
        <f t="shared" si="44"/>
        <v>2025</v>
      </c>
      <c r="C720" s="3">
        <f t="shared" si="45"/>
        <v>5</v>
      </c>
      <c r="D720" s="73" t="s">
        <v>300</v>
      </c>
      <c r="E720" s="2" t="s">
        <v>704</v>
      </c>
      <c r="F720" s="2" t="s">
        <v>325</v>
      </c>
      <c r="G720" s="2" t="s">
        <v>362</v>
      </c>
      <c r="H720" s="2" t="s">
        <v>323</v>
      </c>
      <c r="I720" s="2" t="s">
        <v>350</v>
      </c>
      <c r="J720" s="2" t="s">
        <v>353</v>
      </c>
      <c r="K720" s="72">
        <v>19573.36</v>
      </c>
      <c r="L720" s="39"/>
      <c r="M720" s="72">
        <f t="shared" si="46"/>
        <v>-19573.36</v>
      </c>
      <c r="N720" s="72">
        <f t="shared" si="47"/>
        <v>443363.8599999994</v>
      </c>
      <c r="O720" s="72"/>
    </row>
    <row r="721" spans="1:15" x14ac:dyDescent="0.2">
      <c r="A721" s="73" t="s">
        <v>675</v>
      </c>
      <c r="B721" s="3">
        <f t="shared" si="44"/>
        <v>2025</v>
      </c>
      <c r="C721" s="3">
        <f t="shared" si="45"/>
        <v>5</v>
      </c>
      <c r="D721" s="73" t="s">
        <v>300</v>
      </c>
      <c r="E721" s="2" t="s">
        <v>705</v>
      </c>
      <c r="F721" s="2" t="s">
        <v>325</v>
      </c>
      <c r="G721" s="2" t="s">
        <v>362</v>
      </c>
      <c r="H721" s="2" t="s">
        <v>323</v>
      </c>
      <c r="I721" s="2" t="s">
        <v>350</v>
      </c>
      <c r="J721" s="2" t="s">
        <v>353</v>
      </c>
      <c r="K721" s="72">
        <v>437.93</v>
      </c>
      <c r="L721" s="39"/>
      <c r="M721" s="72">
        <f t="shared" si="46"/>
        <v>-437.93</v>
      </c>
      <c r="N721" s="72">
        <f t="shared" si="47"/>
        <v>442925.92999999941</v>
      </c>
      <c r="O721" s="72"/>
    </row>
    <row r="722" spans="1:15" x14ac:dyDescent="0.2">
      <c r="A722" s="73" t="s">
        <v>675</v>
      </c>
      <c r="B722" s="3">
        <f t="shared" si="44"/>
        <v>2025</v>
      </c>
      <c r="C722" s="3">
        <f t="shared" si="45"/>
        <v>5</v>
      </c>
      <c r="D722" s="73" t="s">
        <v>300</v>
      </c>
      <c r="E722" s="2" t="s">
        <v>706</v>
      </c>
      <c r="F722" s="2" t="s">
        <v>325</v>
      </c>
      <c r="G722" s="2" t="s">
        <v>361</v>
      </c>
      <c r="H722" s="2" t="s">
        <v>323</v>
      </c>
      <c r="I722" s="2" t="s">
        <v>316</v>
      </c>
      <c r="J722" s="2" t="s">
        <v>360</v>
      </c>
      <c r="K722" s="72">
        <v>20583.330000000002</v>
      </c>
      <c r="L722" s="39"/>
      <c r="M722" s="72">
        <f t="shared" si="46"/>
        <v>-20583.330000000002</v>
      </c>
      <c r="N722" s="72">
        <f t="shared" si="47"/>
        <v>422342.59999999939</v>
      </c>
      <c r="O722" s="72"/>
    </row>
    <row r="723" spans="1:15" x14ac:dyDescent="0.2">
      <c r="A723" s="73" t="s">
        <v>675</v>
      </c>
      <c r="B723" s="3">
        <f t="shared" si="44"/>
        <v>2025</v>
      </c>
      <c r="C723" s="3">
        <f t="shared" si="45"/>
        <v>5</v>
      </c>
      <c r="D723" s="73" t="s">
        <v>300</v>
      </c>
      <c r="E723" s="2" t="s">
        <v>707</v>
      </c>
      <c r="F723" s="2" t="s">
        <v>325</v>
      </c>
      <c r="G723" s="2" t="s">
        <v>359</v>
      </c>
      <c r="H723" s="2" t="s">
        <v>323</v>
      </c>
      <c r="I723" s="2" t="s">
        <v>350</v>
      </c>
      <c r="J723" s="2" t="s">
        <v>27</v>
      </c>
      <c r="K723" s="72">
        <v>8325</v>
      </c>
      <c r="L723" s="39"/>
      <c r="M723" s="72">
        <f t="shared" si="46"/>
        <v>-8325</v>
      </c>
      <c r="N723" s="72">
        <f t="shared" si="47"/>
        <v>414017.59999999939</v>
      </c>
      <c r="O723" s="72"/>
    </row>
    <row r="724" spans="1:15" x14ac:dyDescent="0.2">
      <c r="A724" s="73" t="s">
        <v>675</v>
      </c>
      <c r="B724" s="3">
        <f t="shared" si="44"/>
        <v>2025</v>
      </c>
      <c r="C724" s="3">
        <f t="shared" si="45"/>
        <v>5</v>
      </c>
      <c r="D724" s="73" t="s">
        <v>300</v>
      </c>
      <c r="E724" s="2" t="s">
        <v>708</v>
      </c>
      <c r="F724" s="2" t="s">
        <v>325</v>
      </c>
      <c r="G724" s="2" t="s">
        <v>515</v>
      </c>
      <c r="H724" s="2" t="s">
        <v>323</v>
      </c>
      <c r="I724" s="2" t="s">
        <v>350</v>
      </c>
      <c r="J724" s="2" t="s">
        <v>353</v>
      </c>
      <c r="K724" s="72">
        <v>5513.05</v>
      </c>
      <c r="L724" s="39"/>
      <c r="M724" s="72">
        <f t="shared" si="46"/>
        <v>-5513.05</v>
      </c>
      <c r="N724" s="72">
        <f t="shared" si="47"/>
        <v>408504.54999999941</v>
      </c>
      <c r="O724" s="72"/>
    </row>
    <row r="725" spans="1:15" x14ac:dyDescent="0.2">
      <c r="A725" s="73" t="s">
        <v>675</v>
      </c>
      <c r="B725" s="3">
        <f t="shared" si="44"/>
        <v>2025</v>
      </c>
      <c r="C725" s="3">
        <f t="shared" si="45"/>
        <v>5</v>
      </c>
      <c r="D725" s="73" t="s">
        <v>300</v>
      </c>
      <c r="E725" s="2" t="s">
        <v>709</v>
      </c>
      <c r="F725" s="2" t="s">
        <v>325</v>
      </c>
      <c r="G725" s="2" t="s">
        <v>357</v>
      </c>
      <c r="H725" s="2" t="s">
        <v>323</v>
      </c>
      <c r="I725" s="2" t="s">
        <v>350</v>
      </c>
      <c r="J725" s="2" t="s">
        <v>353</v>
      </c>
      <c r="K725" s="72">
        <v>20000</v>
      </c>
      <c r="L725" s="39"/>
      <c r="M725" s="72">
        <f t="shared" si="46"/>
        <v>-20000</v>
      </c>
      <c r="N725" s="72">
        <f t="shared" si="47"/>
        <v>388504.54999999941</v>
      </c>
      <c r="O725" s="72"/>
    </row>
    <row r="726" spans="1:15" x14ac:dyDescent="0.2">
      <c r="A726" s="73" t="s">
        <v>675</v>
      </c>
      <c r="B726" s="3">
        <f t="shared" si="44"/>
        <v>2025</v>
      </c>
      <c r="C726" s="3">
        <f t="shared" si="45"/>
        <v>5</v>
      </c>
      <c r="D726" s="73" t="s">
        <v>300</v>
      </c>
      <c r="E726" s="2" t="s">
        <v>710</v>
      </c>
      <c r="F726" s="2" t="s">
        <v>325</v>
      </c>
      <c r="G726" s="2" t="s">
        <v>389</v>
      </c>
      <c r="H726" s="2" t="s">
        <v>323</v>
      </c>
      <c r="I726" s="2" t="s">
        <v>350</v>
      </c>
      <c r="J726" s="2" t="s">
        <v>353</v>
      </c>
      <c r="K726" s="72">
        <v>10950</v>
      </c>
      <c r="L726" s="39"/>
      <c r="M726" s="72">
        <f t="shared" si="46"/>
        <v>-10950</v>
      </c>
      <c r="N726" s="72">
        <f t="shared" si="47"/>
        <v>377554.54999999941</v>
      </c>
      <c r="O726" s="72"/>
    </row>
    <row r="727" spans="1:15" x14ac:dyDescent="0.2">
      <c r="A727" s="73" t="s">
        <v>675</v>
      </c>
      <c r="B727" s="3">
        <f t="shared" si="44"/>
        <v>2025</v>
      </c>
      <c r="C727" s="3">
        <f t="shared" si="45"/>
        <v>5</v>
      </c>
      <c r="D727" s="73" t="s">
        <v>300</v>
      </c>
      <c r="E727" s="2"/>
      <c r="F727" s="2" t="s">
        <v>304</v>
      </c>
      <c r="G727" s="2" t="s">
        <v>308</v>
      </c>
      <c r="H727" s="2" t="s">
        <v>349</v>
      </c>
      <c r="I727" s="2" t="s">
        <v>297</v>
      </c>
      <c r="J727" s="2" t="s">
        <v>26</v>
      </c>
      <c r="K727" s="72">
        <v>313.79000000000002</v>
      </c>
      <c r="L727" s="39"/>
      <c r="M727" s="72">
        <f t="shared" si="46"/>
        <v>-313.79000000000002</v>
      </c>
      <c r="N727" s="72">
        <f t="shared" si="47"/>
        <v>377240.75999999943</v>
      </c>
      <c r="O727" s="72"/>
    </row>
    <row r="728" spans="1:15" x14ac:dyDescent="0.2">
      <c r="A728" s="73" t="s">
        <v>675</v>
      </c>
      <c r="B728" s="3">
        <f t="shared" si="44"/>
        <v>2025</v>
      </c>
      <c r="C728" s="3">
        <f t="shared" si="45"/>
        <v>5</v>
      </c>
      <c r="D728" s="73" t="s">
        <v>300</v>
      </c>
      <c r="E728" s="2" t="s">
        <v>711</v>
      </c>
      <c r="F728" s="2" t="s">
        <v>325</v>
      </c>
      <c r="G728" s="2" t="s">
        <v>7</v>
      </c>
      <c r="H728" s="2" t="s">
        <v>323</v>
      </c>
      <c r="I728" s="2" t="s">
        <v>350</v>
      </c>
      <c r="J728" s="2" t="s">
        <v>27</v>
      </c>
      <c r="K728" s="72">
        <v>4553.75</v>
      </c>
      <c r="L728" s="39"/>
      <c r="M728" s="72">
        <f t="shared" si="46"/>
        <v>-4553.75</v>
      </c>
      <c r="N728" s="72">
        <f t="shared" si="47"/>
        <v>372687.00999999943</v>
      </c>
      <c r="O728" s="72"/>
    </row>
    <row r="729" spans="1:15" x14ac:dyDescent="0.2">
      <c r="A729" s="73" t="s">
        <v>675</v>
      </c>
      <c r="B729" s="3">
        <f t="shared" si="44"/>
        <v>2025</v>
      </c>
      <c r="C729" s="3">
        <f t="shared" si="45"/>
        <v>5</v>
      </c>
      <c r="D729" s="73" t="s">
        <v>300</v>
      </c>
      <c r="E729" s="2" t="s">
        <v>712</v>
      </c>
      <c r="F729" s="2" t="s">
        <v>325</v>
      </c>
      <c r="G729" s="2" t="s">
        <v>355</v>
      </c>
      <c r="H729" s="2" t="s">
        <v>323</v>
      </c>
      <c r="I729" s="2" t="s">
        <v>350</v>
      </c>
      <c r="J729" s="2" t="s">
        <v>27</v>
      </c>
      <c r="K729" s="72">
        <v>12199.26</v>
      </c>
      <c r="L729" s="39"/>
      <c r="M729" s="72">
        <f t="shared" si="46"/>
        <v>-12199.26</v>
      </c>
      <c r="N729" s="72">
        <f t="shared" si="47"/>
        <v>360487.74999999942</v>
      </c>
      <c r="O729" s="72"/>
    </row>
    <row r="730" spans="1:15" x14ac:dyDescent="0.2">
      <c r="A730" s="73" t="s">
        <v>675</v>
      </c>
      <c r="B730" s="3">
        <f t="shared" si="44"/>
        <v>2025</v>
      </c>
      <c r="C730" s="3">
        <f t="shared" si="45"/>
        <v>5</v>
      </c>
      <c r="D730" s="73" t="s">
        <v>300</v>
      </c>
      <c r="E730" s="2" t="s">
        <v>713</v>
      </c>
      <c r="F730" s="2" t="s">
        <v>325</v>
      </c>
      <c r="G730" s="2" t="s">
        <v>428</v>
      </c>
      <c r="H730" s="2" t="s">
        <v>323</v>
      </c>
      <c r="I730" s="2" t="s">
        <v>350</v>
      </c>
      <c r="J730" s="2" t="s">
        <v>353</v>
      </c>
      <c r="K730" s="72">
        <v>199</v>
      </c>
      <c r="L730" s="39"/>
      <c r="M730" s="72">
        <f t="shared" si="46"/>
        <v>-199</v>
      </c>
      <c r="N730" s="72">
        <f t="shared" si="47"/>
        <v>360288.74999999942</v>
      </c>
      <c r="O730" s="72"/>
    </row>
    <row r="731" spans="1:15" x14ac:dyDescent="0.2">
      <c r="A731" s="73" t="s">
        <v>675</v>
      </c>
      <c r="B731" s="3">
        <f t="shared" si="44"/>
        <v>2025</v>
      </c>
      <c r="C731" s="3">
        <f t="shared" si="45"/>
        <v>5</v>
      </c>
      <c r="D731" s="73" t="s">
        <v>300</v>
      </c>
      <c r="E731" s="2" t="s">
        <v>714</v>
      </c>
      <c r="F731" s="2" t="s">
        <v>325</v>
      </c>
      <c r="G731" s="2" t="s">
        <v>354</v>
      </c>
      <c r="H731" s="2" t="s">
        <v>323</v>
      </c>
      <c r="I731" s="2" t="s">
        <v>350</v>
      </c>
      <c r="J731" s="2" t="s">
        <v>353</v>
      </c>
      <c r="K731" s="72">
        <v>4400</v>
      </c>
      <c r="L731" s="39"/>
      <c r="M731" s="72">
        <f t="shared" si="46"/>
        <v>-4400</v>
      </c>
      <c r="N731" s="72">
        <f t="shared" si="47"/>
        <v>355888.74999999942</v>
      </c>
      <c r="O731" s="72"/>
    </row>
    <row r="732" spans="1:15" x14ac:dyDescent="0.2">
      <c r="A732" s="73" t="s">
        <v>675</v>
      </c>
      <c r="B732" s="3">
        <f t="shared" si="44"/>
        <v>2025</v>
      </c>
      <c r="C732" s="3">
        <f t="shared" si="45"/>
        <v>5</v>
      </c>
      <c r="D732" s="73" t="s">
        <v>300</v>
      </c>
      <c r="E732" s="2" t="s">
        <v>715</v>
      </c>
      <c r="F732" s="2" t="s">
        <v>325</v>
      </c>
      <c r="G732" s="2" t="s">
        <v>354</v>
      </c>
      <c r="H732" s="2" t="s">
        <v>323</v>
      </c>
      <c r="I732" s="2" t="s">
        <v>350</v>
      </c>
      <c r="J732" s="2" t="s">
        <v>353</v>
      </c>
      <c r="K732" s="72">
        <v>6160</v>
      </c>
      <c r="L732" s="39"/>
      <c r="M732" s="72">
        <f t="shared" si="46"/>
        <v>-6160</v>
      </c>
      <c r="N732" s="72">
        <f t="shared" si="47"/>
        <v>349728.74999999942</v>
      </c>
      <c r="O732" s="72"/>
    </row>
    <row r="733" spans="1:15" x14ac:dyDescent="0.2">
      <c r="A733" s="73" t="s">
        <v>675</v>
      </c>
      <c r="B733" s="3">
        <f t="shared" si="44"/>
        <v>2025</v>
      </c>
      <c r="C733" s="3">
        <f t="shared" si="45"/>
        <v>5</v>
      </c>
      <c r="D733" s="73" t="s">
        <v>300</v>
      </c>
      <c r="E733" s="2" t="s">
        <v>716</v>
      </c>
      <c r="F733" s="2" t="s">
        <v>325</v>
      </c>
      <c r="G733" s="2" t="s">
        <v>354</v>
      </c>
      <c r="H733" s="2" t="s">
        <v>323</v>
      </c>
      <c r="I733" s="2" t="s">
        <v>350</v>
      </c>
      <c r="J733" s="2" t="s">
        <v>353</v>
      </c>
      <c r="K733" s="72">
        <v>3520</v>
      </c>
      <c r="L733" s="39"/>
      <c r="M733" s="72">
        <f t="shared" si="46"/>
        <v>-3520</v>
      </c>
      <c r="N733" s="72">
        <f t="shared" si="47"/>
        <v>346208.74999999942</v>
      </c>
      <c r="O733" s="72"/>
    </row>
    <row r="734" spans="1:15" x14ac:dyDescent="0.2">
      <c r="A734" s="73" t="s">
        <v>675</v>
      </c>
      <c r="B734" s="3">
        <f t="shared" si="44"/>
        <v>2025</v>
      </c>
      <c r="C734" s="3">
        <f t="shared" si="45"/>
        <v>5</v>
      </c>
      <c r="D734" s="73" t="s">
        <v>300</v>
      </c>
      <c r="E734" s="2" t="s">
        <v>717</v>
      </c>
      <c r="F734" s="2" t="s">
        <v>325</v>
      </c>
      <c r="G734" s="2" t="s">
        <v>14</v>
      </c>
      <c r="H734" s="2" t="s">
        <v>323</v>
      </c>
      <c r="I734" s="2" t="s">
        <v>350</v>
      </c>
      <c r="J734" s="2" t="s">
        <v>27</v>
      </c>
      <c r="K734" s="72">
        <v>62.5</v>
      </c>
      <c r="L734" s="39"/>
      <c r="M734" s="72">
        <f t="shared" si="46"/>
        <v>-62.5</v>
      </c>
      <c r="N734" s="72">
        <f t="shared" si="47"/>
        <v>346146.24999999942</v>
      </c>
      <c r="O734" s="72"/>
    </row>
    <row r="735" spans="1:15" x14ac:dyDescent="0.2">
      <c r="A735" s="73" t="s">
        <v>675</v>
      </c>
      <c r="B735" s="3">
        <f t="shared" si="44"/>
        <v>2025</v>
      </c>
      <c r="C735" s="3">
        <f t="shared" si="45"/>
        <v>5</v>
      </c>
      <c r="D735" s="73" t="s">
        <v>300</v>
      </c>
      <c r="E735" s="2" t="s">
        <v>718</v>
      </c>
      <c r="F735" s="2" t="s">
        <v>325</v>
      </c>
      <c r="G735" s="2" t="s">
        <v>352</v>
      </c>
      <c r="H735" s="2" t="s">
        <v>323</v>
      </c>
      <c r="I735" s="2" t="s">
        <v>350</v>
      </c>
      <c r="J735" s="2" t="s">
        <v>353</v>
      </c>
      <c r="K735" s="72">
        <v>3420</v>
      </c>
      <c r="L735" s="39"/>
      <c r="M735" s="72">
        <f t="shared" si="46"/>
        <v>-3420</v>
      </c>
      <c r="N735" s="72">
        <f t="shared" si="47"/>
        <v>342726.24999999942</v>
      </c>
      <c r="O735" s="72"/>
    </row>
    <row r="736" spans="1:15" x14ac:dyDescent="0.2">
      <c r="A736" s="73" t="s">
        <v>675</v>
      </c>
      <c r="B736" s="3">
        <f t="shared" si="44"/>
        <v>2025</v>
      </c>
      <c r="C736" s="3">
        <f t="shared" si="45"/>
        <v>5</v>
      </c>
      <c r="D736" s="73" t="s">
        <v>300</v>
      </c>
      <c r="E736" s="2" t="s">
        <v>719</v>
      </c>
      <c r="F736" s="2" t="s">
        <v>325</v>
      </c>
      <c r="G736" s="2" t="s">
        <v>352</v>
      </c>
      <c r="H736" s="2" t="s">
        <v>323</v>
      </c>
      <c r="I736" s="2" t="s">
        <v>350</v>
      </c>
      <c r="J736" s="2" t="s">
        <v>27</v>
      </c>
      <c r="K736" s="72">
        <v>3707</v>
      </c>
      <c r="L736" s="39"/>
      <c r="M736" s="72">
        <f t="shared" si="46"/>
        <v>-3707</v>
      </c>
      <c r="N736" s="72">
        <f t="shared" si="47"/>
        <v>339019.24999999942</v>
      </c>
      <c r="O736" s="72"/>
    </row>
    <row r="737" spans="1:15" x14ac:dyDescent="0.2">
      <c r="A737" s="73" t="s">
        <v>675</v>
      </c>
      <c r="B737" s="3">
        <f t="shared" si="44"/>
        <v>2025</v>
      </c>
      <c r="C737" s="3">
        <f t="shared" si="45"/>
        <v>5</v>
      </c>
      <c r="D737" s="73" t="s">
        <v>300</v>
      </c>
      <c r="E737" s="2" t="s">
        <v>720</v>
      </c>
      <c r="F737" s="2" t="s">
        <v>325</v>
      </c>
      <c r="G737" s="2" t="s">
        <v>352</v>
      </c>
      <c r="H737" s="2" t="s">
        <v>323</v>
      </c>
      <c r="I737" s="2" t="s">
        <v>350</v>
      </c>
      <c r="J737" s="2" t="s">
        <v>27</v>
      </c>
      <c r="K737" s="72">
        <v>525</v>
      </c>
      <c r="L737" s="39"/>
      <c r="M737" s="72">
        <f t="shared" si="46"/>
        <v>-525</v>
      </c>
      <c r="N737" s="72">
        <f t="shared" si="47"/>
        <v>338494.24999999942</v>
      </c>
      <c r="O737" s="72"/>
    </row>
    <row r="738" spans="1:15" x14ac:dyDescent="0.2">
      <c r="A738" s="73" t="s">
        <v>675</v>
      </c>
      <c r="B738" s="3">
        <f t="shared" si="44"/>
        <v>2025</v>
      </c>
      <c r="C738" s="3">
        <f t="shared" si="45"/>
        <v>5</v>
      </c>
      <c r="D738" s="73" t="s">
        <v>300</v>
      </c>
      <c r="E738" s="2" t="s">
        <v>721</v>
      </c>
      <c r="F738" s="2" t="s">
        <v>325</v>
      </c>
      <c r="G738" s="2" t="s">
        <v>352</v>
      </c>
      <c r="H738" s="2" t="s">
        <v>323</v>
      </c>
      <c r="I738" s="2" t="s">
        <v>350</v>
      </c>
      <c r="J738" s="2" t="s">
        <v>27</v>
      </c>
      <c r="K738" s="72">
        <v>5635</v>
      </c>
      <c r="L738" s="39"/>
      <c r="M738" s="72">
        <f t="shared" si="46"/>
        <v>-5635</v>
      </c>
      <c r="N738" s="72">
        <f t="shared" si="47"/>
        <v>332859.24999999942</v>
      </c>
      <c r="O738" s="72"/>
    </row>
    <row r="739" spans="1:15" x14ac:dyDescent="0.2">
      <c r="A739" s="73" t="s">
        <v>675</v>
      </c>
      <c r="B739" s="3">
        <f t="shared" si="44"/>
        <v>2025</v>
      </c>
      <c r="C739" s="3">
        <f t="shared" si="45"/>
        <v>5</v>
      </c>
      <c r="D739" s="73" t="s">
        <v>300</v>
      </c>
      <c r="E739" s="2" t="s">
        <v>722</v>
      </c>
      <c r="F739" s="2" t="s">
        <v>325</v>
      </c>
      <c r="G739" s="2" t="s">
        <v>352</v>
      </c>
      <c r="H739" s="2" t="s">
        <v>323</v>
      </c>
      <c r="I739" s="2" t="s">
        <v>350</v>
      </c>
      <c r="J739" s="2" t="s">
        <v>27</v>
      </c>
      <c r="K739" s="72">
        <v>6965</v>
      </c>
      <c r="L739" s="39"/>
      <c r="M739" s="72">
        <f t="shared" si="46"/>
        <v>-6965</v>
      </c>
      <c r="N739" s="72">
        <f t="shared" si="47"/>
        <v>325894.24999999942</v>
      </c>
      <c r="O739" s="72"/>
    </row>
    <row r="740" spans="1:15" x14ac:dyDescent="0.2">
      <c r="A740" s="73" t="s">
        <v>675</v>
      </c>
      <c r="B740" s="3">
        <f t="shared" si="44"/>
        <v>2025</v>
      </c>
      <c r="C740" s="3">
        <f t="shared" si="45"/>
        <v>5</v>
      </c>
      <c r="D740" s="73" t="s">
        <v>300</v>
      </c>
      <c r="E740" s="2" t="s">
        <v>723</v>
      </c>
      <c r="F740" s="2" t="s">
        <v>325</v>
      </c>
      <c r="G740" s="2" t="s">
        <v>352</v>
      </c>
      <c r="H740" s="2" t="s">
        <v>323</v>
      </c>
      <c r="I740" s="2" t="s">
        <v>350</v>
      </c>
      <c r="J740" s="2" t="s">
        <v>27</v>
      </c>
      <c r="K740" s="72">
        <v>3150</v>
      </c>
      <c r="L740" s="39"/>
      <c r="M740" s="72">
        <f t="shared" si="46"/>
        <v>-3150</v>
      </c>
      <c r="N740" s="72">
        <f t="shared" si="47"/>
        <v>322744.24999999942</v>
      </c>
      <c r="O740" s="72"/>
    </row>
    <row r="741" spans="1:15" x14ac:dyDescent="0.2">
      <c r="A741" s="73" t="s">
        <v>675</v>
      </c>
      <c r="B741" s="3">
        <f t="shared" si="44"/>
        <v>2025</v>
      </c>
      <c r="C741" s="3">
        <f t="shared" si="45"/>
        <v>5</v>
      </c>
      <c r="D741" s="73" t="s">
        <v>300</v>
      </c>
      <c r="E741" s="2" t="s">
        <v>724</v>
      </c>
      <c r="F741" s="2" t="s">
        <v>325</v>
      </c>
      <c r="G741" s="2" t="s">
        <v>352</v>
      </c>
      <c r="H741" s="2" t="s">
        <v>323</v>
      </c>
      <c r="I741" s="2" t="s">
        <v>350</v>
      </c>
      <c r="J741" s="2" t="s">
        <v>27</v>
      </c>
      <c r="K741" s="72">
        <v>280</v>
      </c>
      <c r="L741" s="39"/>
      <c r="M741" s="72">
        <f t="shared" si="46"/>
        <v>-280</v>
      </c>
      <c r="N741" s="72">
        <f t="shared" si="47"/>
        <v>322464.24999999942</v>
      </c>
      <c r="O741" s="72"/>
    </row>
    <row r="742" spans="1:15" x14ac:dyDescent="0.2">
      <c r="A742" s="73" t="s">
        <v>675</v>
      </c>
      <c r="B742" s="3">
        <f t="shared" si="44"/>
        <v>2025</v>
      </c>
      <c r="C742" s="3">
        <f t="shared" si="45"/>
        <v>5</v>
      </c>
      <c r="D742" s="73" t="s">
        <v>300</v>
      </c>
      <c r="E742" s="2" t="s">
        <v>725</v>
      </c>
      <c r="F742" s="2" t="s">
        <v>325</v>
      </c>
      <c r="G742" s="2" t="s">
        <v>352</v>
      </c>
      <c r="H742" s="2" t="s">
        <v>323</v>
      </c>
      <c r="I742" s="2" t="s">
        <v>350</v>
      </c>
      <c r="J742" s="2" t="s">
        <v>27</v>
      </c>
      <c r="K742" s="72">
        <v>3200</v>
      </c>
      <c r="L742" s="39"/>
      <c r="M742" s="72">
        <f t="shared" si="46"/>
        <v>-3200</v>
      </c>
      <c r="N742" s="72">
        <f t="shared" si="47"/>
        <v>319264.24999999942</v>
      </c>
      <c r="O742" s="72"/>
    </row>
    <row r="743" spans="1:15" x14ac:dyDescent="0.2">
      <c r="A743" s="73" t="s">
        <v>675</v>
      </c>
      <c r="B743" s="3">
        <f t="shared" si="44"/>
        <v>2025</v>
      </c>
      <c r="C743" s="3">
        <f t="shared" si="45"/>
        <v>5</v>
      </c>
      <c r="D743" s="73" t="s">
        <v>300</v>
      </c>
      <c r="E743" s="2" t="s">
        <v>726</v>
      </c>
      <c r="F743" s="2" t="s">
        <v>325</v>
      </c>
      <c r="G743" s="2" t="s">
        <v>352</v>
      </c>
      <c r="H743" s="2" t="s">
        <v>323</v>
      </c>
      <c r="I743" s="2" t="s">
        <v>350</v>
      </c>
      <c r="J743" s="2" t="s">
        <v>27</v>
      </c>
      <c r="K743" s="72">
        <v>2135</v>
      </c>
      <c r="L743" s="39"/>
      <c r="M743" s="72">
        <f t="shared" si="46"/>
        <v>-2135</v>
      </c>
      <c r="N743" s="72">
        <f t="shared" si="47"/>
        <v>317129.24999999942</v>
      </c>
      <c r="O743" s="72"/>
    </row>
    <row r="744" spans="1:15" x14ac:dyDescent="0.2">
      <c r="A744" s="73" t="s">
        <v>675</v>
      </c>
      <c r="B744" s="3">
        <f t="shared" si="44"/>
        <v>2025</v>
      </c>
      <c r="C744" s="3">
        <f t="shared" si="45"/>
        <v>5</v>
      </c>
      <c r="D744" s="73" t="s">
        <v>300</v>
      </c>
      <c r="E744" s="2" t="s">
        <v>727</v>
      </c>
      <c r="F744" s="2" t="s">
        <v>325</v>
      </c>
      <c r="G744" s="2" t="s">
        <v>351</v>
      </c>
      <c r="H744" s="2" t="s">
        <v>323</v>
      </c>
      <c r="I744" s="2" t="s">
        <v>350</v>
      </c>
      <c r="J744" s="2" t="s">
        <v>27</v>
      </c>
      <c r="K744" s="72">
        <v>18544</v>
      </c>
      <c r="L744" s="39"/>
      <c r="M744" s="72">
        <f t="shared" si="46"/>
        <v>-18544</v>
      </c>
      <c r="N744" s="72">
        <f t="shared" si="47"/>
        <v>298585.24999999942</v>
      </c>
      <c r="O744" s="72"/>
    </row>
    <row r="745" spans="1:15" x14ac:dyDescent="0.2">
      <c r="A745" s="73" t="s">
        <v>675</v>
      </c>
      <c r="B745" s="3">
        <f t="shared" si="44"/>
        <v>2025</v>
      </c>
      <c r="C745" s="3">
        <f t="shared" si="45"/>
        <v>5</v>
      </c>
      <c r="D745" s="73" t="s">
        <v>300</v>
      </c>
      <c r="E745" s="2"/>
      <c r="F745" s="2" t="s">
        <v>299</v>
      </c>
      <c r="G745" s="2"/>
      <c r="H745" s="2" t="s">
        <v>298</v>
      </c>
      <c r="I745" s="2" t="s">
        <v>297</v>
      </c>
      <c r="J745" s="2" t="s">
        <v>296</v>
      </c>
      <c r="K745" s="72"/>
      <c r="L745" s="39">
        <v>200882.22</v>
      </c>
      <c r="M745" s="72">
        <f t="shared" si="46"/>
        <v>200882.22</v>
      </c>
      <c r="N745" s="72">
        <f t="shared" si="47"/>
        <v>499467.46999999939</v>
      </c>
      <c r="O745" s="72"/>
    </row>
    <row r="746" spans="1:15" x14ac:dyDescent="0.2">
      <c r="A746" s="73" t="s">
        <v>676</v>
      </c>
      <c r="B746" s="3">
        <f t="shared" si="44"/>
        <v>2025</v>
      </c>
      <c r="C746" s="3">
        <f t="shared" si="45"/>
        <v>5</v>
      </c>
      <c r="D746" s="73" t="s">
        <v>300</v>
      </c>
      <c r="E746" s="2"/>
      <c r="F746" s="2" t="s">
        <v>304</v>
      </c>
      <c r="G746" s="2" t="s">
        <v>728</v>
      </c>
      <c r="H746" s="2" t="s">
        <v>349</v>
      </c>
      <c r="I746" s="2" t="s">
        <v>297</v>
      </c>
      <c r="J746" s="2" t="s">
        <v>26</v>
      </c>
      <c r="K746" s="72">
        <v>0.96</v>
      </c>
      <c r="L746" s="39"/>
      <c r="M746" s="72">
        <f t="shared" si="46"/>
        <v>-0.96</v>
      </c>
      <c r="N746" s="72">
        <f t="shared" si="47"/>
        <v>499466.50999999937</v>
      </c>
      <c r="O746" s="72"/>
    </row>
    <row r="747" spans="1:15" x14ac:dyDescent="0.2">
      <c r="A747" s="73" t="s">
        <v>676</v>
      </c>
      <c r="B747" s="3">
        <f t="shared" si="44"/>
        <v>2025</v>
      </c>
      <c r="C747" s="3">
        <f t="shared" si="45"/>
        <v>5</v>
      </c>
      <c r="D747" s="73" t="s">
        <v>300</v>
      </c>
      <c r="E747" s="2"/>
      <c r="F747" s="2" t="s">
        <v>309</v>
      </c>
      <c r="G747" s="2" t="s">
        <v>728</v>
      </c>
      <c r="H747" s="2" t="s">
        <v>349</v>
      </c>
      <c r="I747" s="2" t="s">
        <v>297</v>
      </c>
      <c r="J747" s="2" t="s">
        <v>26</v>
      </c>
      <c r="K747" s="72"/>
      <c r="L747" s="39">
        <v>0.66</v>
      </c>
      <c r="M747" s="72">
        <f t="shared" si="46"/>
        <v>0.66</v>
      </c>
      <c r="N747" s="72">
        <f t="shared" si="47"/>
        <v>499467.16999999934</v>
      </c>
      <c r="O747" s="72"/>
    </row>
    <row r="748" spans="1:15" x14ac:dyDescent="0.2">
      <c r="A748" s="73" t="s">
        <v>676</v>
      </c>
      <c r="B748" s="3">
        <f t="shared" si="44"/>
        <v>2025</v>
      </c>
      <c r="C748" s="3">
        <f t="shared" si="45"/>
        <v>5</v>
      </c>
      <c r="D748" s="73" t="s">
        <v>300</v>
      </c>
      <c r="E748" s="2"/>
      <c r="F748" s="2" t="s">
        <v>309</v>
      </c>
      <c r="G748" s="2" t="s">
        <v>728</v>
      </c>
      <c r="H748" s="2" t="s">
        <v>349</v>
      </c>
      <c r="I748" s="2" t="s">
        <v>297</v>
      </c>
      <c r="J748" s="2" t="s">
        <v>26</v>
      </c>
      <c r="K748" s="72"/>
      <c r="L748" s="39">
        <v>0.3</v>
      </c>
      <c r="M748" s="72">
        <f t="shared" si="46"/>
        <v>0.3</v>
      </c>
      <c r="N748" s="72">
        <f t="shared" si="47"/>
        <v>499467.46999999933</v>
      </c>
      <c r="O748" s="72"/>
    </row>
    <row r="749" spans="1:15" x14ac:dyDescent="0.2">
      <c r="A749" s="73" t="s">
        <v>677</v>
      </c>
      <c r="B749" s="3">
        <f t="shared" si="44"/>
        <v>2025</v>
      </c>
      <c r="C749" s="3">
        <f t="shared" si="45"/>
        <v>5</v>
      </c>
      <c r="D749" s="73" t="s">
        <v>300</v>
      </c>
      <c r="E749" s="2"/>
      <c r="F749" s="2" t="s">
        <v>325</v>
      </c>
      <c r="G749" s="2" t="s">
        <v>729</v>
      </c>
      <c r="H749" s="2" t="s">
        <v>323</v>
      </c>
      <c r="I749" s="2" t="s">
        <v>316</v>
      </c>
      <c r="J749" s="2" t="s">
        <v>22</v>
      </c>
      <c r="K749" s="72">
        <v>20</v>
      </c>
      <c r="L749" s="39"/>
      <c r="M749" s="72">
        <f t="shared" si="46"/>
        <v>-20</v>
      </c>
      <c r="N749" s="72">
        <f t="shared" si="47"/>
        <v>499447.46999999933</v>
      </c>
      <c r="O749" s="72"/>
    </row>
    <row r="750" spans="1:15" x14ac:dyDescent="0.2">
      <c r="A750" s="73" t="s">
        <v>678</v>
      </c>
      <c r="B750" s="3">
        <f t="shared" si="44"/>
        <v>2025</v>
      </c>
      <c r="C750" s="3">
        <f t="shared" si="45"/>
        <v>5</v>
      </c>
      <c r="D750" s="73" t="s">
        <v>300</v>
      </c>
      <c r="E750" s="2"/>
      <c r="F750" s="2" t="s">
        <v>325</v>
      </c>
      <c r="G750" s="2" t="s">
        <v>386</v>
      </c>
      <c r="H750" s="2" t="s">
        <v>323</v>
      </c>
      <c r="I750" s="2" t="s">
        <v>350</v>
      </c>
      <c r="J750" s="2" t="s">
        <v>353</v>
      </c>
      <c r="K750" s="72">
        <v>7500</v>
      </c>
      <c r="L750" s="39"/>
      <c r="M750" s="72">
        <f t="shared" si="46"/>
        <v>-7500</v>
      </c>
      <c r="N750" s="72">
        <f t="shared" si="47"/>
        <v>491947.46999999933</v>
      </c>
      <c r="O750" s="72"/>
    </row>
    <row r="751" spans="1:15" x14ac:dyDescent="0.2">
      <c r="A751" s="73" t="s">
        <v>678</v>
      </c>
      <c r="B751" s="3">
        <f t="shared" si="44"/>
        <v>2025</v>
      </c>
      <c r="C751" s="3">
        <f t="shared" si="45"/>
        <v>5</v>
      </c>
      <c r="D751" s="73" t="s">
        <v>300</v>
      </c>
      <c r="E751" s="2"/>
      <c r="F751" s="2" t="s">
        <v>321</v>
      </c>
      <c r="G751" s="2" t="s">
        <v>527</v>
      </c>
      <c r="H751" s="2" t="s">
        <v>319</v>
      </c>
      <c r="I751" s="2" t="s">
        <v>315</v>
      </c>
      <c r="J751" s="2" t="s">
        <v>23</v>
      </c>
      <c r="K751" s="72"/>
      <c r="L751" s="39">
        <v>2628.8</v>
      </c>
      <c r="M751" s="72">
        <f t="shared" si="46"/>
        <v>2628.8</v>
      </c>
      <c r="N751" s="72">
        <f t="shared" si="47"/>
        <v>494576.26999999932</v>
      </c>
      <c r="O751" s="72"/>
    </row>
    <row r="752" spans="1:15" x14ac:dyDescent="0.2">
      <c r="A752" s="73" t="s">
        <v>678</v>
      </c>
      <c r="B752" s="3">
        <f t="shared" si="44"/>
        <v>2025</v>
      </c>
      <c r="C752" s="3">
        <f t="shared" si="45"/>
        <v>5</v>
      </c>
      <c r="D752" s="73" t="s">
        <v>300</v>
      </c>
      <c r="E752" s="2"/>
      <c r="F752" s="2" t="s">
        <v>325</v>
      </c>
      <c r="G752" s="2" t="s">
        <v>730</v>
      </c>
      <c r="H752" s="2" t="s">
        <v>323</v>
      </c>
      <c r="I752" s="2" t="s">
        <v>316</v>
      </c>
      <c r="J752" s="2" t="s">
        <v>22</v>
      </c>
      <c r="K752" s="72">
        <v>2661.19</v>
      </c>
      <c r="L752" s="39"/>
      <c r="M752" s="72">
        <f t="shared" si="46"/>
        <v>-2661.19</v>
      </c>
      <c r="N752" s="72">
        <f t="shared" si="47"/>
        <v>491915.07999999932</v>
      </c>
      <c r="O752" s="72"/>
    </row>
    <row r="753" spans="1:15" x14ac:dyDescent="0.2">
      <c r="A753" s="73" t="s">
        <v>678</v>
      </c>
      <c r="B753" s="3">
        <f t="shared" si="44"/>
        <v>2025</v>
      </c>
      <c r="C753" s="3">
        <f t="shared" si="45"/>
        <v>5</v>
      </c>
      <c r="D753" s="73" t="s">
        <v>300</v>
      </c>
      <c r="E753" s="2"/>
      <c r="F753" s="2" t="s">
        <v>325</v>
      </c>
      <c r="G753" s="2" t="s">
        <v>520</v>
      </c>
      <c r="H753" s="2" t="s">
        <v>323</v>
      </c>
      <c r="I753" s="2" t="s">
        <v>316</v>
      </c>
      <c r="J753" s="2" t="s">
        <v>22</v>
      </c>
      <c r="K753" s="72">
        <v>1701.75</v>
      </c>
      <c r="L753" s="39"/>
      <c r="M753" s="72">
        <f t="shared" si="46"/>
        <v>-1701.75</v>
      </c>
      <c r="N753" s="72">
        <f t="shared" si="47"/>
        <v>490213.32999999932</v>
      </c>
      <c r="O753" s="72"/>
    </row>
    <row r="754" spans="1:15" x14ac:dyDescent="0.2">
      <c r="A754" s="73" t="s">
        <v>678</v>
      </c>
      <c r="B754" s="3">
        <f t="shared" si="44"/>
        <v>2025</v>
      </c>
      <c r="C754" s="3">
        <f t="shared" si="45"/>
        <v>5</v>
      </c>
      <c r="D754" s="73" t="s">
        <v>300</v>
      </c>
      <c r="E754" s="2"/>
      <c r="F754" s="2" t="s">
        <v>325</v>
      </c>
      <c r="G754" s="2" t="s">
        <v>375</v>
      </c>
      <c r="H754" s="2" t="s">
        <v>323</v>
      </c>
      <c r="I754" s="2" t="s">
        <v>316</v>
      </c>
      <c r="J754" s="2" t="s">
        <v>29</v>
      </c>
      <c r="K754" s="72">
        <v>5593.45</v>
      </c>
      <c r="L754" s="39"/>
      <c r="M754" s="72">
        <f t="shared" si="46"/>
        <v>-5593.45</v>
      </c>
      <c r="N754" s="72">
        <f t="shared" si="47"/>
        <v>484619.87999999931</v>
      </c>
      <c r="O754" s="72"/>
    </row>
    <row r="755" spans="1:15" x14ac:dyDescent="0.2">
      <c r="A755" s="73" t="s">
        <v>678</v>
      </c>
      <c r="B755" s="3">
        <f t="shared" si="44"/>
        <v>2025</v>
      </c>
      <c r="C755" s="3">
        <f t="shared" si="45"/>
        <v>5</v>
      </c>
      <c r="D755" s="73" t="s">
        <v>300</v>
      </c>
      <c r="E755" s="2"/>
      <c r="F755" s="2" t="s">
        <v>325</v>
      </c>
      <c r="G755" s="2" t="s">
        <v>379</v>
      </c>
      <c r="H755" s="2" t="s">
        <v>323</v>
      </c>
      <c r="I755" s="2" t="s">
        <v>316</v>
      </c>
      <c r="J755" s="2" t="s">
        <v>32</v>
      </c>
      <c r="K755" s="72">
        <v>5503.75</v>
      </c>
      <c r="L755" s="39"/>
      <c r="M755" s="72">
        <f t="shared" si="46"/>
        <v>-5503.75</v>
      </c>
      <c r="N755" s="72">
        <f t="shared" si="47"/>
        <v>479116.12999999931</v>
      </c>
      <c r="O755" s="72"/>
    </row>
    <row r="756" spans="1:15" x14ac:dyDescent="0.2">
      <c r="A756" s="73" t="s">
        <v>678</v>
      </c>
      <c r="B756" s="3">
        <f t="shared" si="44"/>
        <v>2025</v>
      </c>
      <c r="C756" s="3">
        <f t="shared" si="45"/>
        <v>5</v>
      </c>
      <c r="D756" s="73" t="s">
        <v>300</v>
      </c>
      <c r="E756" s="2"/>
      <c r="F756" s="2" t="s">
        <v>325</v>
      </c>
      <c r="G756" s="2" t="s">
        <v>378</v>
      </c>
      <c r="H756" s="2" t="s">
        <v>323</v>
      </c>
      <c r="I756" s="2" t="s">
        <v>316</v>
      </c>
      <c r="J756" s="2" t="s">
        <v>17</v>
      </c>
      <c r="K756" s="72">
        <v>11219.5</v>
      </c>
      <c r="L756" s="39"/>
      <c r="M756" s="72">
        <f t="shared" si="46"/>
        <v>-11219.5</v>
      </c>
      <c r="N756" s="72">
        <f t="shared" si="47"/>
        <v>467896.62999999931</v>
      </c>
      <c r="O756" s="72"/>
    </row>
    <row r="757" spans="1:15" x14ac:dyDescent="0.2">
      <c r="A757" s="73" t="s">
        <v>678</v>
      </c>
      <c r="B757" s="3">
        <f t="shared" si="44"/>
        <v>2025</v>
      </c>
      <c r="C757" s="3">
        <f t="shared" si="45"/>
        <v>5</v>
      </c>
      <c r="D757" s="73" t="s">
        <v>300</v>
      </c>
      <c r="E757" s="2"/>
      <c r="F757" s="2" t="s">
        <v>325</v>
      </c>
      <c r="G757" s="2" t="s">
        <v>374</v>
      </c>
      <c r="H757" s="2" t="s">
        <v>323</v>
      </c>
      <c r="I757" s="2" t="s">
        <v>316</v>
      </c>
      <c r="J757" s="2" t="s">
        <v>29</v>
      </c>
      <c r="K757" s="72">
        <v>7226</v>
      </c>
      <c r="L757" s="39"/>
      <c r="M757" s="72">
        <f t="shared" si="46"/>
        <v>-7226</v>
      </c>
      <c r="N757" s="72">
        <f t="shared" si="47"/>
        <v>460670.62999999931</v>
      </c>
      <c r="O757" s="72"/>
    </row>
    <row r="758" spans="1:15" x14ac:dyDescent="0.2">
      <c r="A758" s="73" t="s">
        <v>678</v>
      </c>
      <c r="B758" s="3">
        <f t="shared" si="44"/>
        <v>2025</v>
      </c>
      <c r="C758" s="3">
        <f t="shared" si="45"/>
        <v>5</v>
      </c>
      <c r="D758" s="73" t="s">
        <v>300</v>
      </c>
      <c r="E758" s="2"/>
      <c r="F758" s="2" t="s">
        <v>299</v>
      </c>
      <c r="G758" s="2"/>
      <c r="H758" s="2" t="s">
        <v>298</v>
      </c>
      <c r="I758" s="2" t="s">
        <v>297</v>
      </c>
      <c r="J758" s="2" t="s">
        <v>296</v>
      </c>
      <c r="K758" s="72"/>
      <c r="L758" s="39">
        <v>38776.839999999997</v>
      </c>
      <c r="M758" s="72">
        <f t="shared" si="46"/>
        <v>38776.839999999997</v>
      </c>
      <c r="N758" s="72">
        <f t="shared" si="47"/>
        <v>499447.46999999927</v>
      </c>
      <c r="O758" s="72"/>
    </row>
    <row r="759" spans="1:15" x14ac:dyDescent="0.2">
      <c r="A759" s="73" t="s">
        <v>679</v>
      </c>
      <c r="B759" s="3">
        <f t="shared" si="44"/>
        <v>2025</v>
      </c>
      <c r="C759" s="3">
        <f t="shared" si="45"/>
        <v>5</v>
      </c>
      <c r="D759" s="73" t="s">
        <v>300</v>
      </c>
      <c r="E759" s="2"/>
      <c r="F759" s="2" t="s">
        <v>309</v>
      </c>
      <c r="G759" s="2" t="s">
        <v>381</v>
      </c>
      <c r="H759" s="2" t="s">
        <v>380</v>
      </c>
      <c r="I759" s="2" t="s">
        <v>301</v>
      </c>
      <c r="J759" s="2" t="s">
        <v>11</v>
      </c>
      <c r="K759" s="72"/>
      <c r="L759" s="39">
        <v>476.36</v>
      </c>
      <c r="M759" s="72">
        <f t="shared" si="46"/>
        <v>476.36</v>
      </c>
      <c r="N759" s="72">
        <f t="shared" si="47"/>
        <v>499923.82999999926</v>
      </c>
      <c r="O759" s="72"/>
    </row>
    <row r="760" spans="1:15" x14ac:dyDescent="0.2">
      <c r="A760" s="73" t="s">
        <v>679</v>
      </c>
      <c r="B760" s="3">
        <f t="shared" si="44"/>
        <v>2025</v>
      </c>
      <c r="C760" s="3">
        <f t="shared" si="45"/>
        <v>5</v>
      </c>
      <c r="D760" s="73" t="s">
        <v>300</v>
      </c>
      <c r="E760" s="2"/>
      <c r="F760" s="2" t="s">
        <v>304</v>
      </c>
      <c r="G760" s="2" t="s">
        <v>336</v>
      </c>
      <c r="H760" s="2" t="s">
        <v>335</v>
      </c>
      <c r="I760" s="2" t="s">
        <v>301</v>
      </c>
      <c r="J760" s="2" t="s">
        <v>11</v>
      </c>
      <c r="K760" s="72">
        <v>90</v>
      </c>
      <c r="L760" s="39"/>
      <c r="M760" s="72">
        <f t="shared" si="46"/>
        <v>-90</v>
      </c>
      <c r="N760" s="72">
        <f t="shared" si="47"/>
        <v>499833.82999999926</v>
      </c>
      <c r="O760" s="72"/>
    </row>
    <row r="761" spans="1:15" x14ac:dyDescent="0.2">
      <c r="A761" s="73" t="s">
        <v>679</v>
      </c>
      <c r="B761" s="3">
        <f t="shared" si="44"/>
        <v>2025</v>
      </c>
      <c r="C761" s="3">
        <f t="shared" si="45"/>
        <v>5</v>
      </c>
      <c r="D761" s="73" t="s">
        <v>300</v>
      </c>
      <c r="E761" s="2"/>
      <c r="F761" s="2" t="s">
        <v>304</v>
      </c>
      <c r="G761" s="2" t="s">
        <v>311</v>
      </c>
      <c r="H761" s="2" t="s">
        <v>310</v>
      </c>
      <c r="I761" s="2" t="s">
        <v>301</v>
      </c>
      <c r="J761" s="2" t="s">
        <v>11</v>
      </c>
      <c r="K761" s="72">
        <v>58.73</v>
      </c>
      <c r="L761" s="39"/>
      <c r="M761" s="72">
        <f t="shared" si="46"/>
        <v>-58.73</v>
      </c>
      <c r="N761" s="72">
        <f t="shared" si="47"/>
        <v>499775.09999999928</v>
      </c>
      <c r="O761" s="72"/>
    </row>
    <row r="762" spans="1:15" x14ac:dyDescent="0.2">
      <c r="A762" s="77" t="s">
        <v>679</v>
      </c>
      <c r="B762" s="78">
        <f t="shared" si="44"/>
        <v>2025</v>
      </c>
      <c r="C762" s="78">
        <f t="shared" si="45"/>
        <v>5</v>
      </c>
      <c r="D762" s="77" t="s">
        <v>300</v>
      </c>
      <c r="E762" s="76"/>
      <c r="F762" s="76" t="s">
        <v>325</v>
      </c>
      <c r="G762" s="76" t="s">
        <v>892</v>
      </c>
      <c r="H762" s="76" t="s">
        <v>323</v>
      </c>
      <c r="I762" s="76" t="s">
        <v>316</v>
      </c>
      <c r="J762" s="76" t="s">
        <v>22</v>
      </c>
      <c r="K762" s="74">
        <v>351.19</v>
      </c>
      <c r="L762" s="75"/>
      <c r="M762" s="74">
        <f t="shared" si="46"/>
        <v>-351.19</v>
      </c>
      <c r="N762" s="74">
        <f t="shared" si="47"/>
        <v>499423.90999999928</v>
      </c>
      <c r="O762" s="72"/>
    </row>
    <row r="763" spans="1:15" x14ac:dyDescent="0.2">
      <c r="A763" s="73" t="s">
        <v>679</v>
      </c>
      <c r="B763" s="3">
        <f t="shared" si="44"/>
        <v>2025</v>
      </c>
      <c r="C763" s="3">
        <f t="shared" si="45"/>
        <v>5</v>
      </c>
      <c r="D763" s="73" t="s">
        <v>300</v>
      </c>
      <c r="E763" s="2"/>
      <c r="F763" s="2" t="s">
        <v>299</v>
      </c>
      <c r="G763" s="2"/>
      <c r="H763" s="2" t="s">
        <v>298</v>
      </c>
      <c r="I763" s="2" t="s">
        <v>297</v>
      </c>
      <c r="J763" s="2" t="s">
        <v>296</v>
      </c>
      <c r="K763" s="72">
        <v>327.63</v>
      </c>
      <c r="L763" s="39"/>
      <c r="M763" s="72">
        <f t="shared" si="46"/>
        <v>-327.63</v>
      </c>
      <c r="N763" s="72">
        <f t="shared" si="47"/>
        <v>499096.27999999927</v>
      </c>
      <c r="O763" s="72"/>
    </row>
    <row r="764" spans="1:15" x14ac:dyDescent="0.2">
      <c r="A764" s="73" t="s">
        <v>680</v>
      </c>
      <c r="B764" s="3">
        <f t="shared" si="44"/>
        <v>2025</v>
      </c>
      <c r="C764" s="3">
        <f t="shared" si="45"/>
        <v>5</v>
      </c>
      <c r="D764" s="73" t="s">
        <v>300</v>
      </c>
      <c r="E764" s="2"/>
      <c r="F764" s="2" t="s">
        <v>304</v>
      </c>
      <c r="G764" s="2" t="s">
        <v>306</v>
      </c>
      <c r="H764" s="2" t="s">
        <v>516</v>
      </c>
      <c r="I764" s="2" t="s">
        <v>301</v>
      </c>
      <c r="J764" s="2" t="s">
        <v>11</v>
      </c>
      <c r="K764" s="72">
        <v>1216</v>
      </c>
      <c r="L764" s="39"/>
      <c r="M764" s="72">
        <f t="shared" si="46"/>
        <v>-1216</v>
      </c>
      <c r="N764" s="72">
        <f t="shared" si="47"/>
        <v>497880.27999999927</v>
      </c>
      <c r="O764" s="72"/>
    </row>
    <row r="765" spans="1:15" x14ac:dyDescent="0.2">
      <c r="A765" s="73" t="s">
        <v>680</v>
      </c>
      <c r="B765" s="3">
        <f t="shared" si="44"/>
        <v>2025</v>
      </c>
      <c r="C765" s="3">
        <f t="shared" si="45"/>
        <v>5</v>
      </c>
      <c r="D765" s="73" t="s">
        <v>300</v>
      </c>
      <c r="E765" s="2"/>
      <c r="F765" s="2" t="s">
        <v>304</v>
      </c>
      <c r="G765" s="2" t="s">
        <v>306</v>
      </c>
      <c r="H765" s="2" t="s">
        <v>516</v>
      </c>
      <c r="I765" s="2" t="s">
        <v>301</v>
      </c>
      <c r="J765" s="2" t="s">
        <v>20</v>
      </c>
      <c r="K765" s="72">
        <v>38692.870000000003</v>
      </c>
      <c r="L765" s="39"/>
      <c r="M765" s="72">
        <f t="shared" si="46"/>
        <v>-38692.870000000003</v>
      </c>
      <c r="N765" s="72">
        <f t="shared" si="47"/>
        <v>459187.40999999928</v>
      </c>
      <c r="O765" s="72"/>
    </row>
    <row r="766" spans="1:15" x14ac:dyDescent="0.2">
      <c r="A766" s="73" t="s">
        <v>680</v>
      </c>
      <c r="B766" s="3">
        <f t="shared" si="44"/>
        <v>2025</v>
      </c>
      <c r="C766" s="3">
        <f t="shared" si="45"/>
        <v>5</v>
      </c>
      <c r="D766" s="73" t="s">
        <v>300</v>
      </c>
      <c r="E766" s="2"/>
      <c r="F766" s="2" t="s">
        <v>304</v>
      </c>
      <c r="G766" s="2" t="s">
        <v>306</v>
      </c>
      <c r="H766" s="2" t="s">
        <v>516</v>
      </c>
      <c r="I766" s="2" t="s">
        <v>301</v>
      </c>
      <c r="J766" s="2" t="s">
        <v>24</v>
      </c>
      <c r="K766" s="72">
        <v>81172.98</v>
      </c>
      <c r="L766" s="39"/>
      <c r="M766" s="72">
        <f t="shared" si="46"/>
        <v>-81172.98</v>
      </c>
      <c r="N766" s="72">
        <f t="shared" si="47"/>
        <v>378014.42999999929</v>
      </c>
      <c r="O766" s="72"/>
    </row>
    <row r="767" spans="1:15" x14ac:dyDescent="0.2">
      <c r="A767" s="73" t="s">
        <v>680</v>
      </c>
      <c r="B767" s="3">
        <f t="shared" si="44"/>
        <v>2025</v>
      </c>
      <c r="C767" s="3">
        <f t="shared" si="45"/>
        <v>5</v>
      </c>
      <c r="D767" s="73" t="s">
        <v>300</v>
      </c>
      <c r="E767" s="2"/>
      <c r="F767" s="2" t="s">
        <v>299</v>
      </c>
      <c r="G767" s="2"/>
      <c r="H767" s="2" t="s">
        <v>298</v>
      </c>
      <c r="I767" s="2" t="s">
        <v>297</v>
      </c>
      <c r="J767" s="2" t="s">
        <v>296</v>
      </c>
      <c r="K767" s="72"/>
      <c r="L767" s="39">
        <v>121081.85</v>
      </c>
      <c r="M767" s="72">
        <f t="shared" si="46"/>
        <v>121081.85</v>
      </c>
      <c r="N767" s="72">
        <f t="shared" si="47"/>
        <v>499096.27999999933</v>
      </c>
      <c r="O767" s="72"/>
    </row>
    <row r="768" spans="1:15" x14ac:dyDescent="0.2">
      <c r="A768" s="73" t="s">
        <v>681</v>
      </c>
      <c r="B768" s="3">
        <f t="shared" si="44"/>
        <v>2025</v>
      </c>
      <c r="C768" s="3">
        <f t="shared" si="45"/>
        <v>5</v>
      </c>
      <c r="D768" s="73" t="s">
        <v>300</v>
      </c>
      <c r="E768" s="2"/>
      <c r="F768" s="2" t="s">
        <v>304</v>
      </c>
      <c r="G768" s="2" t="s">
        <v>306</v>
      </c>
      <c r="H768" s="2" t="s">
        <v>305</v>
      </c>
      <c r="I768" s="2" t="s">
        <v>301</v>
      </c>
      <c r="J768" s="2" t="s">
        <v>19</v>
      </c>
      <c r="K768" s="72">
        <v>150.63</v>
      </c>
      <c r="L768" s="39"/>
      <c r="M768" s="72">
        <f t="shared" si="46"/>
        <v>-150.63</v>
      </c>
      <c r="N768" s="72">
        <f t="shared" si="47"/>
        <v>498945.64999999932</v>
      </c>
      <c r="O768" s="72"/>
    </row>
    <row r="769" spans="1:15" x14ac:dyDescent="0.2">
      <c r="A769" s="73" t="s">
        <v>681</v>
      </c>
      <c r="B769" s="3">
        <f t="shared" si="44"/>
        <v>2025</v>
      </c>
      <c r="C769" s="3">
        <f t="shared" si="45"/>
        <v>5</v>
      </c>
      <c r="D769" s="73" t="s">
        <v>300</v>
      </c>
      <c r="E769" s="2"/>
      <c r="F769" s="2" t="s">
        <v>299</v>
      </c>
      <c r="G769" s="2"/>
      <c r="H769" s="2" t="s">
        <v>298</v>
      </c>
      <c r="I769" s="2" t="s">
        <v>297</v>
      </c>
      <c r="J769" s="2" t="s">
        <v>296</v>
      </c>
      <c r="K769" s="72"/>
      <c r="L769" s="39">
        <v>150.63</v>
      </c>
      <c r="M769" s="72">
        <f t="shared" si="46"/>
        <v>150.63</v>
      </c>
      <c r="N769" s="72">
        <f t="shared" si="47"/>
        <v>499096.27999999933</v>
      </c>
      <c r="O769" s="72"/>
    </row>
    <row r="770" spans="1:15" x14ac:dyDescent="0.2">
      <c r="A770" s="73" t="s">
        <v>682</v>
      </c>
      <c r="B770" s="3">
        <f t="shared" ref="B770:B833" si="48">YEAR(A770)</f>
        <v>2025</v>
      </c>
      <c r="C770" s="3">
        <f t="shared" ref="C770:C833" si="49">MONTH(A770)</f>
        <v>5</v>
      </c>
      <c r="D770" s="73" t="s">
        <v>300</v>
      </c>
      <c r="E770" s="2"/>
      <c r="F770" s="2" t="s">
        <v>321</v>
      </c>
      <c r="G770" s="2" t="s">
        <v>49</v>
      </c>
      <c r="H770" s="2" t="s">
        <v>319</v>
      </c>
      <c r="I770" s="2" t="s">
        <v>315</v>
      </c>
      <c r="J770" s="2" t="s">
        <v>23</v>
      </c>
      <c r="K770" s="72"/>
      <c r="L770" s="39">
        <v>8750</v>
      </c>
      <c r="M770" s="72">
        <f t="shared" ref="M770:M833" si="50">IF(ISBLANK(L770),K770*-1,L770)</f>
        <v>8750</v>
      </c>
      <c r="N770" s="72">
        <f t="shared" si="47"/>
        <v>507846.27999999933</v>
      </c>
      <c r="O770" s="72"/>
    </row>
    <row r="771" spans="1:15" x14ac:dyDescent="0.2">
      <c r="A771" s="73" t="s">
        <v>682</v>
      </c>
      <c r="B771" s="3">
        <f t="shared" si="48"/>
        <v>2025</v>
      </c>
      <c r="C771" s="3">
        <f t="shared" si="49"/>
        <v>5</v>
      </c>
      <c r="D771" s="73" t="s">
        <v>300</v>
      </c>
      <c r="E771" s="2"/>
      <c r="F771" s="2" t="s">
        <v>325</v>
      </c>
      <c r="G771" s="2" t="s">
        <v>382</v>
      </c>
      <c r="H771" s="2" t="s">
        <v>323</v>
      </c>
      <c r="I771" s="2" t="s">
        <v>316</v>
      </c>
      <c r="J771" s="2" t="s">
        <v>17</v>
      </c>
      <c r="K771" s="72">
        <v>1443</v>
      </c>
      <c r="L771" s="39"/>
      <c r="M771" s="72">
        <f t="shared" si="50"/>
        <v>-1443</v>
      </c>
      <c r="N771" s="72">
        <f t="shared" ref="N771:N834" si="51">+N770+M771</f>
        <v>506403.27999999933</v>
      </c>
      <c r="O771" s="72"/>
    </row>
    <row r="772" spans="1:15" x14ac:dyDescent="0.2">
      <c r="A772" s="73" t="s">
        <v>682</v>
      </c>
      <c r="B772" s="3">
        <f t="shared" si="48"/>
        <v>2025</v>
      </c>
      <c r="C772" s="3">
        <f t="shared" si="49"/>
        <v>5</v>
      </c>
      <c r="D772" s="73" t="s">
        <v>300</v>
      </c>
      <c r="E772" s="2"/>
      <c r="F772" s="2" t="s">
        <v>325</v>
      </c>
      <c r="G772" s="2" t="s">
        <v>378</v>
      </c>
      <c r="H772" s="2" t="s">
        <v>323</v>
      </c>
      <c r="I772" s="2" t="s">
        <v>316</v>
      </c>
      <c r="J772" s="2" t="s">
        <v>17</v>
      </c>
      <c r="K772" s="72">
        <v>579</v>
      </c>
      <c r="L772" s="39"/>
      <c r="M772" s="72">
        <f t="shared" si="50"/>
        <v>-579</v>
      </c>
      <c r="N772" s="72">
        <f t="shared" si="51"/>
        <v>505824.27999999933</v>
      </c>
      <c r="O772" s="72"/>
    </row>
    <row r="773" spans="1:15" x14ac:dyDescent="0.2">
      <c r="A773" s="73" t="s">
        <v>682</v>
      </c>
      <c r="B773" s="3">
        <f t="shared" si="48"/>
        <v>2025</v>
      </c>
      <c r="C773" s="3">
        <f t="shared" si="49"/>
        <v>5</v>
      </c>
      <c r="D773" s="73" t="s">
        <v>300</v>
      </c>
      <c r="E773" s="2"/>
      <c r="F773" s="2" t="s">
        <v>304</v>
      </c>
      <c r="G773" s="2" t="s">
        <v>344</v>
      </c>
      <c r="H773" s="2" t="s">
        <v>343</v>
      </c>
      <c r="I773" s="2" t="s">
        <v>301</v>
      </c>
      <c r="J773" s="2" t="s">
        <v>11</v>
      </c>
      <c r="K773" s="72">
        <v>14015.12</v>
      </c>
      <c r="L773" s="39"/>
      <c r="M773" s="72">
        <f t="shared" si="50"/>
        <v>-14015.12</v>
      </c>
      <c r="N773" s="72">
        <f t="shared" si="51"/>
        <v>491809.15999999933</v>
      </c>
      <c r="O773" s="72"/>
    </row>
    <row r="774" spans="1:15" x14ac:dyDescent="0.2">
      <c r="A774" s="73" t="s">
        <v>682</v>
      </c>
      <c r="B774" s="3">
        <f t="shared" si="48"/>
        <v>2025</v>
      </c>
      <c r="C774" s="3">
        <f t="shared" si="49"/>
        <v>5</v>
      </c>
      <c r="D774" s="73" t="s">
        <v>300</v>
      </c>
      <c r="E774" s="2"/>
      <c r="F774" s="2" t="s">
        <v>304</v>
      </c>
      <c r="G774" s="2" t="s">
        <v>303</v>
      </c>
      <c r="H774" s="2" t="s">
        <v>302</v>
      </c>
      <c r="I774" s="2" t="s">
        <v>301</v>
      </c>
      <c r="J774" s="2" t="s">
        <v>11</v>
      </c>
      <c r="K774" s="72">
        <v>208.34</v>
      </c>
      <c r="L774" s="39"/>
      <c r="M774" s="72">
        <f t="shared" si="50"/>
        <v>-208.34</v>
      </c>
      <c r="N774" s="72">
        <f t="shared" si="51"/>
        <v>491600.81999999931</v>
      </c>
      <c r="O774" s="72"/>
    </row>
    <row r="775" spans="1:15" x14ac:dyDescent="0.2">
      <c r="A775" s="73" t="s">
        <v>682</v>
      </c>
      <c r="B775" s="3">
        <f t="shared" si="48"/>
        <v>2025</v>
      </c>
      <c r="C775" s="3">
        <f t="shared" si="49"/>
        <v>5</v>
      </c>
      <c r="D775" s="73" t="s">
        <v>300</v>
      </c>
      <c r="E775" s="2"/>
      <c r="F775" s="2" t="s">
        <v>299</v>
      </c>
      <c r="G775" s="2"/>
      <c r="H775" s="2" t="s">
        <v>298</v>
      </c>
      <c r="I775" s="2" t="s">
        <v>297</v>
      </c>
      <c r="J775" s="2" t="s">
        <v>296</v>
      </c>
      <c r="K775" s="72"/>
      <c r="L775" s="39">
        <v>7495.46</v>
      </c>
      <c r="M775" s="72">
        <f t="shared" si="50"/>
        <v>7495.46</v>
      </c>
      <c r="N775" s="72">
        <f t="shared" si="51"/>
        <v>499096.27999999933</v>
      </c>
      <c r="O775" s="72"/>
    </row>
    <row r="776" spans="1:15" x14ac:dyDescent="0.2">
      <c r="A776" s="73" t="s">
        <v>683</v>
      </c>
      <c r="B776" s="3">
        <f t="shared" si="48"/>
        <v>2025</v>
      </c>
      <c r="C776" s="3">
        <f t="shared" si="49"/>
        <v>5</v>
      </c>
      <c r="D776" s="73" t="s">
        <v>300</v>
      </c>
      <c r="E776" s="2"/>
      <c r="F776" s="2" t="s">
        <v>325</v>
      </c>
      <c r="G776" s="2" t="s">
        <v>693</v>
      </c>
      <c r="H776" s="2" t="s">
        <v>323</v>
      </c>
      <c r="I776" s="2" t="s">
        <v>316</v>
      </c>
      <c r="J776" s="2" t="s">
        <v>22</v>
      </c>
      <c r="K776" s="72">
        <v>20</v>
      </c>
      <c r="L776" s="39"/>
      <c r="M776" s="72">
        <f t="shared" si="50"/>
        <v>-20</v>
      </c>
      <c r="N776" s="72">
        <f t="shared" si="51"/>
        <v>499076.27999999933</v>
      </c>
      <c r="O776" s="72"/>
    </row>
    <row r="777" spans="1:15" x14ac:dyDescent="0.2">
      <c r="A777" s="73" t="s">
        <v>683</v>
      </c>
      <c r="B777" s="3">
        <f t="shared" si="48"/>
        <v>2025</v>
      </c>
      <c r="C777" s="3">
        <f t="shared" si="49"/>
        <v>5</v>
      </c>
      <c r="D777" s="73" t="s">
        <v>300</v>
      </c>
      <c r="E777" s="2"/>
      <c r="F777" s="2" t="s">
        <v>325</v>
      </c>
      <c r="G777" s="2" t="s">
        <v>693</v>
      </c>
      <c r="H777" s="2" t="s">
        <v>323</v>
      </c>
      <c r="I777" s="2" t="s">
        <v>316</v>
      </c>
      <c r="J777" s="2" t="s">
        <v>22</v>
      </c>
      <c r="K777" s="72">
        <v>30</v>
      </c>
      <c r="L777" s="39"/>
      <c r="M777" s="72">
        <f t="shared" si="50"/>
        <v>-30</v>
      </c>
      <c r="N777" s="72">
        <f t="shared" si="51"/>
        <v>499046.27999999933</v>
      </c>
      <c r="O777" s="72"/>
    </row>
    <row r="778" spans="1:15" x14ac:dyDescent="0.2">
      <c r="A778" s="73" t="s">
        <v>683</v>
      </c>
      <c r="B778" s="3">
        <f t="shared" si="48"/>
        <v>2025</v>
      </c>
      <c r="C778" s="3">
        <f t="shared" si="49"/>
        <v>5</v>
      </c>
      <c r="D778" s="73" t="s">
        <v>300</v>
      </c>
      <c r="E778" s="2"/>
      <c r="F778" s="2" t="s">
        <v>325</v>
      </c>
      <c r="G778" s="2" t="s">
        <v>693</v>
      </c>
      <c r="H778" s="2" t="s">
        <v>323</v>
      </c>
      <c r="I778" s="2" t="s">
        <v>316</v>
      </c>
      <c r="J778" s="2" t="s">
        <v>22</v>
      </c>
      <c r="K778" s="72">
        <v>30</v>
      </c>
      <c r="L778" s="39"/>
      <c r="M778" s="72">
        <f t="shared" si="50"/>
        <v>-30</v>
      </c>
      <c r="N778" s="72">
        <f t="shared" si="51"/>
        <v>499016.27999999933</v>
      </c>
      <c r="O778" s="72"/>
    </row>
    <row r="779" spans="1:15" x14ac:dyDescent="0.2">
      <c r="A779" s="73" t="s">
        <v>683</v>
      </c>
      <c r="B779" s="3">
        <f t="shared" si="48"/>
        <v>2025</v>
      </c>
      <c r="C779" s="3">
        <f t="shared" si="49"/>
        <v>5</v>
      </c>
      <c r="D779" s="73" t="s">
        <v>300</v>
      </c>
      <c r="E779" s="2"/>
      <c r="F779" s="2" t="s">
        <v>314</v>
      </c>
      <c r="G779" s="2" t="s">
        <v>341</v>
      </c>
      <c r="H779" s="2" t="s">
        <v>340</v>
      </c>
      <c r="I779" s="2" t="s">
        <v>312</v>
      </c>
      <c r="J779" s="2" t="s">
        <v>16</v>
      </c>
      <c r="K779" s="72">
        <v>2784.15</v>
      </c>
      <c r="L779" s="39"/>
      <c r="M779" s="72">
        <f t="shared" si="50"/>
        <v>-2784.15</v>
      </c>
      <c r="N779" s="72">
        <f t="shared" si="51"/>
        <v>496232.12999999931</v>
      </c>
      <c r="O779" s="72"/>
    </row>
    <row r="780" spans="1:15" x14ac:dyDescent="0.2">
      <c r="A780" s="73" t="s">
        <v>683</v>
      </c>
      <c r="B780" s="3">
        <f t="shared" si="48"/>
        <v>2025</v>
      </c>
      <c r="C780" s="3">
        <f t="shared" si="49"/>
        <v>5</v>
      </c>
      <c r="D780" s="73" t="s">
        <v>300</v>
      </c>
      <c r="E780" s="2"/>
      <c r="F780" s="2" t="s">
        <v>325</v>
      </c>
      <c r="G780" s="2" t="s">
        <v>731</v>
      </c>
      <c r="H780" s="2" t="s">
        <v>323</v>
      </c>
      <c r="I780" s="2" t="s">
        <v>316</v>
      </c>
      <c r="J780" s="2" t="s">
        <v>31</v>
      </c>
      <c r="K780" s="72">
        <v>25000</v>
      </c>
      <c r="L780" s="39"/>
      <c r="M780" s="72">
        <f t="shared" si="50"/>
        <v>-25000</v>
      </c>
      <c r="N780" s="72">
        <f t="shared" si="51"/>
        <v>471232.12999999931</v>
      </c>
      <c r="O780" s="72"/>
    </row>
    <row r="781" spans="1:15" x14ac:dyDescent="0.2">
      <c r="A781" s="73" t="s">
        <v>683</v>
      </c>
      <c r="B781" s="3">
        <f t="shared" si="48"/>
        <v>2025</v>
      </c>
      <c r="C781" s="3">
        <f t="shared" si="49"/>
        <v>5</v>
      </c>
      <c r="D781" s="73" t="s">
        <v>300</v>
      </c>
      <c r="E781" s="2"/>
      <c r="F781" s="2" t="s">
        <v>325</v>
      </c>
      <c r="G781" s="2" t="s">
        <v>324</v>
      </c>
      <c r="H781" s="2" t="s">
        <v>323</v>
      </c>
      <c r="I781" s="2" t="s">
        <v>316</v>
      </c>
      <c r="J781" s="2" t="s">
        <v>17</v>
      </c>
      <c r="K781" s="72">
        <v>3042.9</v>
      </c>
      <c r="L781" s="39"/>
      <c r="M781" s="72">
        <f t="shared" si="50"/>
        <v>-3042.9</v>
      </c>
      <c r="N781" s="72">
        <f t="shared" si="51"/>
        <v>468189.22999999928</v>
      </c>
      <c r="O781" s="72"/>
    </row>
    <row r="782" spans="1:15" x14ac:dyDescent="0.2">
      <c r="A782" s="73" t="s">
        <v>683</v>
      </c>
      <c r="B782" s="3">
        <f t="shared" si="48"/>
        <v>2025</v>
      </c>
      <c r="C782" s="3">
        <f t="shared" si="49"/>
        <v>5</v>
      </c>
      <c r="D782" s="73" t="s">
        <v>300</v>
      </c>
      <c r="E782" s="2"/>
      <c r="F782" s="2" t="s">
        <v>304</v>
      </c>
      <c r="G782" s="2" t="s">
        <v>327</v>
      </c>
      <c r="H782" s="2" t="s">
        <v>326</v>
      </c>
      <c r="I782" s="2" t="s">
        <v>316</v>
      </c>
      <c r="J782" s="2" t="s">
        <v>18</v>
      </c>
      <c r="K782" s="72">
        <v>1332.89</v>
      </c>
      <c r="L782" s="39"/>
      <c r="M782" s="72">
        <f t="shared" si="50"/>
        <v>-1332.89</v>
      </c>
      <c r="N782" s="72">
        <f t="shared" si="51"/>
        <v>466856.33999999927</v>
      </c>
      <c r="O782" s="72"/>
    </row>
    <row r="783" spans="1:15" x14ac:dyDescent="0.2">
      <c r="A783" s="73" t="s">
        <v>683</v>
      </c>
      <c r="B783" s="3">
        <f t="shared" si="48"/>
        <v>2025</v>
      </c>
      <c r="C783" s="3">
        <f t="shared" si="49"/>
        <v>5</v>
      </c>
      <c r="D783" s="73" t="s">
        <v>300</v>
      </c>
      <c r="E783" s="2"/>
      <c r="F783" s="2" t="s">
        <v>299</v>
      </c>
      <c r="G783" s="2"/>
      <c r="H783" s="2" t="s">
        <v>298</v>
      </c>
      <c r="I783" s="2" t="s">
        <v>297</v>
      </c>
      <c r="J783" s="2" t="s">
        <v>296</v>
      </c>
      <c r="K783" s="72"/>
      <c r="L783" s="39">
        <v>32159.94</v>
      </c>
      <c r="M783" s="72">
        <f t="shared" si="50"/>
        <v>32159.94</v>
      </c>
      <c r="N783" s="72">
        <f t="shared" si="51"/>
        <v>499016.27999999927</v>
      </c>
      <c r="O783" s="72"/>
    </row>
    <row r="784" spans="1:15" x14ac:dyDescent="0.2">
      <c r="A784" s="73" t="s">
        <v>684</v>
      </c>
      <c r="B784" s="3">
        <f t="shared" si="48"/>
        <v>2025</v>
      </c>
      <c r="C784" s="3">
        <f t="shared" si="49"/>
        <v>5</v>
      </c>
      <c r="D784" s="73" t="s">
        <v>300</v>
      </c>
      <c r="E784" s="2"/>
      <c r="F784" s="2" t="s">
        <v>304</v>
      </c>
      <c r="G784" s="2" t="s">
        <v>336</v>
      </c>
      <c r="H784" s="2" t="s">
        <v>335</v>
      </c>
      <c r="I784" s="2" t="s">
        <v>301</v>
      </c>
      <c r="J784" s="2" t="s">
        <v>11</v>
      </c>
      <c r="K784" s="72">
        <v>25</v>
      </c>
      <c r="L784" s="39"/>
      <c r="M784" s="72">
        <f t="shared" si="50"/>
        <v>-25</v>
      </c>
      <c r="N784" s="72">
        <f t="shared" si="51"/>
        <v>498991.27999999927</v>
      </c>
      <c r="O784" s="72"/>
    </row>
    <row r="785" spans="1:15" x14ac:dyDescent="0.2">
      <c r="A785" s="73" t="s">
        <v>684</v>
      </c>
      <c r="B785" s="3">
        <f t="shared" si="48"/>
        <v>2025</v>
      </c>
      <c r="C785" s="3">
        <f t="shared" si="49"/>
        <v>5</v>
      </c>
      <c r="D785" s="73" t="s">
        <v>300</v>
      </c>
      <c r="E785" s="2"/>
      <c r="F785" s="2" t="s">
        <v>304</v>
      </c>
      <c r="G785" s="2" t="s">
        <v>334</v>
      </c>
      <c r="H785" s="2" t="s">
        <v>333</v>
      </c>
      <c r="I785" s="2" t="s">
        <v>301</v>
      </c>
      <c r="J785" s="2" t="s">
        <v>11</v>
      </c>
      <c r="K785" s="72">
        <v>1941.75</v>
      </c>
      <c r="L785" s="39"/>
      <c r="M785" s="72">
        <f t="shared" si="50"/>
        <v>-1941.75</v>
      </c>
      <c r="N785" s="72">
        <f t="shared" si="51"/>
        <v>497049.52999999927</v>
      </c>
      <c r="O785" s="72"/>
    </row>
    <row r="786" spans="1:15" x14ac:dyDescent="0.2">
      <c r="A786" s="73" t="s">
        <v>684</v>
      </c>
      <c r="B786" s="3">
        <f t="shared" si="48"/>
        <v>2025</v>
      </c>
      <c r="C786" s="3">
        <f t="shared" si="49"/>
        <v>5</v>
      </c>
      <c r="D786" s="73" t="s">
        <v>300</v>
      </c>
      <c r="E786" s="2"/>
      <c r="F786" s="2" t="s">
        <v>325</v>
      </c>
      <c r="G786" s="2" t="s">
        <v>732</v>
      </c>
      <c r="H786" s="2" t="s">
        <v>323</v>
      </c>
      <c r="I786" s="2" t="s">
        <v>301</v>
      </c>
      <c r="J786" s="2" t="s">
        <v>11</v>
      </c>
      <c r="K786" s="72">
        <v>88.8</v>
      </c>
      <c r="L786" s="39"/>
      <c r="M786" s="72">
        <f t="shared" si="50"/>
        <v>-88.8</v>
      </c>
      <c r="N786" s="72">
        <f t="shared" si="51"/>
        <v>496960.72999999928</v>
      </c>
      <c r="O786" s="72"/>
    </row>
    <row r="787" spans="1:15" x14ac:dyDescent="0.2">
      <c r="A787" s="77" t="s">
        <v>684</v>
      </c>
      <c r="B787" s="78">
        <f t="shared" si="48"/>
        <v>2025</v>
      </c>
      <c r="C787" s="78">
        <f t="shared" si="49"/>
        <v>5</v>
      </c>
      <c r="D787" s="77" t="s">
        <v>300</v>
      </c>
      <c r="E787" s="76"/>
      <c r="F787" s="76" t="s">
        <v>325</v>
      </c>
      <c r="G787" s="76" t="s">
        <v>892</v>
      </c>
      <c r="H787" s="76" t="s">
        <v>323</v>
      </c>
      <c r="I787" s="76" t="s">
        <v>316</v>
      </c>
      <c r="J787" s="76" t="s">
        <v>22</v>
      </c>
      <c r="K787" s="74">
        <v>95.77</v>
      </c>
      <c r="L787" s="75"/>
      <c r="M787" s="74">
        <f t="shared" si="50"/>
        <v>-95.77</v>
      </c>
      <c r="N787" s="74">
        <f t="shared" si="51"/>
        <v>496864.95999999926</v>
      </c>
      <c r="O787" s="72"/>
    </row>
    <row r="788" spans="1:15" x14ac:dyDescent="0.2">
      <c r="A788" s="77" t="s">
        <v>684</v>
      </c>
      <c r="B788" s="78">
        <f t="shared" si="48"/>
        <v>2025</v>
      </c>
      <c r="C788" s="78">
        <f t="shared" si="49"/>
        <v>5</v>
      </c>
      <c r="D788" s="77" t="s">
        <v>300</v>
      </c>
      <c r="E788" s="76"/>
      <c r="F788" s="76" t="s">
        <v>325</v>
      </c>
      <c r="G788" s="76" t="s">
        <v>892</v>
      </c>
      <c r="H788" s="76" t="s">
        <v>323</v>
      </c>
      <c r="I788" s="76" t="s">
        <v>316</v>
      </c>
      <c r="J788" s="76" t="s">
        <v>22</v>
      </c>
      <c r="K788" s="74">
        <v>95.47</v>
      </c>
      <c r="L788" s="75"/>
      <c r="M788" s="74">
        <f t="shared" si="50"/>
        <v>-95.47</v>
      </c>
      <c r="N788" s="74">
        <f t="shared" si="51"/>
        <v>496769.48999999929</v>
      </c>
      <c r="O788" s="72"/>
    </row>
    <row r="789" spans="1:15" x14ac:dyDescent="0.2">
      <c r="A789" s="77" t="s">
        <v>684</v>
      </c>
      <c r="B789" s="78">
        <f t="shared" si="48"/>
        <v>2025</v>
      </c>
      <c r="C789" s="78">
        <f t="shared" si="49"/>
        <v>5</v>
      </c>
      <c r="D789" s="77" t="s">
        <v>300</v>
      </c>
      <c r="E789" s="76"/>
      <c r="F789" s="76" t="s">
        <v>325</v>
      </c>
      <c r="G789" s="76" t="s">
        <v>892</v>
      </c>
      <c r="H789" s="76" t="s">
        <v>323</v>
      </c>
      <c r="I789" s="76" t="s">
        <v>316</v>
      </c>
      <c r="J789" s="76" t="s">
        <v>22</v>
      </c>
      <c r="K789" s="74">
        <v>63.28</v>
      </c>
      <c r="L789" s="75"/>
      <c r="M789" s="74">
        <f t="shared" si="50"/>
        <v>-63.28</v>
      </c>
      <c r="N789" s="74">
        <f t="shared" si="51"/>
        <v>496706.20999999926</v>
      </c>
      <c r="O789" s="72"/>
    </row>
    <row r="790" spans="1:15" x14ac:dyDescent="0.2">
      <c r="A790" s="73" t="s">
        <v>684</v>
      </c>
      <c r="B790" s="3">
        <f t="shared" si="48"/>
        <v>2025</v>
      </c>
      <c r="C790" s="3">
        <f t="shared" si="49"/>
        <v>5</v>
      </c>
      <c r="D790" s="73" t="s">
        <v>300</v>
      </c>
      <c r="E790" s="2"/>
      <c r="F790" s="2" t="s">
        <v>299</v>
      </c>
      <c r="G790" s="2"/>
      <c r="H790" s="2" t="s">
        <v>298</v>
      </c>
      <c r="I790" s="2" t="s">
        <v>297</v>
      </c>
      <c r="J790" s="2" t="s">
        <v>296</v>
      </c>
      <c r="K790" s="72"/>
      <c r="L790" s="39">
        <v>2075.5500000000002</v>
      </c>
      <c r="M790" s="72">
        <f t="shared" si="50"/>
        <v>2075.5500000000002</v>
      </c>
      <c r="N790" s="72">
        <f t="shared" si="51"/>
        <v>498781.75999999925</v>
      </c>
      <c r="O790" s="72"/>
    </row>
    <row r="791" spans="1:15" x14ac:dyDescent="0.2">
      <c r="A791" s="73" t="s">
        <v>685</v>
      </c>
      <c r="B791" s="3">
        <f t="shared" si="48"/>
        <v>2025</v>
      </c>
      <c r="C791" s="3">
        <f t="shared" si="49"/>
        <v>5</v>
      </c>
      <c r="D791" s="73" t="s">
        <v>300</v>
      </c>
      <c r="E791" s="2"/>
      <c r="F791" s="2" t="s">
        <v>304</v>
      </c>
      <c r="G791" s="2" t="s">
        <v>336</v>
      </c>
      <c r="H791" s="2" t="s">
        <v>335</v>
      </c>
      <c r="I791" s="2" t="s">
        <v>301</v>
      </c>
      <c r="J791" s="2" t="s">
        <v>11</v>
      </c>
      <c r="K791" s="72">
        <v>25</v>
      </c>
      <c r="L791" s="39"/>
      <c r="M791" s="72">
        <f t="shared" si="50"/>
        <v>-25</v>
      </c>
      <c r="N791" s="72">
        <f t="shared" si="51"/>
        <v>498756.75999999925</v>
      </c>
      <c r="O791" s="72"/>
    </row>
    <row r="792" spans="1:15" x14ac:dyDescent="0.2">
      <c r="A792" s="77" t="s">
        <v>685</v>
      </c>
      <c r="B792" s="78">
        <f t="shared" si="48"/>
        <v>2025</v>
      </c>
      <c r="C792" s="78">
        <f t="shared" si="49"/>
        <v>5</v>
      </c>
      <c r="D792" s="77" t="s">
        <v>300</v>
      </c>
      <c r="E792" s="76"/>
      <c r="F792" s="76" t="s">
        <v>325</v>
      </c>
      <c r="G792" s="76" t="s">
        <v>892</v>
      </c>
      <c r="H792" s="76" t="s">
        <v>323</v>
      </c>
      <c r="I792" s="76" t="s">
        <v>316</v>
      </c>
      <c r="J792" s="76" t="s">
        <v>22</v>
      </c>
      <c r="K792" s="74">
        <v>94.48</v>
      </c>
      <c r="L792" s="75"/>
      <c r="M792" s="74">
        <f t="shared" si="50"/>
        <v>-94.48</v>
      </c>
      <c r="N792" s="74">
        <f t="shared" si="51"/>
        <v>498662.27999999927</v>
      </c>
      <c r="O792" s="72"/>
    </row>
    <row r="793" spans="1:15" x14ac:dyDescent="0.2">
      <c r="A793" s="77" t="s">
        <v>685</v>
      </c>
      <c r="B793" s="78">
        <f t="shared" si="48"/>
        <v>2025</v>
      </c>
      <c r="C793" s="78">
        <f t="shared" si="49"/>
        <v>5</v>
      </c>
      <c r="D793" s="77" t="s">
        <v>300</v>
      </c>
      <c r="E793" s="76"/>
      <c r="F793" s="76" t="s">
        <v>325</v>
      </c>
      <c r="G793" s="76" t="s">
        <v>892</v>
      </c>
      <c r="H793" s="76" t="s">
        <v>323</v>
      </c>
      <c r="I793" s="76" t="s">
        <v>316</v>
      </c>
      <c r="J793" s="76" t="s">
        <v>22</v>
      </c>
      <c r="K793" s="74">
        <v>23.55</v>
      </c>
      <c r="L793" s="75"/>
      <c r="M793" s="74">
        <f t="shared" si="50"/>
        <v>-23.55</v>
      </c>
      <c r="N793" s="74">
        <f t="shared" si="51"/>
        <v>498638.72999999928</v>
      </c>
      <c r="O793" s="72"/>
    </row>
    <row r="794" spans="1:15" x14ac:dyDescent="0.2">
      <c r="A794" s="77" t="s">
        <v>685</v>
      </c>
      <c r="B794" s="78">
        <f t="shared" si="48"/>
        <v>2025</v>
      </c>
      <c r="C794" s="78">
        <f t="shared" si="49"/>
        <v>5</v>
      </c>
      <c r="D794" s="77" t="s">
        <v>300</v>
      </c>
      <c r="E794" s="76"/>
      <c r="F794" s="76" t="s">
        <v>325</v>
      </c>
      <c r="G794" s="76" t="s">
        <v>892</v>
      </c>
      <c r="H794" s="76" t="s">
        <v>323</v>
      </c>
      <c r="I794" s="76" t="s">
        <v>316</v>
      </c>
      <c r="J794" s="76" t="s">
        <v>22</v>
      </c>
      <c r="K794" s="74">
        <v>43.17</v>
      </c>
      <c r="L794" s="75"/>
      <c r="M794" s="74">
        <f t="shared" si="50"/>
        <v>-43.17</v>
      </c>
      <c r="N794" s="74">
        <f t="shared" si="51"/>
        <v>498595.5599999993</v>
      </c>
      <c r="O794" s="72"/>
    </row>
    <row r="795" spans="1:15" x14ac:dyDescent="0.2">
      <c r="A795" s="77" t="s">
        <v>685</v>
      </c>
      <c r="B795" s="78">
        <f t="shared" si="48"/>
        <v>2025</v>
      </c>
      <c r="C795" s="78">
        <f t="shared" si="49"/>
        <v>5</v>
      </c>
      <c r="D795" s="77" t="s">
        <v>300</v>
      </c>
      <c r="E795" s="76"/>
      <c r="F795" s="76" t="s">
        <v>325</v>
      </c>
      <c r="G795" s="76" t="s">
        <v>892</v>
      </c>
      <c r="H795" s="76" t="s">
        <v>323</v>
      </c>
      <c r="I795" s="76" t="s">
        <v>316</v>
      </c>
      <c r="J795" s="76" t="s">
        <v>22</v>
      </c>
      <c r="K795" s="74">
        <v>16.91</v>
      </c>
      <c r="L795" s="75"/>
      <c r="M795" s="74">
        <f t="shared" si="50"/>
        <v>-16.91</v>
      </c>
      <c r="N795" s="74">
        <f t="shared" si="51"/>
        <v>498578.64999999932</v>
      </c>
      <c r="O795" s="72"/>
    </row>
    <row r="796" spans="1:15" x14ac:dyDescent="0.2">
      <c r="A796" s="3" t="s">
        <v>685</v>
      </c>
      <c r="B796" s="3">
        <f t="shared" si="48"/>
        <v>2025</v>
      </c>
      <c r="C796" s="3">
        <f t="shared" si="49"/>
        <v>5</v>
      </c>
      <c r="D796" s="73" t="s">
        <v>893</v>
      </c>
      <c r="E796" s="2"/>
      <c r="F796" s="2" t="s">
        <v>304</v>
      </c>
      <c r="G796" s="2" t="s">
        <v>1019</v>
      </c>
      <c r="H796" s="2" t="s">
        <v>1007</v>
      </c>
      <c r="I796" s="1" t="s">
        <v>316</v>
      </c>
      <c r="J796" s="2" t="s">
        <v>17</v>
      </c>
      <c r="K796" s="146">
        <v>372.28</v>
      </c>
      <c r="L796" s="146"/>
      <c r="M796" s="146">
        <f t="shared" si="50"/>
        <v>-372.28</v>
      </c>
      <c r="N796" s="72">
        <f t="shared" si="51"/>
        <v>498206.3699999993</v>
      </c>
      <c r="O796" s="72"/>
    </row>
    <row r="797" spans="1:15" x14ac:dyDescent="0.2">
      <c r="A797" s="73" t="s">
        <v>685</v>
      </c>
      <c r="B797" s="3">
        <f t="shared" si="48"/>
        <v>2025</v>
      </c>
      <c r="C797" s="3">
        <f t="shared" si="49"/>
        <v>5</v>
      </c>
      <c r="D797" s="73" t="s">
        <v>300</v>
      </c>
      <c r="E797" s="2"/>
      <c r="F797" s="2" t="s">
        <v>304</v>
      </c>
      <c r="G797" s="2" t="s">
        <v>327</v>
      </c>
      <c r="H797" s="2" t="s">
        <v>326</v>
      </c>
      <c r="I797" s="2" t="s">
        <v>316</v>
      </c>
      <c r="J797" s="2" t="s">
        <v>18</v>
      </c>
      <c r="K797" s="72">
        <v>214.66</v>
      </c>
      <c r="L797" s="39"/>
      <c r="M797" s="72">
        <f t="shared" si="50"/>
        <v>-214.66</v>
      </c>
      <c r="N797" s="72">
        <f t="shared" si="51"/>
        <v>497991.70999999932</v>
      </c>
      <c r="O797" s="72"/>
    </row>
    <row r="798" spans="1:15" x14ac:dyDescent="0.2">
      <c r="A798" s="73" t="s">
        <v>685</v>
      </c>
      <c r="B798" s="3">
        <f t="shared" si="48"/>
        <v>2025</v>
      </c>
      <c r="C798" s="3">
        <f t="shared" si="49"/>
        <v>5</v>
      </c>
      <c r="D798" s="73" t="s">
        <v>300</v>
      </c>
      <c r="E798" s="2"/>
      <c r="F798" s="2" t="s">
        <v>304</v>
      </c>
      <c r="G798" s="2" t="s">
        <v>303</v>
      </c>
      <c r="H798" s="2" t="s">
        <v>302</v>
      </c>
      <c r="I798" s="2" t="s">
        <v>301</v>
      </c>
      <c r="J798" s="2" t="s">
        <v>11</v>
      </c>
      <c r="K798" s="72">
        <v>113.47</v>
      </c>
      <c r="L798" s="39"/>
      <c r="M798" s="72">
        <f t="shared" si="50"/>
        <v>-113.47</v>
      </c>
      <c r="N798" s="72">
        <f t="shared" si="51"/>
        <v>497878.23999999935</v>
      </c>
      <c r="O798" s="72"/>
    </row>
    <row r="799" spans="1:15" x14ac:dyDescent="0.2">
      <c r="A799" s="73" t="s">
        <v>685</v>
      </c>
      <c r="B799" s="3">
        <f t="shared" si="48"/>
        <v>2025</v>
      </c>
      <c r="C799" s="3">
        <f t="shared" si="49"/>
        <v>5</v>
      </c>
      <c r="D799" s="73" t="s">
        <v>300</v>
      </c>
      <c r="E799" s="2"/>
      <c r="F799" s="2" t="s">
        <v>325</v>
      </c>
      <c r="G799" s="2" t="s">
        <v>733</v>
      </c>
      <c r="H799" s="2" t="s">
        <v>323</v>
      </c>
      <c r="I799" s="2" t="s">
        <v>316</v>
      </c>
      <c r="J799" s="2" t="s">
        <v>22</v>
      </c>
      <c r="K799" s="72">
        <v>16</v>
      </c>
      <c r="L799" s="39"/>
      <c r="M799" s="72">
        <f t="shared" si="50"/>
        <v>-16</v>
      </c>
      <c r="N799" s="72">
        <f t="shared" si="51"/>
        <v>497862.23999999935</v>
      </c>
      <c r="O799" s="72"/>
    </row>
    <row r="800" spans="1:15" x14ac:dyDescent="0.2">
      <c r="A800" s="73" t="s">
        <v>685</v>
      </c>
      <c r="B800" s="3">
        <f t="shared" si="48"/>
        <v>2025</v>
      </c>
      <c r="C800" s="3">
        <f t="shared" si="49"/>
        <v>5</v>
      </c>
      <c r="D800" s="73" t="s">
        <v>300</v>
      </c>
      <c r="E800" s="2"/>
      <c r="F800" s="2" t="s">
        <v>299</v>
      </c>
      <c r="G800" s="2"/>
      <c r="H800" s="2" t="s">
        <v>298</v>
      </c>
      <c r="I800" s="2" t="s">
        <v>297</v>
      </c>
      <c r="J800" s="2" t="s">
        <v>296</v>
      </c>
      <c r="K800" s="72"/>
      <c r="L800" s="39">
        <v>353.13</v>
      </c>
      <c r="M800" s="72">
        <f t="shared" si="50"/>
        <v>353.13</v>
      </c>
      <c r="N800" s="72">
        <f t="shared" si="51"/>
        <v>498215.36999999936</v>
      </c>
      <c r="O800" s="72"/>
    </row>
    <row r="801" spans="1:15" x14ac:dyDescent="0.2">
      <c r="A801" s="77" t="s">
        <v>686</v>
      </c>
      <c r="B801" s="78">
        <f t="shared" si="48"/>
        <v>2025</v>
      </c>
      <c r="C801" s="78">
        <f t="shared" si="49"/>
        <v>5</v>
      </c>
      <c r="D801" s="77" t="s">
        <v>300</v>
      </c>
      <c r="E801" s="76"/>
      <c r="F801" s="76" t="s">
        <v>325</v>
      </c>
      <c r="G801" s="76" t="s">
        <v>892</v>
      </c>
      <c r="H801" s="76" t="s">
        <v>323</v>
      </c>
      <c r="I801" s="76" t="s">
        <v>316</v>
      </c>
      <c r="J801" s="76" t="s">
        <v>22</v>
      </c>
      <c r="K801" s="74">
        <v>651.9</v>
      </c>
      <c r="L801" s="75"/>
      <c r="M801" s="74">
        <f t="shared" si="50"/>
        <v>-651.9</v>
      </c>
      <c r="N801" s="74">
        <f t="shared" si="51"/>
        <v>497563.46999999933</v>
      </c>
      <c r="O801" s="72"/>
    </row>
    <row r="802" spans="1:15" x14ac:dyDescent="0.2">
      <c r="A802" s="3" t="s">
        <v>686</v>
      </c>
      <c r="B802" s="3">
        <f t="shared" si="48"/>
        <v>2025</v>
      </c>
      <c r="C802" s="3">
        <f t="shared" si="49"/>
        <v>5</v>
      </c>
      <c r="D802" s="73" t="s">
        <v>893</v>
      </c>
      <c r="E802" s="2"/>
      <c r="F802" s="2" t="s">
        <v>304</v>
      </c>
      <c r="G802" s="2" t="s">
        <v>903</v>
      </c>
      <c r="H802" s="2" t="s">
        <v>901</v>
      </c>
      <c r="I802" s="1" t="s">
        <v>316</v>
      </c>
      <c r="J802" s="2" t="s">
        <v>17</v>
      </c>
      <c r="K802" s="146">
        <v>20</v>
      </c>
      <c r="L802" s="146"/>
      <c r="M802" s="146">
        <f t="shared" si="50"/>
        <v>-20</v>
      </c>
      <c r="N802" s="72">
        <f t="shared" si="51"/>
        <v>497543.46999999933</v>
      </c>
      <c r="O802" s="72"/>
    </row>
    <row r="803" spans="1:15" x14ac:dyDescent="0.2">
      <c r="A803" s="73" t="s">
        <v>686</v>
      </c>
      <c r="B803" s="3">
        <f t="shared" si="48"/>
        <v>2025</v>
      </c>
      <c r="C803" s="3">
        <f t="shared" si="49"/>
        <v>5</v>
      </c>
      <c r="D803" s="73" t="s">
        <v>300</v>
      </c>
      <c r="E803" s="2"/>
      <c r="F803" s="2" t="s">
        <v>299</v>
      </c>
      <c r="G803" s="2"/>
      <c r="H803" s="2" t="s">
        <v>298</v>
      </c>
      <c r="I803" s="2" t="s">
        <v>297</v>
      </c>
      <c r="J803" s="2" t="s">
        <v>296</v>
      </c>
      <c r="K803" s="72"/>
      <c r="L803" s="39">
        <v>80</v>
      </c>
      <c r="M803" s="72">
        <f t="shared" si="50"/>
        <v>80</v>
      </c>
      <c r="N803" s="72">
        <f t="shared" si="51"/>
        <v>497623.46999999933</v>
      </c>
      <c r="O803" s="72"/>
    </row>
    <row r="804" spans="1:15" x14ac:dyDescent="0.2">
      <c r="A804" s="3" t="s">
        <v>687</v>
      </c>
      <c r="B804" s="3">
        <f t="shared" si="48"/>
        <v>2025</v>
      </c>
      <c r="C804" s="3">
        <f t="shared" si="49"/>
        <v>5</v>
      </c>
      <c r="D804" s="73" t="s">
        <v>893</v>
      </c>
      <c r="E804" s="2"/>
      <c r="F804" s="2" t="s">
        <v>304</v>
      </c>
      <c r="G804" s="2" t="s">
        <v>1016</v>
      </c>
      <c r="H804" s="2" t="s">
        <v>1007</v>
      </c>
      <c r="I804" s="1" t="s">
        <v>316</v>
      </c>
      <c r="J804" s="2" t="s">
        <v>17</v>
      </c>
      <c r="K804" s="146">
        <v>20.45</v>
      </c>
      <c r="L804" s="146"/>
      <c r="M804" s="146">
        <f t="shared" si="50"/>
        <v>-20.45</v>
      </c>
      <c r="N804" s="72">
        <f t="shared" si="51"/>
        <v>497603.01999999932</v>
      </c>
      <c r="O804" s="72"/>
    </row>
    <row r="805" spans="1:15" x14ac:dyDescent="0.2">
      <c r="A805" s="3" t="s">
        <v>687</v>
      </c>
      <c r="B805" s="3">
        <f t="shared" si="48"/>
        <v>2025</v>
      </c>
      <c r="C805" s="3">
        <f t="shared" si="49"/>
        <v>5</v>
      </c>
      <c r="D805" s="73" t="s">
        <v>893</v>
      </c>
      <c r="E805" s="2"/>
      <c r="F805" s="2" t="s">
        <v>304</v>
      </c>
      <c r="G805" s="2" t="s">
        <v>988</v>
      </c>
      <c r="H805" s="2" t="s">
        <v>987</v>
      </c>
      <c r="I805" s="2" t="s">
        <v>350</v>
      </c>
      <c r="J805" s="1" t="s">
        <v>353</v>
      </c>
      <c r="K805" s="146">
        <v>100.94</v>
      </c>
      <c r="L805" s="146"/>
      <c r="M805" s="146">
        <f t="shared" si="50"/>
        <v>-100.94</v>
      </c>
      <c r="N805" s="72">
        <f t="shared" si="51"/>
        <v>497502.07999999932</v>
      </c>
      <c r="O805" s="72"/>
    </row>
    <row r="806" spans="1:15" x14ac:dyDescent="0.2">
      <c r="A806" s="73" t="s">
        <v>687</v>
      </c>
      <c r="B806" s="3">
        <f t="shared" si="48"/>
        <v>2025</v>
      </c>
      <c r="C806" s="3">
        <f t="shared" si="49"/>
        <v>5</v>
      </c>
      <c r="D806" s="73" t="s">
        <v>300</v>
      </c>
      <c r="E806" s="2"/>
      <c r="F806" s="2" t="s">
        <v>321</v>
      </c>
      <c r="G806" s="2" t="s">
        <v>10</v>
      </c>
      <c r="H806" s="2" t="s">
        <v>319</v>
      </c>
      <c r="I806" s="2" t="s">
        <v>315</v>
      </c>
      <c r="J806" s="2" t="s">
        <v>23</v>
      </c>
      <c r="K806" s="72"/>
      <c r="L806" s="39">
        <v>4200</v>
      </c>
      <c r="M806" s="72">
        <f t="shared" si="50"/>
        <v>4200</v>
      </c>
      <c r="N806" s="72">
        <f t="shared" si="51"/>
        <v>501702.07999999932</v>
      </c>
      <c r="O806" s="72"/>
    </row>
    <row r="807" spans="1:15" x14ac:dyDescent="0.2">
      <c r="A807" s="73" t="s">
        <v>687</v>
      </c>
      <c r="B807" s="3">
        <f t="shared" si="48"/>
        <v>2025</v>
      </c>
      <c r="C807" s="3">
        <f t="shared" si="49"/>
        <v>5</v>
      </c>
      <c r="D807" s="73" t="s">
        <v>300</v>
      </c>
      <c r="E807" s="2"/>
      <c r="F807" s="2" t="s">
        <v>325</v>
      </c>
      <c r="G807" s="2" t="s">
        <v>734</v>
      </c>
      <c r="H807" s="2" t="s">
        <v>323</v>
      </c>
      <c r="I807" s="2" t="s">
        <v>316</v>
      </c>
      <c r="J807" s="2" t="s">
        <v>22</v>
      </c>
      <c r="K807" s="72">
        <v>25.31</v>
      </c>
      <c r="L807" s="39"/>
      <c r="M807" s="72">
        <f t="shared" si="50"/>
        <v>-25.31</v>
      </c>
      <c r="N807" s="72">
        <f t="shared" si="51"/>
        <v>501676.76999999932</v>
      </c>
      <c r="O807" s="72"/>
    </row>
    <row r="808" spans="1:15" x14ac:dyDescent="0.2">
      <c r="A808" s="73" t="s">
        <v>687</v>
      </c>
      <c r="B808" s="3">
        <f t="shared" si="48"/>
        <v>2025</v>
      </c>
      <c r="C808" s="3">
        <f t="shared" si="49"/>
        <v>5</v>
      </c>
      <c r="D808" s="73" t="s">
        <v>300</v>
      </c>
      <c r="E808" s="2"/>
      <c r="F808" s="2" t="s">
        <v>325</v>
      </c>
      <c r="G808" s="2" t="s">
        <v>734</v>
      </c>
      <c r="H808" s="2" t="s">
        <v>323</v>
      </c>
      <c r="I808" s="2" t="s">
        <v>316</v>
      </c>
      <c r="J808" s="2" t="s">
        <v>22</v>
      </c>
      <c r="K808" s="72">
        <v>222</v>
      </c>
      <c r="L808" s="39"/>
      <c r="M808" s="72">
        <f t="shared" si="50"/>
        <v>-222</v>
      </c>
      <c r="N808" s="72">
        <f t="shared" si="51"/>
        <v>501454.76999999932</v>
      </c>
      <c r="O808" s="72"/>
    </row>
    <row r="809" spans="1:15" x14ac:dyDescent="0.2">
      <c r="A809" s="73" t="s">
        <v>687</v>
      </c>
      <c r="B809" s="3">
        <f t="shared" si="48"/>
        <v>2025</v>
      </c>
      <c r="C809" s="3">
        <f t="shared" si="49"/>
        <v>5</v>
      </c>
      <c r="D809" s="73" t="s">
        <v>300</v>
      </c>
      <c r="E809" s="2"/>
      <c r="F809" s="2" t="s">
        <v>325</v>
      </c>
      <c r="G809" s="2" t="s">
        <v>734</v>
      </c>
      <c r="H809" s="2" t="s">
        <v>323</v>
      </c>
      <c r="I809" s="2" t="s">
        <v>316</v>
      </c>
      <c r="J809" s="2" t="s">
        <v>22</v>
      </c>
      <c r="K809" s="72">
        <v>381.03</v>
      </c>
      <c r="L809" s="39"/>
      <c r="M809" s="72">
        <f t="shared" si="50"/>
        <v>-381.03</v>
      </c>
      <c r="N809" s="72">
        <f t="shared" si="51"/>
        <v>501073.73999999929</v>
      </c>
      <c r="O809" s="72"/>
    </row>
    <row r="810" spans="1:15" x14ac:dyDescent="0.2">
      <c r="A810" s="73" t="s">
        <v>687</v>
      </c>
      <c r="B810" s="3">
        <f t="shared" si="48"/>
        <v>2025</v>
      </c>
      <c r="C810" s="3">
        <f t="shared" si="49"/>
        <v>5</v>
      </c>
      <c r="D810" s="73" t="s">
        <v>300</v>
      </c>
      <c r="E810" s="2"/>
      <c r="F810" s="2" t="s">
        <v>325</v>
      </c>
      <c r="G810" s="2" t="s">
        <v>734</v>
      </c>
      <c r="H810" s="2" t="s">
        <v>323</v>
      </c>
      <c r="I810" s="2" t="s">
        <v>316</v>
      </c>
      <c r="J810" s="2" t="s">
        <v>22</v>
      </c>
      <c r="K810" s="72">
        <v>30.99</v>
      </c>
      <c r="L810" s="39"/>
      <c r="M810" s="72">
        <f t="shared" si="50"/>
        <v>-30.99</v>
      </c>
      <c r="N810" s="72">
        <f t="shared" si="51"/>
        <v>501042.7499999993</v>
      </c>
      <c r="O810" s="72"/>
    </row>
    <row r="811" spans="1:15" x14ac:dyDescent="0.2">
      <c r="A811" s="73" t="s">
        <v>687</v>
      </c>
      <c r="B811" s="3">
        <f t="shared" si="48"/>
        <v>2025</v>
      </c>
      <c r="C811" s="3">
        <f t="shared" si="49"/>
        <v>5</v>
      </c>
      <c r="D811" s="73" t="s">
        <v>300</v>
      </c>
      <c r="E811" s="2"/>
      <c r="F811" s="2" t="s">
        <v>325</v>
      </c>
      <c r="G811" s="2" t="s">
        <v>734</v>
      </c>
      <c r="H811" s="2" t="s">
        <v>323</v>
      </c>
      <c r="I811" s="2" t="s">
        <v>316</v>
      </c>
      <c r="J811" s="2" t="s">
        <v>22</v>
      </c>
      <c r="K811" s="72">
        <v>14.27</v>
      </c>
      <c r="L811" s="39"/>
      <c r="M811" s="72">
        <f t="shared" si="50"/>
        <v>-14.27</v>
      </c>
      <c r="N811" s="72">
        <f t="shared" si="51"/>
        <v>501028.47999999928</v>
      </c>
      <c r="O811" s="72"/>
    </row>
    <row r="812" spans="1:15" x14ac:dyDescent="0.2">
      <c r="A812" s="73" t="s">
        <v>687</v>
      </c>
      <c r="B812" s="3">
        <f t="shared" si="48"/>
        <v>2025</v>
      </c>
      <c r="C812" s="3">
        <f t="shared" si="49"/>
        <v>5</v>
      </c>
      <c r="D812" s="73" t="s">
        <v>300</v>
      </c>
      <c r="E812" s="2"/>
      <c r="F812" s="2" t="s">
        <v>325</v>
      </c>
      <c r="G812" s="2" t="s">
        <v>734</v>
      </c>
      <c r="H812" s="2" t="s">
        <v>323</v>
      </c>
      <c r="I812" s="2" t="s">
        <v>316</v>
      </c>
      <c r="J812" s="2" t="s">
        <v>22</v>
      </c>
      <c r="K812" s="72">
        <v>20.14</v>
      </c>
      <c r="L812" s="39"/>
      <c r="M812" s="72">
        <f t="shared" si="50"/>
        <v>-20.14</v>
      </c>
      <c r="N812" s="72">
        <f t="shared" si="51"/>
        <v>501008.33999999927</v>
      </c>
      <c r="O812" s="72"/>
    </row>
    <row r="813" spans="1:15" x14ac:dyDescent="0.2">
      <c r="A813" s="73" t="s">
        <v>687</v>
      </c>
      <c r="B813" s="3">
        <f t="shared" si="48"/>
        <v>2025</v>
      </c>
      <c r="C813" s="3">
        <f t="shared" si="49"/>
        <v>5</v>
      </c>
      <c r="D813" s="73" t="s">
        <v>300</v>
      </c>
      <c r="E813" s="2"/>
      <c r="F813" s="2" t="s">
        <v>325</v>
      </c>
      <c r="G813" s="2" t="s">
        <v>734</v>
      </c>
      <c r="H813" s="2" t="s">
        <v>323</v>
      </c>
      <c r="I813" s="2" t="s">
        <v>316</v>
      </c>
      <c r="J813" s="2" t="s">
        <v>22</v>
      </c>
      <c r="K813" s="72">
        <v>25.61</v>
      </c>
      <c r="L813" s="39"/>
      <c r="M813" s="72">
        <f t="shared" si="50"/>
        <v>-25.61</v>
      </c>
      <c r="N813" s="72">
        <f t="shared" si="51"/>
        <v>500982.72999999928</v>
      </c>
      <c r="O813" s="72"/>
    </row>
    <row r="814" spans="1:15" x14ac:dyDescent="0.2">
      <c r="A814" s="73" t="s">
        <v>687</v>
      </c>
      <c r="B814" s="3">
        <f t="shared" si="48"/>
        <v>2025</v>
      </c>
      <c r="C814" s="3">
        <f t="shared" si="49"/>
        <v>5</v>
      </c>
      <c r="D814" s="73" t="s">
        <v>300</v>
      </c>
      <c r="E814" s="2"/>
      <c r="F814" s="2" t="s">
        <v>325</v>
      </c>
      <c r="G814" s="2" t="s">
        <v>734</v>
      </c>
      <c r="H814" s="2" t="s">
        <v>323</v>
      </c>
      <c r="I814" s="2" t="s">
        <v>316</v>
      </c>
      <c r="J814" s="2" t="s">
        <v>22</v>
      </c>
      <c r="K814" s="72">
        <v>85.6</v>
      </c>
      <c r="L814" s="39"/>
      <c r="M814" s="72">
        <f t="shared" si="50"/>
        <v>-85.6</v>
      </c>
      <c r="N814" s="72">
        <f t="shared" si="51"/>
        <v>500897.12999999931</v>
      </c>
      <c r="O814" s="72"/>
    </row>
    <row r="815" spans="1:15" x14ac:dyDescent="0.2">
      <c r="A815" s="73" t="s">
        <v>687</v>
      </c>
      <c r="B815" s="3">
        <f t="shared" si="48"/>
        <v>2025</v>
      </c>
      <c r="C815" s="3">
        <f t="shared" si="49"/>
        <v>5</v>
      </c>
      <c r="D815" s="73" t="s">
        <v>300</v>
      </c>
      <c r="E815" s="2"/>
      <c r="F815" s="2" t="s">
        <v>321</v>
      </c>
      <c r="G815" s="2" t="s">
        <v>329</v>
      </c>
      <c r="H815" s="2" t="s">
        <v>319</v>
      </c>
      <c r="I815" s="2" t="s">
        <v>315</v>
      </c>
      <c r="J815" s="2" t="s">
        <v>23</v>
      </c>
      <c r="K815" s="72"/>
      <c r="L815" s="39">
        <v>24777.599999999999</v>
      </c>
      <c r="M815" s="72">
        <f t="shared" si="50"/>
        <v>24777.599999999999</v>
      </c>
      <c r="N815" s="72">
        <f t="shared" si="51"/>
        <v>525674.72999999928</v>
      </c>
      <c r="O815" s="72"/>
    </row>
    <row r="816" spans="1:15" x14ac:dyDescent="0.2">
      <c r="A816" s="73" t="s">
        <v>687</v>
      </c>
      <c r="B816" s="3">
        <f t="shared" si="48"/>
        <v>2025</v>
      </c>
      <c r="C816" s="3">
        <f t="shared" si="49"/>
        <v>5</v>
      </c>
      <c r="D816" s="73" t="s">
        <v>300</v>
      </c>
      <c r="E816" s="2"/>
      <c r="F816" s="2" t="s">
        <v>299</v>
      </c>
      <c r="G816" s="2"/>
      <c r="H816" s="2" t="s">
        <v>298</v>
      </c>
      <c r="I816" s="2" t="s">
        <v>297</v>
      </c>
      <c r="J816" s="2" t="s">
        <v>296</v>
      </c>
      <c r="K816" s="72">
        <v>28961.599999999999</v>
      </c>
      <c r="L816" s="39"/>
      <c r="M816" s="72">
        <f t="shared" si="50"/>
        <v>-28961.599999999999</v>
      </c>
      <c r="N816" s="72">
        <f t="shared" si="51"/>
        <v>496713.12999999931</v>
      </c>
      <c r="O816" s="72"/>
    </row>
    <row r="817" spans="1:15" x14ac:dyDescent="0.2">
      <c r="A817" s="3" t="s">
        <v>904</v>
      </c>
      <c r="B817" s="3">
        <f t="shared" si="48"/>
        <v>2025</v>
      </c>
      <c r="C817" s="3">
        <f t="shared" si="49"/>
        <v>5</v>
      </c>
      <c r="D817" s="73" t="s">
        <v>893</v>
      </c>
      <c r="E817" s="2"/>
      <c r="F817" s="2" t="s">
        <v>304</v>
      </c>
      <c r="G817" s="2" t="s">
        <v>903</v>
      </c>
      <c r="H817" s="2" t="s">
        <v>901</v>
      </c>
      <c r="I817" s="1" t="s">
        <v>316</v>
      </c>
      <c r="J817" s="2" t="s">
        <v>17</v>
      </c>
      <c r="K817" s="146">
        <v>31.63</v>
      </c>
      <c r="L817" s="146"/>
      <c r="M817" s="146">
        <f t="shared" si="50"/>
        <v>-31.63</v>
      </c>
      <c r="N817" s="72">
        <f t="shared" si="51"/>
        <v>496681.4999999993</v>
      </c>
      <c r="O817" s="72"/>
    </row>
    <row r="818" spans="1:15" x14ac:dyDescent="0.2">
      <c r="A818" s="73" t="s">
        <v>688</v>
      </c>
      <c r="B818" s="3">
        <f t="shared" si="48"/>
        <v>2025</v>
      </c>
      <c r="C818" s="3">
        <f t="shared" si="49"/>
        <v>5</v>
      </c>
      <c r="D818" s="73" t="s">
        <v>300</v>
      </c>
      <c r="E818" s="2"/>
      <c r="F818" s="2" t="s">
        <v>325</v>
      </c>
      <c r="G818" s="2" t="s">
        <v>662</v>
      </c>
      <c r="H818" s="2" t="s">
        <v>323</v>
      </c>
      <c r="I818" s="2" t="s">
        <v>316</v>
      </c>
      <c r="J818" s="2" t="s">
        <v>22</v>
      </c>
      <c r="K818" s="72">
        <v>3780.25</v>
      </c>
      <c r="L818" s="39"/>
      <c r="M818" s="72">
        <f t="shared" si="50"/>
        <v>-3780.25</v>
      </c>
      <c r="N818" s="72">
        <f t="shared" si="51"/>
        <v>492901.2499999993</v>
      </c>
      <c r="O818" s="72"/>
    </row>
    <row r="819" spans="1:15" x14ac:dyDescent="0.2">
      <c r="A819" s="73" t="s">
        <v>688</v>
      </c>
      <c r="B819" s="3">
        <f t="shared" si="48"/>
        <v>2025</v>
      </c>
      <c r="C819" s="3">
        <f t="shared" si="49"/>
        <v>5</v>
      </c>
      <c r="D819" s="73" t="s">
        <v>300</v>
      </c>
      <c r="E819" s="2"/>
      <c r="F819" s="2" t="s">
        <v>325</v>
      </c>
      <c r="G819" s="2" t="s">
        <v>662</v>
      </c>
      <c r="H819" s="2" t="s">
        <v>323</v>
      </c>
      <c r="I819" s="2" t="s">
        <v>316</v>
      </c>
      <c r="J819" s="2" t="s">
        <v>22</v>
      </c>
      <c r="K819" s="72">
        <v>212.37</v>
      </c>
      <c r="L819" s="39"/>
      <c r="M819" s="72">
        <f t="shared" si="50"/>
        <v>-212.37</v>
      </c>
      <c r="N819" s="72">
        <f t="shared" si="51"/>
        <v>492688.87999999931</v>
      </c>
      <c r="O819" s="72"/>
    </row>
    <row r="820" spans="1:15" x14ac:dyDescent="0.2">
      <c r="A820" s="73" t="s">
        <v>688</v>
      </c>
      <c r="B820" s="3">
        <f t="shared" si="48"/>
        <v>2025</v>
      </c>
      <c r="C820" s="3">
        <f t="shared" si="49"/>
        <v>5</v>
      </c>
      <c r="D820" s="73" t="s">
        <v>300</v>
      </c>
      <c r="E820" s="2"/>
      <c r="F820" s="2" t="s">
        <v>325</v>
      </c>
      <c r="G820" s="2" t="s">
        <v>339</v>
      </c>
      <c r="H820" s="2" t="s">
        <v>323</v>
      </c>
      <c r="I820" s="2" t="s">
        <v>316</v>
      </c>
      <c r="J820" s="2" t="s">
        <v>22</v>
      </c>
      <c r="K820" s="72">
        <v>20</v>
      </c>
      <c r="L820" s="39"/>
      <c r="M820" s="72">
        <f t="shared" si="50"/>
        <v>-20</v>
      </c>
      <c r="N820" s="72">
        <f t="shared" si="51"/>
        <v>492668.87999999931</v>
      </c>
      <c r="O820" s="72"/>
    </row>
    <row r="821" spans="1:15" x14ac:dyDescent="0.2">
      <c r="A821" s="73" t="s">
        <v>688</v>
      </c>
      <c r="B821" s="3">
        <f t="shared" si="48"/>
        <v>2025</v>
      </c>
      <c r="C821" s="3">
        <f t="shared" si="49"/>
        <v>5</v>
      </c>
      <c r="D821" s="73" t="s">
        <v>300</v>
      </c>
      <c r="E821" s="2"/>
      <c r="F821" s="2" t="s">
        <v>304</v>
      </c>
      <c r="G821" s="2" t="s">
        <v>303</v>
      </c>
      <c r="H821" s="2" t="s">
        <v>302</v>
      </c>
      <c r="I821" s="2" t="s">
        <v>301</v>
      </c>
      <c r="J821" s="2" t="s">
        <v>11</v>
      </c>
      <c r="K821" s="72">
        <v>56.65</v>
      </c>
      <c r="L821" s="39"/>
      <c r="M821" s="72">
        <f t="shared" si="50"/>
        <v>-56.65</v>
      </c>
      <c r="N821" s="72">
        <f t="shared" si="51"/>
        <v>492612.22999999928</v>
      </c>
      <c r="O821" s="72"/>
    </row>
    <row r="822" spans="1:15" x14ac:dyDescent="0.2">
      <c r="A822" s="73" t="s">
        <v>688</v>
      </c>
      <c r="B822" s="3">
        <f t="shared" si="48"/>
        <v>2025</v>
      </c>
      <c r="C822" s="3">
        <f t="shared" si="49"/>
        <v>5</v>
      </c>
      <c r="D822" s="73" t="s">
        <v>300</v>
      </c>
      <c r="E822" s="2"/>
      <c r="F822" s="2" t="s">
        <v>299</v>
      </c>
      <c r="G822" s="2"/>
      <c r="H822" s="2" t="s">
        <v>298</v>
      </c>
      <c r="I822" s="2" t="s">
        <v>297</v>
      </c>
      <c r="J822" s="2" t="s">
        <v>296</v>
      </c>
      <c r="K822" s="72"/>
      <c r="L822" s="39">
        <v>4874.22</v>
      </c>
      <c r="M822" s="72">
        <f t="shared" si="50"/>
        <v>4874.22</v>
      </c>
      <c r="N822" s="72">
        <f t="shared" si="51"/>
        <v>497486.44999999925</v>
      </c>
      <c r="O822" s="72"/>
    </row>
    <row r="823" spans="1:15" x14ac:dyDescent="0.2">
      <c r="A823" s="73" t="s">
        <v>689</v>
      </c>
      <c r="B823" s="3">
        <f t="shared" si="48"/>
        <v>2025</v>
      </c>
      <c r="C823" s="3">
        <f t="shared" si="49"/>
        <v>5</v>
      </c>
      <c r="D823" s="73" t="s">
        <v>300</v>
      </c>
      <c r="E823" s="2"/>
      <c r="F823" s="2" t="s">
        <v>304</v>
      </c>
      <c r="G823" s="2" t="s">
        <v>336</v>
      </c>
      <c r="H823" s="2" t="s">
        <v>335</v>
      </c>
      <c r="I823" s="2" t="s">
        <v>301</v>
      </c>
      <c r="J823" s="2" t="s">
        <v>11</v>
      </c>
      <c r="K823" s="72">
        <v>50</v>
      </c>
      <c r="L823" s="39"/>
      <c r="M823" s="72">
        <f t="shared" si="50"/>
        <v>-50</v>
      </c>
      <c r="N823" s="72">
        <f t="shared" si="51"/>
        <v>497436.44999999925</v>
      </c>
      <c r="O823" s="72"/>
    </row>
    <row r="824" spans="1:15" x14ac:dyDescent="0.2">
      <c r="A824" s="73" t="s">
        <v>689</v>
      </c>
      <c r="B824" s="3">
        <f t="shared" si="48"/>
        <v>2025</v>
      </c>
      <c r="C824" s="3">
        <f t="shared" si="49"/>
        <v>5</v>
      </c>
      <c r="D824" s="73" t="s">
        <v>300</v>
      </c>
      <c r="E824" s="2"/>
      <c r="F824" s="2" t="s">
        <v>304</v>
      </c>
      <c r="G824" s="2" t="s">
        <v>311</v>
      </c>
      <c r="H824" s="2" t="s">
        <v>310</v>
      </c>
      <c r="I824" s="2" t="s">
        <v>301</v>
      </c>
      <c r="J824" s="2" t="s">
        <v>11</v>
      </c>
      <c r="K824" s="72">
        <v>3.8</v>
      </c>
      <c r="L824" s="39"/>
      <c r="M824" s="72">
        <f t="shared" si="50"/>
        <v>-3.8</v>
      </c>
      <c r="N824" s="72">
        <f t="shared" si="51"/>
        <v>497432.64999999927</v>
      </c>
      <c r="O824" s="72"/>
    </row>
    <row r="825" spans="1:15" x14ac:dyDescent="0.2">
      <c r="A825" s="3" t="s">
        <v>689</v>
      </c>
      <c r="B825" s="3">
        <f t="shared" si="48"/>
        <v>2025</v>
      </c>
      <c r="C825" s="3">
        <f t="shared" si="49"/>
        <v>5</v>
      </c>
      <c r="D825" s="73" t="s">
        <v>893</v>
      </c>
      <c r="E825" s="2"/>
      <c r="F825" s="2" t="s">
        <v>304</v>
      </c>
      <c r="G825" s="2" t="s">
        <v>931</v>
      </c>
      <c r="H825" s="2" t="s">
        <v>930</v>
      </c>
      <c r="I825" s="2" t="s">
        <v>350</v>
      </c>
      <c r="J825" s="1" t="s">
        <v>353</v>
      </c>
      <c r="K825" s="146">
        <v>620.57000000000005</v>
      </c>
      <c r="L825" s="146"/>
      <c r="M825" s="146">
        <f t="shared" si="50"/>
        <v>-620.57000000000005</v>
      </c>
      <c r="N825" s="72">
        <f t="shared" si="51"/>
        <v>496812.07999999926</v>
      </c>
      <c r="O825" s="72"/>
    </row>
    <row r="826" spans="1:15" x14ac:dyDescent="0.2">
      <c r="A826" s="73" t="s">
        <v>689</v>
      </c>
      <c r="B826" s="3">
        <f t="shared" si="48"/>
        <v>2025</v>
      </c>
      <c r="C826" s="3">
        <f t="shared" si="49"/>
        <v>5</v>
      </c>
      <c r="D826" s="73" t="s">
        <v>300</v>
      </c>
      <c r="E826" s="2" t="s">
        <v>735</v>
      </c>
      <c r="F826" s="2" t="s">
        <v>325</v>
      </c>
      <c r="G826" s="2" t="s">
        <v>379</v>
      </c>
      <c r="H826" s="2" t="s">
        <v>323</v>
      </c>
      <c r="I826" s="2" t="s">
        <v>316</v>
      </c>
      <c r="J826" s="2" t="s">
        <v>32</v>
      </c>
      <c r="K826" s="72">
        <v>16978.75</v>
      </c>
      <c r="L826" s="39"/>
      <c r="M826" s="72">
        <f t="shared" si="50"/>
        <v>-16978.75</v>
      </c>
      <c r="N826" s="72">
        <f t="shared" si="51"/>
        <v>479833.32999999926</v>
      </c>
      <c r="O826" s="72"/>
    </row>
    <row r="827" spans="1:15" x14ac:dyDescent="0.2">
      <c r="A827" s="73" t="s">
        <v>689</v>
      </c>
      <c r="B827" s="3">
        <f t="shared" si="48"/>
        <v>2025</v>
      </c>
      <c r="C827" s="3">
        <f t="shared" si="49"/>
        <v>5</v>
      </c>
      <c r="D827" s="73" t="s">
        <v>300</v>
      </c>
      <c r="E827" s="2"/>
      <c r="F827" s="2" t="s">
        <v>325</v>
      </c>
      <c r="G827" s="2" t="s">
        <v>736</v>
      </c>
      <c r="H827" s="2" t="s">
        <v>323</v>
      </c>
      <c r="I827" s="2" t="s">
        <v>316</v>
      </c>
      <c r="J827" s="2" t="s">
        <v>22</v>
      </c>
      <c r="K827" s="72">
        <v>30</v>
      </c>
      <c r="L827" s="39"/>
      <c r="M827" s="72">
        <f t="shared" si="50"/>
        <v>-30</v>
      </c>
      <c r="N827" s="72">
        <f t="shared" si="51"/>
        <v>479803.32999999926</v>
      </c>
      <c r="O827" s="72"/>
    </row>
    <row r="828" spans="1:15" x14ac:dyDescent="0.2">
      <c r="A828" s="3" t="s">
        <v>689</v>
      </c>
      <c r="B828" s="3">
        <f t="shared" si="48"/>
        <v>2025</v>
      </c>
      <c r="C828" s="3">
        <f t="shared" si="49"/>
        <v>5</v>
      </c>
      <c r="D828" s="73" t="s">
        <v>893</v>
      </c>
      <c r="E828" s="2"/>
      <c r="F828" s="2" t="s">
        <v>304</v>
      </c>
      <c r="G828" s="2" t="s">
        <v>897</v>
      </c>
      <c r="H828" s="2" t="s">
        <v>839</v>
      </c>
      <c r="I828" s="1" t="s">
        <v>316</v>
      </c>
      <c r="J828" s="2" t="s">
        <v>17</v>
      </c>
      <c r="K828" s="146">
        <v>2736</v>
      </c>
      <c r="L828" s="146"/>
      <c r="M828" s="146">
        <f t="shared" si="50"/>
        <v>-2736</v>
      </c>
      <c r="N828" s="72">
        <f t="shared" si="51"/>
        <v>477067.32999999926</v>
      </c>
      <c r="O828" s="72"/>
    </row>
    <row r="829" spans="1:15" x14ac:dyDescent="0.2">
      <c r="A829" s="73" t="s">
        <v>689</v>
      </c>
      <c r="B829" s="3">
        <f t="shared" si="48"/>
        <v>2025</v>
      </c>
      <c r="C829" s="3">
        <f t="shared" si="49"/>
        <v>5</v>
      </c>
      <c r="D829" s="73" t="s">
        <v>300</v>
      </c>
      <c r="E829" s="2" t="s">
        <v>735</v>
      </c>
      <c r="F829" s="2" t="s">
        <v>325</v>
      </c>
      <c r="G829" s="2" t="s">
        <v>374</v>
      </c>
      <c r="H829" s="2" t="s">
        <v>323</v>
      </c>
      <c r="I829" s="2" t="s">
        <v>316</v>
      </c>
      <c r="J829" s="2" t="s">
        <v>29</v>
      </c>
      <c r="K829" s="72">
        <v>1914</v>
      </c>
      <c r="L829" s="39"/>
      <c r="M829" s="72">
        <f t="shared" si="50"/>
        <v>-1914</v>
      </c>
      <c r="N829" s="72">
        <f t="shared" si="51"/>
        <v>475153.32999999926</v>
      </c>
      <c r="O829" s="72"/>
    </row>
    <row r="830" spans="1:15" x14ac:dyDescent="0.2">
      <c r="A830" s="73" t="s">
        <v>689</v>
      </c>
      <c r="B830" s="3">
        <f t="shared" si="48"/>
        <v>2025</v>
      </c>
      <c r="C830" s="3">
        <f t="shared" si="49"/>
        <v>5</v>
      </c>
      <c r="D830" s="73" t="s">
        <v>300</v>
      </c>
      <c r="E830" s="2"/>
      <c r="F830" s="2" t="s">
        <v>299</v>
      </c>
      <c r="G830" s="2"/>
      <c r="H830" s="2" t="s">
        <v>298</v>
      </c>
      <c r="I830" s="2" t="s">
        <v>297</v>
      </c>
      <c r="J830" s="2" t="s">
        <v>296</v>
      </c>
      <c r="K830" s="72"/>
      <c r="L830" s="39">
        <v>53.8</v>
      </c>
      <c r="M830" s="72">
        <f t="shared" si="50"/>
        <v>53.8</v>
      </c>
      <c r="N830" s="72">
        <f t="shared" si="51"/>
        <v>475207.12999999925</v>
      </c>
      <c r="O830" s="72"/>
    </row>
    <row r="831" spans="1:15" x14ac:dyDescent="0.2">
      <c r="A831" s="73" t="s">
        <v>690</v>
      </c>
      <c r="B831" s="3">
        <f t="shared" si="48"/>
        <v>2025</v>
      </c>
      <c r="C831" s="3">
        <f t="shared" si="49"/>
        <v>5</v>
      </c>
      <c r="D831" s="73" t="s">
        <v>300</v>
      </c>
      <c r="E831" s="2"/>
      <c r="F831" s="2" t="s">
        <v>325</v>
      </c>
      <c r="G831" s="2" t="s">
        <v>730</v>
      </c>
      <c r="H831" s="2" t="s">
        <v>323</v>
      </c>
      <c r="I831" s="2" t="s">
        <v>316</v>
      </c>
      <c r="J831" s="2" t="s">
        <v>22</v>
      </c>
      <c r="K831" s="72">
        <v>3827.74</v>
      </c>
      <c r="L831" s="39"/>
      <c r="M831" s="72">
        <f t="shared" si="50"/>
        <v>-3827.74</v>
      </c>
      <c r="N831" s="72">
        <f t="shared" si="51"/>
        <v>471379.38999999926</v>
      </c>
      <c r="O831" s="72"/>
    </row>
    <row r="832" spans="1:15" x14ac:dyDescent="0.2">
      <c r="A832" s="73" t="s">
        <v>690</v>
      </c>
      <c r="B832" s="3">
        <f t="shared" si="48"/>
        <v>2025</v>
      </c>
      <c r="C832" s="3">
        <f t="shared" si="49"/>
        <v>5</v>
      </c>
      <c r="D832" s="73" t="s">
        <v>300</v>
      </c>
      <c r="E832" s="2"/>
      <c r="F832" s="2" t="s">
        <v>325</v>
      </c>
      <c r="G832" s="2" t="s">
        <v>375</v>
      </c>
      <c r="H832" s="2" t="s">
        <v>323</v>
      </c>
      <c r="I832" s="2" t="s">
        <v>316</v>
      </c>
      <c r="J832" s="2" t="s">
        <v>29</v>
      </c>
      <c r="K832" s="72">
        <v>8295.9500000000007</v>
      </c>
      <c r="L832" s="39"/>
      <c r="M832" s="72">
        <f t="shared" si="50"/>
        <v>-8295.9500000000007</v>
      </c>
      <c r="N832" s="72">
        <f t="shared" si="51"/>
        <v>463083.43999999925</v>
      </c>
      <c r="O832" s="72"/>
    </row>
    <row r="833" spans="1:15" x14ac:dyDescent="0.2">
      <c r="A833" s="73" t="s">
        <v>690</v>
      </c>
      <c r="B833" s="3">
        <f t="shared" si="48"/>
        <v>2025</v>
      </c>
      <c r="C833" s="3">
        <f t="shared" si="49"/>
        <v>5</v>
      </c>
      <c r="D833" s="73" t="s">
        <v>300</v>
      </c>
      <c r="E833" s="2"/>
      <c r="F833" s="2" t="s">
        <v>304</v>
      </c>
      <c r="G833" s="2" t="s">
        <v>306</v>
      </c>
      <c r="H833" s="2" t="s">
        <v>516</v>
      </c>
      <c r="I833" s="2" t="s">
        <v>301</v>
      </c>
      <c r="J833" s="2" t="s">
        <v>24</v>
      </c>
      <c r="K833" s="72">
        <v>87599.14</v>
      </c>
      <c r="L833" s="39"/>
      <c r="M833" s="72">
        <f t="shared" si="50"/>
        <v>-87599.14</v>
      </c>
      <c r="N833" s="72">
        <f t="shared" si="51"/>
        <v>375484.29999999923</v>
      </c>
      <c r="O833" s="72"/>
    </row>
    <row r="834" spans="1:15" x14ac:dyDescent="0.2">
      <c r="A834" s="73" t="s">
        <v>690</v>
      </c>
      <c r="B834" s="3">
        <f t="shared" ref="B834:B897" si="52">YEAR(A834)</f>
        <v>2025</v>
      </c>
      <c r="C834" s="3">
        <f t="shared" ref="C834:C897" si="53">MONTH(A834)</f>
        <v>5</v>
      </c>
      <c r="D834" s="73" t="s">
        <v>300</v>
      </c>
      <c r="E834" s="2"/>
      <c r="F834" s="2" t="s">
        <v>304</v>
      </c>
      <c r="G834" s="2" t="s">
        <v>306</v>
      </c>
      <c r="H834" s="2" t="s">
        <v>516</v>
      </c>
      <c r="I834" s="2" t="s">
        <v>301</v>
      </c>
      <c r="J834" s="2" t="s">
        <v>20</v>
      </c>
      <c r="K834" s="72">
        <v>42189.65</v>
      </c>
      <c r="L834" s="39"/>
      <c r="M834" s="72">
        <f t="shared" ref="M834:M897" si="54">IF(ISBLANK(L834),K834*-1,L834)</f>
        <v>-42189.65</v>
      </c>
      <c r="N834" s="72">
        <f t="shared" si="51"/>
        <v>333294.64999999921</v>
      </c>
      <c r="O834" s="72"/>
    </row>
    <row r="835" spans="1:15" x14ac:dyDescent="0.2">
      <c r="A835" s="73" t="s">
        <v>690</v>
      </c>
      <c r="B835" s="3">
        <f t="shared" si="52"/>
        <v>2025</v>
      </c>
      <c r="C835" s="3">
        <f t="shared" si="53"/>
        <v>5</v>
      </c>
      <c r="D835" s="73" t="s">
        <v>300</v>
      </c>
      <c r="E835" s="2"/>
      <c r="F835" s="2" t="s">
        <v>304</v>
      </c>
      <c r="G835" s="2" t="s">
        <v>306</v>
      </c>
      <c r="H835" s="2" t="s">
        <v>516</v>
      </c>
      <c r="I835" s="2" t="s">
        <v>301</v>
      </c>
      <c r="J835" s="2" t="s">
        <v>11</v>
      </c>
      <c r="K835" s="72">
        <v>1234.75</v>
      </c>
      <c r="L835" s="39"/>
      <c r="M835" s="72">
        <f t="shared" si="54"/>
        <v>-1234.75</v>
      </c>
      <c r="N835" s="72">
        <f t="shared" ref="N835:N898" si="55">+N834+M835</f>
        <v>332059.89999999921</v>
      </c>
      <c r="O835" s="72"/>
    </row>
    <row r="836" spans="1:15" x14ac:dyDescent="0.2">
      <c r="A836" s="3" t="s">
        <v>690</v>
      </c>
      <c r="B836" s="3">
        <f t="shared" si="52"/>
        <v>2025</v>
      </c>
      <c r="C836" s="3">
        <f t="shared" si="53"/>
        <v>5</v>
      </c>
      <c r="D836" s="73" t="s">
        <v>893</v>
      </c>
      <c r="E836" s="2"/>
      <c r="F836" s="2" t="s">
        <v>304</v>
      </c>
      <c r="G836" s="2" t="s">
        <v>906</v>
      </c>
      <c r="H836" s="2" t="s">
        <v>901</v>
      </c>
      <c r="I836" s="1" t="s">
        <v>316</v>
      </c>
      <c r="J836" s="2" t="s">
        <v>17</v>
      </c>
      <c r="K836" s="146">
        <v>20</v>
      </c>
      <c r="L836" s="146"/>
      <c r="M836" s="146">
        <f t="shared" si="54"/>
        <v>-20</v>
      </c>
      <c r="N836" s="72">
        <f t="shared" si="55"/>
        <v>332039.89999999921</v>
      </c>
      <c r="O836" s="72"/>
    </row>
    <row r="837" spans="1:15" x14ac:dyDescent="0.2">
      <c r="A837" s="73" t="s">
        <v>690</v>
      </c>
      <c r="B837" s="3">
        <f t="shared" si="52"/>
        <v>2025</v>
      </c>
      <c r="C837" s="3">
        <f t="shared" si="53"/>
        <v>5</v>
      </c>
      <c r="D837" s="73" t="s">
        <v>300</v>
      </c>
      <c r="E837" s="2"/>
      <c r="F837" s="2" t="s">
        <v>325</v>
      </c>
      <c r="G837" s="2" t="s">
        <v>729</v>
      </c>
      <c r="H837" s="2" t="s">
        <v>323</v>
      </c>
      <c r="I837" s="2" t="s">
        <v>316</v>
      </c>
      <c r="J837" s="2" t="s">
        <v>22</v>
      </c>
      <c r="K837" s="72">
        <v>163.24</v>
      </c>
      <c r="L837" s="39"/>
      <c r="M837" s="72">
        <f t="shared" si="54"/>
        <v>-163.24</v>
      </c>
      <c r="N837" s="72">
        <f t="shared" si="55"/>
        <v>331876.65999999922</v>
      </c>
      <c r="O837" s="72"/>
    </row>
    <row r="838" spans="1:15" x14ac:dyDescent="0.2">
      <c r="A838" s="73" t="s">
        <v>690</v>
      </c>
      <c r="B838" s="3">
        <f t="shared" si="52"/>
        <v>2025</v>
      </c>
      <c r="C838" s="3">
        <f t="shared" si="53"/>
        <v>5</v>
      </c>
      <c r="D838" s="73" t="s">
        <v>300</v>
      </c>
      <c r="E838" s="2"/>
      <c r="F838" s="2" t="s">
        <v>299</v>
      </c>
      <c r="G838" s="2"/>
      <c r="H838" s="2" t="s">
        <v>298</v>
      </c>
      <c r="I838" s="2" t="s">
        <v>297</v>
      </c>
      <c r="J838" s="2" t="s">
        <v>296</v>
      </c>
      <c r="K838" s="72"/>
      <c r="L838" s="39">
        <v>162069.98000000001</v>
      </c>
      <c r="M838" s="72">
        <f t="shared" si="54"/>
        <v>162069.98000000001</v>
      </c>
      <c r="N838" s="72">
        <f t="shared" si="55"/>
        <v>493946.6399999992</v>
      </c>
      <c r="O838" s="72"/>
    </row>
    <row r="839" spans="1:15" x14ac:dyDescent="0.2">
      <c r="A839" s="73" t="s">
        <v>691</v>
      </c>
      <c r="B839" s="3">
        <f t="shared" si="52"/>
        <v>2025</v>
      </c>
      <c r="C839" s="3">
        <f t="shared" si="53"/>
        <v>5</v>
      </c>
      <c r="D839" s="73" t="s">
        <v>300</v>
      </c>
      <c r="E839" s="2"/>
      <c r="F839" s="2" t="s">
        <v>304</v>
      </c>
      <c r="G839" s="2" t="s">
        <v>336</v>
      </c>
      <c r="H839" s="2" t="s">
        <v>335</v>
      </c>
      <c r="I839" s="2" t="s">
        <v>301</v>
      </c>
      <c r="J839" s="2" t="s">
        <v>11</v>
      </c>
      <c r="K839" s="72">
        <v>50</v>
      </c>
      <c r="L839" s="39"/>
      <c r="M839" s="72">
        <f t="shared" si="54"/>
        <v>-50</v>
      </c>
      <c r="N839" s="72">
        <f t="shared" si="55"/>
        <v>493896.6399999992</v>
      </c>
      <c r="O839" s="72"/>
    </row>
    <row r="840" spans="1:15" x14ac:dyDescent="0.2">
      <c r="A840" s="73" t="s">
        <v>691</v>
      </c>
      <c r="B840" s="3">
        <f t="shared" si="52"/>
        <v>2025</v>
      </c>
      <c r="C840" s="3">
        <f t="shared" si="53"/>
        <v>5</v>
      </c>
      <c r="D840" s="73" t="s">
        <v>300</v>
      </c>
      <c r="E840" s="2"/>
      <c r="F840" s="2" t="s">
        <v>321</v>
      </c>
      <c r="G840" s="2" t="s">
        <v>322</v>
      </c>
      <c r="H840" s="2" t="s">
        <v>319</v>
      </c>
      <c r="I840" s="2" t="s">
        <v>315</v>
      </c>
      <c r="J840" s="2" t="s">
        <v>23</v>
      </c>
      <c r="K840" s="72"/>
      <c r="L840" s="39">
        <v>5250</v>
      </c>
      <c r="M840" s="72">
        <f t="shared" si="54"/>
        <v>5250</v>
      </c>
      <c r="N840" s="72">
        <f t="shared" si="55"/>
        <v>499146.6399999992</v>
      </c>
      <c r="O840" s="72"/>
    </row>
    <row r="841" spans="1:15" x14ac:dyDescent="0.2">
      <c r="A841" s="73" t="s">
        <v>691</v>
      </c>
      <c r="B841" s="3">
        <f t="shared" si="52"/>
        <v>2025</v>
      </c>
      <c r="C841" s="3">
        <f t="shared" si="53"/>
        <v>5</v>
      </c>
      <c r="D841" s="73" t="s">
        <v>300</v>
      </c>
      <c r="E841" s="2"/>
      <c r="F841" s="2" t="s">
        <v>309</v>
      </c>
      <c r="G841" s="2" t="s">
        <v>308</v>
      </c>
      <c r="H841" s="2" t="s">
        <v>307</v>
      </c>
      <c r="I841" s="2" t="s">
        <v>297</v>
      </c>
      <c r="J841" s="2" t="s">
        <v>48</v>
      </c>
      <c r="K841" s="72"/>
      <c r="L841" s="39">
        <v>5204.78</v>
      </c>
      <c r="M841" s="72">
        <f t="shared" si="54"/>
        <v>5204.78</v>
      </c>
      <c r="N841" s="72">
        <f t="shared" si="55"/>
        <v>504351.41999999923</v>
      </c>
      <c r="O841" s="72"/>
    </row>
    <row r="842" spans="1:15" x14ac:dyDescent="0.2">
      <c r="A842" s="73" t="s">
        <v>691</v>
      </c>
      <c r="B842" s="3">
        <f t="shared" si="52"/>
        <v>2025</v>
      </c>
      <c r="C842" s="3">
        <f t="shared" si="53"/>
        <v>5</v>
      </c>
      <c r="D842" s="73" t="s">
        <v>300</v>
      </c>
      <c r="E842" s="2"/>
      <c r="F842" s="2" t="s">
        <v>321</v>
      </c>
      <c r="G842" s="2" t="s">
        <v>320</v>
      </c>
      <c r="H842" s="2" t="s">
        <v>319</v>
      </c>
      <c r="I842" s="2" t="s">
        <v>315</v>
      </c>
      <c r="J842" s="2" t="s">
        <v>23</v>
      </c>
      <c r="K842" s="72"/>
      <c r="L842" s="39">
        <v>77014</v>
      </c>
      <c r="M842" s="72">
        <f t="shared" si="54"/>
        <v>77014</v>
      </c>
      <c r="N842" s="72">
        <f t="shared" si="55"/>
        <v>581365.41999999923</v>
      </c>
      <c r="O842" s="72"/>
    </row>
    <row r="843" spans="1:15" x14ac:dyDescent="0.2">
      <c r="A843" s="73" t="s">
        <v>691</v>
      </c>
      <c r="B843" s="3">
        <f t="shared" si="52"/>
        <v>2025</v>
      </c>
      <c r="C843" s="3">
        <f t="shared" si="53"/>
        <v>5</v>
      </c>
      <c r="D843" s="73" t="s">
        <v>300</v>
      </c>
      <c r="E843" s="2"/>
      <c r="F843" s="2" t="s">
        <v>304</v>
      </c>
      <c r="G843" s="2" t="s">
        <v>306</v>
      </c>
      <c r="H843" s="2" t="s">
        <v>305</v>
      </c>
      <c r="I843" s="2" t="s">
        <v>301</v>
      </c>
      <c r="J843" s="2" t="s">
        <v>19</v>
      </c>
      <c r="K843" s="72">
        <v>322.47000000000003</v>
      </c>
      <c r="L843" s="39"/>
      <c r="M843" s="72">
        <f t="shared" si="54"/>
        <v>-322.47000000000003</v>
      </c>
      <c r="N843" s="72">
        <f t="shared" si="55"/>
        <v>581042.94999999925</v>
      </c>
      <c r="O843" s="72"/>
    </row>
    <row r="844" spans="1:15" x14ac:dyDescent="0.2">
      <c r="A844" s="73" t="s">
        <v>691</v>
      </c>
      <c r="B844" s="3">
        <f t="shared" si="52"/>
        <v>2025</v>
      </c>
      <c r="C844" s="3">
        <f t="shared" si="53"/>
        <v>5</v>
      </c>
      <c r="D844" s="73" t="s">
        <v>300</v>
      </c>
      <c r="E844" s="2"/>
      <c r="F844" s="2" t="s">
        <v>299</v>
      </c>
      <c r="G844" s="2"/>
      <c r="H844" s="2" t="s">
        <v>298</v>
      </c>
      <c r="I844" s="2" t="s">
        <v>297</v>
      </c>
      <c r="J844" s="2" t="s">
        <v>296</v>
      </c>
      <c r="K844" s="72">
        <v>86933.07</v>
      </c>
      <c r="L844" s="39"/>
      <c r="M844" s="72">
        <f t="shared" si="54"/>
        <v>-86933.07</v>
      </c>
      <c r="N844" s="72">
        <f t="shared" si="55"/>
        <v>494109.87999999925</v>
      </c>
      <c r="O844" s="72"/>
    </row>
    <row r="845" spans="1:15" x14ac:dyDescent="0.2">
      <c r="A845" s="91" t="s">
        <v>741</v>
      </c>
      <c r="B845" s="91">
        <f t="shared" si="52"/>
        <v>2025</v>
      </c>
      <c r="C845" s="91">
        <f t="shared" si="53"/>
        <v>5</v>
      </c>
      <c r="D845" s="90" t="s">
        <v>893</v>
      </c>
      <c r="E845" s="92"/>
      <c r="F845" s="92" t="s">
        <v>304</v>
      </c>
      <c r="G845" s="92" t="s">
        <v>929</v>
      </c>
      <c r="H845" s="92" t="s">
        <v>930</v>
      </c>
      <c r="I845" s="92" t="s">
        <v>350</v>
      </c>
      <c r="J845" s="147" t="s">
        <v>353</v>
      </c>
      <c r="K845" s="148">
        <v>213.96</v>
      </c>
      <c r="L845" s="148"/>
      <c r="M845" s="148">
        <f t="shared" si="54"/>
        <v>-213.96</v>
      </c>
      <c r="N845" s="80">
        <f t="shared" si="55"/>
        <v>493895.91999999923</v>
      </c>
      <c r="O845" s="72"/>
    </row>
    <row r="846" spans="1:15" x14ac:dyDescent="0.2">
      <c r="A846" s="73" t="s">
        <v>739</v>
      </c>
      <c r="B846" s="3">
        <f t="shared" si="52"/>
        <v>2025</v>
      </c>
      <c r="C846" s="3">
        <f t="shared" si="53"/>
        <v>6</v>
      </c>
      <c r="D846" s="73" t="s">
        <v>300</v>
      </c>
      <c r="E846" s="2"/>
      <c r="F846" s="2" t="s">
        <v>314</v>
      </c>
      <c r="G846" s="2" t="s">
        <v>0</v>
      </c>
      <c r="H846" s="2" t="s">
        <v>313</v>
      </c>
      <c r="I846" s="2" t="s">
        <v>312</v>
      </c>
      <c r="J846" s="2" t="s">
        <v>0</v>
      </c>
      <c r="K846" s="72">
        <v>1124.19</v>
      </c>
      <c r="L846" s="39"/>
      <c r="M846" s="72">
        <f t="shared" si="54"/>
        <v>-1124.19</v>
      </c>
      <c r="N846" s="72">
        <f t="shared" si="55"/>
        <v>492771.72999999922</v>
      </c>
    </row>
    <row r="847" spans="1:15" x14ac:dyDescent="0.2">
      <c r="A847" s="3" t="s">
        <v>739</v>
      </c>
      <c r="B847" s="3">
        <f t="shared" si="52"/>
        <v>2025</v>
      </c>
      <c r="C847" s="3">
        <f t="shared" si="53"/>
        <v>6</v>
      </c>
      <c r="D847" s="73" t="s">
        <v>893</v>
      </c>
      <c r="E847" s="2"/>
      <c r="F847" s="2" t="s">
        <v>304</v>
      </c>
      <c r="G847" s="2" t="s">
        <v>1015</v>
      </c>
      <c r="H847" s="2" t="s">
        <v>1007</v>
      </c>
      <c r="I847" s="1" t="s">
        <v>316</v>
      </c>
      <c r="J847" s="2" t="s">
        <v>17</v>
      </c>
      <c r="K847" s="146">
        <v>235</v>
      </c>
      <c r="L847" s="146"/>
      <c r="M847" s="146">
        <f t="shared" si="54"/>
        <v>-235</v>
      </c>
      <c r="N847" s="72">
        <f t="shared" si="55"/>
        <v>492536.72999999922</v>
      </c>
    </row>
    <row r="848" spans="1:15" x14ac:dyDescent="0.2">
      <c r="A848" s="3" t="s">
        <v>739</v>
      </c>
      <c r="B848" s="3">
        <f t="shared" si="52"/>
        <v>2025</v>
      </c>
      <c r="C848" s="3">
        <f t="shared" si="53"/>
        <v>6</v>
      </c>
      <c r="D848" s="73" t="s">
        <v>893</v>
      </c>
      <c r="E848" s="2"/>
      <c r="F848" s="2" t="s">
        <v>304</v>
      </c>
      <c r="G848" s="2" t="s">
        <v>1017</v>
      </c>
      <c r="H848" s="2" t="s">
        <v>1007</v>
      </c>
      <c r="I848" s="1" t="s">
        <v>316</v>
      </c>
      <c r="J848" s="2" t="s">
        <v>17</v>
      </c>
      <c r="K848" s="146">
        <v>79</v>
      </c>
      <c r="L848" s="146"/>
      <c r="M848" s="146">
        <f t="shared" si="54"/>
        <v>-79</v>
      </c>
      <c r="N848" s="72">
        <f t="shared" si="55"/>
        <v>492457.72999999922</v>
      </c>
    </row>
    <row r="849" spans="1:14" x14ac:dyDescent="0.2">
      <c r="A849" s="73" t="s">
        <v>747</v>
      </c>
      <c r="B849" s="3">
        <f t="shared" si="52"/>
        <v>2025</v>
      </c>
      <c r="C849" s="3">
        <f t="shared" si="53"/>
        <v>6</v>
      </c>
      <c r="D849" s="73" t="s">
        <v>300</v>
      </c>
      <c r="E849" s="2"/>
      <c r="F849" s="2" t="s">
        <v>304</v>
      </c>
      <c r="G849" s="2" t="s">
        <v>336</v>
      </c>
      <c r="H849" s="2" t="s">
        <v>766</v>
      </c>
      <c r="I849" s="2" t="s">
        <v>301</v>
      </c>
      <c r="J849" s="2" t="s">
        <v>11</v>
      </c>
      <c r="K849" s="72">
        <v>43.18</v>
      </c>
      <c r="L849" s="39"/>
      <c r="M849" s="72">
        <f t="shared" si="54"/>
        <v>-43.18</v>
      </c>
      <c r="N849" s="72">
        <f t="shared" si="55"/>
        <v>492414.54999999923</v>
      </c>
    </row>
    <row r="850" spans="1:14" x14ac:dyDescent="0.2">
      <c r="A850" s="73" t="s">
        <v>747</v>
      </c>
      <c r="B850" s="3">
        <f t="shared" si="52"/>
        <v>2025</v>
      </c>
      <c r="C850" s="3">
        <f t="shared" si="53"/>
        <v>6</v>
      </c>
      <c r="D850" s="73" t="s">
        <v>300</v>
      </c>
      <c r="E850" s="2"/>
      <c r="F850" s="2" t="s">
        <v>304</v>
      </c>
      <c r="G850" s="2" t="s">
        <v>373</v>
      </c>
      <c r="H850" s="2" t="s">
        <v>372</v>
      </c>
      <c r="I850" s="2" t="s">
        <v>301</v>
      </c>
      <c r="J850" s="2" t="s">
        <v>11</v>
      </c>
      <c r="K850" s="72">
        <v>22347.64</v>
      </c>
      <c r="L850" s="39"/>
      <c r="M850" s="72">
        <f t="shared" si="54"/>
        <v>-22347.64</v>
      </c>
      <c r="N850" s="72">
        <f t="shared" si="55"/>
        <v>470066.90999999922</v>
      </c>
    </row>
    <row r="851" spans="1:14" x14ac:dyDescent="0.2">
      <c r="A851" s="73" t="s">
        <v>747</v>
      </c>
      <c r="B851" s="3">
        <f t="shared" si="52"/>
        <v>2025</v>
      </c>
      <c r="C851" s="3">
        <f t="shared" si="53"/>
        <v>6</v>
      </c>
      <c r="D851" s="73" t="s">
        <v>300</v>
      </c>
      <c r="E851" s="2"/>
      <c r="F851" s="2" t="s">
        <v>325</v>
      </c>
      <c r="G851" s="2" t="s">
        <v>730</v>
      </c>
      <c r="H851" s="2" t="s">
        <v>323</v>
      </c>
      <c r="I851" s="2" t="s">
        <v>316</v>
      </c>
      <c r="J851" s="2" t="s">
        <v>22</v>
      </c>
      <c r="K851" s="72">
        <v>6595.89</v>
      </c>
      <c r="L851" s="39"/>
      <c r="M851" s="72">
        <f t="shared" si="54"/>
        <v>-6595.89</v>
      </c>
      <c r="N851" s="72">
        <f t="shared" si="55"/>
        <v>463471.0199999992</v>
      </c>
    </row>
    <row r="852" spans="1:14" x14ac:dyDescent="0.2">
      <c r="A852" s="73" t="s">
        <v>747</v>
      </c>
      <c r="B852" s="3">
        <f t="shared" si="52"/>
        <v>2025</v>
      </c>
      <c r="C852" s="3">
        <f t="shared" si="53"/>
        <v>6</v>
      </c>
      <c r="D852" s="73" t="s">
        <v>300</v>
      </c>
      <c r="E852" s="2"/>
      <c r="F852" s="2" t="s">
        <v>325</v>
      </c>
      <c r="G852" s="2" t="s">
        <v>662</v>
      </c>
      <c r="H852" s="2" t="s">
        <v>323</v>
      </c>
      <c r="I852" s="2" t="s">
        <v>316</v>
      </c>
      <c r="J852" s="2" t="s">
        <v>22</v>
      </c>
      <c r="K852" s="72">
        <v>2972.54</v>
      </c>
      <c r="L852" s="39"/>
      <c r="M852" s="72">
        <f t="shared" si="54"/>
        <v>-2972.54</v>
      </c>
      <c r="N852" s="72">
        <f t="shared" si="55"/>
        <v>460498.47999999922</v>
      </c>
    </row>
    <row r="853" spans="1:14" x14ac:dyDescent="0.2">
      <c r="A853" s="3" t="s">
        <v>747</v>
      </c>
      <c r="B853" s="3">
        <f t="shared" si="52"/>
        <v>2025</v>
      </c>
      <c r="C853" s="3">
        <f t="shared" si="53"/>
        <v>6</v>
      </c>
      <c r="D853" s="73" t="s">
        <v>893</v>
      </c>
      <c r="E853" s="2"/>
      <c r="F853" s="2" t="s">
        <v>304</v>
      </c>
      <c r="G853" s="2" t="s">
        <v>1016</v>
      </c>
      <c r="H853" s="2" t="s">
        <v>1007</v>
      </c>
      <c r="I853" s="1" t="s">
        <v>316</v>
      </c>
      <c r="J853" s="2" t="s">
        <v>17</v>
      </c>
      <c r="K853" s="146">
        <v>18.010000000000002</v>
      </c>
      <c r="L853" s="146"/>
      <c r="M853" s="146">
        <f t="shared" si="54"/>
        <v>-18.010000000000002</v>
      </c>
      <c r="N853" s="72">
        <f t="shared" si="55"/>
        <v>460480.46999999922</v>
      </c>
    </row>
    <row r="854" spans="1:14" x14ac:dyDescent="0.2">
      <c r="A854" s="3" t="s">
        <v>747</v>
      </c>
      <c r="B854" s="3">
        <f t="shared" si="52"/>
        <v>2025</v>
      </c>
      <c r="C854" s="3">
        <f t="shared" si="53"/>
        <v>6</v>
      </c>
      <c r="D854" s="73" t="s">
        <v>893</v>
      </c>
      <c r="E854" s="2"/>
      <c r="F854" s="2" t="s">
        <v>304</v>
      </c>
      <c r="G854" s="2" t="s">
        <v>1016</v>
      </c>
      <c r="H854" s="2" t="s">
        <v>1007</v>
      </c>
      <c r="I854" s="1" t="s">
        <v>316</v>
      </c>
      <c r="J854" s="2" t="s">
        <v>17</v>
      </c>
      <c r="K854" s="146">
        <v>36.020000000000003</v>
      </c>
      <c r="L854" s="146"/>
      <c r="M854" s="146">
        <f t="shared" si="54"/>
        <v>-36.020000000000003</v>
      </c>
      <c r="N854" s="72">
        <f t="shared" si="55"/>
        <v>460444.4499999992</v>
      </c>
    </row>
    <row r="855" spans="1:14" x14ac:dyDescent="0.2">
      <c r="A855" s="73" t="s">
        <v>747</v>
      </c>
      <c r="B855" s="3">
        <f t="shared" si="52"/>
        <v>2025</v>
      </c>
      <c r="C855" s="3">
        <f t="shared" si="53"/>
        <v>6</v>
      </c>
      <c r="D855" s="73" t="s">
        <v>300</v>
      </c>
      <c r="E855" s="2"/>
      <c r="F855" s="2" t="s">
        <v>304</v>
      </c>
      <c r="G855" s="2" t="s">
        <v>317</v>
      </c>
      <c r="H855" s="2" t="s">
        <v>349</v>
      </c>
      <c r="I855" s="2" t="s">
        <v>297</v>
      </c>
      <c r="J855" s="2" t="s">
        <v>26</v>
      </c>
      <c r="K855" s="72">
        <v>35</v>
      </c>
      <c r="L855" s="39"/>
      <c r="M855" s="72">
        <f t="shared" si="54"/>
        <v>-35</v>
      </c>
      <c r="N855" s="72">
        <f t="shared" si="55"/>
        <v>460409.4499999992</v>
      </c>
    </row>
    <row r="856" spans="1:14" x14ac:dyDescent="0.2">
      <c r="A856" s="73" t="s">
        <v>747</v>
      </c>
      <c r="B856" s="3">
        <f t="shared" si="52"/>
        <v>2025</v>
      </c>
      <c r="C856" s="3">
        <f t="shared" si="53"/>
        <v>6</v>
      </c>
      <c r="D856" s="73" t="s">
        <v>300</v>
      </c>
      <c r="E856" s="2"/>
      <c r="F856" s="2" t="s">
        <v>304</v>
      </c>
      <c r="G856" s="2" t="s">
        <v>344</v>
      </c>
      <c r="H856" s="2" t="s">
        <v>343</v>
      </c>
      <c r="I856" s="2" t="s">
        <v>301</v>
      </c>
      <c r="J856" s="2" t="s">
        <v>11</v>
      </c>
      <c r="K856" s="72">
        <v>14965.12</v>
      </c>
      <c r="L856" s="39"/>
      <c r="M856" s="72">
        <f t="shared" si="54"/>
        <v>-14965.12</v>
      </c>
      <c r="N856" s="72">
        <f t="shared" si="55"/>
        <v>445444.3299999992</v>
      </c>
    </row>
    <row r="857" spans="1:14" x14ac:dyDescent="0.2">
      <c r="A857" s="73" t="s">
        <v>747</v>
      </c>
      <c r="B857" s="3">
        <f t="shared" si="52"/>
        <v>2025</v>
      </c>
      <c r="C857" s="3">
        <f t="shared" si="53"/>
        <v>6</v>
      </c>
      <c r="D857" s="73" t="s">
        <v>300</v>
      </c>
      <c r="E857" s="2"/>
      <c r="F857" s="2" t="s">
        <v>304</v>
      </c>
      <c r="G857" s="2" t="s">
        <v>303</v>
      </c>
      <c r="H857" s="2" t="s">
        <v>302</v>
      </c>
      <c r="I857" s="2" t="s">
        <v>301</v>
      </c>
      <c r="J857" s="2" t="s">
        <v>11</v>
      </c>
      <c r="K857" s="72">
        <v>208.34</v>
      </c>
      <c r="L857" s="39"/>
      <c r="M857" s="72">
        <f t="shared" si="54"/>
        <v>-208.34</v>
      </c>
      <c r="N857" s="72">
        <f t="shared" si="55"/>
        <v>445235.98999999918</v>
      </c>
    </row>
    <row r="858" spans="1:14" x14ac:dyDescent="0.2">
      <c r="A858" s="73" t="s">
        <v>747</v>
      </c>
      <c r="B858" s="3">
        <f t="shared" si="52"/>
        <v>2025</v>
      </c>
      <c r="C858" s="3">
        <f t="shared" si="53"/>
        <v>6</v>
      </c>
      <c r="D858" s="73" t="s">
        <v>300</v>
      </c>
      <c r="E858" s="2"/>
      <c r="F858" s="2" t="s">
        <v>299</v>
      </c>
      <c r="G858" s="2"/>
      <c r="H858" s="2" t="s">
        <v>298</v>
      </c>
      <c r="I858" s="2" t="s">
        <v>297</v>
      </c>
      <c r="J858" s="2" t="s">
        <v>296</v>
      </c>
      <c r="K858" s="72"/>
      <c r="L858" s="39">
        <v>32291.9</v>
      </c>
      <c r="M858" s="72">
        <f t="shared" si="54"/>
        <v>32291.9</v>
      </c>
      <c r="N858" s="72">
        <f t="shared" si="55"/>
        <v>477527.8899999992</v>
      </c>
    </row>
    <row r="859" spans="1:14" x14ac:dyDescent="0.2">
      <c r="A859" s="73" t="s">
        <v>747</v>
      </c>
      <c r="B859" s="3">
        <f t="shared" si="52"/>
        <v>2025</v>
      </c>
      <c r="C859" s="3">
        <f t="shared" si="53"/>
        <v>6</v>
      </c>
      <c r="D859" s="73" t="s">
        <v>300</v>
      </c>
      <c r="E859" s="2"/>
      <c r="F859" s="2" t="s">
        <v>309</v>
      </c>
      <c r="G859" s="2"/>
      <c r="H859" s="2"/>
      <c r="I859" s="2" t="s">
        <v>315</v>
      </c>
      <c r="J859" s="2" t="s">
        <v>23</v>
      </c>
      <c r="K859" s="72"/>
      <c r="L859" s="39">
        <v>16000</v>
      </c>
      <c r="M859" s="72">
        <f t="shared" si="54"/>
        <v>16000</v>
      </c>
      <c r="N859" s="72">
        <f t="shared" si="55"/>
        <v>493527.8899999992</v>
      </c>
    </row>
    <row r="860" spans="1:14" x14ac:dyDescent="0.2">
      <c r="A860" s="73" t="s">
        <v>748</v>
      </c>
      <c r="B860" s="3">
        <f t="shared" si="52"/>
        <v>2025</v>
      </c>
      <c r="C860" s="3">
        <f t="shared" si="53"/>
        <v>6</v>
      </c>
      <c r="D860" s="73" t="s">
        <v>300</v>
      </c>
      <c r="E860" s="2"/>
      <c r="F860" s="2" t="s">
        <v>304</v>
      </c>
      <c r="G860" s="2" t="s">
        <v>336</v>
      </c>
      <c r="H860" s="2" t="s">
        <v>766</v>
      </c>
      <c r="I860" s="2" t="s">
        <v>301</v>
      </c>
      <c r="J860" s="2" t="s">
        <v>11</v>
      </c>
      <c r="K860" s="72">
        <v>625</v>
      </c>
      <c r="L860" s="39"/>
      <c r="M860" s="72">
        <f t="shared" si="54"/>
        <v>-625</v>
      </c>
      <c r="N860" s="72">
        <f t="shared" si="55"/>
        <v>492902.8899999992</v>
      </c>
    </row>
    <row r="861" spans="1:14" x14ac:dyDescent="0.2">
      <c r="A861" s="73" t="s">
        <v>748</v>
      </c>
      <c r="B861" s="3">
        <f t="shared" si="52"/>
        <v>2025</v>
      </c>
      <c r="C861" s="3">
        <f t="shared" si="53"/>
        <v>6</v>
      </c>
      <c r="D861" s="73" t="s">
        <v>300</v>
      </c>
      <c r="E861" s="2"/>
      <c r="F861" s="2" t="s">
        <v>325</v>
      </c>
      <c r="G861" s="2" t="s">
        <v>694</v>
      </c>
      <c r="H861" s="2" t="s">
        <v>323</v>
      </c>
      <c r="I861" s="2" t="s">
        <v>316</v>
      </c>
      <c r="J861" s="2" t="s">
        <v>34</v>
      </c>
      <c r="K861" s="72">
        <v>3545.63</v>
      </c>
      <c r="L861" s="39"/>
      <c r="M861" s="72">
        <f t="shared" si="54"/>
        <v>-3545.63</v>
      </c>
      <c r="N861" s="72">
        <f t="shared" si="55"/>
        <v>489357.25999999919</v>
      </c>
    </row>
    <row r="862" spans="1:14" x14ac:dyDescent="0.2">
      <c r="A862" s="73" t="s">
        <v>748</v>
      </c>
      <c r="B862" s="3">
        <f t="shared" si="52"/>
        <v>2025</v>
      </c>
      <c r="C862" s="3">
        <f t="shared" si="53"/>
        <v>6</v>
      </c>
      <c r="D862" s="73" t="s">
        <v>300</v>
      </c>
      <c r="E862" s="2"/>
      <c r="F862" s="2" t="s">
        <v>304</v>
      </c>
      <c r="G862" s="2" t="s">
        <v>377</v>
      </c>
      <c r="H862" s="2" t="s">
        <v>376</v>
      </c>
      <c r="I862" s="2" t="s">
        <v>301</v>
      </c>
      <c r="J862" s="2" t="s">
        <v>11</v>
      </c>
      <c r="K862" s="72">
        <v>1115.94</v>
      </c>
      <c r="L862" s="39"/>
      <c r="M862" s="72">
        <f t="shared" si="54"/>
        <v>-1115.94</v>
      </c>
      <c r="N862" s="72">
        <f t="shared" si="55"/>
        <v>488241.31999999919</v>
      </c>
    </row>
    <row r="863" spans="1:14" x14ac:dyDescent="0.2">
      <c r="A863" s="73" t="s">
        <v>748</v>
      </c>
      <c r="B863" s="3">
        <f t="shared" si="52"/>
        <v>2025</v>
      </c>
      <c r="C863" s="3">
        <f t="shared" si="53"/>
        <v>6</v>
      </c>
      <c r="D863" s="73" t="s">
        <v>300</v>
      </c>
      <c r="E863" s="2"/>
      <c r="F863" s="2" t="s">
        <v>304</v>
      </c>
      <c r="G863" s="2" t="s">
        <v>306</v>
      </c>
      <c r="H863" s="2" t="s">
        <v>305</v>
      </c>
      <c r="I863" s="2" t="s">
        <v>301</v>
      </c>
      <c r="J863" s="2" t="s">
        <v>19</v>
      </c>
      <c r="K863" s="72">
        <v>4</v>
      </c>
      <c r="L863" s="39"/>
      <c r="M863" s="72">
        <f t="shared" si="54"/>
        <v>-4</v>
      </c>
      <c r="N863" s="72">
        <f t="shared" si="55"/>
        <v>488237.31999999919</v>
      </c>
    </row>
    <row r="864" spans="1:14" x14ac:dyDescent="0.2">
      <c r="A864" s="73" t="s">
        <v>748</v>
      </c>
      <c r="B864" s="3">
        <f t="shared" si="52"/>
        <v>2025</v>
      </c>
      <c r="C864" s="3">
        <f t="shared" si="53"/>
        <v>6</v>
      </c>
      <c r="D864" s="73" t="s">
        <v>300</v>
      </c>
      <c r="E864" s="2"/>
      <c r="F864" s="2" t="s">
        <v>299</v>
      </c>
      <c r="G864" s="2"/>
      <c r="H864" s="2" t="s">
        <v>298</v>
      </c>
      <c r="I864" s="2" t="s">
        <v>297</v>
      </c>
      <c r="J864" s="2" t="s">
        <v>296</v>
      </c>
      <c r="K864" s="72"/>
      <c r="L864" s="39">
        <v>5290.57</v>
      </c>
      <c r="M864" s="72">
        <f t="shared" si="54"/>
        <v>5290.57</v>
      </c>
      <c r="N864" s="72">
        <f t="shared" si="55"/>
        <v>493527.8899999992</v>
      </c>
    </row>
    <row r="865" spans="1:14" x14ac:dyDescent="0.2">
      <c r="A865" s="3" t="s">
        <v>749</v>
      </c>
      <c r="B865" s="3">
        <f t="shared" si="52"/>
        <v>2025</v>
      </c>
      <c r="C865" s="3">
        <f t="shared" si="53"/>
        <v>6</v>
      </c>
      <c r="D865" s="73" t="s">
        <v>893</v>
      </c>
      <c r="E865" s="2"/>
      <c r="F865" s="2" t="s">
        <v>304</v>
      </c>
      <c r="G865" s="2" t="s">
        <v>1006</v>
      </c>
      <c r="H865" s="2" t="s">
        <v>1007</v>
      </c>
      <c r="I865" s="1" t="s">
        <v>316</v>
      </c>
      <c r="J865" s="2" t="s">
        <v>17</v>
      </c>
      <c r="K865" s="146">
        <v>21.19</v>
      </c>
      <c r="L865" s="146"/>
      <c r="M865" s="146">
        <f t="shared" si="54"/>
        <v>-21.19</v>
      </c>
      <c r="N865" s="72">
        <f t="shared" si="55"/>
        <v>493506.6999999992</v>
      </c>
    </row>
    <row r="866" spans="1:14" x14ac:dyDescent="0.2">
      <c r="A866" s="73" t="s">
        <v>749</v>
      </c>
      <c r="B866" s="3">
        <f t="shared" si="52"/>
        <v>2025</v>
      </c>
      <c r="C866" s="3">
        <f t="shared" si="53"/>
        <v>6</v>
      </c>
      <c r="D866" s="73" t="s">
        <v>300</v>
      </c>
      <c r="E866" s="2"/>
      <c r="F866" s="2" t="s">
        <v>304</v>
      </c>
      <c r="G866" s="2" t="s">
        <v>336</v>
      </c>
      <c r="H866" s="2" t="s">
        <v>766</v>
      </c>
      <c r="I866" s="2" t="s">
        <v>301</v>
      </c>
      <c r="J866" s="2" t="s">
        <v>11</v>
      </c>
      <c r="K866" s="72">
        <v>25</v>
      </c>
      <c r="L866" s="39"/>
      <c r="M866" s="72">
        <f t="shared" si="54"/>
        <v>-25</v>
      </c>
      <c r="N866" s="72">
        <f t="shared" si="55"/>
        <v>493481.6999999992</v>
      </c>
    </row>
    <row r="867" spans="1:14" x14ac:dyDescent="0.2">
      <c r="A867" s="73" t="s">
        <v>749</v>
      </c>
      <c r="B867" s="3">
        <f t="shared" si="52"/>
        <v>2025</v>
      </c>
      <c r="C867" s="3">
        <f t="shared" si="53"/>
        <v>6</v>
      </c>
      <c r="D867" s="73" t="s">
        <v>300</v>
      </c>
      <c r="E867" s="2"/>
      <c r="F867" s="2" t="s">
        <v>321</v>
      </c>
      <c r="G867" s="2" t="s">
        <v>521</v>
      </c>
      <c r="H867" s="2" t="s">
        <v>319</v>
      </c>
      <c r="I867" s="2" t="s">
        <v>315</v>
      </c>
      <c r="J867" s="2" t="s">
        <v>23</v>
      </c>
      <c r="K867" s="72"/>
      <c r="L867" s="39">
        <v>27472.5</v>
      </c>
      <c r="M867" s="72">
        <f t="shared" si="54"/>
        <v>27472.5</v>
      </c>
      <c r="N867" s="72">
        <f t="shared" si="55"/>
        <v>520954.1999999992</v>
      </c>
    </row>
    <row r="868" spans="1:14" x14ac:dyDescent="0.2">
      <c r="A868" s="3" t="s">
        <v>749</v>
      </c>
      <c r="B868" s="3">
        <f t="shared" si="52"/>
        <v>2025</v>
      </c>
      <c r="C868" s="3">
        <f t="shared" si="53"/>
        <v>6</v>
      </c>
      <c r="D868" s="73" t="s">
        <v>893</v>
      </c>
      <c r="E868" s="2"/>
      <c r="F868" s="2" t="s">
        <v>304</v>
      </c>
      <c r="G868" s="2" t="s">
        <v>1016</v>
      </c>
      <c r="H868" s="2" t="s">
        <v>1007</v>
      </c>
      <c r="I868" s="1" t="s">
        <v>316</v>
      </c>
      <c r="J868" s="2" t="s">
        <v>17</v>
      </c>
      <c r="K868" s="146">
        <v>17.53</v>
      </c>
      <c r="L868" s="146"/>
      <c r="M868" s="146">
        <f t="shared" si="54"/>
        <v>-17.53</v>
      </c>
      <c r="N868" s="72">
        <f t="shared" si="55"/>
        <v>520936.66999999917</v>
      </c>
    </row>
    <row r="869" spans="1:14" x14ac:dyDescent="0.2">
      <c r="A869" s="73" t="s">
        <v>749</v>
      </c>
      <c r="B869" s="3">
        <f t="shared" si="52"/>
        <v>2025</v>
      </c>
      <c r="C869" s="3">
        <f t="shared" si="53"/>
        <v>6</v>
      </c>
      <c r="D869" s="73" t="s">
        <v>300</v>
      </c>
      <c r="E869" s="2"/>
      <c r="F869" s="2" t="s">
        <v>325</v>
      </c>
      <c r="G869" s="2" t="s">
        <v>767</v>
      </c>
      <c r="H869" s="2" t="s">
        <v>323</v>
      </c>
      <c r="I869" s="2" t="s">
        <v>316</v>
      </c>
      <c r="J869" s="2" t="s">
        <v>22</v>
      </c>
      <c r="K869" s="72">
        <v>122.89</v>
      </c>
      <c r="L869" s="39"/>
      <c r="M869" s="72">
        <f t="shared" si="54"/>
        <v>-122.89</v>
      </c>
      <c r="N869" s="72">
        <f t="shared" si="55"/>
        <v>520813.77999999915</v>
      </c>
    </row>
    <row r="870" spans="1:14" x14ac:dyDescent="0.2">
      <c r="A870" s="73" t="s">
        <v>749</v>
      </c>
      <c r="B870" s="3">
        <f t="shared" si="52"/>
        <v>2025</v>
      </c>
      <c r="C870" s="3">
        <f t="shared" si="53"/>
        <v>6</v>
      </c>
      <c r="D870" s="73" t="s">
        <v>300</v>
      </c>
      <c r="E870" s="2"/>
      <c r="F870" s="2" t="s">
        <v>325</v>
      </c>
      <c r="G870" s="2" t="s">
        <v>767</v>
      </c>
      <c r="H870" s="2" t="s">
        <v>323</v>
      </c>
      <c r="I870" s="2" t="s">
        <v>316</v>
      </c>
      <c r="J870" s="2" t="s">
        <v>22</v>
      </c>
      <c r="K870" s="72">
        <v>82.86</v>
      </c>
      <c r="L870" s="39"/>
      <c r="M870" s="72">
        <f t="shared" si="54"/>
        <v>-82.86</v>
      </c>
      <c r="N870" s="72">
        <f t="shared" si="55"/>
        <v>520730.91999999917</v>
      </c>
    </row>
    <row r="871" spans="1:14" x14ac:dyDescent="0.2">
      <c r="A871" s="73" t="s">
        <v>749</v>
      </c>
      <c r="B871" s="3">
        <f t="shared" si="52"/>
        <v>2025</v>
      </c>
      <c r="C871" s="3">
        <f t="shared" si="53"/>
        <v>6</v>
      </c>
      <c r="D871" s="73" t="s">
        <v>300</v>
      </c>
      <c r="E871" s="2"/>
      <c r="F871" s="2" t="s">
        <v>325</v>
      </c>
      <c r="G871" s="2" t="s">
        <v>767</v>
      </c>
      <c r="H871" s="2" t="s">
        <v>323</v>
      </c>
      <c r="I871" s="2" t="s">
        <v>316</v>
      </c>
      <c r="J871" s="2" t="s">
        <v>22</v>
      </c>
      <c r="K871" s="72">
        <v>32.380000000000003</v>
      </c>
      <c r="L871" s="39"/>
      <c r="M871" s="72">
        <f t="shared" si="54"/>
        <v>-32.380000000000003</v>
      </c>
      <c r="N871" s="72">
        <f t="shared" si="55"/>
        <v>520698.53999999916</v>
      </c>
    </row>
    <row r="872" spans="1:14" x14ac:dyDescent="0.2">
      <c r="A872" s="73" t="s">
        <v>749</v>
      </c>
      <c r="B872" s="3">
        <f t="shared" si="52"/>
        <v>2025</v>
      </c>
      <c r="C872" s="3">
        <f t="shared" si="53"/>
        <v>6</v>
      </c>
      <c r="D872" s="73" t="s">
        <v>300</v>
      </c>
      <c r="E872" s="2"/>
      <c r="F872" s="2" t="s">
        <v>325</v>
      </c>
      <c r="G872" s="2" t="s">
        <v>767</v>
      </c>
      <c r="H872" s="2" t="s">
        <v>323</v>
      </c>
      <c r="I872" s="2" t="s">
        <v>316</v>
      </c>
      <c r="J872" s="2" t="s">
        <v>22</v>
      </c>
      <c r="K872" s="72">
        <v>105</v>
      </c>
      <c r="L872" s="39"/>
      <c r="M872" s="72">
        <f t="shared" si="54"/>
        <v>-105</v>
      </c>
      <c r="N872" s="72">
        <f t="shared" si="55"/>
        <v>520593.53999999916</v>
      </c>
    </row>
    <row r="873" spans="1:14" x14ac:dyDescent="0.2">
      <c r="A873" s="73" t="s">
        <v>749</v>
      </c>
      <c r="B873" s="3">
        <f t="shared" si="52"/>
        <v>2025</v>
      </c>
      <c r="C873" s="3">
        <f t="shared" si="53"/>
        <v>6</v>
      </c>
      <c r="D873" s="73" t="s">
        <v>300</v>
      </c>
      <c r="E873" s="2"/>
      <c r="F873" s="2" t="s">
        <v>325</v>
      </c>
      <c r="G873" s="2" t="s">
        <v>767</v>
      </c>
      <c r="H873" s="2" t="s">
        <v>323</v>
      </c>
      <c r="I873" s="2" t="s">
        <v>316</v>
      </c>
      <c r="J873" s="2" t="s">
        <v>22</v>
      </c>
      <c r="K873" s="72">
        <v>495.18</v>
      </c>
      <c r="L873" s="39"/>
      <c r="M873" s="72">
        <f t="shared" si="54"/>
        <v>-495.18</v>
      </c>
      <c r="N873" s="72">
        <f t="shared" si="55"/>
        <v>520098.35999999917</v>
      </c>
    </row>
    <row r="874" spans="1:14" x14ac:dyDescent="0.2">
      <c r="A874" s="73" t="s">
        <v>749</v>
      </c>
      <c r="B874" s="3">
        <f t="shared" si="52"/>
        <v>2025</v>
      </c>
      <c r="C874" s="3">
        <f t="shared" si="53"/>
        <v>6</v>
      </c>
      <c r="D874" s="73" t="s">
        <v>300</v>
      </c>
      <c r="E874" s="2"/>
      <c r="F874" s="2" t="s">
        <v>325</v>
      </c>
      <c r="G874" s="2" t="s">
        <v>767</v>
      </c>
      <c r="H874" s="2" t="s">
        <v>323</v>
      </c>
      <c r="I874" s="2" t="s">
        <v>316</v>
      </c>
      <c r="J874" s="2" t="s">
        <v>22</v>
      </c>
      <c r="K874" s="72">
        <v>16.86</v>
      </c>
      <c r="L874" s="39"/>
      <c r="M874" s="72">
        <f t="shared" si="54"/>
        <v>-16.86</v>
      </c>
      <c r="N874" s="72">
        <f t="shared" si="55"/>
        <v>520081.49999999919</v>
      </c>
    </row>
    <row r="875" spans="1:14" x14ac:dyDescent="0.2">
      <c r="A875" s="73" t="s">
        <v>749</v>
      </c>
      <c r="B875" s="3">
        <f t="shared" si="52"/>
        <v>2025</v>
      </c>
      <c r="C875" s="3">
        <f t="shared" si="53"/>
        <v>6</v>
      </c>
      <c r="D875" s="73" t="s">
        <v>300</v>
      </c>
      <c r="E875" s="2"/>
      <c r="F875" s="2" t="s">
        <v>325</v>
      </c>
      <c r="G875" s="2" t="s">
        <v>767</v>
      </c>
      <c r="H875" s="2" t="s">
        <v>323</v>
      </c>
      <c r="I875" s="2" t="s">
        <v>316</v>
      </c>
      <c r="J875" s="2" t="s">
        <v>22</v>
      </c>
      <c r="K875" s="72">
        <v>476.69</v>
      </c>
      <c r="L875" s="39"/>
      <c r="M875" s="72">
        <f t="shared" si="54"/>
        <v>-476.69</v>
      </c>
      <c r="N875" s="72">
        <f t="shared" si="55"/>
        <v>519604.80999999918</v>
      </c>
    </row>
    <row r="876" spans="1:14" x14ac:dyDescent="0.2">
      <c r="A876" s="73" t="s">
        <v>749</v>
      </c>
      <c r="B876" s="3">
        <f t="shared" si="52"/>
        <v>2025</v>
      </c>
      <c r="C876" s="3">
        <f t="shared" si="53"/>
        <v>6</v>
      </c>
      <c r="D876" s="73" t="s">
        <v>300</v>
      </c>
      <c r="E876" s="2"/>
      <c r="F876" s="2" t="s">
        <v>325</v>
      </c>
      <c r="G876" s="2" t="s">
        <v>767</v>
      </c>
      <c r="H876" s="2" t="s">
        <v>323</v>
      </c>
      <c r="I876" s="2" t="s">
        <v>316</v>
      </c>
      <c r="J876" s="2" t="s">
        <v>22</v>
      </c>
      <c r="K876" s="72">
        <v>22.82</v>
      </c>
      <c r="L876" s="39"/>
      <c r="M876" s="72">
        <f t="shared" si="54"/>
        <v>-22.82</v>
      </c>
      <c r="N876" s="72">
        <f t="shared" si="55"/>
        <v>519581.98999999918</v>
      </c>
    </row>
    <row r="877" spans="1:14" x14ac:dyDescent="0.2">
      <c r="A877" s="73" t="s">
        <v>749</v>
      </c>
      <c r="B877" s="3">
        <f t="shared" si="52"/>
        <v>2025</v>
      </c>
      <c r="C877" s="3">
        <f t="shared" si="53"/>
        <v>6</v>
      </c>
      <c r="D877" s="73" t="s">
        <v>300</v>
      </c>
      <c r="E877" s="2"/>
      <c r="F877" s="2" t="s">
        <v>299</v>
      </c>
      <c r="G877" s="2"/>
      <c r="H877" s="2" t="s">
        <v>298</v>
      </c>
      <c r="I877" s="2" t="s">
        <v>297</v>
      </c>
      <c r="J877" s="2" t="s">
        <v>296</v>
      </c>
      <c r="K877" s="72">
        <v>27447.5</v>
      </c>
      <c r="L877" s="39"/>
      <c r="M877" s="72">
        <f t="shared" si="54"/>
        <v>-27447.5</v>
      </c>
      <c r="N877" s="72">
        <f t="shared" si="55"/>
        <v>492134.48999999918</v>
      </c>
    </row>
    <row r="878" spans="1:14" x14ac:dyDescent="0.2">
      <c r="A878" s="73" t="s">
        <v>750</v>
      </c>
      <c r="B878" s="3">
        <f t="shared" si="52"/>
        <v>2025</v>
      </c>
      <c r="C878" s="3">
        <f t="shared" si="53"/>
        <v>6</v>
      </c>
      <c r="D878" s="73" t="s">
        <v>300</v>
      </c>
      <c r="E878" s="2"/>
      <c r="F878" s="2" t="s">
        <v>299</v>
      </c>
      <c r="G878" s="2"/>
      <c r="H878" s="2" t="s">
        <v>298</v>
      </c>
      <c r="I878" s="2" t="s">
        <v>297</v>
      </c>
      <c r="J878" s="2" t="s">
        <v>296</v>
      </c>
      <c r="K878" s="72"/>
      <c r="L878" s="39">
        <v>1354.68</v>
      </c>
      <c r="M878" s="72">
        <f t="shared" si="54"/>
        <v>1354.68</v>
      </c>
      <c r="N878" s="72">
        <f t="shared" si="55"/>
        <v>493489.16999999917</v>
      </c>
    </row>
    <row r="879" spans="1:14" x14ac:dyDescent="0.2">
      <c r="A879" s="73" t="s">
        <v>751</v>
      </c>
      <c r="B879" s="3">
        <f t="shared" si="52"/>
        <v>2025</v>
      </c>
      <c r="C879" s="3">
        <f t="shared" si="53"/>
        <v>6</v>
      </c>
      <c r="D879" s="73" t="s">
        <v>300</v>
      </c>
      <c r="E879" s="2" t="s">
        <v>768</v>
      </c>
      <c r="F879" s="2" t="s">
        <v>325</v>
      </c>
      <c r="G879" s="2" t="s">
        <v>370</v>
      </c>
      <c r="H879" s="2" t="s">
        <v>323</v>
      </c>
      <c r="I879" s="2" t="s">
        <v>350</v>
      </c>
      <c r="J879" s="2" t="s">
        <v>27</v>
      </c>
      <c r="K879" s="72">
        <v>118.75</v>
      </c>
      <c r="L879" s="39"/>
      <c r="M879" s="72">
        <f t="shared" si="54"/>
        <v>-118.75</v>
      </c>
      <c r="N879" s="72">
        <f t="shared" si="55"/>
        <v>493370.41999999917</v>
      </c>
    </row>
    <row r="880" spans="1:14" x14ac:dyDescent="0.2">
      <c r="A880" s="73" t="s">
        <v>751</v>
      </c>
      <c r="B880" s="3">
        <f t="shared" si="52"/>
        <v>2025</v>
      </c>
      <c r="C880" s="3">
        <f t="shared" si="53"/>
        <v>6</v>
      </c>
      <c r="D880" s="73" t="s">
        <v>300</v>
      </c>
      <c r="E880" s="2" t="s">
        <v>769</v>
      </c>
      <c r="F880" s="2" t="s">
        <v>325</v>
      </c>
      <c r="G880" s="2" t="s">
        <v>696</v>
      </c>
      <c r="H880" s="2" t="s">
        <v>323</v>
      </c>
      <c r="I880" s="2" t="s">
        <v>350</v>
      </c>
      <c r="J880" s="2" t="s">
        <v>353</v>
      </c>
      <c r="K880" s="72">
        <v>1150</v>
      </c>
      <c r="L880" s="39"/>
      <c r="M880" s="72">
        <f t="shared" si="54"/>
        <v>-1150</v>
      </c>
      <c r="N880" s="72">
        <f t="shared" si="55"/>
        <v>492220.41999999917</v>
      </c>
    </row>
    <row r="881" spans="1:14" x14ac:dyDescent="0.2">
      <c r="A881" s="73" t="s">
        <v>751</v>
      </c>
      <c r="B881" s="3">
        <f t="shared" si="52"/>
        <v>2025</v>
      </c>
      <c r="C881" s="3">
        <f t="shared" si="53"/>
        <v>6</v>
      </c>
      <c r="D881" s="73" t="s">
        <v>300</v>
      </c>
      <c r="E881" s="2" t="s">
        <v>770</v>
      </c>
      <c r="F881" s="2" t="s">
        <v>325</v>
      </c>
      <c r="G881" s="2" t="s">
        <v>369</v>
      </c>
      <c r="H881" s="2" t="s">
        <v>323</v>
      </c>
      <c r="I881" s="2" t="s">
        <v>316</v>
      </c>
      <c r="J881" s="2" t="s">
        <v>360</v>
      </c>
      <c r="K881" s="72">
        <v>100</v>
      </c>
      <c r="L881" s="39"/>
      <c r="M881" s="72">
        <f t="shared" si="54"/>
        <v>-100</v>
      </c>
      <c r="N881" s="72">
        <f t="shared" si="55"/>
        <v>492120.41999999917</v>
      </c>
    </row>
    <row r="882" spans="1:14" x14ac:dyDescent="0.2">
      <c r="A882" s="73" t="s">
        <v>751</v>
      </c>
      <c r="B882" s="3">
        <f t="shared" si="52"/>
        <v>2025</v>
      </c>
      <c r="C882" s="3">
        <f t="shared" si="53"/>
        <v>6</v>
      </c>
      <c r="D882" s="73" t="s">
        <v>300</v>
      </c>
      <c r="E882" s="2" t="s">
        <v>771</v>
      </c>
      <c r="F882" s="2" t="s">
        <v>325</v>
      </c>
      <c r="G882" s="2" t="s">
        <v>369</v>
      </c>
      <c r="H882" s="2" t="s">
        <v>323</v>
      </c>
      <c r="I882" s="2" t="s">
        <v>316</v>
      </c>
      <c r="J882" s="2" t="s">
        <v>360</v>
      </c>
      <c r="K882" s="72">
        <v>2220</v>
      </c>
      <c r="L882" s="39"/>
      <c r="M882" s="72">
        <f t="shared" si="54"/>
        <v>-2220</v>
      </c>
      <c r="N882" s="72">
        <f t="shared" si="55"/>
        <v>489900.41999999917</v>
      </c>
    </row>
    <row r="883" spans="1:14" x14ac:dyDescent="0.2">
      <c r="A883" s="73" t="s">
        <v>751</v>
      </c>
      <c r="B883" s="3">
        <f t="shared" si="52"/>
        <v>2025</v>
      </c>
      <c r="C883" s="3">
        <f t="shared" si="53"/>
        <v>6</v>
      </c>
      <c r="D883" s="73" t="s">
        <v>300</v>
      </c>
      <c r="E883" s="2" t="s">
        <v>772</v>
      </c>
      <c r="F883" s="2" t="s">
        <v>325</v>
      </c>
      <c r="G883" s="2" t="s">
        <v>369</v>
      </c>
      <c r="H883" s="2" t="s">
        <v>323</v>
      </c>
      <c r="I883" s="2" t="s">
        <v>316</v>
      </c>
      <c r="J883" s="2" t="s">
        <v>360</v>
      </c>
      <c r="K883" s="72">
        <v>2580</v>
      </c>
      <c r="L883" s="39"/>
      <c r="M883" s="72">
        <f t="shared" si="54"/>
        <v>-2580</v>
      </c>
      <c r="N883" s="72">
        <f t="shared" si="55"/>
        <v>487320.41999999917</v>
      </c>
    </row>
    <row r="884" spans="1:14" x14ac:dyDescent="0.2">
      <c r="A884" s="73" t="s">
        <v>751</v>
      </c>
      <c r="B884" s="3">
        <f t="shared" si="52"/>
        <v>2025</v>
      </c>
      <c r="C884" s="3">
        <f t="shared" si="53"/>
        <v>6</v>
      </c>
      <c r="D884" s="73" t="s">
        <v>300</v>
      </c>
      <c r="E884" s="2" t="s">
        <v>773</v>
      </c>
      <c r="F884" s="2" t="s">
        <v>325</v>
      </c>
      <c r="G884" s="2" t="s">
        <v>368</v>
      </c>
      <c r="H884" s="2" t="s">
        <v>323</v>
      </c>
      <c r="I884" s="2" t="s">
        <v>350</v>
      </c>
      <c r="J884" s="2" t="s">
        <v>27</v>
      </c>
      <c r="K884" s="72">
        <v>10570</v>
      </c>
      <c r="L884" s="39"/>
      <c r="M884" s="72">
        <f t="shared" si="54"/>
        <v>-10570</v>
      </c>
      <c r="N884" s="72">
        <f t="shared" si="55"/>
        <v>476750.41999999917</v>
      </c>
    </row>
    <row r="885" spans="1:14" x14ac:dyDescent="0.2">
      <c r="A885" s="73" t="s">
        <v>751</v>
      </c>
      <c r="B885" s="3">
        <f t="shared" si="52"/>
        <v>2025</v>
      </c>
      <c r="C885" s="3">
        <f t="shared" si="53"/>
        <v>6</v>
      </c>
      <c r="D885" s="73" t="s">
        <v>300</v>
      </c>
      <c r="E885" s="2" t="s">
        <v>774</v>
      </c>
      <c r="F885" s="2" t="s">
        <v>325</v>
      </c>
      <c r="G885" s="2" t="s">
        <v>366</v>
      </c>
      <c r="H885" s="2" t="s">
        <v>323</v>
      </c>
      <c r="I885" s="2" t="s">
        <v>350</v>
      </c>
      <c r="J885" s="2" t="s">
        <v>27</v>
      </c>
      <c r="K885" s="72">
        <v>1125</v>
      </c>
      <c r="L885" s="39"/>
      <c r="M885" s="72">
        <f t="shared" si="54"/>
        <v>-1125</v>
      </c>
      <c r="N885" s="72">
        <f t="shared" si="55"/>
        <v>475625.41999999917</v>
      </c>
    </row>
    <row r="886" spans="1:14" x14ac:dyDescent="0.2">
      <c r="A886" s="73" t="s">
        <v>751</v>
      </c>
      <c r="B886" s="3">
        <f t="shared" si="52"/>
        <v>2025</v>
      </c>
      <c r="C886" s="3">
        <f t="shared" si="53"/>
        <v>6</v>
      </c>
      <c r="D886" s="73" t="s">
        <v>300</v>
      </c>
      <c r="E886" s="2" t="s">
        <v>775</v>
      </c>
      <c r="F886" s="2" t="s">
        <v>325</v>
      </c>
      <c r="G886" s="2" t="s">
        <v>365</v>
      </c>
      <c r="H886" s="2" t="s">
        <v>323</v>
      </c>
      <c r="I886" s="2" t="s">
        <v>350</v>
      </c>
      <c r="J886" s="2" t="s">
        <v>353</v>
      </c>
      <c r="K886" s="72">
        <v>25000</v>
      </c>
      <c r="L886" s="39"/>
      <c r="M886" s="72">
        <f t="shared" si="54"/>
        <v>-25000</v>
      </c>
      <c r="N886" s="72">
        <f t="shared" si="55"/>
        <v>450625.41999999917</v>
      </c>
    </row>
    <row r="887" spans="1:14" x14ac:dyDescent="0.2">
      <c r="A887" s="73" t="s">
        <v>751</v>
      </c>
      <c r="B887" s="3">
        <f t="shared" si="52"/>
        <v>2025</v>
      </c>
      <c r="C887" s="3">
        <f t="shared" si="53"/>
        <v>6</v>
      </c>
      <c r="D887" s="73" t="s">
        <v>300</v>
      </c>
      <c r="E887" s="2"/>
      <c r="F887" s="2" t="s">
        <v>325</v>
      </c>
      <c r="G887" s="2" t="s">
        <v>776</v>
      </c>
      <c r="H887" s="2" t="s">
        <v>323</v>
      </c>
      <c r="I887" s="2" t="s">
        <v>316</v>
      </c>
      <c r="J887" s="2" t="s">
        <v>21</v>
      </c>
      <c r="K887" s="72">
        <v>196</v>
      </c>
      <c r="L887" s="39"/>
      <c r="M887" s="72">
        <f t="shared" si="54"/>
        <v>-196</v>
      </c>
      <c r="N887" s="72">
        <f t="shared" si="55"/>
        <v>450429.41999999917</v>
      </c>
    </row>
    <row r="888" spans="1:14" x14ac:dyDescent="0.2">
      <c r="A888" s="73" t="s">
        <v>751</v>
      </c>
      <c r="B888" s="3">
        <f t="shared" si="52"/>
        <v>2025</v>
      </c>
      <c r="C888" s="3">
        <f t="shared" si="53"/>
        <v>6</v>
      </c>
      <c r="D888" s="73" t="s">
        <v>300</v>
      </c>
      <c r="E888" s="2" t="s">
        <v>777</v>
      </c>
      <c r="F888" s="2" t="s">
        <v>325</v>
      </c>
      <c r="G888" s="2" t="s">
        <v>364</v>
      </c>
      <c r="H888" s="2" t="s">
        <v>323</v>
      </c>
      <c r="I888" s="2" t="s">
        <v>350</v>
      </c>
      <c r="J888" s="2" t="s">
        <v>27</v>
      </c>
      <c r="K888" s="72">
        <v>2437.5</v>
      </c>
      <c r="L888" s="39"/>
      <c r="M888" s="72">
        <f t="shared" si="54"/>
        <v>-2437.5</v>
      </c>
      <c r="N888" s="72">
        <f t="shared" si="55"/>
        <v>447991.91999999917</v>
      </c>
    </row>
    <row r="889" spans="1:14" x14ac:dyDescent="0.2">
      <c r="A889" s="73" t="s">
        <v>751</v>
      </c>
      <c r="B889" s="3">
        <f t="shared" si="52"/>
        <v>2025</v>
      </c>
      <c r="C889" s="3">
        <f t="shared" si="53"/>
        <v>6</v>
      </c>
      <c r="D889" s="73" t="s">
        <v>300</v>
      </c>
      <c r="E889" s="2" t="s">
        <v>778</v>
      </c>
      <c r="F889" s="2" t="s">
        <v>325</v>
      </c>
      <c r="G889" s="2" t="s">
        <v>363</v>
      </c>
      <c r="H889" s="2" t="s">
        <v>323</v>
      </c>
      <c r="I889" s="2" t="s">
        <v>316</v>
      </c>
      <c r="J889" s="2" t="s">
        <v>17</v>
      </c>
      <c r="K889" s="72">
        <v>5</v>
      </c>
      <c r="L889" s="39"/>
      <c r="M889" s="72">
        <f t="shared" si="54"/>
        <v>-5</v>
      </c>
      <c r="N889" s="72">
        <f t="shared" si="55"/>
        <v>447986.91999999917</v>
      </c>
    </row>
    <row r="890" spans="1:14" x14ac:dyDescent="0.2">
      <c r="A890" s="73" t="s">
        <v>751</v>
      </c>
      <c r="B890" s="3">
        <f t="shared" si="52"/>
        <v>2025</v>
      </c>
      <c r="C890" s="3">
        <f t="shared" si="53"/>
        <v>6</v>
      </c>
      <c r="D890" s="73" t="s">
        <v>300</v>
      </c>
      <c r="E890" s="2" t="s">
        <v>779</v>
      </c>
      <c r="F890" s="2" t="s">
        <v>325</v>
      </c>
      <c r="G890" s="2" t="s">
        <v>363</v>
      </c>
      <c r="H890" s="2" t="s">
        <v>323</v>
      </c>
      <c r="I890" s="2" t="s">
        <v>316</v>
      </c>
      <c r="J890" s="2" t="s">
        <v>17</v>
      </c>
      <c r="K890" s="72">
        <v>49</v>
      </c>
      <c r="L890" s="39"/>
      <c r="M890" s="72">
        <f t="shared" si="54"/>
        <v>-49</v>
      </c>
      <c r="N890" s="72">
        <f t="shared" si="55"/>
        <v>447937.91999999917</v>
      </c>
    </row>
    <row r="891" spans="1:14" x14ac:dyDescent="0.2">
      <c r="A891" s="73" t="s">
        <v>751</v>
      </c>
      <c r="B891" s="3">
        <f t="shared" si="52"/>
        <v>2025</v>
      </c>
      <c r="C891" s="3">
        <f t="shared" si="53"/>
        <v>6</v>
      </c>
      <c r="D891" s="73" t="s">
        <v>300</v>
      </c>
      <c r="E891" s="2" t="s">
        <v>780</v>
      </c>
      <c r="F891" s="2" t="s">
        <v>325</v>
      </c>
      <c r="G891" s="2" t="s">
        <v>363</v>
      </c>
      <c r="H891" s="2" t="s">
        <v>323</v>
      </c>
      <c r="I891" s="2" t="s">
        <v>316</v>
      </c>
      <c r="J891" s="2" t="s">
        <v>17</v>
      </c>
      <c r="K891" s="72">
        <v>49</v>
      </c>
      <c r="L891" s="39"/>
      <c r="M891" s="72">
        <f t="shared" si="54"/>
        <v>-49</v>
      </c>
      <c r="N891" s="72">
        <f t="shared" si="55"/>
        <v>447888.91999999917</v>
      </c>
    </row>
    <row r="892" spans="1:14" x14ac:dyDescent="0.2">
      <c r="A892" s="73" t="s">
        <v>751</v>
      </c>
      <c r="B892" s="3">
        <f t="shared" si="52"/>
        <v>2025</v>
      </c>
      <c r="C892" s="3">
        <f t="shared" si="53"/>
        <v>6</v>
      </c>
      <c r="D892" s="73" t="s">
        <v>300</v>
      </c>
      <c r="E892" s="2" t="s">
        <v>781</v>
      </c>
      <c r="F892" s="2" t="s">
        <v>325</v>
      </c>
      <c r="G892" s="2" t="s">
        <v>363</v>
      </c>
      <c r="H892" s="2" t="s">
        <v>323</v>
      </c>
      <c r="I892" s="2" t="s">
        <v>316</v>
      </c>
      <c r="J892" s="2" t="s">
        <v>17</v>
      </c>
      <c r="K892" s="72">
        <v>49</v>
      </c>
      <c r="L892" s="39"/>
      <c r="M892" s="72">
        <f t="shared" si="54"/>
        <v>-49</v>
      </c>
      <c r="N892" s="72">
        <f t="shared" si="55"/>
        <v>447839.91999999917</v>
      </c>
    </row>
    <row r="893" spans="1:14" x14ac:dyDescent="0.2">
      <c r="A893" s="73" t="s">
        <v>751</v>
      </c>
      <c r="B893" s="3">
        <f t="shared" si="52"/>
        <v>2025</v>
      </c>
      <c r="C893" s="3">
        <f t="shared" si="53"/>
        <v>6</v>
      </c>
      <c r="D893" s="73" t="s">
        <v>300</v>
      </c>
      <c r="E893" s="2" t="s">
        <v>782</v>
      </c>
      <c r="F893" s="2" t="s">
        <v>325</v>
      </c>
      <c r="G893" s="2" t="s">
        <v>363</v>
      </c>
      <c r="H893" s="2" t="s">
        <v>323</v>
      </c>
      <c r="I893" s="2" t="s">
        <v>316</v>
      </c>
      <c r="J893" s="2" t="s">
        <v>17</v>
      </c>
      <c r="K893" s="72">
        <v>49</v>
      </c>
      <c r="L893" s="39"/>
      <c r="M893" s="72">
        <f t="shared" si="54"/>
        <v>-49</v>
      </c>
      <c r="N893" s="72">
        <f t="shared" si="55"/>
        <v>447790.91999999917</v>
      </c>
    </row>
    <row r="894" spans="1:14" x14ac:dyDescent="0.2">
      <c r="A894" s="73" t="s">
        <v>751</v>
      </c>
      <c r="B894" s="3">
        <f t="shared" si="52"/>
        <v>2025</v>
      </c>
      <c r="C894" s="3">
        <f t="shared" si="53"/>
        <v>6</v>
      </c>
      <c r="D894" s="73" t="s">
        <v>300</v>
      </c>
      <c r="E894" s="2" t="s">
        <v>783</v>
      </c>
      <c r="F894" s="2" t="s">
        <v>325</v>
      </c>
      <c r="G894" s="2" t="s">
        <v>363</v>
      </c>
      <c r="H894" s="2" t="s">
        <v>323</v>
      </c>
      <c r="I894" s="2" t="s">
        <v>316</v>
      </c>
      <c r="J894" s="2" t="s">
        <v>17</v>
      </c>
      <c r="K894" s="72">
        <v>49</v>
      </c>
      <c r="L894" s="39"/>
      <c r="M894" s="72">
        <f t="shared" si="54"/>
        <v>-49</v>
      </c>
      <c r="N894" s="72">
        <f t="shared" si="55"/>
        <v>447741.91999999917</v>
      </c>
    </row>
    <row r="895" spans="1:14" x14ac:dyDescent="0.2">
      <c r="A895" s="73" t="s">
        <v>751</v>
      </c>
      <c r="B895" s="3">
        <f t="shared" si="52"/>
        <v>2025</v>
      </c>
      <c r="C895" s="3">
        <f t="shared" si="53"/>
        <v>6</v>
      </c>
      <c r="D895" s="73" t="s">
        <v>300</v>
      </c>
      <c r="E895" s="2" t="s">
        <v>784</v>
      </c>
      <c r="F895" s="2" t="s">
        <v>325</v>
      </c>
      <c r="G895" s="2" t="s">
        <v>363</v>
      </c>
      <c r="H895" s="2" t="s">
        <v>323</v>
      </c>
      <c r="I895" s="2" t="s">
        <v>316</v>
      </c>
      <c r="J895" s="2" t="s">
        <v>17</v>
      </c>
      <c r="K895" s="72">
        <v>49</v>
      </c>
      <c r="L895" s="39"/>
      <c r="M895" s="72">
        <f t="shared" si="54"/>
        <v>-49</v>
      </c>
      <c r="N895" s="72">
        <f t="shared" si="55"/>
        <v>447692.91999999917</v>
      </c>
    </row>
    <row r="896" spans="1:14" x14ac:dyDescent="0.2">
      <c r="A896" s="73" t="s">
        <v>751</v>
      </c>
      <c r="B896" s="3">
        <f t="shared" si="52"/>
        <v>2025</v>
      </c>
      <c r="C896" s="3">
        <f t="shared" si="53"/>
        <v>6</v>
      </c>
      <c r="D896" s="73" t="s">
        <v>300</v>
      </c>
      <c r="E896" s="2" t="s">
        <v>785</v>
      </c>
      <c r="F896" s="2" t="s">
        <v>325</v>
      </c>
      <c r="G896" s="2" t="s">
        <v>363</v>
      </c>
      <c r="H896" s="2" t="s">
        <v>323</v>
      </c>
      <c r="I896" s="2" t="s">
        <v>316</v>
      </c>
      <c r="J896" s="2" t="s">
        <v>17</v>
      </c>
      <c r="K896" s="72">
        <v>49</v>
      </c>
      <c r="L896" s="39"/>
      <c r="M896" s="72">
        <f t="shared" si="54"/>
        <v>-49</v>
      </c>
      <c r="N896" s="72">
        <f t="shared" si="55"/>
        <v>447643.91999999917</v>
      </c>
    </row>
    <row r="897" spans="1:14" x14ac:dyDescent="0.2">
      <c r="A897" s="73" t="s">
        <v>751</v>
      </c>
      <c r="B897" s="3">
        <f t="shared" si="52"/>
        <v>2025</v>
      </c>
      <c r="C897" s="3">
        <f t="shared" si="53"/>
        <v>6</v>
      </c>
      <c r="D897" s="73" t="s">
        <v>300</v>
      </c>
      <c r="E897" s="2" t="s">
        <v>786</v>
      </c>
      <c r="F897" s="2" t="s">
        <v>325</v>
      </c>
      <c r="G897" s="2" t="s">
        <v>363</v>
      </c>
      <c r="H897" s="2" t="s">
        <v>323</v>
      </c>
      <c r="I897" s="2" t="s">
        <v>316</v>
      </c>
      <c r="J897" s="2" t="s">
        <v>17</v>
      </c>
      <c r="K897" s="72">
        <v>49</v>
      </c>
      <c r="L897" s="39"/>
      <c r="M897" s="72">
        <f t="shared" si="54"/>
        <v>-49</v>
      </c>
      <c r="N897" s="72">
        <f t="shared" si="55"/>
        <v>447594.91999999917</v>
      </c>
    </row>
    <row r="898" spans="1:14" x14ac:dyDescent="0.2">
      <c r="A898" s="73" t="s">
        <v>751</v>
      </c>
      <c r="B898" s="3">
        <f t="shared" ref="B898:B961" si="56">YEAR(A898)</f>
        <v>2025</v>
      </c>
      <c r="C898" s="3">
        <f t="shared" ref="C898:C961" si="57">MONTH(A898)</f>
        <v>6</v>
      </c>
      <c r="D898" s="73" t="s">
        <v>300</v>
      </c>
      <c r="E898" s="2" t="s">
        <v>787</v>
      </c>
      <c r="F898" s="2" t="s">
        <v>325</v>
      </c>
      <c r="G898" s="2" t="s">
        <v>363</v>
      </c>
      <c r="H898" s="2" t="s">
        <v>323</v>
      </c>
      <c r="I898" s="2" t="s">
        <v>316</v>
      </c>
      <c r="J898" s="2" t="s">
        <v>17</v>
      </c>
      <c r="K898" s="72">
        <v>49</v>
      </c>
      <c r="L898" s="39"/>
      <c r="M898" s="72">
        <f t="shared" ref="M898:M961" si="58">IF(ISBLANK(L898),K898*-1,L898)</f>
        <v>-49</v>
      </c>
      <c r="N898" s="72">
        <f t="shared" si="55"/>
        <v>447545.91999999917</v>
      </c>
    </row>
    <row r="899" spans="1:14" x14ac:dyDescent="0.2">
      <c r="A899" s="73" t="s">
        <v>751</v>
      </c>
      <c r="B899" s="3">
        <f t="shared" si="56"/>
        <v>2025</v>
      </c>
      <c r="C899" s="3">
        <f t="shared" si="57"/>
        <v>6</v>
      </c>
      <c r="D899" s="73" t="s">
        <v>300</v>
      </c>
      <c r="E899" s="2" t="s">
        <v>788</v>
      </c>
      <c r="F899" s="2" t="s">
        <v>325</v>
      </c>
      <c r="G899" s="2" t="s">
        <v>363</v>
      </c>
      <c r="H899" s="2" t="s">
        <v>323</v>
      </c>
      <c r="I899" s="2" t="s">
        <v>316</v>
      </c>
      <c r="J899" s="2" t="s">
        <v>17</v>
      </c>
      <c r="K899" s="72">
        <v>49</v>
      </c>
      <c r="L899" s="39"/>
      <c r="M899" s="72">
        <f t="shared" si="58"/>
        <v>-49</v>
      </c>
      <c r="N899" s="72">
        <f t="shared" ref="N899:N962" si="59">+N898+M899</f>
        <v>447496.91999999917</v>
      </c>
    </row>
    <row r="900" spans="1:14" x14ac:dyDescent="0.2">
      <c r="A900" s="73" t="s">
        <v>751</v>
      </c>
      <c r="B900" s="3">
        <f t="shared" si="56"/>
        <v>2025</v>
      </c>
      <c r="C900" s="3">
        <f t="shared" si="57"/>
        <v>6</v>
      </c>
      <c r="D900" s="73" t="s">
        <v>300</v>
      </c>
      <c r="E900" s="2" t="s">
        <v>789</v>
      </c>
      <c r="F900" s="2" t="s">
        <v>325</v>
      </c>
      <c r="G900" s="2" t="s">
        <v>363</v>
      </c>
      <c r="H900" s="2" t="s">
        <v>323</v>
      </c>
      <c r="I900" s="2" t="s">
        <v>316</v>
      </c>
      <c r="J900" s="2" t="s">
        <v>17</v>
      </c>
      <c r="K900" s="72">
        <v>49</v>
      </c>
      <c r="L900" s="39"/>
      <c r="M900" s="72">
        <f t="shared" si="58"/>
        <v>-49</v>
      </c>
      <c r="N900" s="72">
        <f t="shared" si="59"/>
        <v>447447.91999999917</v>
      </c>
    </row>
    <row r="901" spans="1:14" x14ac:dyDescent="0.2">
      <c r="A901" s="73" t="s">
        <v>751</v>
      </c>
      <c r="B901" s="3">
        <f t="shared" si="56"/>
        <v>2025</v>
      </c>
      <c r="C901" s="3">
        <f t="shared" si="57"/>
        <v>6</v>
      </c>
      <c r="D901" s="73" t="s">
        <v>300</v>
      </c>
      <c r="E901" s="2" t="s">
        <v>790</v>
      </c>
      <c r="F901" s="2" t="s">
        <v>325</v>
      </c>
      <c r="G901" s="2" t="s">
        <v>363</v>
      </c>
      <c r="H901" s="2" t="s">
        <v>323</v>
      </c>
      <c r="I901" s="2" t="s">
        <v>316</v>
      </c>
      <c r="J901" s="2" t="s">
        <v>17</v>
      </c>
      <c r="K901" s="72">
        <v>49</v>
      </c>
      <c r="L901" s="39"/>
      <c r="M901" s="72">
        <f t="shared" si="58"/>
        <v>-49</v>
      </c>
      <c r="N901" s="72">
        <f t="shared" si="59"/>
        <v>447398.91999999917</v>
      </c>
    </row>
    <row r="902" spans="1:14" x14ac:dyDescent="0.2">
      <c r="A902" s="73" t="s">
        <v>751</v>
      </c>
      <c r="B902" s="3">
        <f t="shared" si="56"/>
        <v>2025</v>
      </c>
      <c r="C902" s="3">
        <f t="shared" si="57"/>
        <v>6</v>
      </c>
      <c r="D902" s="73" t="s">
        <v>300</v>
      </c>
      <c r="E902" s="2" t="s">
        <v>791</v>
      </c>
      <c r="F902" s="2" t="s">
        <v>325</v>
      </c>
      <c r="G902" s="2" t="s">
        <v>363</v>
      </c>
      <c r="H902" s="2" t="s">
        <v>323</v>
      </c>
      <c r="I902" s="2" t="s">
        <v>316</v>
      </c>
      <c r="J902" s="2" t="s">
        <v>17</v>
      </c>
      <c r="K902" s="72">
        <v>49</v>
      </c>
      <c r="L902" s="39"/>
      <c r="M902" s="72">
        <f t="shared" si="58"/>
        <v>-49</v>
      </c>
      <c r="N902" s="72">
        <f t="shared" si="59"/>
        <v>447349.91999999917</v>
      </c>
    </row>
    <row r="903" spans="1:14" x14ac:dyDescent="0.2">
      <c r="A903" s="73" t="s">
        <v>751</v>
      </c>
      <c r="B903" s="3">
        <f t="shared" si="56"/>
        <v>2025</v>
      </c>
      <c r="C903" s="3">
        <f t="shared" si="57"/>
        <v>6</v>
      </c>
      <c r="D903" s="73" t="s">
        <v>300</v>
      </c>
      <c r="E903" s="2" t="s">
        <v>792</v>
      </c>
      <c r="F903" s="2" t="s">
        <v>325</v>
      </c>
      <c r="G903" s="2" t="s">
        <v>363</v>
      </c>
      <c r="H903" s="2" t="s">
        <v>323</v>
      </c>
      <c r="I903" s="2" t="s">
        <v>316</v>
      </c>
      <c r="J903" s="2" t="s">
        <v>17</v>
      </c>
      <c r="K903" s="72">
        <v>49</v>
      </c>
      <c r="L903" s="39"/>
      <c r="M903" s="72">
        <f t="shared" si="58"/>
        <v>-49</v>
      </c>
      <c r="N903" s="72">
        <f t="shared" si="59"/>
        <v>447300.91999999917</v>
      </c>
    </row>
    <row r="904" spans="1:14" x14ac:dyDescent="0.2">
      <c r="A904" s="73" t="s">
        <v>751</v>
      </c>
      <c r="B904" s="3">
        <f t="shared" si="56"/>
        <v>2025</v>
      </c>
      <c r="C904" s="3">
        <f t="shared" si="57"/>
        <v>6</v>
      </c>
      <c r="D904" s="73" t="s">
        <v>300</v>
      </c>
      <c r="E904" s="2" t="s">
        <v>793</v>
      </c>
      <c r="F904" s="2" t="s">
        <v>325</v>
      </c>
      <c r="G904" s="2" t="s">
        <v>363</v>
      </c>
      <c r="H904" s="2" t="s">
        <v>323</v>
      </c>
      <c r="I904" s="2" t="s">
        <v>316</v>
      </c>
      <c r="J904" s="2" t="s">
        <v>17</v>
      </c>
      <c r="K904" s="72">
        <v>49</v>
      </c>
      <c r="L904" s="39"/>
      <c r="M904" s="72">
        <f t="shared" si="58"/>
        <v>-49</v>
      </c>
      <c r="N904" s="72">
        <f t="shared" si="59"/>
        <v>447251.91999999917</v>
      </c>
    </row>
    <row r="905" spans="1:14" x14ac:dyDescent="0.2">
      <c r="A905" s="73" t="s">
        <v>751</v>
      </c>
      <c r="B905" s="3">
        <f t="shared" si="56"/>
        <v>2025</v>
      </c>
      <c r="C905" s="3">
        <f t="shared" si="57"/>
        <v>6</v>
      </c>
      <c r="D905" s="73" t="s">
        <v>300</v>
      </c>
      <c r="E905" s="2" t="s">
        <v>794</v>
      </c>
      <c r="F905" s="2" t="s">
        <v>325</v>
      </c>
      <c r="G905" s="2" t="s">
        <v>363</v>
      </c>
      <c r="H905" s="2" t="s">
        <v>323</v>
      </c>
      <c r="I905" s="2" t="s">
        <v>316</v>
      </c>
      <c r="J905" s="2" t="s">
        <v>17</v>
      </c>
      <c r="K905" s="72">
        <v>49</v>
      </c>
      <c r="L905" s="39"/>
      <c r="M905" s="72">
        <f t="shared" si="58"/>
        <v>-49</v>
      </c>
      <c r="N905" s="72">
        <f t="shared" si="59"/>
        <v>447202.91999999917</v>
      </c>
    </row>
    <row r="906" spans="1:14" x14ac:dyDescent="0.2">
      <c r="A906" s="73" t="s">
        <v>751</v>
      </c>
      <c r="B906" s="3">
        <f t="shared" si="56"/>
        <v>2025</v>
      </c>
      <c r="C906" s="3">
        <f t="shared" si="57"/>
        <v>6</v>
      </c>
      <c r="D906" s="73" t="s">
        <v>300</v>
      </c>
      <c r="E906" s="2" t="s">
        <v>795</v>
      </c>
      <c r="F906" s="2" t="s">
        <v>325</v>
      </c>
      <c r="G906" s="2" t="s">
        <v>363</v>
      </c>
      <c r="H906" s="2" t="s">
        <v>323</v>
      </c>
      <c r="I906" s="2" t="s">
        <v>316</v>
      </c>
      <c r="J906" s="2" t="s">
        <v>17</v>
      </c>
      <c r="K906" s="72">
        <v>49</v>
      </c>
      <c r="L906" s="39"/>
      <c r="M906" s="72">
        <f t="shared" si="58"/>
        <v>-49</v>
      </c>
      <c r="N906" s="72">
        <f t="shared" si="59"/>
        <v>447153.91999999917</v>
      </c>
    </row>
    <row r="907" spans="1:14" x14ac:dyDescent="0.2">
      <c r="A907" s="73" t="s">
        <v>751</v>
      </c>
      <c r="B907" s="3">
        <f t="shared" si="56"/>
        <v>2025</v>
      </c>
      <c r="C907" s="3">
        <f t="shared" si="57"/>
        <v>6</v>
      </c>
      <c r="D907" s="73" t="s">
        <v>300</v>
      </c>
      <c r="E907" s="2" t="s">
        <v>796</v>
      </c>
      <c r="F907" s="2" t="s">
        <v>325</v>
      </c>
      <c r="G907" s="2" t="s">
        <v>363</v>
      </c>
      <c r="H907" s="2" t="s">
        <v>323</v>
      </c>
      <c r="I907" s="2" t="s">
        <v>316</v>
      </c>
      <c r="J907" s="2" t="s">
        <v>17</v>
      </c>
      <c r="K907" s="72">
        <v>49</v>
      </c>
      <c r="L907" s="39"/>
      <c r="M907" s="72">
        <f t="shared" si="58"/>
        <v>-49</v>
      </c>
      <c r="N907" s="72">
        <f t="shared" si="59"/>
        <v>447104.91999999917</v>
      </c>
    </row>
    <row r="908" spans="1:14" x14ac:dyDescent="0.2">
      <c r="A908" s="73" t="s">
        <v>751</v>
      </c>
      <c r="B908" s="3">
        <f t="shared" si="56"/>
        <v>2025</v>
      </c>
      <c r="C908" s="3">
        <f t="shared" si="57"/>
        <v>6</v>
      </c>
      <c r="D908" s="73" t="s">
        <v>300</v>
      </c>
      <c r="E908" s="2" t="s">
        <v>797</v>
      </c>
      <c r="F908" s="2" t="s">
        <v>325</v>
      </c>
      <c r="G908" s="2" t="s">
        <v>363</v>
      </c>
      <c r="H908" s="2" t="s">
        <v>323</v>
      </c>
      <c r="I908" s="2" t="s">
        <v>316</v>
      </c>
      <c r="J908" s="2" t="s">
        <v>17</v>
      </c>
      <c r="K908" s="72">
        <v>49</v>
      </c>
      <c r="L908" s="39"/>
      <c r="M908" s="72">
        <f t="shared" si="58"/>
        <v>-49</v>
      </c>
      <c r="N908" s="72">
        <f t="shared" si="59"/>
        <v>447055.91999999917</v>
      </c>
    </row>
    <row r="909" spans="1:14" x14ac:dyDescent="0.2">
      <c r="A909" s="73" t="s">
        <v>751</v>
      </c>
      <c r="B909" s="3">
        <f t="shared" si="56"/>
        <v>2025</v>
      </c>
      <c r="C909" s="3">
        <f t="shared" si="57"/>
        <v>6</v>
      </c>
      <c r="D909" s="73" t="s">
        <v>300</v>
      </c>
      <c r="E909" s="2" t="s">
        <v>798</v>
      </c>
      <c r="F909" s="2" t="s">
        <v>325</v>
      </c>
      <c r="G909" s="2" t="s">
        <v>363</v>
      </c>
      <c r="H909" s="2" t="s">
        <v>323</v>
      </c>
      <c r="I909" s="2" t="s">
        <v>316</v>
      </c>
      <c r="J909" s="2" t="s">
        <v>17</v>
      </c>
      <c r="K909" s="72">
        <v>49</v>
      </c>
      <c r="L909" s="39"/>
      <c r="M909" s="72">
        <f t="shared" si="58"/>
        <v>-49</v>
      </c>
      <c r="N909" s="72">
        <f t="shared" si="59"/>
        <v>447006.91999999917</v>
      </c>
    </row>
    <row r="910" spans="1:14" x14ac:dyDescent="0.2">
      <c r="A910" s="73" t="s">
        <v>751</v>
      </c>
      <c r="B910" s="3">
        <f t="shared" si="56"/>
        <v>2025</v>
      </c>
      <c r="C910" s="3">
        <f t="shared" si="57"/>
        <v>6</v>
      </c>
      <c r="D910" s="73" t="s">
        <v>300</v>
      </c>
      <c r="E910" s="2" t="s">
        <v>799</v>
      </c>
      <c r="F910" s="2" t="s">
        <v>325</v>
      </c>
      <c r="G910" s="2" t="s">
        <v>363</v>
      </c>
      <c r="H910" s="2" t="s">
        <v>323</v>
      </c>
      <c r="I910" s="2" t="s">
        <v>316</v>
      </c>
      <c r="J910" s="2" t="s">
        <v>17</v>
      </c>
      <c r="K910" s="72">
        <v>49</v>
      </c>
      <c r="L910" s="39"/>
      <c r="M910" s="72">
        <f t="shared" si="58"/>
        <v>-49</v>
      </c>
      <c r="N910" s="72">
        <f t="shared" si="59"/>
        <v>446957.91999999917</v>
      </c>
    </row>
    <row r="911" spans="1:14" x14ac:dyDescent="0.2">
      <c r="A911" s="73" t="s">
        <v>751</v>
      </c>
      <c r="B911" s="3">
        <f t="shared" si="56"/>
        <v>2025</v>
      </c>
      <c r="C911" s="3">
        <f t="shared" si="57"/>
        <v>6</v>
      </c>
      <c r="D911" s="73" t="s">
        <v>300</v>
      </c>
      <c r="E911" s="2" t="s">
        <v>800</v>
      </c>
      <c r="F911" s="2" t="s">
        <v>325</v>
      </c>
      <c r="G911" s="2" t="s">
        <v>363</v>
      </c>
      <c r="H911" s="2" t="s">
        <v>323</v>
      </c>
      <c r="I911" s="2" t="s">
        <v>316</v>
      </c>
      <c r="J911" s="2" t="s">
        <v>17</v>
      </c>
      <c r="K911" s="72">
        <v>49</v>
      </c>
      <c r="L911" s="39"/>
      <c r="M911" s="72">
        <f t="shared" si="58"/>
        <v>-49</v>
      </c>
      <c r="N911" s="72">
        <f t="shared" si="59"/>
        <v>446908.91999999917</v>
      </c>
    </row>
    <row r="912" spans="1:14" x14ac:dyDescent="0.2">
      <c r="A912" s="73" t="s">
        <v>751</v>
      </c>
      <c r="B912" s="3">
        <f t="shared" si="56"/>
        <v>2025</v>
      </c>
      <c r="C912" s="3">
        <f t="shared" si="57"/>
        <v>6</v>
      </c>
      <c r="D912" s="73" t="s">
        <v>300</v>
      </c>
      <c r="E912" s="2" t="s">
        <v>801</v>
      </c>
      <c r="F912" s="2" t="s">
        <v>325</v>
      </c>
      <c r="G912" s="2" t="s">
        <v>363</v>
      </c>
      <c r="H912" s="2" t="s">
        <v>323</v>
      </c>
      <c r="I912" s="2" t="s">
        <v>316</v>
      </c>
      <c r="J912" s="2" t="s">
        <v>17</v>
      </c>
      <c r="K912" s="72">
        <v>49</v>
      </c>
      <c r="L912" s="39"/>
      <c r="M912" s="72">
        <f t="shared" si="58"/>
        <v>-49</v>
      </c>
      <c r="N912" s="72">
        <f t="shared" si="59"/>
        <v>446859.91999999917</v>
      </c>
    </row>
    <row r="913" spans="1:14" x14ac:dyDescent="0.2">
      <c r="A913" s="73" t="s">
        <v>751</v>
      </c>
      <c r="B913" s="3">
        <f t="shared" si="56"/>
        <v>2025</v>
      </c>
      <c r="C913" s="3">
        <f t="shared" si="57"/>
        <v>6</v>
      </c>
      <c r="D913" s="73" t="s">
        <v>300</v>
      </c>
      <c r="E913" s="2" t="s">
        <v>802</v>
      </c>
      <c r="F913" s="2" t="s">
        <v>325</v>
      </c>
      <c r="G913" s="2" t="s">
        <v>363</v>
      </c>
      <c r="H913" s="2" t="s">
        <v>323</v>
      </c>
      <c r="I913" s="2" t="s">
        <v>316</v>
      </c>
      <c r="J913" s="2" t="s">
        <v>17</v>
      </c>
      <c r="K913" s="72">
        <v>49</v>
      </c>
      <c r="L913" s="39"/>
      <c r="M913" s="72">
        <f t="shared" si="58"/>
        <v>-49</v>
      </c>
      <c r="N913" s="72">
        <f t="shared" si="59"/>
        <v>446810.91999999917</v>
      </c>
    </row>
    <row r="914" spans="1:14" x14ac:dyDescent="0.2">
      <c r="A914" s="73" t="s">
        <v>751</v>
      </c>
      <c r="B914" s="3">
        <f t="shared" si="56"/>
        <v>2025</v>
      </c>
      <c r="C914" s="3">
        <f t="shared" si="57"/>
        <v>6</v>
      </c>
      <c r="D914" s="73" t="s">
        <v>300</v>
      </c>
      <c r="E914" s="2" t="s">
        <v>803</v>
      </c>
      <c r="F914" s="2" t="s">
        <v>325</v>
      </c>
      <c r="G914" s="2" t="s">
        <v>363</v>
      </c>
      <c r="H914" s="2" t="s">
        <v>323</v>
      </c>
      <c r="I914" s="2" t="s">
        <v>316</v>
      </c>
      <c r="J914" s="2" t="s">
        <v>17</v>
      </c>
      <c r="K914" s="72">
        <v>49</v>
      </c>
      <c r="L914" s="39"/>
      <c r="M914" s="72">
        <f t="shared" si="58"/>
        <v>-49</v>
      </c>
      <c r="N914" s="72">
        <f t="shared" si="59"/>
        <v>446761.91999999917</v>
      </c>
    </row>
    <row r="915" spans="1:14" x14ac:dyDescent="0.2">
      <c r="A915" s="73" t="s">
        <v>751</v>
      </c>
      <c r="B915" s="3">
        <f t="shared" si="56"/>
        <v>2025</v>
      </c>
      <c r="C915" s="3">
        <f t="shared" si="57"/>
        <v>6</v>
      </c>
      <c r="D915" s="73" t="s">
        <v>300</v>
      </c>
      <c r="E915" s="2" t="s">
        <v>804</v>
      </c>
      <c r="F915" s="2" t="s">
        <v>325</v>
      </c>
      <c r="G915" s="2" t="s">
        <v>363</v>
      </c>
      <c r="H915" s="2" t="s">
        <v>323</v>
      </c>
      <c r="I915" s="2" t="s">
        <v>316</v>
      </c>
      <c r="J915" s="2" t="s">
        <v>17</v>
      </c>
      <c r="K915" s="72">
        <v>49</v>
      </c>
      <c r="L915" s="39"/>
      <c r="M915" s="72">
        <f t="shared" si="58"/>
        <v>-49</v>
      </c>
      <c r="N915" s="72">
        <f t="shared" si="59"/>
        <v>446712.91999999917</v>
      </c>
    </row>
    <row r="916" spans="1:14" x14ac:dyDescent="0.2">
      <c r="A916" s="73" t="s">
        <v>751</v>
      </c>
      <c r="B916" s="3">
        <f t="shared" si="56"/>
        <v>2025</v>
      </c>
      <c r="C916" s="3">
        <f t="shared" si="57"/>
        <v>6</v>
      </c>
      <c r="D916" s="73" t="s">
        <v>300</v>
      </c>
      <c r="E916" s="2" t="s">
        <v>805</v>
      </c>
      <c r="F916" s="2" t="s">
        <v>325</v>
      </c>
      <c r="G916" s="2" t="s">
        <v>363</v>
      </c>
      <c r="H916" s="2" t="s">
        <v>323</v>
      </c>
      <c r="I916" s="2" t="s">
        <v>316</v>
      </c>
      <c r="J916" s="2" t="s">
        <v>17</v>
      </c>
      <c r="K916" s="72">
        <v>49</v>
      </c>
      <c r="L916" s="39"/>
      <c r="M916" s="72">
        <f t="shared" si="58"/>
        <v>-49</v>
      </c>
      <c r="N916" s="72">
        <f t="shared" si="59"/>
        <v>446663.91999999917</v>
      </c>
    </row>
    <row r="917" spans="1:14" x14ac:dyDescent="0.2">
      <c r="A917" s="73" t="s">
        <v>751</v>
      </c>
      <c r="B917" s="3">
        <f t="shared" si="56"/>
        <v>2025</v>
      </c>
      <c r="C917" s="3">
        <f t="shared" si="57"/>
        <v>6</v>
      </c>
      <c r="D917" s="73" t="s">
        <v>300</v>
      </c>
      <c r="E917" s="2" t="s">
        <v>806</v>
      </c>
      <c r="F917" s="2" t="s">
        <v>325</v>
      </c>
      <c r="G917" s="2" t="s">
        <v>363</v>
      </c>
      <c r="H917" s="2" t="s">
        <v>323</v>
      </c>
      <c r="I917" s="2" t="s">
        <v>316</v>
      </c>
      <c r="J917" s="2" t="s">
        <v>17</v>
      </c>
      <c r="K917" s="72">
        <v>49</v>
      </c>
      <c r="L917" s="39"/>
      <c r="M917" s="72">
        <f t="shared" si="58"/>
        <v>-49</v>
      </c>
      <c r="N917" s="72">
        <f t="shared" si="59"/>
        <v>446614.91999999917</v>
      </c>
    </row>
    <row r="918" spans="1:14" x14ac:dyDescent="0.2">
      <c r="A918" s="73" t="s">
        <v>751</v>
      </c>
      <c r="B918" s="3">
        <f t="shared" si="56"/>
        <v>2025</v>
      </c>
      <c r="C918" s="3">
        <f t="shared" si="57"/>
        <v>6</v>
      </c>
      <c r="D918" s="73" t="s">
        <v>300</v>
      </c>
      <c r="E918" s="2" t="s">
        <v>807</v>
      </c>
      <c r="F918" s="2" t="s">
        <v>325</v>
      </c>
      <c r="G918" s="2" t="s">
        <v>363</v>
      </c>
      <c r="H918" s="2" t="s">
        <v>323</v>
      </c>
      <c r="I918" s="2" t="s">
        <v>316</v>
      </c>
      <c r="J918" s="2" t="s">
        <v>17</v>
      </c>
      <c r="K918" s="72">
        <v>49</v>
      </c>
      <c r="L918" s="39"/>
      <c r="M918" s="72">
        <f t="shared" si="58"/>
        <v>-49</v>
      </c>
      <c r="N918" s="72">
        <f t="shared" si="59"/>
        <v>446565.91999999917</v>
      </c>
    </row>
    <row r="919" spans="1:14" x14ac:dyDescent="0.2">
      <c r="A919" s="73" t="s">
        <v>751</v>
      </c>
      <c r="B919" s="3">
        <f t="shared" si="56"/>
        <v>2025</v>
      </c>
      <c r="C919" s="3">
        <f t="shared" si="57"/>
        <v>6</v>
      </c>
      <c r="D919" s="73" t="s">
        <v>300</v>
      </c>
      <c r="E919" s="2" t="s">
        <v>808</v>
      </c>
      <c r="F919" s="2" t="s">
        <v>325</v>
      </c>
      <c r="G919" s="2" t="s">
        <v>363</v>
      </c>
      <c r="H919" s="2" t="s">
        <v>323</v>
      </c>
      <c r="I919" s="2" t="s">
        <v>316</v>
      </c>
      <c r="J919" s="2" t="s">
        <v>17</v>
      </c>
      <c r="K919" s="72">
        <v>49</v>
      </c>
      <c r="L919" s="39"/>
      <c r="M919" s="72">
        <f t="shared" si="58"/>
        <v>-49</v>
      </c>
      <c r="N919" s="72">
        <f t="shared" si="59"/>
        <v>446516.91999999917</v>
      </c>
    </row>
    <row r="920" spans="1:14" x14ac:dyDescent="0.2">
      <c r="A920" s="73" t="s">
        <v>751</v>
      </c>
      <c r="B920" s="3">
        <f t="shared" si="56"/>
        <v>2025</v>
      </c>
      <c r="C920" s="3">
        <f t="shared" si="57"/>
        <v>6</v>
      </c>
      <c r="D920" s="73" t="s">
        <v>300</v>
      </c>
      <c r="E920" s="2" t="s">
        <v>809</v>
      </c>
      <c r="F920" s="2" t="s">
        <v>325</v>
      </c>
      <c r="G920" s="2" t="s">
        <v>363</v>
      </c>
      <c r="H920" s="2" t="s">
        <v>323</v>
      </c>
      <c r="I920" s="2" t="s">
        <v>316</v>
      </c>
      <c r="J920" s="2" t="s">
        <v>17</v>
      </c>
      <c r="K920" s="72">
        <v>49</v>
      </c>
      <c r="L920" s="39"/>
      <c r="M920" s="72">
        <f t="shared" si="58"/>
        <v>-49</v>
      </c>
      <c r="N920" s="72">
        <f t="shared" si="59"/>
        <v>446467.91999999917</v>
      </c>
    </row>
    <row r="921" spans="1:14" x14ac:dyDescent="0.2">
      <c r="A921" s="73" t="s">
        <v>751</v>
      </c>
      <c r="B921" s="3">
        <f t="shared" si="56"/>
        <v>2025</v>
      </c>
      <c r="C921" s="3">
        <f t="shared" si="57"/>
        <v>6</v>
      </c>
      <c r="D921" s="73" t="s">
        <v>300</v>
      </c>
      <c r="E921" s="2" t="s">
        <v>810</v>
      </c>
      <c r="F921" s="2" t="s">
        <v>325</v>
      </c>
      <c r="G921" s="2" t="s">
        <v>363</v>
      </c>
      <c r="H921" s="2" t="s">
        <v>323</v>
      </c>
      <c r="I921" s="2" t="s">
        <v>316</v>
      </c>
      <c r="J921" s="2" t="s">
        <v>17</v>
      </c>
      <c r="K921" s="72">
        <v>49</v>
      </c>
      <c r="L921" s="39"/>
      <c r="M921" s="72">
        <f t="shared" si="58"/>
        <v>-49</v>
      </c>
      <c r="N921" s="72">
        <f t="shared" si="59"/>
        <v>446418.91999999917</v>
      </c>
    </row>
    <row r="922" spans="1:14" x14ac:dyDescent="0.2">
      <c r="A922" s="73" t="s">
        <v>751</v>
      </c>
      <c r="B922" s="3">
        <f t="shared" si="56"/>
        <v>2025</v>
      </c>
      <c r="C922" s="3">
        <f t="shared" si="57"/>
        <v>6</v>
      </c>
      <c r="D922" s="73" t="s">
        <v>300</v>
      </c>
      <c r="E922" s="2" t="s">
        <v>811</v>
      </c>
      <c r="F922" s="2" t="s">
        <v>325</v>
      </c>
      <c r="G922" s="2" t="s">
        <v>362</v>
      </c>
      <c r="H922" s="2" t="s">
        <v>323</v>
      </c>
      <c r="I922" s="2" t="s">
        <v>350</v>
      </c>
      <c r="J922" s="2" t="s">
        <v>353</v>
      </c>
      <c r="K922" s="72">
        <v>18600</v>
      </c>
      <c r="L922" s="39"/>
      <c r="M922" s="72">
        <f t="shared" si="58"/>
        <v>-18600</v>
      </c>
      <c r="N922" s="72">
        <f t="shared" si="59"/>
        <v>427818.91999999917</v>
      </c>
    </row>
    <row r="923" spans="1:14" x14ac:dyDescent="0.2">
      <c r="A923" s="73" t="s">
        <v>751</v>
      </c>
      <c r="B923" s="3">
        <f t="shared" si="56"/>
        <v>2025</v>
      </c>
      <c r="C923" s="3">
        <f t="shared" si="57"/>
        <v>6</v>
      </c>
      <c r="D923" s="73" t="s">
        <v>300</v>
      </c>
      <c r="E923" s="2" t="s">
        <v>812</v>
      </c>
      <c r="F923" s="2" t="s">
        <v>325</v>
      </c>
      <c r="G923" s="2" t="s">
        <v>361</v>
      </c>
      <c r="H923" s="2" t="s">
        <v>323</v>
      </c>
      <c r="I923" s="2" t="s">
        <v>316</v>
      </c>
      <c r="J923" s="2" t="s">
        <v>360</v>
      </c>
      <c r="K923" s="72">
        <v>20583.330000000002</v>
      </c>
      <c r="L923" s="39"/>
      <c r="M923" s="72">
        <f t="shared" si="58"/>
        <v>-20583.330000000002</v>
      </c>
      <c r="N923" s="72">
        <f t="shared" si="59"/>
        <v>407235.58999999915</v>
      </c>
    </row>
    <row r="924" spans="1:14" x14ac:dyDescent="0.2">
      <c r="A924" s="73" t="s">
        <v>751</v>
      </c>
      <c r="B924" s="3">
        <f t="shared" si="56"/>
        <v>2025</v>
      </c>
      <c r="C924" s="3">
        <f t="shared" si="57"/>
        <v>6</v>
      </c>
      <c r="D924" s="73" t="s">
        <v>300</v>
      </c>
      <c r="E924" s="2" t="s">
        <v>813</v>
      </c>
      <c r="F924" s="2" t="s">
        <v>325</v>
      </c>
      <c r="G924" s="2" t="s">
        <v>361</v>
      </c>
      <c r="H924" s="2" t="s">
        <v>323</v>
      </c>
      <c r="I924" s="2" t="s">
        <v>316</v>
      </c>
      <c r="J924" s="2" t="s">
        <v>360</v>
      </c>
      <c r="K924" s="72">
        <v>595</v>
      </c>
      <c r="L924" s="39"/>
      <c r="M924" s="72">
        <f t="shared" si="58"/>
        <v>-595</v>
      </c>
      <c r="N924" s="72">
        <f t="shared" si="59"/>
        <v>406640.58999999915</v>
      </c>
    </row>
    <row r="925" spans="1:14" x14ac:dyDescent="0.2">
      <c r="A925" s="73" t="s">
        <v>751</v>
      </c>
      <c r="B925" s="3">
        <f t="shared" si="56"/>
        <v>2025</v>
      </c>
      <c r="C925" s="3">
        <f t="shared" si="57"/>
        <v>6</v>
      </c>
      <c r="D925" s="73" t="s">
        <v>300</v>
      </c>
      <c r="E925" s="2" t="s">
        <v>814</v>
      </c>
      <c r="F925" s="2" t="s">
        <v>325</v>
      </c>
      <c r="G925" s="2" t="s">
        <v>359</v>
      </c>
      <c r="H925" s="2" t="s">
        <v>323</v>
      </c>
      <c r="I925" s="2" t="s">
        <v>350</v>
      </c>
      <c r="J925" s="2" t="s">
        <v>27</v>
      </c>
      <c r="K925" s="72">
        <v>8887.5</v>
      </c>
      <c r="L925" s="39"/>
      <c r="M925" s="72">
        <f t="shared" si="58"/>
        <v>-8887.5</v>
      </c>
      <c r="N925" s="72">
        <f t="shared" si="59"/>
        <v>397753.08999999915</v>
      </c>
    </row>
    <row r="926" spans="1:14" x14ac:dyDescent="0.2">
      <c r="A926" s="73" t="s">
        <v>751</v>
      </c>
      <c r="B926" s="3">
        <f t="shared" si="56"/>
        <v>2025</v>
      </c>
      <c r="C926" s="3">
        <f t="shared" si="57"/>
        <v>6</v>
      </c>
      <c r="D926" s="73" t="s">
        <v>300</v>
      </c>
      <c r="E926" s="2"/>
      <c r="F926" s="2" t="s">
        <v>325</v>
      </c>
      <c r="G926" s="2" t="s">
        <v>383</v>
      </c>
      <c r="H926" s="2" t="s">
        <v>323</v>
      </c>
      <c r="I926" s="2" t="s">
        <v>316</v>
      </c>
      <c r="J926" s="2" t="s">
        <v>28</v>
      </c>
      <c r="K926" s="72">
        <v>801.98</v>
      </c>
      <c r="L926" s="39"/>
      <c r="M926" s="72">
        <f t="shared" si="58"/>
        <v>-801.98</v>
      </c>
      <c r="N926" s="72">
        <f t="shared" si="59"/>
        <v>396951.10999999917</v>
      </c>
    </row>
    <row r="927" spans="1:14" x14ac:dyDescent="0.2">
      <c r="A927" s="73" t="s">
        <v>751</v>
      </c>
      <c r="B927" s="3">
        <f t="shared" si="56"/>
        <v>2025</v>
      </c>
      <c r="C927" s="3">
        <f t="shared" si="57"/>
        <v>6</v>
      </c>
      <c r="D927" s="73" t="s">
        <v>300</v>
      </c>
      <c r="E927" s="2" t="s">
        <v>815</v>
      </c>
      <c r="F927" s="2" t="s">
        <v>325</v>
      </c>
      <c r="G927" s="2" t="s">
        <v>515</v>
      </c>
      <c r="H927" s="2" t="s">
        <v>323</v>
      </c>
      <c r="I927" s="2" t="s">
        <v>350</v>
      </c>
      <c r="J927" s="2" t="s">
        <v>353</v>
      </c>
      <c r="K927" s="72">
        <v>2700</v>
      </c>
      <c r="L927" s="39"/>
      <c r="M927" s="72">
        <f t="shared" si="58"/>
        <v>-2700</v>
      </c>
      <c r="N927" s="72">
        <f t="shared" si="59"/>
        <v>394251.10999999917</v>
      </c>
    </row>
    <row r="928" spans="1:14" x14ac:dyDescent="0.2">
      <c r="A928" s="73" t="s">
        <v>751</v>
      </c>
      <c r="B928" s="3">
        <f t="shared" si="56"/>
        <v>2025</v>
      </c>
      <c r="C928" s="3">
        <f t="shared" si="57"/>
        <v>6</v>
      </c>
      <c r="D928" s="73" t="s">
        <v>300</v>
      </c>
      <c r="E928" s="2" t="s">
        <v>816</v>
      </c>
      <c r="F928" s="2" t="s">
        <v>325</v>
      </c>
      <c r="G928" s="2" t="s">
        <v>357</v>
      </c>
      <c r="H928" s="2" t="s">
        <v>323</v>
      </c>
      <c r="I928" s="2" t="s">
        <v>350</v>
      </c>
      <c r="J928" s="2" t="s">
        <v>353</v>
      </c>
      <c r="K928" s="72">
        <v>20000</v>
      </c>
      <c r="L928" s="39"/>
      <c r="M928" s="72">
        <f t="shared" si="58"/>
        <v>-20000</v>
      </c>
      <c r="N928" s="72">
        <f t="shared" si="59"/>
        <v>374251.10999999917</v>
      </c>
    </row>
    <row r="929" spans="1:14" x14ac:dyDescent="0.2">
      <c r="A929" s="73" t="s">
        <v>751</v>
      </c>
      <c r="B929" s="3">
        <f t="shared" si="56"/>
        <v>2025</v>
      </c>
      <c r="C929" s="3">
        <f t="shared" si="57"/>
        <v>6</v>
      </c>
      <c r="D929" s="73" t="s">
        <v>300</v>
      </c>
      <c r="E929" s="2" t="s">
        <v>817</v>
      </c>
      <c r="F929" s="2" t="s">
        <v>325</v>
      </c>
      <c r="G929" s="2" t="s">
        <v>7</v>
      </c>
      <c r="H929" s="2" t="s">
        <v>323</v>
      </c>
      <c r="I929" s="2" t="s">
        <v>350</v>
      </c>
      <c r="J929" s="2" t="s">
        <v>27</v>
      </c>
      <c r="K929" s="72">
        <v>3497.5</v>
      </c>
      <c r="L929" s="39"/>
      <c r="M929" s="72">
        <f t="shared" si="58"/>
        <v>-3497.5</v>
      </c>
      <c r="N929" s="72">
        <f t="shared" si="59"/>
        <v>370753.60999999917</v>
      </c>
    </row>
    <row r="930" spans="1:14" x14ac:dyDescent="0.2">
      <c r="A930" s="73" t="s">
        <v>751</v>
      </c>
      <c r="B930" s="3">
        <f t="shared" si="56"/>
        <v>2025</v>
      </c>
      <c r="C930" s="3">
        <f t="shared" si="57"/>
        <v>6</v>
      </c>
      <c r="D930" s="73" t="s">
        <v>300</v>
      </c>
      <c r="E930" s="2" t="s">
        <v>818</v>
      </c>
      <c r="F930" s="2" t="s">
        <v>325</v>
      </c>
      <c r="G930" s="2" t="s">
        <v>355</v>
      </c>
      <c r="H930" s="2" t="s">
        <v>323</v>
      </c>
      <c r="I930" s="2" t="s">
        <v>350</v>
      </c>
      <c r="J930" s="2" t="s">
        <v>27</v>
      </c>
      <c r="K930" s="72">
        <v>12000</v>
      </c>
      <c r="L930" s="39"/>
      <c r="M930" s="72">
        <f t="shared" si="58"/>
        <v>-12000</v>
      </c>
      <c r="N930" s="72">
        <f t="shared" si="59"/>
        <v>358753.60999999917</v>
      </c>
    </row>
    <row r="931" spans="1:14" x14ac:dyDescent="0.2">
      <c r="A931" s="73" t="s">
        <v>751</v>
      </c>
      <c r="B931" s="3">
        <f t="shared" si="56"/>
        <v>2025</v>
      </c>
      <c r="C931" s="3">
        <f t="shared" si="57"/>
        <v>6</v>
      </c>
      <c r="D931" s="73" t="s">
        <v>300</v>
      </c>
      <c r="E931" s="2" t="s">
        <v>819</v>
      </c>
      <c r="F931" s="2" t="s">
        <v>325</v>
      </c>
      <c r="G931" s="2" t="s">
        <v>428</v>
      </c>
      <c r="H931" s="2" t="s">
        <v>323</v>
      </c>
      <c r="I931" s="2" t="s">
        <v>350</v>
      </c>
      <c r="J931" s="2" t="s">
        <v>353</v>
      </c>
      <c r="K931" s="72">
        <v>199</v>
      </c>
      <c r="L931" s="39"/>
      <c r="M931" s="72">
        <f t="shared" si="58"/>
        <v>-199</v>
      </c>
      <c r="N931" s="72">
        <f t="shared" si="59"/>
        <v>358554.60999999917</v>
      </c>
    </row>
    <row r="932" spans="1:14" x14ac:dyDescent="0.2">
      <c r="A932" s="73" t="s">
        <v>751</v>
      </c>
      <c r="B932" s="3">
        <f t="shared" si="56"/>
        <v>2025</v>
      </c>
      <c r="C932" s="3">
        <f t="shared" si="57"/>
        <v>6</v>
      </c>
      <c r="D932" s="73" t="s">
        <v>300</v>
      </c>
      <c r="E932" s="2" t="s">
        <v>820</v>
      </c>
      <c r="F932" s="2" t="s">
        <v>325</v>
      </c>
      <c r="G932" s="2" t="s">
        <v>354</v>
      </c>
      <c r="H932" s="2" t="s">
        <v>323</v>
      </c>
      <c r="I932" s="2" t="s">
        <v>350</v>
      </c>
      <c r="J932" s="2" t="s">
        <v>353</v>
      </c>
      <c r="K932" s="72">
        <v>2600</v>
      </c>
      <c r="L932" s="39"/>
      <c r="M932" s="72">
        <f t="shared" si="58"/>
        <v>-2600</v>
      </c>
      <c r="N932" s="72">
        <f t="shared" si="59"/>
        <v>355954.60999999917</v>
      </c>
    </row>
    <row r="933" spans="1:14" x14ac:dyDescent="0.2">
      <c r="A933" s="73" t="s">
        <v>751</v>
      </c>
      <c r="B933" s="3">
        <f t="shared" si="56"/>
        <v>2025</v>
      </c>
      <c r="C933" s="3">
        <f t="shared" si="57"/>
        <v>6</v>
      </c>
      <c r="D933" s="73" t="s">
        <v>300</v>
      </c>
      <c r="E933" s="2" t="s">
        <v>821</v>
      </c>
      <c r="F933" s="2" t="s">
        <v>325</v>
      </c>
      <c r="G933" s="2" t="s">
        <v>354</v>
      </c>
      <c r="H933" s="2" t="s">
        <v>323</v>
      </c>
      <c r="I933" s="2" t="s">
        <v>350</v>
      </c>
      <c r="J933" s="2" t="s">
        <v>353</v>
      </c>
      <c r="K933" s="72">
        <v>3520</v>
      </c>
      <c r="L933" s="39"/>
      <c r="M933" s="72">
        <f t="shared" si="58"/>
        <v>-3520</v>
      </c>
      <c r="N933" s="72">
        <f t="shared" si="59"/>
        <v>352434.60999999917</v>
      </c>
    </row>
    <row r="934" spans="1:14" x14ac:dyDescent="0.2">
      <c r="A934" s="73" t="s">
        <v>751</v>
      </c>
      <c r="B934" s="3">
        <f t="shared" si="56"/>
        <v>2025</v>
      </c>
      <c r="C934" s="3">
        <f t="shared" si="57"/>
        <v>6</v>
      </c>
      <c r="D934" s="73" t="s">
        <v>300</v>
      </c>
      <c r="E934" s="2" t="s">
        <v>822</v>
      </c>
      <c r="F934" s="2" t="s">
        <v>325</v>
      </c>
      <c r="G934" s="2" t="s">
        <v>354</v>
      </c>
      <c r="H934" s="2" t="s">
        <v>323</v>
      </c>
      <c r="I934" s="2" t="s">
        <v>350</v>
      </c>
      <c r="J934" s="2" t="s">
        <v>353</v>
      </c>
      <c r="K934" s="72">
        <v>6440</v>
      </c>
      <c r="L934" s="39"/>
      <c r="M934" s="72">
        <f t="shared" si="58"/>
        <v>-6440</v>
      </c>
      <c r="N934" s="72">
        <f t="shared" si="59"/>
        <v>345994.60999999917</v>
      </c>
    </row>
    <row r="935" spans="1:14" x14ac:dyDescent="0.2">
      <c r="A935" s="73" t="s">
        <v>751</v>
      </c>
      <c r="B935" s="3">
        <f t="shared" si="56"/>
        <v>2025</v>
      </c>
      <c r="C935" s="3">
        <f t="shared" si="57"/>
        <v>6</v>
      </c>
      <c r="D935" s="73" t="s">
        <v>300</v>
      </c>
      <c r="E935" s="2" t="s">
        <v>823</v>
      </c>
      <c r="F935" s="2" t="s">
        <v>325</v>
      </c>
      <c r="G935" s="2" t="s">
        <v>352</v>
      </c>
      <c r="H935" s="2" t="s">
        <v>323</v>
      </c>
      <c r="I935" s="2" t="s">
        <v>350</v>
      </c>
      <c r="J935" s="2" t="s">
        <v>27</v>
      </c>
      <c r="K935" s="72">
        <v>1295</v>
      </c>
      <c r="L935" s="39"/>
      <c r="M935" s="72">
        <f t="shared" si="58"/>
        <v>-1295</v>
      </c>
      <c r="N935" s="72">
        <f t="shared" si="59"/>
        <v>344699.60999999917</v>
      </c>
    </row>
    <row r="936" spans="1:14" x14ac:dyDescent="0.2">
      <c r="A936" s="73" t="s">
        <v>751</v>
      </c>
      <c r="B936" s="3">
        <f t="shared" si="56"/>
        <v>2025</v>
      </c>
      <c r="C936" s="3">
        <f t="shared" si="57"/>
        <v>6</v>
      </c>
      <c r="D936" s="73" t="s">
        <v>300</v>
      </c>
      <c r="E936" s="2" t="s">
        <v>824</v>
      </c>
      <c r="F936" s="2" t="s">
        <v>325</v>
      </c>
      <c r="G936" s="2" t="s">
        <v>352</v>
      </c>
      <c r="H936" s="2" t="s">
        <v>323</v>
      </c>
      <c r="I936" s="2" t="s">
        <v>350</v>
      </c>
      <c r="J936" s="2" t="s">
        <v>27</v>
      </c>
      <c r="K936" s="72">
        <v>2012.5</v>
      </c>
      <c r="L936" s="39"/>
      <c r="M936" s="72">
        <f t="shared" si="58"/>
        <v>-2012.5</v>
      </c>
      <c r="N936" s="72">
        <f t="shared" si="59"/>
        <v>342687.10999999917</v>
      </c>
    </row>
    <row r="937" spans="1:14" x14ac:dyDescent="0.2">
      <c r="A937" s="73" t="s">
        <v>751</v>
      </c>
      <c r="B937" s="3">
        <f t="shared" si="56"/>
        <v>2025</v>
      </c>
      <c r="C937" s="3">
        <f t="shared" si="57"/>
        <v>6</v>
      </c>
      <c r="D937" s="73" t="s">
        <v>300</v>
      </c>
      <c r="E937" s="2" t="s">
        <v>825</v>
      </c>
      <c r="F937" s="2" t="s">
        <v>325</v>
      </c>
      <c r="G937" s="2" t="s">
        <v>352</v>
      </c>
      <c r="H937" s="2" t="s">
        <v>323</v>
      </c>
      <c r="I937" s="2" t="s">
        <v>350</v>
      </c>
      <c r="J937" s="2" t="s">
        <v>27</v>
      </c>
      <c r="K937" s="72">
        <v>70</v>
      </c>
      <c r="L937" s="39"/>
      <c r="M937" s="72">
        <f t="shared" si="58"/>
        <v>-70</v>
      </c>
      <c r="N937" s="72">
        <f t="shared" si="59"/>
        <v>342617.10999999917</v>
      </c>
    </row>
    <row r="938" spans="1:14" x14ac:dyDescent="0.2">
      <c r="A938" s="73" t="s">
        <v>751</v>
      </c>
      <c r="B938" s="3">
        <f t="shared" si="56"/>
        <v>2025</v>
      </c>
      <c r="C938" s="3">
        <f t="shared" si="57"/>
        <v>6</v>
      </c>
      <c r="D938" s="73" t="s">
        <v>300</v>
      </c>
      <c r="E938" s="2" t="s">
        <v>826</v>
      </c>
      <c r="F938" s="2" t="s">
        <v>325</v>
      </c>
      <c r="G938" s="2" t="s">
        <v>352</v>
      </c>
      <c r="H938" s="2" t="s">
        <v>323</v>
      </c>
      <c r="I938" s="2" t="s">
        <v>350</v>
      </c>
      <c r="J938" s="2" t="s">
        <v>27</v>
      </c>
      <c r="K938" s="72">
        <v>2241</v>
      </c>
      <c r="L938" s="39"/>
      <c r="M938" s="72">
        <f t="shared" si="58"/>
        <v>-2241</v>
      </c>
      <c r="N938" s="72">
        <f t="shared" si="59"/>
        <v>340376.10999999917</v>
      </c>
    </row>
    <row r="939" spans="1:14" x14ac:dyDescent="0.2">
      <c r="A939" s="73" t="s">
        <v>751</v>
      </c>
      <c r="B939" s="3">
        <f t="shared" si="56"/>
        <v>2025</v>
      </c>
      <c r="C939" s="3">
        <f t="shared" si="57"/>
        <v>6</v>
      </c>
      <c r="D939" s="73" t="s">
        <v>300</v>
      </c>
      <c r="E939" s="2" t="s">
        <v>827</v>
      </c>
      <c r="F939" s="2" t="s">
        <v>325</v>
      </c>
      <c r="G939" s="2" t="s">
        <v>352</v>
      </c>
      <c r="H939" s="2" t="s">
        <v>323</v>
      </c>
      <c r="I939" s="2" t="s">
        <v>350</v>
      </c>
      <c r="J939" s="2" t="s">
        <v>27</v>
      </c>
      <c r="K939" s="72">
        <v>4228</v>
      </c>
      <c r="L939" s="39"/>
      <c r="M939" s="72">
        <f t="shared" si="58"/>
        <v>-4228</v>
      </c>
      <c r="N939" s="72">
        <f t="shared" si="59"/>
        <v>336148.10999999917</v>
      </c>
    </row>
    <row r="940" spans="1:14" x14ac:dyDescent="0.2">
      <c r="A940" s="73" t="s">
        <v>751</v>
      </c>
      <c r="B940" s="3">
        <f t="shared" si="56"/>
        <v>2025</v>
      </c>
      <c r="C940" s="3">
        <f t="shared" si="57"/>
        <v>6</v>
      </c>
      <c r="D940" s="73" t="s">
        <v>300</v>
      </c>
      <c r="E940" s="2" t="s">
        <v>828</v>
      </c>
      <c r="F940" s="2" t="s">
        <v>325</v>
      </c>
      <c r="G940" s="2" t="s">
        <v>352</v>
      </c>
      <c r="H940" s="2" t="s">
        <v>323</v>
      </c>
      <c r="I940" s="2" t="s">
        <v>350</v>
      </c>
      <c r="J940" s="2" t="s">
        <v>27</v>
      </c>
      <c r="K940" s="72">
        <v>87.5</v>
      </c>
      <c r="L940" s="39"/>
      <c r="M940" s="72">
        <f t="shared" si="58"/>
        <v>-87.5</v>
      </c>
      <c r="N940" s="72">
        <f t="shared" si="59"/>
        <v>336060.60999999917</v>
      </c>
    </row>
    <row r="941" spans="1:14" x14ac:dyDescent="0.2">
      <c r="A941" s="73" t="s">
        <v>751</v>
      </c>
      <c r="B941" s="3">
        <f t="shared" si="56"/>
        <v>2025</v>
      </c>
      <c r="C941" s="3">
        <f t="shared" si="57"/>
        <v>6</v>
      </c>
      <c r="D941" s="73" t="s">
        <v>300</v>
      </c>
      <c r="E941" s="2" t="s">
        <v>829</v>
      </c>
      <c r="F941" s="2" t="s">
        <v>325</v>
      </c>
      <c r="G941" s="2" t="s">
        <v>352</v>
      </c>
      <c r="H941" s="2" t="s">
        <v>323</v>
      </c>
      <c r="I941" s="2" t="s">
        <v>350</v>
      </c>
      <c r="J941" s="2" t="s">
        <v>27</v>
      </c>
      <c r="K941" s="72">
        <v>3520</v>
      </c>
      <c r="L941" s="39"/>
      <c r="M941" s="72">
        <f t="shared" si="58"/>
        <v>-3520</v>
      </c>
      <c r="N941" s="72">
        <f t="shared" si="59"/>
        <v>332540.60999999917</v>
      </c>
    </row>
    <row r="942" spans="1:14" x14ac:dyDescent="0.2">
      <c r="A942" s="73" t="s">
        <v>751</v>
      </c>
      <c r="B942" s="3">
        <f t="shared" si="56"/>
        <v>2025</v>
      </c>
      <c r="C942" s="3">
        <f t="shared" si="57"/>
        <v>6</v>
      </c>
      <c r="D942" s="73" t="s">
        <v>300</v>
      </c>
      <c r="E942" s="2" t="s">
        <v>830</v>
      </c>
      <c r="F942" s="2" t="s">
        <v>325</v>
      </c>
      <c r="G942" s="2" t="s">
        <v>352</v>
      </c>
      <c r="H942" s="2" t="s">
        <v>323</v>
      </c>
      <c r="I942" s="2" t="s">
        <v>350</v>
      </c>
      <c r="J942" s="2" t="s">
        <v>27</v>
      </c>
      <c r="K942" s="72">
        <v>3710</v>
      </c>
      <c r="L942" s="39"/>
      <c r="M942" s="72">
        <f t="shared" si="58"/>
        <v>-3710</v>
      </c>
      <c r="N942" s="72">
        <f t="shared" si="59"/>
        <v>328830.60999999917</v>
      </c>
    </row>
    <row r="943" spans="1:14" x14ac:dyDescent="0.2">
      <c r="A943" s="73" t="s">
        <v>751</v>
      </c>
      <c r="B943" s="3">
        <f t="shared" si="56"/>
        <v>2025</v>
      </c>
      <c r="C943" s="3">
        <f t="shared" si="57"/>
        <v>6</v>
      </c>
      <c r="D943" s="73" t="s">
        <v>300</v>
      </c>
      <c r="E943" s="2" t="s">
        <v>831</v>
      </c>
      <c r="F943" s="2" t="s">
        <v>325</v>
      </c>
      <c r="G943" s="2" t="s">
        <v>352</v>
      </c>
      <c r="H943" s="2" t="s">
        <v>323</v>
      </c>
      <c r="I943" s="2" t="s">
        <v>350</v>
      </c>
      <c r="J943" s="2" t="s">
        <v>27</v>
      </c>
      <c r="K943" s="72">
        <v>2178</v>
      </c>
      <c r="L943" s="39"/>
      <c r="M943" s="72">
        <f t="shared" si="58"/>
        <v>-2178</v>
      </c>
      <c r="N943" s="72">
        <f t="shared" si="59"/>
        <v>326652.60999999917</v>
      </c>
    </row>
    <row r="944" spans="1:14" x14ac:dyDescent="0.2">
      <c r="A944" s="73" t="s">
        <v>751</v>
      </c>
      <c r="B944" s="3">
        <f t="shared" si="56"/>
        <v>2025</v>
      </c>
      <c r="C944" s="3">
        <f t="shared" si="57"/>
        <v>6</v>
      </c>
      <c r="D944" s="73" t="s">
        <v>300</v>
      </c>
      <c r="E944" s="2" t="s">
        <v>832</v>
      </c>
      <c r="F944" s="2" t="s">
        <v>325</v>
      </c>
      <c r="G944" s="2" t="s">
        <v>352</v>
      </c>
      <c r="H944" s="2" t="s">
        <v>323</v>
      </c>
      <c r="I944" s="2" t="s">
        <v>350</v>
      </c>
      <c r="J944" s="2" t="s">
        <v>27</v>
      </c>
      <c r="K944" s="72">
        <v>3360</v>
      </c>
      <c r="L944" s="39"/>
      <c r="M944" s="72">
        <f t="shared" si="58"/>
        <v>-3360</v>
      </c>
      <c r="N944" s="72">
        <f t="shared" si="59"/>
        <v>323292.60999999917</v>
      </c>
    </row>
    <row r="945" spans="1:14" x14ac:dyDescent="0.2">
      <c r="A945" s="73" t="s">
        <v>751</v>
      </c>
      <c r="B945" s="3">
        <f t="shared" si="56"/>
        <v>2025</v>
      </c>
      <c r="C945" s="3">
        <f t="shared" si="57"/>
        <v>6</v>
      </c>
      <c r="D945" s="73" t="s">
        <v>300</v>
      </c>
      <c r="E945" s="2" t="s">
        <v>833</v>
      </c>
      <c r="F945" s="2" t="s">
        <v>325</v>
      </c>
      <c r="G945" s="2" t="s">
        <v>352</v>
      </c>
      <c r="H945" s="2" t="s">
        <v>323</v>
      </c>
      <c r="I945" s="2" t="s">
        <v>350</v>
      </c>
      <c r="J945" s="2" t="s">
        <v>27</v>
      </c>
      <c r="K945" s="72">
        <v>3474</v>
      </c>
      <c r="L945" s="39"/>
      <c r="M945" s="72">
        <f t="shared" si="58"/>
        <v>-3474</v>
      </c>
      <c r="N945" s="72">
        <f t="shared" si="59"/>
        <v>319818.60999999917</v>
      </c>
    </row>
    <row r="946" spans="1:14" x14ac:dyDescent="0.2">
      <c r="A946" s="73" t="s">
        <v>751</v>
      </c>
      <c r="B946" s="3">
        <f t="shared" si="56"/>
        <v>2025</v>
      </c>
      <c r="C946" s="3">
        <f t="shared" si="57"/>
        <v>6</v>
      </c>
      <c r="D946" s="73" t="s">
        <v>300</v>
      </c>
      <c r="E946" s="2"/>
      <c r="F946" s="2" t="s">
        <v>325</v>
      </c>
      <c r="G946" s="2" t="s">
        <v>378</v>
      </c>
      <c r="H946" s="2" t="s">
        <v>323</v>
      </c>
      <c r="I946" s="2" t="s">
        <v>316</v>
      </c>
      <c r="J946" s="2" t="s">
        <v>17</v>
      </c>
      <c r="K946" s="72">
        <v>5769.24</v>
      </c>
      <c r="L946" s="39"/>
      <c r="M946" s="72">
        <f t="shared" si="58"/>
        <v>-5769.24</v>
      </c>
      <c r="N946" s="72">
        <f t="shared" si="59"/>
        <v>314049.36999999918</v>
      </c>
    </row>
    <row r="947" spans="1:14" x14ac:dyDescent="0.2">
      <c r="A947" s="73" t="s">
        <v>751</v>
      </c>
      <c r="B947" s="3">
        <f t="shared" si="56"/>
        <v>2025</v>
      </c>
      <c r="C947" s="3">
        <f t="shared" si="57"/>
        <v>6</v>
      </c>
      <c r="D947" s="73" t="s">
        <v>300</v>
      </c>
      <c r="E947" s="2" t="s">
        <v>834</v>
      </c>
      <c r="F947" s="2" t="s">
        <v>325</v>
      </c>
      <c r="G947" s="2" t="s">
        <v>351</v>
      </c>
      <c r="H947" s="2" t="s">
        <v>323</v>
      </c>
      <c r="I947" s="2" t="s">
        <v>350</v>
      </c>
      <c r="J947" s="2" t="s">
        <v>27</v>
      </c>
      <c r="K947" s="72">
        <v>18544</v>
      </c>
      <c r="L947" s="39"/>
      <c r="M947" s="72">
        <f t="shared" si="58"/>
        <v>-18544</v>
      </c>
      <c r="N947" s="72">
        <f t="shared" si="59"/>
        <v>295505.36999999918</v>
      </c>
    </row>
    <row r="948" spans="1:14" x14ac:dyDescent="0.2">
      <c r="A948" s="73" t="s">
        <v>751</v>
      </c>
      <c r="B948" s="3">
        <f t="shared" si="56"/>
        <v>2025</v>
      </c>
      <c r="C948" s="3">
        <f t="shared" si="57"/>
        <v>6</v>
      </c>
      <c r="D948" s="73" t="s">
        <v>300</v>
      </c>
      <c r="E948" s="2"/>
      <c r="F948" s="2" t="s">
        <v>299</v>
      </c>
      <c r="G948" s="2"/>
      <c r="H948" s="2" t="s">
        <v>298</v>
      </c>
      <c r="I948" s="2" t="s">
        <v>297</v>
      </c>
      <c r="J948" s="2" t="s">
        <v>296</v>
      </c>
      <c r="K948" s="72"/>
      <c r="L948" s="39">
        <v>197983.8</v>
      </c>
      <c r="M948" s="72">
        <f t="shared" si="58"/>
        <v>197983.8</v>
      </c>
      <c r="N948" s="72">
        <f t="shared" si="59"/>
        <v>493489.16999999917</v>
      </c>
    </row>
    <row r="949" spans="1:14" x14ac:dyDescent="0.2">
      <c r="A949" s="3" t="s">
        <v>905</v>
      </c>
      <c r="B949" s="3">
        <f t="shared" si="56"/>
        <v>2025</v>
      </c>
      <c r="C949" s="3">
        <f t="shared" si="57"/>
        <v>6</v>
      </c>
      <c r="D949" s="73" t="s">
        <v>893</v>
      </c>
      <c r="E949" s="2"/>
      <c r="F949" s="2" t="s">
        <v>304</v>
      </c>
      <c r="G949" s="2" t="s">
        <v>903</v>
      </c>
      <c r="H949" s="2" t="s">
        <v>901</v>
      </c>
      <c r="I949" s="1" t="s">
        <v>316</v>
      </c>
      <c r="J949" s="2" t="s">
        <v>17</v>
      </c>
      <c r="K949" s="146">
        <v>20</v>
      </c>
      <c r="L949" s="146"/>
      <c r="M949" s="146">
        <f t="shared" si="58"/>
        <v>-20</v>
      </c>
      <c r="N949" s="72">
        <f t="shared" si="59"/>
        <v>493469.16999999917</v>
      </c>
    </row>
    <row r="950" spans="1:14" x14ac:dyDescent="0.2">
      <c r="A950" s="73" t="s">
        <v>752</v>
      </c>
      <c r="B950" s="3">
        <f t="shared" si="56"/>
        <v>2025</v>
      </c>
      <c r="C950" s="3">
        <f t="shared" si="57"/>
        <v>6</v>
      </c>
      <c r="D950" s="73" t="s">
        <v>300</v>
      </c>
      <c r="E950" s="2"/>
      <c r="F950" s="2" t="s">
        <v>304</v>
      </c>
      <c r="G950" s="2" t="s">
        <v>308</v>
      </c>
      <c r="H950" s="2" t="s">
        <v>349</v>
      </c>
      <c r="I950" s="2" t="s">
        <v>297</v>
      </c>
      <c r="J950" s="2" t="s">
        <v>26</v>
      </c>
      <c r="K950" s="72">
        <v>317.19</v>
      </c>
      <c r="L950" s="39"/>
      <c r="M950" s="72">
        <f t="shared" si="58"/>
        <v>-317.19</v>
      </c>
      <c r="N950" s="72">
        <f t="shared" si="59"/>
        <v>493151.97999999917</v>
      </c>
    </row>
    <row r="951" spans="1:14" x14ac:dyDescent="0.2">
      <c r="A951" s="73" t="s">
        <v>752</v>
      </c>
      <c r="B951" s="3">
        <f t="shared" si="56"/>
        <v>2025</v>
      </c>
      <c r="C951" s="3">
        <f t="shared" si="57"/>
        <v>6</v>
      </c>
      <c r="D951" s="73" t="s">
        <v>300</v>
      </c>
      <c r="E951" s="2"/>
      <c r="F951" s="2" t="s">
        <v>325</v>
      </c>
      <c r="G951" s="2" t="s">
        <v>729</v>
      </c>
      <c r="H951" s="2" t="s">
        <v>323</v>
      </c>
      <c r="I951" s="2" t="s">
        <v>316</v>
      </c>
      <c r="J951" s="2" t="s">
        <v>22</v>
      </c>
      <c r="K951" s="72">
        <v>90</v>
      </c>
      <c r="L951" s="39"/>
      <c r="M951" s="72">
        <f t="shared" si="58"/>
        <v>-90</v>
      </c>
      <c r="N951" s="72">
        <f t="shared" si="59"/>
        <v>493061.97999999917</v>
      </c>
    </row>
    <row r="952" spans="1:14" x14ac:dyDescent="0.2">
      <c r="A952" s="3" t="s">
        <v>752</v>
      </c>
      <c r="B952" s="3">
        <f t="shared" si="56"/>
        <v>2025</v>
      </c>
      <c r="C952" s="3">
        <f t="shared" si="57"/>
        <v>6</v>
      </c>
      <c r="D952" s="73" t="s">
        <v>893</v>
      </c>
      <c r="E952" s="2"/>
      <c r="F952" s="2" t="s">
        <v>304</v>
      </c>
      <c r="G952" s="2" t="s">
        <v>997</v>
      </c>
      <c r="H952" s="2" t="s">
        <v>992</v>
      </c>
      <c r="I952" s="2" t="s">
        <v>316</v>
      </c>
      <c r="J952" s="2" t="s">
        <v>22</v>
      </c>
      <c r="K952" s="146">
        <v>516.96</v>
      </c>
      <c r="L952" s="146"/>
      <c r="M952" s="146">
        <f t="shared" si="58"/>
        <v>-516.96</v>
      </c>
      <c r="N952" s="72">
        <f t="shared" si="59"/>
        <v>492545.01999999915</v>
      </c>
    </row>
    <row r="953" spans="1:14" x14ac:dyDescent="0.2">
      <c r="A953" s="3" t="s">
        <v>752</v>
      </c>
      <c r="B953" s="3">
        <f t="shared" si="56"/>
        <v>2025</v>
      </c>
      <c r="C953" s="3">
        <f t="shared" si="57"/>
        <v>6</v>
      </c>
      <c r="D953" s="73" t="s">
        <v>893</v>
      </c>
      <c r="E953" s="2"/>
      <c r="F953" s="2" t="s">
        <v>304</v>
      </c>
      <c r="G953" s="2" t="s">
        <v>920</v>
      </c>
      <c r="H953" s="2" t="s">
        <v>921</v>
      </c>
      <c r="I953" s="1" t="s">
        <v>316</v>
      </c>
      <c r="J953" s="1" t="s">
        <v>28</v>
      </c>
      <c r="K953" s="146">
        <v>214.46</v>
      </c>
      <c r="L953" s="146"/>
      <c r="M953" s="146">
        <f t="shared" si="58"/>
        <v>-214.46</v>
      </c>
      <c r="N953" s="72">
        <f t="shared" si="59"/>
        <v>492330.55999999912</v>
      </c>
    </row>
    <row r="954" spans="1:14" x14ac:dyDescent="0.2">
      <c r="A954" s="73" t="s">
        <v>752</v>
      </c>
      <c r="B954" s="3">
        <f t="shared" si="56"/>
        <v>2025</v>
      </c>
      <c r="C954" s="3">
        <f t="shared" si="57"/>
        <v>6</v>
      </c>
      <c r="D954" s="73" t="s">
        <v>300</v>
      </c>
      <c r="E954" s="2"/>
      <c r="F954" s="2" t="s">
        <v>299</v>
      </c>
      <c r="G954" s="2"/>
      <c r="H954" s="2" t="s">
        <v>298</v>
      </c>
      <c r="I954" s="2" t="s">
        <v>297</v>
      </c>
      <c r="J954" s="2" t="s">
        <v>296</v>
      </c>
      <c r="K954" s="72"/>
      <c r="L954" s="39">
        <v>317.19</v>
      </c>
      <c r="M954" s="72">
        <f t="shared" si="58"/>
        <v>317.19</v>
      </c>
      <c r="N954" s="72">
        <f t="shared" si="59"/>
        <v>492647.74999999913</v>
      </c>
    </row>
    <row r="955" spans="1:14" x14ac:dyDescent="0.2">
      <c r="A955" s="73" t="s">
        <v>753</v>
      </c>
      <c r="B955" s="3">
        <f t="shared" si="56"/>
        <v>2025</v>
      </c>
      <c r="C955" s="3">
        <f t="shared" si="57"/>
        <v>6</v>
      </c>
      <c r="D955" s="73" t="s">
        <v>300</v>
      </c>
      <c r="E955" s="2"/>
      <c r="F955" s="2" t="s">
        <v>299</v>
      </c>
      <c r="G955" s="2"/>
      <c r="H955" s="2" t="s">
        <v>298</v>
      </c>
      <c r="I955" s="2" t="s">
        <v>297</v>
      </c>
      <c r="J955" s="2" t="s">
        <v>296</v>
      </c>
      <c r="K955" s="72"/>
      <c r="L955" s="39">
        <v>90</v>
      </c>
      <c r="M955" s="72">
        <f t="shared" si="58"/>
        <v>90</v>
      </c>
      <c r="N955" s="72">
        <f t="shared" si="59"/>
        <v>492737.74999999913</v>
      </c>
    </row>
    <row r="956" spans="1:14" x14ac:dyDescent="0.2">
      <c r="A956" s="73" t="s">
        <v>754</v>
      </c>
      <c r="B956" s="3">
        <f t="shared" si="56"/>
        <v>2025</v>
      </c>
      <c r="C956" s="3">
        <f t="shared" si="57"/>
        <v>6</v>
      </c>
      <c r="D956" s="73" t="s">
        <v>300</v>
      </c>
      <c r="E956" s="2"/>
      <c r="F956" s="2" t="s">
        <v>309</v>
      </c>
      <c r="G956" s="2" t="s">
        <v>381</v>
      </c>
      <c r="H956" s="2" t="s">
        <v>380</v>
      </c>
      <c r="I956" s="2" t="s">
        <v>301</v>
      </c>
      <c r="J956" s="2" t="s">
        <v>11</v>
      </c>
      <c r="K956" s="72"/>
      <c r="L956" s="39">
        <v>476.36</v>
      </c>
      <c r="M956" s="72">
        <f t="shared" si="58"/>
        <v>476.36</v>
      </c>
      <c r="N956" s="72">
        <f t="shared" si="59"/>
        <v>493214.10999999911</v>
      </c>
    </row>
    <row r="957" spans="1:14" x14ac:dyDescent="0.2">
      <c r="A957" s="73" t="s">
        <v>754</v>
      </c>
      <c r="B957" s="3">
        <f t="shared" si="56"/>
        <v>2025</v>
      </c>
      <c r="C957" s="3">
        <f t="shared" si="57"/>
        <v>6</v>
      </c>
      <c r="D957" s="73" t="s">
        <v>300</v>
      </c>
      <c r="E957" s="2"/>
      <c r="F957" s="2" t="s">
        <v>325</v>
      </c>
      <c r="G957" s="2" t="s">
        <v>386</v>
      </c>
      <c r="H957" s="2" t="s">
        <v>323</v>
      </c>
      <c r="I957" s="2" t="s">
        <v>350</v>
      </c>
      <c r="J957" s="2" t="s">
        <v>353</v>
      </c>
      <c r="K957" s="72">
        <v>3000</v>
      </c>
      <c r="L957" s="39"/>
      <c r="M957" s="72">
        <f t="shared" si="58"/>
        <v>-3000</v>
      </c>
      <c r="N957" s="72">
        <f t="shared" si="59"/>
        <v>490214.10999999911</v>
      </c>
    </row>
    <row r="958" spans="1:14" x14ac:dyDescent="0.2">
      <c r="A958" s="3" t="s">
        <v>754</v>
      </c>
      <c r="B958" s="3">
        <f t="shared" si="56"/>
        <v>2025</v>
      </c>
      <c r="C958" s="3">
        <f t="shared" si="57"/>
        <v>6</v>
      </c>
      <c r="D958" s="73" t="s">
        <v>893</v>
      </c>
      <c r="E958" s="2"/>
      <c r="F958" s="2" t="s">
        <v>304</v>
      </c>
      <c r="G958" s="2" t="s">
        <v>900</v>
      </c>
      <c r="H958" s="2" t="s">
        <v>901</v>
      </c>
      <c r="I958" s="1" t="s">
        <v>316</v>
      </c>
      <c r="J958" s="2" t="s">
        <v>17</v>
      </c>
      <c r="K958" s="146">
        <v>20</v>
      </c>
      <c r="L958" s="146"/>
      <c r="M958" s="146">
        <f t="shared" si="58"/>
        <v>-20</v>
      </c>
      <c r="N958" s="72">
        <f t="shared" si="59"/>
        <v>490194.10999999911</v>
      </c>
    </row>
    <row r="959" spans="1:14" x14ac:dyDescent="0.2">
      <c r="A959" s="73" t="s">
        <v>754</v>
      </c>
      <c r="B959" s="3">
        <f t="shared" si="56"/>
        <v>2025</v>
      </c>
      <c r="C959" s="3">
        <f t="shared" si="57"/>
        <v>6</v>
      </c>
      <c r="D959" s="73" t="s">
        <v>300</v>
      </c>
      <c r="E959" s="2"/>
      <c r="F959" s="2" t="s">
        <v>325</v>
      </c>
      <c r="G959" s="2" t="s">
        <v>835</v>
      </c>
      <c r="H959" s="2" t="s">
        <v>323</v>
      </c>
      <c r="I959" s="2" t="s">
        <v>297</v>
      </c>
      <c r="J959" s="2" t="s">
        <v>50</v>
      </c>
      <c r="K959" s="72">
        <v>25000</v>
      </c>
      <c r="L959" s="39"/>
      <c r="M959" s="72">
        <f t="shared" si="58"/>
        <v>-25000</v>
      </c>
      <c r="N959" s="72">
        <f t="shared" si="59"/>
        <v>465194.10999999911</v>
      </c>
    </row>
    <row r="960" spans="1:14" x14ac:dyDescent="0.2">
      <c r="A960" s="3" t="s">
        <v>754</v>
      </c>
      <c r="B960" s="3">
        <f t="shared" si="56"/>
        <v>2025</v>
      </c>
      <c r="C960" s="3">
        <f t="shared" si="57"/>
        <v>6</v>
      </c>
      <c r="D960" s="73" t="s">
        <v>893</v>
      </c>
      <c r="E960" s="2"/>
      <c r="F960" s="2" t="s">
        <v>304</v>
      </c>
      <c r="G960" s="2" t="s">
        <v>989</v>
      </c>
      <c r="H960" s="2" t="s">
        <v>987</v>
      </c>
      <c r="I960" s="2" t="s">
        <v>316</v>
      </c>
      <c r="J960" s="2" t="s">
        <v>28</v>
      </c>
      <c r="K960" s="146">
        <v>43.12</v>
      </c>
      <c r="L960" s="146"/>
      <c r="M960" s="146">
        <f t="shared" si="58"/>
        <v>-43.12</v>
      </c>
      <c r="N960" s="72">
        <f t="shared" si="59"/>
        <v>465150.98999999912</v>
      </c>
    </row>
    <row r="961" spans="1:14" x14ac:dyDescent="0.2">
      <c r="A961" s="73" t="s">
        <v>754</v>
      </c>
      <c r="B961" s="3">
        <f t="shared" si="56"/>
        <v>2025</v>
      </c>
      <c r="C961" s="3">
        <f t="shared" si="57"/>
        <v>6</v>
      </c>
      <c r="D961" s="73" t="s">
        <v>300</v>
      </c>
      <c r="E961" s="2"/>
      <c r="F961" s="2" t="s">
        <v>299</v>
      </c>
      <c r="G961" s="2"/>
      <c r="H961" s="2" t="s">
        <v>298</v>
      </c>
      <c r="I961" s="2" t="s">
        <v>297</v>
      </c>
      <c r="J961" s="2" t="s">
        <v>296</v>
      </c>
      <c r="K961" s="72"/>
      <c r="L961" s="39">
        <v>27523.64</v>
      </c>
      <c r="M961" s="72">
        <f t="shared" si="58"/>
        <v>27523.64</v>
      </c>
      <c r="N961" s="72">
        <f t="shared" si="59"/>
        <v>492674.62999999913</v>
      </c>
    </row>
    <row r="962" spans="1:14" x14ac:dyDescent="0.2">
      <c r="A962" s="3" t="s">
        <v>755</v>
      </c>
      <c r="B962" s="3">
        <f t="shared" ref="B962:B1025" si="60">YEAR(A962)</f>
        <v>2025</v>
      </c>
      <c r="C962" s="3">
        <f t="shared" ref="C962:C1025" si="61">MONTH(A962)</f>
        <v>6</v>
      </c>
      <c r="D962" s="73" t="s">
        <v>893</v>
      </c>
      <c r="E962" s="2"/>
      <c r="F962" s="2" t="s">
        <v>304</v>
      </c>
      <c r="G962" s="2" t="s">
        <v>1009</v>
      </c>
      <c r="H962" s="2" t="s">
        <v>1007</v>
      </c>
      <c r="I962" s="1" t="s">
        <v>316</v>
      </c>
      <c r="J962" s="2" t="s">
        <v>17</v>
      </c>
      <c r="K962" s="146">
        <v>1144.3499999999999</v>
      </c>
      <c r="L962" s="146"/>
      <c r="M962" s="146">
        <f t="shared" ref="M962:M1025" si="62">IF(ISBLANK(L962),K962*-1,L962)</f>
        <v>-1144.3499999999999</v>
      </c>
      <c r="N962" s="72">
        <f t="shared" si="59"/>
        <v>491530.27999999915</v>
      </c>
    </row>
    <row r="963" spans="1:14" x14ac:dyDescent="0.2">
      <c r="A963" s="73" t="s">
        <v>755</v>
      </c>
      <c r="B963" s="3">
        <f t="shared" si="60"/>
        <v>2025</v>
      </c>
      <c r="C963" s="3">
        <f t="shared" si="61"/>
        <v>6</v>
      </c>
      <c r="D963" s="73" t="s">
        <v>300</v>
      </c>
      <c r="E963" s="2"/>
      <c r="F963" s="2" t="s">
        <v>304</v>
      </c>
      <c r="G963" s="2" t="s">
        <v>336</v>
      </c>
      <c r="H963" s="2" t="s">
        <v>766</v>
      </c>
      <c r="I963" s="2" t="s">
        <v>301</v>
      </c>
      <c r="J963" s="2" t="s">
        <v>11</v>
      </c>
      <c r="K963" s="72">
        <v>15.84</v>
      </c>
      <c r="L963" s="39"/>
      <c r="M963" s="72">
        <f t="shared" si="62"/>
        <v>-15.84</v>
      </c>
      <c r="N963" s="72">
        <f t="shared" ref="N963:N1026" si="63">+N962+M963</f>
        <v>491514.43999999913</v>
      </c>
    </row>
    <row r="964" spans="1:14" x14ac:dyDescent="0.2">
      <c r="A964" s="73" t="s">
        <v>755</v>
      </c>
      <c r="B964" s="3">
        <f t="shared" si="60"/>
        <v>2025</v>
      </c>
      <c r="C964" s="3">
        <f t="shared" si="61"/>
        <v>6</v>
      </c>
      <c r="D964" s="73" t="s">
        <v>300</v>
      </c>
      <c r="E964" s="2"/>
      <c r="F964" s="2" t="s">
        <v>325</v>
      </c>
      <c r="G964" s="2" t="s">
        <v>693</v>
      </c>
      <c r="H964" s="2" t="s">
        <v>323</v>
      </c>
      <c r="I964" s="2" t="s">
        <v>316</v>
      </c>
      <c r="J964" s="2" t="s">
        <v>22</v>
      </c>
      <c r="K964" s="72">
        <v>50</v>
      </c>
      <c r="L964" s="39"/>
      <c r="M964" s="72">
        <f t="shared" si="62"/>
        <v>-50</v>
      </c>
      <c r="N964" s="72">
        <f t="shared" si="63"/>
        <v>491464.43999999913</v>
      </c>
    </row>
    <row r="965" spans="1:14" x14ac:dyDescent="0.2">
      <c r="A965" s="3" t="s">
        <v>755</v>
      </c>
      <c r="B965" s="3">
        <f t="shared" si="60"/>
        <v>2025</v>
      </c>
      <c r="C965" s="3">
        <f t="shared" si="61"/>
        <v>6</v>
      </c>
      <c r="D965" s="73" t="s">
        <v>893</v>
      </c>
      <c r="E965" s="2"/>
      <c r="F965" s="2" t="s">
        <v>304</v>
      </c>
      <c r="G965" s="2" t="s">
        <v>1010</v>
      </c>
      <c r="H965" s="2" t="s">
        <v>1007</v>
      </c>
      <c r="I965" s="1" t="s">
        <v>316</v>
      </c>
      <c r="J965" s="2" t="s">
        <v>17</v>
      </c>
      <c r="K965" s="146">
        <v>32</v>
      </c>
      <c r="L965" s="146"/>
      <c r="M965" s="146">
        <f t="shared" si="62"/>
        <v>-32</v>
      </c>
      <c r="N965" s="72">
        <f t="shared" si="63"/>
        <v>491432.43999999913</v>
      </c>
    </row>
    <row r="966" spans="1:14" x14ac:dyDescent="0.2">
      <c r="A966" s="73" t="s">
        <v>755</v>
      </c>
      <c r="B966" s="3">
        <f t="shared" si="60"/>
        <v>2025</v>
      </c>
      <c r="C966" s="3">
        <f t="shared" si="61"/>
        <v>6</v>
      </c>
      <c r="D966" s="73" t="s">
        <v>300</v>
      </c>
      <c r="E966" s="2"/>
      <c r="F966" s="2" t="s">
        <v>304</v>
      </c>
      <c r="G966" s="2" t="s">
        <v>306</v>
      </c>
      <c r="H966" s="2" t="s">
        <v>516</v>
      </c>
      <c r="I966" s="2" t="s">
        <v>301</v>
      </c>
      <c r="J966" s="2" t="s">
        <v>24</v>
      </c>
      <c r="K966" s="72">
        <v>80025.539999999994</v>
      </c>
      <c r="L966" s="39"/>
      <c r="M966" s="72">
        <f t="shared" si="62"/>
        <v>-80025.539999999994</v>
      </c>
      <c r="N966" s="72">
        <f t="shared" si="63"/>
        <v>411406.89999999915</v>
      </c>
    </row>
    <row r="967" spans="1:14" x14ac:dyDescent="0.2">
      <c r="A967" s="73" t="s">
        <v>755</v>
      </c>
      <c r="B967" s="3">
        <f t="shared" si="60"/>
        <v>2025</v>
      </c>
      <c r="C967" s="3">
        <f t="shared" si="61"/>
        <v>6</v>
      </c>
      <c r="D967" s="73" t="s">
        <v>300</v>
      </c>
      <c r="E967" s="2"/>
      <c r="F967" s="2" t="s">
        <v>304</v>
      </c>
      <c r="G967" s="2" t="s">
        <v>306</v>
      </c>
      <c r="H967" s="2" t="s">
        <v>516</v>
      </c>
      <c r="I967" s="2" t="s">
        <v>301</v>
      </c>
      <c r="J967" s="2" t="s">
        <v>20</v>
      </c>
      <c r="K967" s="72">
        <v>39238.78</v>
      </c>
      <c r="L967" s="39"/>
      <c r="M967" s="72">
        <f t="shared" si="62"/>
        <v>-39238.78</v>
      </c>
      <c r="N967" s="72">
        <f t="shared" si="63"/>
        <v>372168.11999999918</v>
      </c>
    </row>
    <row r="968" spans="1:14" x14ac:dyDescent="0.2">
      <c r="A968" s="73" t="s">
        <v>755</v>
      </c>
      <c r="B968" s="3">
        <f t="shared" si="60"/>
        <v>2025</v>
      </c>
      <c r="C968" s="3">
        <f t="shared" si="61"/>
        <v>6</v>
      </c>
      <c r="D968" s="73" t="s">
        <v>300</v>
      </c>
      <c r="E968" s="2"/>
      <c r="F968" s="2" t="s">
        <v>304</v>
      </c>
      <c r="G968" s="2" t="s">
        <v>306</v>
      </c>
      <c r="H968" s="2" t="s">
        <v>516</v>
      </c>
      <c r="I968" s="2" t="s">
        <v>301</v>
      </c>
      <c r="J968" s="2" t="s">
        <v>11</v>
      </c>
      <c r="K968" s="72">
        <v>1234.75</v>
      </c>
      <c r="L968" s="39"/>
      <c r="M968" s="72">
        <f t="shared" si="62"/>
        <v>-1234.75</v>
      </c>
      <c r="N968" s="72">
        <f t="shared" si="63"/>
        <v>370933.36999999918</v>
      </c>
    </row>
    <row r="969" spans="1:14" x14ac:dyDescent="0.2">
      <c r="A969" s="3" t="s">
        <v>755</v>
      </c>
      <c r="B969" s="3">
        <f t="shared" si="60"/>
        <v>2025</v>
      </c>
      <c r="C969" s="3">
        <f t="shared" si="61"/>
        <v>6</v>
      </c>
      <c r="D969" s="73" t="s">
        <v>893</v>
      </c>
      <c r="E969" s="2"/>
      <c r="F969" s="2" t="s">
        <v>304</v>
      </c>
      <c r="G969" s="2" t="s">
        <v>1046</v>
      </c>
      <c r="H969" s="2" t="s">
        <v>1035</v>
      </c>
      <c r="I969" s="2" t="s">
        <v>316</v>
      </c>
      <c r="J969" s="2" t="s">
        <v>22</v>
      </c>
      <c r="K969" s="146">
        <v>38.54</v>
      </c>
      <c r="L969" s="146"/>
      <c r="M969" s="146">
        <f t="shared" si="62"/>
        <v>-38.54</v>
      </c>
      <c r="N969" s="72">
        <f t="shared" si="63"/>
        <v>370894.8299999992</v>
      </c>
    </row>
    <row r="970" spans="1:14" x14ac:dyDescent="0.2">
      <c r="A970" s="3" t="s">
        <v>755</v>
      </c>
      <c r="B970" s="3">
        <f t="shared" si="60"/>
        <v>2025</v>
      </c>
      <c r="C970" s="3">
        <f t="shared" si="61"/>
        <v>6</v>
      </c>
      <c r="D970" s="73" t="s">
        <v>893</v>
      </c>
      <c r="E970" s="2"/>
      <c r="F970" s="2" t="s">
        <v>304</v>
      </c>
      <c r="G970" s="2" t="s">
        <v>983</v>
      </c>
      <c r="H970" s="2" t="s">
        <v>1007</v>
      </c>
      <c r="I970" s="1" t="s">
        <v>316</v>
      </c>
      <c r="J970" s="2" t="s">
        <v>17</v>
      </c>
      <c r="K970" s="146">
        <v>29</v>
      </c>
      <c r="L970" s="146"/>
      <c r="M970" s="146">
        <f t="shared" si="62"/>
        <v>-29</v>
      </c>
      <c r="N970" s="72">
        <f t="shared" si="63"/>
        <v>370865.8299999992</v>
      </c>
    </row>
    <row r="971" spans="1:14" x14ac:dyDescent="0.2">
      <c r="A971" s="73" t="s">
        <v>755</v>
      </c>
      <c r="B971" s="3">
        <f t="shared" si="60"/>
        <v>2025</v>
      </c>
      <c r="C971" s="3">
        <f t="shared" si="61"/>
        <v>6</v>
      </c>
      <c r="D971" s="73" t="s">
        <v>300</v>
      </c>
      <c r="E971" s="2"/>
      <c r="F971" s="2" t="s">
        <v>299</v>
      </c>
      <c r="G971" s="2"/>
      <c r="H971" s="2" t="s">
        <v>298</v>
      </c>
      <c r="I971" s="2" t="s">
        <v>297</v>
      </c>
      <c r="J971" s="2" t="s">
        <v>296</v>
      </c>
      <c r="K971" s="72"/>
      <c r="L971" s="39">
        <v>120514.91</v>
      </c>
      <c r="M971" s="72">
        <f t="shared" si="62"/>
        <v>120514.91</v>
      </c>
      <c r="N971" s="72">
        <f t="shared" si="63"/>
        <v>491380.73999999918</v>
      </c>
    </row>
    <row r="972" spans="1:14" x14ac:dyDescent="0.2">
      <c r="A972" s="73" t="s">
        <v>756</v>
      </c>
      <c r="B972" s="3">
        <f t="shared" si="60"/>
        <v>2025</v>
      </c>
      <c r="C972" s="3">
        <f t="shared" si="61"/>
        <v>6</v>
      </c>
      <c r="D972" s="73" t="s">
        <v>300</v>
      </c>
      <c r="E972" s="2"/>
      <c r="F972" s="2" t="s">
        <v>304</v>
      </c>
      <c r="G972" s="2" t="s">
        <v>336</v>
      </c>
      <c r="H972" s="2" t="s">
        <v>766</v>
      </c>
      <c r="I972" s="2" t="s">
        <v>301</v>
      </c>
      <c r="J972" s="2" t="s">
        <v>11</v>
      </c>
      <c r="K972" s="72">
        <v>20</v>
      </c>
      <c r="L972" s="39"/>
      <c r="M972" s="72">
        <f t="shared" si="62"/>
        <v>-20</v>
      </c>
      <c r="N972" s="72">
        <f t="shared" si="63"/>
        <v>491360.73999999918</v>
      </c>
    </row>
    <row r="973" spans="1:14" x14ac:dyDescent="0.2">
      <c r="A973" s="73" t="s">
        <v>756</v>
      </c>
      <c r="B973" s="3">
        <f t="shared" si="60"/>
        <v>2025</v>
      </c>
      <c r="C973" s="3">
        <f t="shared" si="61"/>
        <v>6</v>
      </c>
      <c r="D973" s="73" t="s">
        <v>300</v>
      </c>
      <c r="E973" s="2"/>
      <c r="F973" s="2" t="s">
        <v>321</v>
      </c>
      <c r="G973" s="2" t="s">
        <v>49</v>
      </c>
      <c r="H973" s="2" t="s">
        <v>319</v>
      </c>
      <c r="I973" s="2" t="s">
        <v>315</v>
      </c>
      <c r="J973" s="2" t="s">
        <v>23</v>
      </c>
      <c r="K973" s="72"/>
      <c r="L973" s="39">
        <v>8750</v>
      </c>
      <c r="M973" s="72">
        <f t="shared" si="62"/>
        <v>8750</v>
      </c>
      <c r="N973" s="72">
        <f t="shared" si="63"/>
        <v>500110.73999999918</v>
      </c>
    </row>
    <row r="974" spans="1:14" x14ac:dyDescent="0.2">
      <c r="A974" s="73" t="s">
        <v>756</v>
      </c>
      <c r="B974" s="3">
        <f t="shared" si="60"/>
        <v>2025</v>
      </c>
      <c r="C974" s="3">
        <f t="shared" si="61"/>
        <v>6</v>
      </c>
      <c r="D974" s="73" t="s">
        <v>300</v>
      </c>
      <c r="E974" s="2"/>
      <c r="F974" s="2" t="s">
        <v>321</v>
      </c>
      <c r="G974" s="2" t="s">
        <v>49</v>
      </c>
      <c r="H974" s="2" t="s">
        <v>319</v>
      </c>
      <c r="I974" s="2" t="s">
        <v>315</v>
      </c>
      <c r="J974" s="2" t="s">
        <v>23</v>
      </c>
      <c r="K974" s="72"/>
      <c r="L974" s="39">
        <v>3456.25</v>
      </c>
      <c r="M974" s="72">
        <f t="shared" si="62"/>
        <v>3456.25</v>
      </c>
      <c r="N974" s="72">
        <f t="shared" si="63"/>
        <v>503566.98999999918</v>
      </c>
    </row>
    <row r="975" spans="1:14" x14ac:dyDescent="0.2">
      <c r="A975" s="73" t="s">
        <v>756</v>
      </c>
      <c r="B975" s="3">
        <f t="shared" si="60"/>
        <v>2025</v>
      </c>
      <c r="C975" s="3">
        <f t="shared" si="61"/>
        <v>6</v>
      </c>
      <c r="D975" s="73" t="s">
        <v>300</v>
      </c>
      <c r="E975" s="2"/>
      <c r="F975" s="2" t="s">
        <v>304</v>
      </c>
      <c r="G975" s="2" t="s">
        <v>306</v>
      </c>
      <c r="H975" s="2" t="s">
        <v>305</v>
      </c>
      <c r="I975" s="2" t="s">
        <v>301</v>
      </c>
      <c r="J975" s="2" t="s">
        <v>19</v>
      </c>
      <c r="K975" s="72">
        <v>150.63</v>
      </c>
      <c r="L975" s="39"/>
      <c r="M975" s="72">
        <f t="shared" si="62"/>
        <v>-150.63</v>
      </c>
      <c r="N975" s="72">
        <f t="shared" si="63"/>
        <v>503416.35999999917</v>
      </c>
    </row>
    <row r="976" spans="1:14" x14ac:dyDescent="0.2">
      <c r="A976" s="3" t="s">
        <v>756</v>
      </c>
      <c r="B976" s="3">
        <f t="shared" si="60"/>
        <v>2025</v>
      </c>
      <c r="C976" s="3">
        <f t="shared" si="61"/>
        <v>6</v>
      </c>
      <c r="D976" s="73" t="s">
        <v>893</v>
      </c>
      <c r="E976" s="2"/>
      <c r="F976" s="2" t="s">
        <v>304</v>
      </c>
      <c r="G976" s="2" t="s">
        <v>1029</v>
      </c>
      <c r="H976" s="2" t="s">
        <v>1027</v>
      </c>
      <c r="I976" s="1" t="s">
        <v>316</v>
      </c>
      <c r="J976" s="2" t="s">
        <v>17</v>
      </c>
      <c r="K976" s="146">
        <v>68.459999999999994</v>
      </c>
      <c r="L976" s="146"/>
      <c r="M976" s="146">
        <f t="shared" si="62"/>
        <v>-68.459999999999994</v>
      </c>
      <c r="N976" s="72">
        <f t="shared" si="63"/>
        <v>503347.89999999915</v>
      </c>
    </row>
    <row r="977" spans="1:14" x14ac:dyDescent="0.2">
      <c r="A977" s="3" t="s">
        <v>756</v>
      </c>
      <c r="B977" s="3">
        <f t="shared" si="60"/>
        <v>2025</v>
      </c>
      <c r="C977" s="3">
        <f t="shared" si="61"/>
        <v>6</v>
      </c>
      <c r="D977" s="73" t="s">
        <v>893</v>
      </c>
      <c r="E977" s="2"/>
      <c r="F977" s="2" t="s">
        <v>304</v>
      </c>
      <c r="G977" s="2" t="s">
        <v>1030</v>
      </c>
      <c r="H977" s="2" t="s">
        <v>1027</v>
      </c>
      <c r="I977" s="1" t="s">
        <v>316</v>
      </c>
      <c r="J977" s="2" t="s">
        <v>17</v>
      </c>
      <c r="K977" s="146">
        <v>946.58</v>
      </c>
      <c r="L977" s="146"/>
      <c r="M977" s="146">
        <f t="shared" si="62"/>
        <v>-946.58</v>
      </c>
      <c r="N977" s="72">
        <f t="shared" si="63"/>
        <v>502401.31999999913</v>
      </c>
    </row>
    <row r="978" spans="1:14" x14ac:dyDescent="0.2">
      <c r="A978" s="73" t="s">
        <v>756</v>
      </c>
      <c r="B978" s="3">
        <f t="shared" si="60"/>
        <v>2025</v>
      </c>
      <c r="C978" s="3">
        <f t="shared" si="61"/>
        <v>6</v>
      </c>
      <c r="D978" s="73" t="s">
        <v>300</v>
      </c>
      <c r="E978" s="2"/>
      <c r="F978" s="2" t="s">
        <v>299</v>
      </c>
      <c r="G978" s="2"/>
      <c r="H978" s="2" t="s">
        <v>298</v>
      </c>
      <c r="I978" s="2" t="s">
        <v>297</v>
      </c>
      <c r="J978" s="2" t="s">
        <v>296</v>
      </c>
      <c r="K978" s="72">
        <v>11985.62</v>
      </c>
      <c r="L978" s="39"/>
      <c r="M978" s="72">
        <f t="shared" si="62"/>
        <v>-11985.62</v>
      </c>
      <c r="N978" s="72">
        <f t="shared" si="63"/>
        <v>490415.69999999914</v>
      </c>
    </row>
    <row r="979" spans="1:14" x14ac:dyDescent="0.2">
      <c r="A979" s="3" t="s">
        <v>949</v>
      </c>
      <c r="B979" s="3">
        <f t="shared" si="60"/>
        <v>2025</v>
      </c>
      <c r="C979" s="3">
        <f t="shared" si="61"/>
        <v>6</v>
      </c>
      <c r="D979" s="73" t="s">
        <v>893</v>
      </c>
      <c r="E979" s="2"/>
      <c r="F979" s="2" t="s">
        <v>304</v>
      </c>
      <c r="G979" s="2" t="s">
        <v>913</v>
      </c>
      <c r="H979" s="2" t="s">
        <v>937</v>
      </c>
      <c r="I979" s="2" t="s">
        <v>316</v>
      </c>
      <c r="J979" s="2" t="s">
        <v>22</v>
      </c>
      <c r="K979" s="146">
        <v>39.96</v>
      </c>
      <c r="L979" s="146"/>
      <c r="M979" s="146">
        <f t="shared" si="62"/>
        <v>-39.96</v>
      </c>
      <c r="N979" s="72">
        <f t="shared" si="63"/>
        <v>490375.73999999912</v>
      </c>
    </row>
    <row r="980" spans="1:14" x14ac:dyDescent="0.2">
      <c r="A980" s="3" t="s">
        <v>949</v>
      </c>
      <c r="B980" s="3">
        <f t="shared" si="60"/>
        <v>2025</v>
      </c>
      <c r="C980" s="3">
        <f t="shared" si="61"/>
        <v>6</v>
      </c>
      <c r="D980" s="73" t="s">
        <v>893</v>
      </c>
      <c r="E980" s="2"/>
      <c r="F980" s="2" t="s">
        <v>304</v>
      </c>
      <c r="G980" s="2" t="s">
        <v>913</v>
      </c>
      <c r="H980" s="2" t="s">
        <v>937</v>
      </c>
      <c r="I980" s="2" t="s">
        <v>316</v>
      </c>
      <c r="J980" s="2" t="s">
        <v>22</v>
      </c>
      <c r="K980" s="146">
        <v>4</v>
      </c>
      <c r="L980" s="146"/>
      <c r="M980" s="146">
        <f t="shared" si="62"/>
        <v>-4</v>
      </c>
      <c r="N980" s="72">
        <f t="shared" si="63"/>
        <v>490371.73999999912</v>
      </c>
    </row>
    <row r="981" spans="1:14" x14ac:dyDescent="0.2">
      <c r="A981" s="3" t="s">
        <v>949</v>
      </c>
      <c r="B981" s="3">
        <f t="shared" si="60"/>
        <v>2025</v>
      </c>
      <c r="C981" s="3">
        <f t="shared" si="61"/>
        <v>6</v>
      </c>
      <c r="D981" s="73" t="s">
        <v>893</v>
      </c>
      <c r="E981" s="2"/>
      <c r="F981" s="2" t="s">
        <v>304</v>
      </c>
      <c r="G981" s="2" t="s">
        <v>954</v>
      </c>
      <c r="H981" s="2" t="s">
        <v>937</v>
      </c>
      <c r="I981" s="2" t="s">
        <v>316</v>
      </c>
      <c r="J981" s="2" t="s">
        <v>22</v>
      </c>
      <c r="K981" s="146">
        <v>1277.9000000000001</v>
      </c>
      <c r="L981" s="146"/>
      <c r="M981" s="146">
        <f t="shared" si="62"/>
        <v>-1277.9000000000001</v>
      </c>
      <c r="N981" s="72">
        <f t="shared" si="63"/>
        <v>489093.83999999909</v>
      </c>
    </row>
    <row r="982" spans="1:14" x14ac:dyDescent="0.2">
      <c r="A982" s="3" t="s">
        <v>939</v>
      </c>
      <c r="B982" s="3">
        <f t="shared" si="60"/>
        <v>2025</v>
      </c>
      <c r="C982" s="3">
        <f t="shared" si="61"/>
        <v>6</v>
      </c>
      <c r="D982" s="73" t="s">
        <v>893</v>
      </c>
      <c r="E982" s="2"/>
      <c r="F982" s="2" t="s">
        <v>304</v>
      </c>
      <c r="G982" s="2" t="s">
        <v>940</v>
      </c>
      <c r="H982" s="2" t="s">
        <v>937</v>
      </c>
      <c r="I982" s="2" t="s">
        <v>316</v>
      </c>
      <c r="J982" s="2" t="s">
        <v>22</v>
      </c>
      <c r="K982" s="146">
        <v>7.5</v>
      </c>
      <c r="L982" s="146"/>
      <c r="M982" s="146">
        <f t="shared" si="62"/>
        <v>-7.5</v>
      </c>
      <c r="N982" s="72">
        <f t="shared" si="63"/>
        <v>489086.33999999909</v>
      </c>
    </row>
    <row r="983" spans="1:14" x14ac:dyDescent="0.2">
      <c r="A983" s="3" t="s">
        <v>939</v>
      </c>
      <c r="B983" s="3">
        <f t="shared" si="60"/>
        <v>2025</v>
      </c>
      <c r="C983" s="3">
        <f t="shared" si="61"/>
        <v>6</v>
      </c>
      <c r="D983" s="73" t="s">
        <v>893</v>
      </c>
      <c r="E983" s="2"/>
      <c r="F983" s="2" t="s">
        <v>304</v>
      </c>
      <c r="G983" s="2" t="s">
        <v>913</v>
      </c>
      <c r="H983" s="2" t="s">
        <v>937</v>
      </c>
      <c r="I983" s="2" t="s">
        <v>316</v>
      </c>
      <c r="J983" s="2" t="s">
        <v>22</v>
      </c>
      <c r="K983" s="146">
        <v>27.93</v>
      </c>
      <c r="L983" s="146"/>
      <c r="M983" s="146">
        <f t="shared" si="62"/>
        <v>-27.93</v>
      </c>
      <c r="N983" s="72">
        <f t="shared" si="63"/>
        <v>489058.4099999991</v>
      </c>
    </row>
    <row r="984" spans="1:14" x14ac:dyDescent="0.2">
      <c r="A984" s="3" t="s">
        <v>939</v>
      </c>
      <c r="B984" s="3">
        <f t="shared" si="60"/>
        <v>2025</v>
      </c>
      <c r="C984" s="3">
        <f t="shared" si="61"/>
        <v>6</v>
      </c>
      <c r="D984" s="73" t="s">
        <v>893</v>
      </c>
      <c r="E984" s="2"/>
      <c r="F984" s="2" t="s">
        <v>304</v>
      </c>
      <c r="G984" s="2" t="s">
        <v>954</v>
      </c>
      <c r="H984" s="2" t="s">
        <v>956</v>
      </c>
      <c r="I984" s="2" t="s">
        <v>316</v>
      </c>
      <c r="J984" s="2" t="s">
        <v>22</v>
      </c>
      <c r="K984" s="146">
        <v>9.1199999999999992</v>
      </c>
      <c r="L984" s="146"/>
      <c r="M984" s="146">
        <f t="shared" si="62"/>
        <v>-9.1199999999999992</v>
      </c>
      <c r="N984" s="72">
        <f t="shared" si="63"/>
        <v>489049.28999999911</v>
      </c>
    </row>
    <row r="985" spans="1:14" x14ac:dyDescent="0.2">
      <c r="A985" s="3" t="s">
        <v>757</v>
      </c>
      <c r="B985" s="3">
        <f t="shared" si="60"/>
        <v>2025</v>
      </c>
      <c r="C985" s="3">
        <f t="shared" si="61"/>
        <v>6</v>
      </c>
      <c r="D985" s="73" t="s">
        <v>893</v>
      </c>
      <c r="E985" s="2"/>
      <c r="F985" s="2" t="s">
        <v>304</v>
      </c>
      <c r="G985" s="2" t="s">
        <v>929</v>
      </c>
      <c r="H985" s="2" t="s">
        <v>1027</v>
      </c>
      <c r="I985" s="1" t="s">
        <v>316</v>
      </c>
      <c r="J985" s="2" t="s">
        <v>17</v>
      </c>
      <c r="K985" s="146">
        <v>39.200000000000003</v>
      </c>
      <c r="L985" s="146"/>
      <c r="M985" s="146">
        <f t="shared" si="62"/>
        <v>-39.200000000000003</v>
      </c>
      <c r="N985" s="72">
        <f t="shared" si="63"/>
        <v>489010.08999999909</v>
      </c>
    </row>
    <row r="986" spans="1:14" x14ac:dyDescent="0.2">
      <c r="A986" s="73" t="s">
        <v>757</v>
      </c>
      <c r="B986" s="3">
        <f t="shared" si="60"/>
        <v>2025</v>
      </c>
      <c r="C986" s="3">
        <f t="shared" si="61"/>
        <v>6</v>
      </c>
      <c r="D986" s="73" t="s">
        <v>300</v>
      </c>
      <c r="E986" s="2"/>
      <c r="F986" s="2" t="s">
        <v>321</v>
      </c>
      <c r="G986" s="2" t="s">
        <v>527</v>
      </c>
      <c r="H986" s="2" t="s">
        <v>319</v>
      </c>
      <c r="I986" s="2" t="s">
        <v>315</v>
      </c>
      <c r="J986" s="2" t="s">
        <v>23</v>
      </c>
      <c r="K986" s="72"/>
      <c r="L986" s="39">
        <v>17046.8</v>
      </c>
      <c r="M986" s="72">
        <f t="shared" si="62"/>
        <v>17046.8</v>
      </c>
      <c r="N986" s="72">
        <f t="shared" si="63"/>
        <v>506056.88999999908</v>
      </c>
    </row>
    <row r="987" spans="1:14" x14ac:dyDescent="0.2">
      <c r="A987" s="3" t="s">
        <v>757</v>
      </c>
      <c r="B987" s="3">
        <f t="shared" si="60"/>
        <v>2025</v>
      </c>
      <c r="C987" s="3">
        <f t="shared" si="61"/>
        <v>6</v>
      </c>
      <c r="D987" s="73" t="s">
        <v>893</v>
      </c>
      <c r="E987" s="2"/>
      <c r="F987" s="2" t="s">
        <v>304</v>
      </c>
      <c r="G987" s="2" t="s">
        <v>967</v>
      </c>
      <c r="H987" s="2" t="s">
        <v>956</v>
      </c>
      <c r="I987" s="2" t="s">
        <v>316</v>
      </c>
      <c r="J987" s="2" t="s">
        <v>22</v>
      </c>
      <c r="K987" s="146">
        <v>55.21</v>
      </c>
      <c r="L987" s="146"/>
      <c r="M987" s="146">
        <f t="shared" si="62"/>
        <v>-55.21</v>
      </c>
      <c r="N987" s="72">
        <f t="shared" si="63"/>
        <v>506001.67999999906</v>
      </c>
    </row>
    <row r="988" spans="1:14" x14ac:dyDescent="0.2">
      <c r="A988" s="3" t="s">
        <v>757</v>
      </c>
      <c r="B988" s="3">
        <f t="shared" si="60"/>
        <v>2025</v>
      </c>
      <c r="C988" s="3">
        <f t="shared" si="61"/>
        <v>6</v>
      </c>
      <c r="D988" s="73" t="s">
        <v>893</v>
      </c>
      <c r="E988" s="2"/>
      <c r="F988" s="2" t="s">
        <v>304</v>
      </c>
      <c r="G988" s="2" t="s">
        <v>932</v>
      </c>
      <c r="H988" s="2" t="s">
        <v>933</v>
      </c>
      <c r="I988" s="1" t="s">
        <v>316</v>
      </c>
      <c r="J988" s="2" t="s">
        <v>17</v>
      </c>
      <c r="K988" s="146">
        <v>150</v>
      </c>
      <c r="L988" s="146"/>
      <c r="M988" s="146">
        <f t="shared" si="62"/>
        <v>-150</v>
      </c>
      <c r="N988" s="72">
        <f t="shared" si="63"/>
        <v>505851.67999999906</v>
      </c>
    </row>
    <row r="989" spans="1:14" x14ac:dyDescent="0.2">
      <c r="A989" s="3" t="s">
        <v>757</v>
      </c>
      <c r="B989" s="3">
        <f t="shared" si="60"/>
        <v>2025</v>
      </c>
      <c r="C989" s="3">
        <f t="shared" si="61"/>
        <v>6</v>
      </c>
      <c r="D989" s="73" t="s">
        <v>893</v>
      </c>
      <c r="E989" s="2"/>
      <c r="F989" s="2" t="s">
        <v>304</v>
      </c>
      <c r="G989" s="2" t="s">
        <v>978</v>
      </c>
      <c r="H989" s="2" t="s">
        <v>956</v>
      </c>
      <c r="I989" s="2" t="s">
        <v>316</v>
      </c>
      <c r="J989" s="2" t="s">
        <v>22</v>
      </c>
      <c r="K989" s="146">
        <v>11.82</v>
      </c>
      <c r="L989" s="146"/>
      <c r="M989" s="146">
        <f t="shared" si="62"/>
        <v>-11.82</v>
      </c>
      <c r="N989" s="72">
        <f t="shared" si="63"/>
        <v>505839.85999999905</v>
      </c>
    </row>
    <row r="990" spans="1:14" x14ac:dyDescent="0.2">
      <c r="A990" s="73" t="s">
        <v>757</v>
      </c>
      <c r="B990" s="3">
        <f t="shared" si="60"/>
        <v>2025</v>
      </c>
      <c r="C990" s="3">
        <f t="shared" si="61"/>
        <v>6</v>
      </c>
      <c r="D990" s="73" t="s">
        <v>300</v>
      </c>
      <c r="E990" s="2"/>
      <c r="F990" s="2" t="s">
        <v>304</v>
      </c>
      <c r="G990" s="2" t="s">
        <v>344</v>
      </c>
      <c r="H990" s="2" t="s">
        <v>343</v>
      </c>
      <c r="I990" s="2" t="s">
        <v>301</v>
      </c>
      <c r="J990" s="2" t="s">
        <v>11</v>
      </c>
      <c r="K990" s="72">
        <v>14549.5</v>
      </c>
      <c r="L990" s="39"/>
      <c r="M990" s="72">
        <f t="shared" si="62"/>
        <v>-14549.5</v>
      </c>
      <c r="N990" s="72">
        <f t="shared" si="63"/>
        <v>491290.35999999905</v>
      </c>
    </row>
    <row r="991" spans="1:14" x14ac:dyDescent="0.2">
      <c r="A991" s="3" t="s">
        <v>757</v>
      </c>
      <c r="B991" s="3">
        <f t="shared" si="60"/>
        <v>2025</v>
      </c>
      <c r="C991" s="3">
        <f t="shared" si="61"/>
        <v>6</v>
      </c>
      <c r="D991" s="73" t="s">
        <v>893</v>
      </c>
      <c r="E991" s="2"/>
      <c r="F991" s="2" t="s">
        <v>304</v>
      </c>
      <c r="G991" s="2" t="s">
        <v>913</v>
      </c>
      <c r="H991" s="2" t="s">
        <v>937</v>
      </c>
      <c r="I991" s="2" t="s">
        <v>316</v>
      </c>
      <c r="J991" s="2" t="s">
        <v>22</v>
      </c>
      <c r="K991" s="146">
        <v>4</v>
      </c>
      <c r="L991" s="146"/>
      <c r="M991" s="146">
        <f t="shared" si="62"/>
        <v>-4</v>
      </c>
      <c r="N991" s="72">
        <f t="shared" si="63"/>
        <v>491286.35999999905</v>
      </c>
    </row>
    <row r="992" spans="1:14" x14ac:dyDescent="0.2">
      <c r="A992" s="73" t="s">
        <v>757</v>
      </c>
      <c r="B992" s="3">
        <f t="shared" si="60"/>
        <v>2025</v>
      </c>
      <c r="C992" s="3">
        <f t="shared" si="61"/>
        <v>6</v>
      </c>
      <c r="D992" s="73" t="s">
        <v>300</v>
      </c>
      <c r="E992" s="2"/>
      <c r="F992" s="2" t="s">
        <v>299</v>
      </c>
      <c r="G992" s="2"/>
      <c r="H992" s="2" t="s">
        <v>298</v>
      </c>
      <c r="I992" s="2" t="s">
        <v>297</v>
      </c>
      <c r="J992" s="2" t="s">
        <v>296</v>
      </c>
      <c r="K992" s="72">
        <v>2497.3000000000002</v>
      </c>
      <c r="L992" s="39"/>
      <c r="M992" s="72">
        <f t="shared" si="62"/>
        <v>-2497.3000000000002</v>
      </c>
      <c r="N992" s="72">
        <f t="shared" si="63"/>
        <v>488789.05999999907</v>
      </c>
    </row>
    <row r="993" spans="1:14" x14ac:dyDescent="0.2">
      <c r="A993" s="3" t="s">
        <v>758</v>
      </c>
      <c r="B993" s="3">
        <f t="shared" si="60"/>
        <v>2025</v>
      </c>
      <c r="C993" s="3">
        <f t="shared" si="61"/>
        <v>6</v>
      </c>
      <c r="D993" s="73" t="s">
        <v>893</v>
      </c>
      <c r="E993" s="2"/>
      <c r="F993" s="2" t="s">
        <v>304</v>
      </c>
      <c r="G993" s="2" t="s">
        <v>929</v>
      </c>
      <c r="H993" s="2" t="s">
        <v>1027</v>
      </c>
      <c r="I993" s="1" t="s">
        <v>316</v>
      </c>
      <c r="J993" s="2" t="s">
        <v>17</v>
      </c>
      <c r="K993" s="146">
        <v>60.18</v>
      </c>
      <c r="L993" s="146"/>
      <c r="M993" s="146">
        <f t="shared" si="62"/>
        <v>-60.18</v>
      </c>
      <c r="N993" s="72">
        <f t="shared" si="63"/>
        <v>488728.87999999907</v>
      </c>
    </row>
    <row r="994" spans="1:14" x14ac:dyDescent="0.2">
      <c r="A994" s="3" t="s">
        <v>758</v>
      </c>
      <c r="B994" s="3">
        <f t="shared" si="60"/>
        <v>2025</v>
      </c>
      <c r="C994" s="3">
        <f t="shared" si="61"/>
        <v>6</v>
      </c>
      <c r="D994" s="73" t="s">
        <v>893</v>
      </c>
      <c r="E994" s="2"/>
      <c r="F994" s="2" t="s">
        <v>304</v>
      </c>
      <c r="G994" s="2" t="s">
        <v>936</v>
      </c>
      <c r="H994" s="2" t="s">
        <v>937</v>
      </c>
      <c r="I994" s="2" t="s">
        <v>316</v>
      </c>
      <c r="J994" s="2" t="s">
        <v>22</v>
      </c>
      <c r="K994" s="146">
        <v>851.37</v>
      </c>
      <c r="L994" s="146"/>
      <c r="M994" s="146">
        <f t="shared" si="62"/>
        <v>-851.37</v>
      </c>
      <c r="N994" s="72">
        <f t="shared" si="63"/>
        <v>487877.50999999908</v>
      </c>
    </row>
    <row r="995" spans="1:14" x14ac:dyDescent="0.2">
      <c r="A995" s="73" t="s">
        <v>758</v>
      </c>
      <c r="B995" s="3">
        <f t="shared" si="60"/>
        <v>2025</v>
      </c>
      <c r="C995" s="3">
        <f t="shared" si="61"/>
        <v>6</v>
      </c>
      <c r="D995" s="73" t="s">
        <v>300</v>
      </c>
      <c r="E995" s="2"/>
      <c r="F995" s="2" t="s">
        <v>304</v>
      </c>
      <c r="G995" s="2" t="s">
        <v>336</v>
      </c>
      <c r="H995" s="2" t="s">
        <v>766</v>
      </c>
      <c r="I995" s="2" t="s">
        <v>301</v>
      </c>
      <c r="J995" s="2" t="s">
        <v>11</v>
      </c>
      <c r="K995" s="72">
        <v>25</v>
      </c>
      <c r="L995" s="39"/>
      <c r="M995" s="72">
        <f t="shared" si="62"/>
        <v>-25</v>
      </c>
      <c r="N995" s="72">
        <f t="shared" si="63"/>
        <v>487852.50999999908</v>
      </c>
    </row>
    <row r="996" spans="1:14" x14ac:dyDescent="0.2">
      <c r="A996" s="73" t="s">
        <v>758</v>
      </c>
      <c r="B996" s="3">
        <f t="shared" si="60"/>
        <v>2025</v>
      </c>
      <c r="C996" s="3">
        <f t="shared" si="61"/>
        <v>6</v>
      </c>
      <c r="D996" s="73" t="s">
        <v>300</v>
      </c>
      <c r="E996" s="2"/>
      <c r="F996" s="2" t="s">
        <v>304</v>
      </c>
      <c r="G996" s="2" t="s">
        <v>311</v>
      </c>
      <c r="H996" s="2" t="s">
        <v>310</v>
      </c>
      <c r="I996" s="2" t="s">
        <v>301</v>
      </c>
      <c r="J996" s="2" t="s">
        <v>11</v>
      </c>
      <c r="K996" s="72">
        <v>895.63</v>
      </c>
      <c r="L996" s="39"/>
      <c r="M996" s="72">
        <f t="shared" si="62"/>
        <v>-895.63</v>
      </c>
      <c r="N996" s="72">
        <f t="shared" si="63"/>
        <v>486956.87999999907</v>
      </c>
    </row>
    <row r="997" spans="1:14" x14ac:dyDescent="0.2">
      <c r="A997" s="73" t="s">
        <v>758</v>
      </c>
      <c r="B997" s="3">
        <f t="shared" si="60"/>
        <v>2025</v>
      </c>
      <c r="C997" s="3">
        <f t="shared" si="61"/>
        <v>6</v>
      </c>
      <c r="D997" s="73" t="s">
        <v>300</v>
      </c>
      <c r="E997" s="2"/>
      <c r="F997" s="2" t="s">
        <v>314</v>
      </c>
      <c r="G997" s="2" t="s">
        <v>728</v>
      </c>
      <c r="H997" s="2" t="s">
        <v>836</v>
      </c>
      <c r="I997" s="2" t="s">
        <v>312</v>
      </c>
      <c r="J997" s="2" t="s">
        <v>840</v>
      </c>
      <c r="K997" s="72">
        <v>6562.47</v>
      </c>
      <c r="L997" s="39"/>
      <c r="M997" s="72">
        <f t="shared" si="62"/>
        <v>-6562.47</v>
      </c>
      <c r="N997" s="72">
        <f t="shared" si="63"/>
        <v>480394.4099999991</v>
      </c>
    </row>
    <row r="998" spans="1:14" x14ac:dyDescent="0.2">
      <c r="A998" s="3" t="s">
        <v>758</v>
      </c>
      <c r="B998" s="3">
        <f t="shared" si="60"/>
        <v>2025</v>
      </c>
      <c r="C998" s="3">
        <f t="shared" si="61"/>
        <v>6</v>
      </c>
      <c r="D998" s="73" t="s">
        <v>893</v>
      </c>
      <c r="E998" s="2"/>
      <c r="F998" s="2" t="s">
        <v>314</v>
      </c>
      <c r="G998" s="2" t="s">
        <v>728</v>
      </c>
      <c r="H998" s="2" t="s">
        <v>894</v>
      </c>
      <c r="I998" s="1" t="s">
        <v>312</v>
      </c>
      <c r="J998" s="1" t="s">
        <v>840</v>
      </c>
      <c r="K998" s="146"/>
      <c r="L998" s="146">
        <v>6562.47</v>
      </c>
      <c r="M998" s="146">
        <f t="shared" si="62"/>
        <v>6562.47</v>
      </c>
      <c r="N998" s="72">
        <f t="shared" si="63"/>
        <v>486956.87999999907</v>
      </c>
    </row>
    <row r="999" spans="1:14" x14ac:dyDescent="0.2">
      <c r="A999" s="3" t="s">
        <v>758</v>
      </c>
      <c r="B999" s="3">
        <f t="shared" si="60"/>
        <v>2025</v>
      </c>
      <c r="C999" s="3">
        <f t="shared" si="61"/>
        <v>6</v>
      </c>
      <c r="D999" s="73" t="s">
        <v>893</v>
      </c>
      <c r="E999" s="2"/>
      <c r="F999" s="2" t="s">
        <v>304</v>
      </c>
      <c r="G999" s="2" t="s">
        <v>978</v>
      </c>
      <c r="H999" s="2" t="s">
        <v>956</v>
      </c>
      <c r="I999" s="2" t="s">
        <v>316</v>
      </c>
      <c r="J999" s="2" t="s">
        <v>22</v>
      </c>
      <c r="K999" s="146">
        <v>21.1</v>
      </c>
      <c r="L999" s="146"/>
      <c r="M999" s="146">
        <f t="shared" si="62"/>
        <v>-21.1</v>
      </c>
      <c r="N999" s="72">
        <f t="shared" si="63"/>
        <v>486935.7799999991</v>
      </c>
    </row>
    <row r="1000" spans="1:14" x14ac:dyDescent="0.2">
      <c r="A1000" s="73" t="s">
        <v>758</v>
      </c>
      <c r="B1000" s="3">
        <f t="shared" si="60"/>
        <v>2025</v>
      </c>
      <c r="C1000" s="3">
        <f t="shared" si="61"/>
        <v>6</v>
      </c>
      <c r="D1000" s="73" t="s">
        <v>300</v>
      </c>
      <c r="E1000" s="2"/>
      <c r="F1000" s="2" t="s">
        <v>304</v>
      </c>
      <c r="G1000" s="2" t="s">
        <v>303</v>
      </c>
      <c r="H1000" s="2" t="s">
        <v>302</v>
      </c>
      <c r="I1000" s="2" t="s">
        <v>301</v>
      </c>
      <c r="J1000" s="2" t="s">
        <v>11</v>
      </c>
      <c r="K1000" s="72">
        <v>208.34</v>
      </c>
      <c r="L1000" s="39"/>
      <c r="M1000" s="72">
        <f t="shared" si="62"/>
        <v>-208.34</v>
      </c>
      <c r="N1000" s="72">
        <f t="shared" si="63"/>
        <v>486727.43999999907</v>
      </c>
    </row>
    <row r="1001" spans="1:14" x14ac:dyDescent="0.2">
      <c r="A1001" s="73" t="s">
        <v>758</v>
      </c>
      <c r="B1001" s="3">
        <f t="shared" si="60"/>
        <v>2025</v>
      </c>
      <c r="C1001" s="3">
        <f t="shared" si="61"/>
        <v>6</v>
      </c>
      <c r="D1001" s="73" t="s">
        <v>300</v>
      </c>
      <c r="E1001" s="2"/>
      <c r="F1001" s="2" t="s">
        <v>299</v>
      </c>
      <c r="G1001" s="2"/>
      <c r="H1001" s="2" t="s">
        <v>298</v>
      </c>
      <c r="I1001" s="2" t="s">
        <v>297</v>
      </c>
      <c r="J1001" s="2" t="s">
        <v>296</v>
      </c>
      <c r="K1001" s="72"/>
      <c r="L1001" s="39">
        <v>7691.44</v>
      </c>
      <c r="M1001" s="72">
        <f t="shared" si="62"/>
        <v>7691.44</v>
      </c>
      <c r="N1001" s="72">
        <f t="shared" si="63"/>
        <v>494418.87999999907</v>
      </c>
    </row>
    <row r="1002" spans="1:14" x14ac:dyDescent="0.2">
      <c r="A1002" s="3" t="s">
        <v>759</v>
      </c>
      <c r="B1002" s="3">
        <f t="shared" si="60"/>
        <v>2025</v>
      </c>
      <c r="C1002" s="3">
        <f t="shared" si="61"/>
        <v>6</v>
      </c>
      <c r="D1002" s="73" t="s">
        <v>893</v>
      </c>
      <c r="E1002" s="2"/>
      <c r="F1002" s="2" t="s">
        <v>304</v>
      </c>
      <c r="G1002" s="2" t="s">
        <v>909</v>
      </c>
      <c r="H1002" s="2" t="s">
        <v>910</v>
      </c>
      <c r="I1002" s="1" t="s">
        <v>316</v>
      </c>
      <c r="J1002" s="1" t="s">
        <v>28</v>
      </c>
      <c r="K1002" s="146">
        <v>114.13</v>
      </c>
      <c r="L1002" s="146"/>
      <c r="M1002" s="146">
        <f t="shared" si="62"/>
        <v>-114.13</v>
      </c>
      <c r="N1002" s="72">
        <f t="shared" si="63"/>
        <v>494304.74999999907</v>
      </c>
    </row>
    <row r="1003" spans="1:14" x14ac:dyDescent="0.2">
      <c r="A1003" s="73" t="s">
        <v>759</v>
      </c>
      <c r="B1003" s="3">
        <f t="shared" si="60"/>
        <v>2025</v>
      </c>
      <c r="C1003" s="3">
        <f t="shared" si="61"/>
        <v>6</v>
      </c>
      <c r="D1003" s="73" t="s">
        <v>300</v>
      </c>
      <c r="E1003" s="2"/>
      <c r="F1003" s="2" t="s">
        <v>304</v>
      </c>
      <c r="G1003" s="2" t="s">
        <v>336</v>
      </c>
      <c r="H1003" s="2" t="s">
        <v>766</v>
      </c>
      <c r="I1003" s="2" t="s">
        <v>301</v>
      </c>
      <c r="J1003" s="2" t="s">
        <v>11</v>
      </c>
      <c r="K1003" s="72">
        <v>50</v>
      </c>
      <c r="L1003" s="39"/>
      <c r="M1003" s="72">
        <f t="shared" si="62"/>
        <v>-50</v>
      </c>
      <c r="N1003" s="72">
        <f t="shared" si="63"/>
        <v>494254.74999999907</v>
      </c>
    </row>
    <row r="1004" spans="1:14" x14ac:dyDescent="0.2">
      <c r="A1004" s="73" t="s">
        <v>759</v>
      </c>
      <c r="B1004" s="3">
        <f t="shared" si="60"/>
        <v>2025</v>
      </c>
      <c r="C1004" s="3">
        <f t="shared" si="61"/>
        <v>6</v>
      </c>
      <c r="D1004" s="73" t="s">
        <v>300</v>
      </c>
      <c r="E1004" s="2"/>
      <c r="F1004" s="2" t="s">
        <v>325</v>
      </c>
      <c r="G1004" s="2" t="s">
        <v>693</v>
      </c>
      <c r="H1004" s="2" t="s">
        <v>323</v>
      </c>
      <c r="I1004" s="2" t="s">
        <v>316</v>
      </c>
      <c r="J1004" s="2" t="s">
        <v>22</v>
      </c>
      <c r="K1004" s="72">
        <v>30</v>
      </c>
      <c r="L1004" s="39"/>
      <c r="M1004" s="72">
        <f t="shared" si="62"/>
        <v>-30</v>
      </c>
      <c r="N1004" s="72">
        <f t="shared" si="63"/>
        <v>494224.74999999907</v>
      </c>
    </row>
    <row r="1005" spans="1:14" x14ac:dyDescent="0.2">
      <c r="A1005" s="73" t="s">
        <v>759</v>
      </c>
      <c r="B1005" s="3">
        <f t="shared" si="60"/>
        <v>2025</v>
      </c>
      <c r="C1005" s="3">
        <f t="shared" si="61"/>
        <v>6</v>
      </c>
      <c r="D1005" s="73" t="s">
        <v>300</v>
      </c>
      <c r="E1005" s="2"/>
      <c r="F1005" s="2" t="s">
        <v>314</v>
      </c>
      <c r="G1005" s="2" t="s">
        <v>341</v>
      </c>
      <c r="H1005" s="2" t="s">
        <v>340</v>
      </c>
      <c r="I1005" s="2" t="s">
        <v>312</v>
      </c>
      <c r="J1005" s="2" t="s">
        <v>16</v>
      </c>
      <c r="K1005" s="72">
        <v>957.06</v>
      </c>
      <c r="L1005" s="39"/>
      <c r="M1005" s="72">
        <f t="shared" si="62"/>
        <v>-957.06</v>
      </c>
      <c r="N1005" s="72">
        <f t="shared" si="63"/>
        <v>493267.68999999907</v>
      </c>
    </row>
    <row r="1006" spans="1:14" x14ac:dyDescent="0.2">
      <c r="A1006" s="73" t="s">
        <v>759</v>
      </c>
      <c r="B1006" s="3">
        <f t="shared" si="60"/>
        <v>2025</v>
      </c>
      <c r="C1006" s="3">
        <f t="shared" si="61"/>
        <v>6</v>
      </c>
      <c r="D1006" s="73" t="s">
        <v>300</v>
      </c>
      <c r="E1006" s="2"/>
      <c r="F1006" s="2" t="s">
        <v>321</v>
      </c>
      <c r="G1006" s="2" t="s">
        <v>521</v>
      </c>
      <c r="H1006" s="2" t="s">
        <v>319</v>
      </c>
      <c r="I1006" s="2" t="s">
        <v>315</v>
      </c>
      <c r="J1006" s="2" t="s">
        <v>23</v>
      </c>
      <c r="K1006" s="72"/>
      <c r="L1006" s="39">
        <v>2855</v>
      </c>
      <c r="M1006" s="72">
        <f t="shared" si="62"/>
        <v>2855</v>
      </c>
      <c r="N1006" s="72">
        <f t="shared" si="63"/>
        <v>496122.68999999907</v>
      </c>
    </row>
    <row r="1007" spans="1:14" x14ac:dyDescent="0.2">
      <c r="A1007" s="73" t="s">
        <v>759</v>
      </c>
      <c r="B1007" s="3">
        <f t="shared" si="60"/>
        <v>2025</v>
      </c>
      <c r="C1007" s="3">
        <f t="shared" si="61"/>
        <v>6</v>
      </c>
      <c r="D1007" s="73" t="s">
        <v>300</v>
      </c>
      <c r="E1007" s="2"/>
      <c r="F1007" s="2" t="s">
        <v>325</v>
      </c>
      <c r="G1007" s="2" t="s">
        <v>837</v>
      </c>
      <c r="H1007" s="2" t="s">
        <v>323</v>
      </c>
      <c r="I1007" s="2" t="s">
        <v>316</v>
      </c>
      <c r="J1007" s="2" t="s">
        <v>22</v>
      </c>
      <c r="K1007" s="72">
        <v>119.99</v>
      </c>
      <c r="L1007" s="39"/>
      <c r="M1007" s="72">
        <f t="shared" si="62"/>
        <v>-119.99</v>
      </c>
      <c r="N1007" s="72">
        <f t="shared" si="63"/>
        <v>496002.69999999908</v>
      </c>
    </row>
    <row r="1008" spans="1:14" x14ac:dyDescent="0.2">
      <c r="A1008" s="3" t="s">
        <v>759</v>
      </c>
      <c r="B1008" s="3">
        <f t="shared" si="60"/>
        <v>2025</v>
      </c>
      <c r="C1008" s="3">
        <f t="shared" si="61"/>
        <v>6</v>
      </c>
      <c r="D1008" s="73" t="s">
        <v>893</v>
      </c>
      <c r="E1008" s="2"/>
      <c r="F1008" s="2" t="s">
        <v>304</v>
      </c>
      <c r="G1008" s="2" t="s">
        <v>975</v>
      </c>
      <c r="H1008" s="2" t="s">
        <v>1001</v>
      </c>
      <c r="I1008" s="2" t="s">
        <v>316</v>
      </c>
      <c r="J1008" s="2" t="s">
        <v>22</v>
      </c>
      <c r="K1008" s="146">
        <v>12.45</v>
      </c>
      <c r="L1008" s="146"/>
      <c r="M1008" s="146">
        <f t="shared" si="62"/>
        <v>-12.45</v>
      </c>
      <c r="N1008" s="72">
        <f t="shared" si="63"/>
        <v>495990.24999999907</v>
      </c>
    </row>
    <row r="1009" spans="1:14" x14ac:dyDescent="0.2">
      <c r="A1009" s="73" t="s">
        <v>759</v>
      </c>
      <c r="B1009" s="3">
        <f t="shared" si="60"/>
        <v>2025</v>
      </c>
      <c r="C1009" s="3">
        <f t="shared" si="61"/>
        <v>6</v>
      </c>
      <c r="D1009" s="73" t="s">
        <v>300</v>
      </c>
      <c r="E1009" s="2"/>
      <c r="F1009" s="2" t="s">
        <v>325</v>
      </c>
      <c r="G1009" s="2" t="s">
        <v>736</v>
      </c>
      <c r="H1009" s="2" t="s">
        <v>323</v>
      </c>
      <c r="I1009" s="2" t="s">
        <v>316</v>
      </c>
      <c r="J1009" s="2" t="s">
        <v>22</v>
      </c>
      <c r="K1009" s="72">
        <v>100</v>
      </c>
      <c r="L1009" s="39"/>
      <c r="M1009" s="72">
        <f t="shared" si="62"/>
        <v>-100</v>
      </c>
      <c r="N1009" s="72">
        <f t="shared" si="63"/>
        <v>495890.24999999907</v>
      </c>
    </row>
    <row r="1010" spans="1:14" x14ac:dyDescent="0.2">
      <c r="A1010" s="3" t="s">
        <v>759</v>
      </c>
      <c r="B1010" s="3">
        <f t="shared" si="60"/>
        <v>2025</v>
      </c>
      <c r="C1010" s="3">
        <f t="shared" si="61"/>
        <v>6</v>
      </c>
      <c r="D1010" s="73" t="s">
        <v>893</v>
      </c>
      <c r="E1010" s="2"/>
      <c r="F1010" s="2" t="s">
        <v>304</v>
      </c>
      <c r="G1010" s="2" t="s">
        <v>925</v>
      </c>
      <c r="H1010" s="2" t="s">
        <v>884</v>
      </c>
      <c r="I1010" s="2" t="s">
        <v>316</v>
      </c>
      <c r="J1010" s="2" t="s">
        <v>22</v>
      </c>
      <c r="K1010" s="146">
        <v>20</v>
      </c>
      <c r="L1010" s="146"/>
      <c r="M1010" s="146">
        <f t="shared" si="62"/>
        <v>-20</v>
      </c>
      <c r="N1010" s="72">
        <f t="shared" si="63"/>
        <v>495870.24999999907</v>
      </c>
    </row>
    <row r="1011" spans="1:14" x14ac:dyDescent="0.2">
      <c r="A1011" s="3" t="s">
        <v>759</v>
      </c>
      <c r="B1011" s="3">
        <f t="shared" si="60"/>
        <v>2025</v>
      </c>
      <c r="C1011" s="3">
        <f t="shared" si="61"/>
        <v>6</v>
      </c>
      <c r="D1011" s="73" t="s">
        <v>893</v>
      </c>
      <c r="E1011" s="2"/>
      <c r="F1011" s="2" t="s">
        <v>304</v>
      </c>
      <c r="G1011" s="2" t="s">
        <v>925</v>
      </c>
      <c r="H1011" s="2" t="s">
        <v>884</v>
      </c>
      <c r="I1011" s="2" t="s">
        <v>316</v>
      </c>
      <c r="J1011" s="2" t="s">
        <v>22</v>
      </c>
      <c r="K1011" s="146">
        <v>260.48</v>
      </c>
      <c r="L1011" s="146"/>
      <c r="M1011" s="146">
        <f t="shared" si="62"/>
        <v>-260.48</v>
      </c>
      <c r="N1011" s="72">
        <f t="shared" si="63"/>
        <v>495609.76999999909</v>
      </c>
    </row>
    <row r="1012" spans="1:14" x14ac:dyDescent="0.2">
      <c r="A1012" s="3" t="s">
        <v>759</v>
      </c>
      <c r="B1012" s="3">
        <f t="shared" si="60"/>
        <v>2025</v>
      </c>
      <c r="C1012" s="3">
        <f t="shared" si="61"/>
        <v>6</v>
      </c>
      <c r="D1012" s="73" t="s">
        <v>893</v>
      </c>
      <c r="E1012" s="2"/>
      <c r="F1012" s="2" t="s">
        <v>304</v>
      </c>
      <c r="G1012" s="2" t="s">
        <v>925</v>
      </c>
      <c r="H1012" s="2" t="s">
        <v>884</v>
      </c>
      <c r="I1012" s="2" t="s">
        <v>316</v>
      </c>
      <c r="J1012" s="2" t="s">
        <v>22</v>
      </c>
      <c r="K1012" s="146">
        <v>188.19</v>
      </c>
      <c r="L1012" s="146"/>
      <c r="M1012" s="146">
        <f t="shared" si="62"/>
        <v>-188.19</v>
      </c>
      <c r="N1012" s="72">
        <f t="shared" si="63"/>
        <v>495421.57999999908</v>
      </c>
    </row>
    <row r="1013" spans="1:14" x14ac:dyDescent="0.2">
      <c r="A1013" s="3" t="s">
        <v>759</v>
      </c>
      <c r="B1013" s="3">
        <f t="shared" si="60"/>
        <v>2025</v>
      </c>
      <c r="C1013" s="3">
        <f t="shared" si="61"/>
        <v>6</v>
      </c>
      <c r="D1013" s="73" t="s">
        <v>893</v>
      </c>
      <c r="E1013" s="2"/>
      <c r="F1013" s="2" t="s">
        <v>304</v>
      </c>
      <c r="G1013" s="2" t="s">
        <v>925</v>
      </c>
      <c r="H1013" s="2" t="s">
        <v>884</v>
      </c>
      <c r="I1013" s="2" t="s">
        <v>316</v>
      </c>
      <c r="J1013" s="2" t="s">
        <v>22</v>
      </c>
      <c r="K1013" s="146">
        <v>215</v>
      </c>
      <c r="L1013" s="146"/>
      <c r="M1013" s="146">
        <f t="shared" si="62"/>
        <v>-215</v>
      </c>
      <c r="N1013" s="72">
        <f t="shared" si="63"/>
        <v>495206.57999999908</v>
      </c>
    </row>
    <row r="1014" spans="1:14" x14ac:dyDescent="0.2">
      <c r="A1014" s="3" t="s">
        <v>759</v>
      </c>
      <c r="B1014" s="3">
        <f t="shared" si="60"/>
        <v>2025</v>
      </c>
      <c r="C1014" s="3">
        <f t="shared" si="61"/>
        <v>6</v>
      </c>
      <c r="D1014" s="73" t="s">
        <v>893</v>
      </c>
      <c r="E1014" s="2"/>
      <c r="F1014" s="2" t="s">
        <v>304</v>
      </c>
      <c r="G1014" s="2" t="s">
        <v>925</v>
      </c>
      <c r="H1014" s="2" t="s">
        <v>884</v>
      </c>
      <c r="I1014" s="2" t="s">
        <v>316</v>
      </c>
      <c r="J1014" s="2" t="s">
        <v>22</v>
      </c>
      <c r="K1014" s="146">
        <v>20.2</v>
      </c>
      <c r="L1014" s="146"/>
      <c r="M1014" s="146">
        <f t="shared" si="62"/>
        <v>-20.2</v>
      </c>
      <c r="N1014" s="72">
        <f t="shared" si="63"/>
        <v>495186.37999999907</v>
      </c>
    </row>
    <row r="1015" spans="1:14" x14ac:dyDescent="0.2">
      <c r="A1015" s="3" t="s">
        <v>759</v>
      </c>
      <c r="B1015" s="3">
        <f t="shared" si="60"/>
        <v>2025</v>
      </c>
      <c r="C1015" s="3">
        <f t="shared" si="61"/>
        <v>6</v>
      </c>
      <c r="D1015" s="73" t="s">
        <v>893</v>
      </c>
      <c r="E1015" s="2"/>
      <c r="F1015" s="2" t="s">
        <v>304</v>
      </c>
      <c r="G1015" s="2" t="s">
        <v>978</v>
      </c>
      <c r="H1015" s="2" t="s">
        <v>956</v>
      </c>
      <c r="I1015" s="2" t="s">
        <v>316</v>
      </c>
      <c r="J1015" s="2" t="s">
        <v>22</v>
      </c>
      <c r="K1015" s="146">
        <v>11.82</v>
      </c>
      <c r="L1015" s="146"/>
      <c r="M1015" s="146">
        <f t="shared" si="62"/>
        <v>-11.82</v>
      </c>
      <c r="N1015" s="72">
        <f t="shared" si="63"/>
        <v>495174.55999999907</v>
      </c>
    </row>
    <row r="1016" spans="1:14" x14ac:dyDescent="0.2">
      <c r="A1016" s="3" t="s">
        <v>759</v>
      </c>
      <c r="B1016" s="3">
        <f t="shared" si="60"/>
        <v>2025</v>
      </c>
      <c r="C1016" s="3">
        <f t="shared" si="61"/>
        <v>6</v>
      </c>
      <c r="D1016" s="73" t="s">
        <v>893</v>
      </c>
      <c r="E1016" s="2"/>
      <c r="F1016" s="2" t="s">
        <v>304</v>
      </c>
      <c r="G1016" s="2" t="s">
        <v>979</v>
      </c>
      <c r="H1016" s="2" t="s">
        <v>956</v>
      </c>
      <c r="I1016" s="2" t="s">
        <v>316</v>
      </c>
      <c r="J1016" s="2" t="s">
        <v>22</v>
      </c>
      <c r="K1016" s="146">
        <v>59.85</v>
      </c>
      <c r="L1016" s="146"/>
      <c r="M1016" s="146">
        <f t="shared" si="62"/>
        <v>-59.85</v>
      </c>
      <c r="N1016" s="72">
        <f t="shared" si="63"/>
        <v>495114.70999999909</v>
      </c>
    </row>
    <row r="1017" spans="1:14" x14ac:dyDescent="0.2">
      <c r="A1017" s="3" t="s">
        <v>759</v>
      </c>
      <c r="B1017" s="3">
        <f t="shared" si="60"/>
        <v>2025</v>
      </c>
      <c r="C1017" s="3">
        <f t="shared" si="61"/>
        <v>6</v>
      </c>
      <c r="D1017" s="73" t="s">
        <v>893</v>
      </c>
      <c r="E1017" s="2"/>
      <c r="F1017" s="2" t="s">
        <v>304</v>
      </c>
      <c r="G1017" s="2" t="s">
        <v>913</v>
      </c>
      <c r="H1017" s="2" t="s">
        <v>937</v>
      </c>
      <c r="I1017" s="2" t="s">
        <v>316</v>
      </c>
      <c r="J1017" s="2" t="s">
        <v>22</v>
      </c>
      <c r="K1017" s="146">
        <v>20.96</v>
      </c>
      <c r="L1017" s="146"/>
      <c r="M1017" s="146">
        <f t="shared" si="62"/>
        <v>-20.96</v>
      </c>
      <c r="N1017" s="72">
        <f t="shared" si="63"/>
        <v>495093.74999999907</v>
      </c>
    </row>
    <row r="1018" spans="1:14" x14ac:dyDescent="0.2">
      <c r="A1018" s="3" t="s">
        <v>759</v>
      </c>
      <c r="B1018" s="3">
        <f t="shared" si="60"/>
        <v>2025</v>
      </c>
      <c r="C1018" s="3">
        <f t="shared" si="61"/>
        <v>6</v>
      </c>
      <c r="D1018" s="73" t="s">
        <v>893</v>
      </c>
      <c r="E1018" s="2"/>
      <c r="F1018" s="2" t="s">
        <v>304</v>
      </c>
      <c r="G1018" s="2" t="s">
        <v>953</v>
      </c>
      <c r="H1018" s="2" t="s">
        <v>992</v>
      </c>
      <c r="I1018" s="2" t="s">
        <v>316</v>
      </c>
      <c r="J1018" s="2" t="s">
        <v>22</v>
      </c>
      <c r="K1018" s="146">
        <v>366.96</v>
      </c>
      <c r="L1018" s="146"/>
      <c r="M1018" s="146">
        <f t="shared" si="62"/>
        <v>-366.96</v>
      </c>
      <c r="N1018" s="72">
        <f t="shared" si="63"/>
        <v>494726.78999999905</v>
      </c>
    </row>
    <row r="1019" spans="1:14" x14ac:dyDescent="0.2">
      <c r="A1019" s="73" t="s">
        <v>759</v>
      </c>
      <c r="B1019" s="3">
        <f t="shared" si="60"/>
        <v>2025</v>
      </c>
      <c r="C1019" s="3">
        <f t="shared" si="61"/>
        <v>6</v>
      </c>
      <c r="D1019" s="73" t="s">
        <v>300</v>
      </c>
      <c r="E1019" s="2"/>
      <c r="F1019" s="2" t="s">
        <v>304</v>
      </c>
      <c r="G1019" s="2" t="s">
        <v>303</v>
      </c>
      <c r="H1019" s="2" t="s">
        <v>302</v>
      </c>
      <c r="I1019" s="2" t="s">
        <v>301</v>
      </c>
      <c r="J1019" s="2" t="s">
        <v>11</v>
      </c>
      <c r="K1019" s="72">
        <v>89.61</v>
      </c>
      <c r="L1019" s="39"/>
      <c r="M1019" s="72">
        <f t="shared" si="62"/>
        <v>-89.61</v>
      </c>
      <c r="N1019" s="72">
        <f t="shared" si="63"/>
        <v>494637.17999999906</v>
      </c>
    </row>
    <row r="1020" spans="1:14" x14ac:dyDescent="0.2">
      <c r="A1020" s="73" t="s">
        <v>759</v>
      </c>
      <c r="B1020" s="3">
        <f t="shared" si="60"/>
        <v>2025</v>
      </c>
      <c r="C1020" s="3">
        <f t="shared" si="61"/>
        <v>6</v>
      </c>
      <c r="D1020" s="73" t="s">
        <v>300</v>
      </c>
      <c r="E1020" s="2"/>
      <c r="F1020" s="2" t="s">
        <v>299</v>
      </c>
      <c r="G1020" s="2"/>
      <c r="H1020" s="2" t="s">
        <v>298</v>
      </c>
      <c r="I1020" s="2" t="s">
        <v>297</v>
      </c>
      <c r="J1020" s="2" t="s">
        <v>296</v>
      </c>
      <c r="K1020" s="72">
        <v>1758.33</v>
      </c>
      <c r="L1020" s="39"/>
      <c r="M1020" s="72">
        <f t="shared" si="62"/>
        <v>-1758.33</v>
      </c>
      <c r="N1020" s="72">
        <f t="shared" si="63"/>
        <v>492878.84999999905</v>
      </c>
    </row>
    <row r="1021" spans="1:14" x14ac:dyDescent="0.2">
      <c r="A1021" s="3" t="s">
        <v>950</v>
      </c>
      <c r="B1021" s="3">
        <f t="shared" si="60"/>
        <v>2025</v>
      </c>
      <c r="C1021" s="3">
        <f t="shared" si="61"/>
        <v>6</v>
      </c>
      <c r="D1021" s="73" t="s">
        <v>893</v>
      </c>
      <c r="E1021" s="2"/>
      <c r="F1021" s="2" t="s">
        <v>304</v>
      </c>
      <c r="G1021" s="2" t="s">
        <v>1000</v>
      </c>
      <c r="H1021" s="2" t="s">
        <v>1001</v>
      </c>
      <c r="I1021" s="2" t="s">
        <v>316</v>
      </c>
      <c r="J1021" s="2" t="s">
        <v>22</v>
      </c>
      <c r="K1021" s="146">
        <v>6.36</v>
      </c>
      <c r="L1021" s="146"/>
      <c r="M1021" s="146">
        <f t="shared" si="62"/>
        <v>-6.36</v>
      </c>
      <c r="N1021" s="72">
        <f t="shared" si="63"/>
        <v>492872.48999999906</v>
      </c>
    </row>
    <row r="1022" spans="1:14" x14ac:dyDescent="0.2">
      <c r="A1022" s="3" t="s">
        <v>950</v>
      </c>
      <c r="B1022" s="3">
        <f t="shared" si="60"/>
        <v>2025</v>
      </c>
      <c r="C1022" s="3">
        <f t="shared" si="61"/>
        <v>6</v>
      </c>
      <c r="D1022" s="73" t="s">
        <v>893</v>
      </c>
      <c r="E1022" s="2"/>
      <c r="F1022" s="2" t="s">
        <v>304</v>
      </c>
      <c r="G1022" s="2" t="s">
        <v>961</v>
      </c>
      <c r="H1022" s="2" t="s">
        <v>956</v>
      </c>
      <c r="I1022" s="2" t="s">
        <v>316</v>
      </c>
      <c r="J1022" s="2" t="s">
        <v>22</v>
      </c>
      <c r="K1022" s="146">
        <v>22.9</v>
      </c>
      <c r="L1022" s="146"/>
      <c r="M1022" s="146">
        <f t="shared" si="62"/>
        <v>-22.9</v>
      </c>
      <c r="N1022" s="72">
        <f t="shared" si="63"/>
        <v>492849.58999999904</v>
      </c>
    </row>
    <row r="1023" spans="1:14" x14ac:dyDescent="0.2">
      <c r="A1023" s="3" t="s">
        <v>950</v>
      </c>
      <c r="B1023" s="3">
        <f t="shared" si="60"/>
        <v>2025</v>
      </c>
      <c r="C1023" s="3">
        <f t="shared" si="61"/>
        <v>6</v>
      </c>
      <c r="D1023" s="73" t="s">
        <v>893</v>
      </c>
      <c r="E1023" s="2"/>
      <c r="F1023" s="2" t="s">
        <v>304</v>
      </c>
      <c r="G1023" s="2" t="s">
        <v>1012</v>
      </c>
      <c r="H1023" s="2" t="s">
        <v>1007</v>
      </c>
      <c r="I1023" s="1" t="s">
        <v>316</v>
      </c>
      <c r="J1023" s="2" t="s">
        <v>17</v>
      </c>
      <c r="K1023" s="146">
        <v>1.06</v>
      </c>
      <c r="L1023" s="146"/>
      <c r="M1023" s="146">
        <f t="shared" si="62"/>
        <v>-1.06</v>
      </c>
      <c r="N1023" s="72">
        <f t="shared" si="63"/>
        <v>492848.52999999904</v>
      </c>
    </row>
    <row r="1024" spans="1:14" x14ac:dyDescent="0.2">
      <c r="A1024" s="3" t="s">
        <v>950</v>
      </c>
      <c r="B1024" s="3">
        <f t="shared" si="60"/>
        <v>2025</v>
      </c>
      <c r="C1024" s="3">
        <f t="shared" si="61"/>
        <v>6</v>
      </c>
      <c r="D1024" s="73" t="s">
        <v>893</v>
      </c>
      <c r="E1024" s="2"/>
      <c r="F1024" s="2" t="s">
        <v>304</v>
      </c>
      <c r="G1024" s="2" t="s">
        <v>1002</v>
      </c>
      <c r="H1024" s="2" t="s">
        <v>1001</v>
      </c>
      <c r="I1024" s="2" t="s">
        <v>316</v>
      </c>
      <c r="J1024" s="2" t="s">
        <v>22</v>
      </c>
      <c r="K1024" s="146">
        <v>244.84</v>
      </c>
      <c r="L1024" s="146"/>
      <c r="M1024" s="146">
        <f t="shared" si="62"/>
        <v>-244.84</v>
      </c>
      <c r="N1024" s="72">
        <f t="shared" si="63"/>
        <v>492603.68999999901</v>
      </c>
    </row>
    <row r="1025" spans="1:14" x14ac:dyDescent="0.2">
      <c r="A1025" s="3" t="s">
        <v>950</v>
      </c>
      <c r="B1025" s="3">
        <f t="shared" si="60"/>
        <v>2025</v>
      </c>
      <c r="C1025" s="3">
        <f t="shared" si="61"/>
        <v>6</v>
      </c>
      <c r="D1025" s="73" t="s">
        <v>893</v>
      </c>
      <c r="E1025" s="2"/>
      <c r="F1025" s="2" t="s">
        <v>304</v>
      </c>
      <c r="G1025" s="2" t="s">
        <v>975</v>
      </c>
      <c r="H1025" s="2" t="s">
        <v>956</v>
      </c>
      <c r="I1025" s="2" t="s">
        <v>316</v>
      </c>
      <c r="J1025" s="2" t="s">
        <v>22</v>
      </c>
      <c r="K1025" s="146">
        <v>10.79</v>
      </c>
      <c r="L1025" s="146"/>
      <c r="M1025" s="146">
        <f t="shared" si="62"/>
        <v>-10.79</v>
      </c>
      <c r="N1025" s="72">
        <f t="shared" si="63"/>
        <v>492592.89999999903</v>
      </c>
    </row>
    <row r="1026" spans="1:14" x14ac:dyDescent="0.2">
      <c r="A1026" s="3" t="s">
        <v>950</v>
      </c>
      <c r="B1026" s="3">
        <f t="shared" ref="B1026:B1089" si="64">YEAR(A1026)</f>
        <v>2025</v>
      </c>
      <c r="C1026" s="3">
        <f t="shared" ref="C1026:C1089" si="65">MONTH(A1026)</f>
        <v>6</v>
      </c>
      <c r="D1026" s="73" t="s">
        <v>893</v>
      </c>
      <c r="E1026" s="2"/>
      <c r="F1026" s="2" t="s">
        <v>304</v>
      </c>
      <c r="G1026" s="2" t="s">
        <v>1003</v>
      </c>
      <c r="H1026" s="2" t="s">
        <v>1001</v>
      </c>
      <c r="I1026" s="2" t="s">
        <v>316</v>
      </c>
      <c r="J1026" s="2" t="s">
        <v>22</v>
      </c>
      <c r="K1026" s="146">
        <v>25.16</v>
      </c>
      <c r="L1026" s="146"/>
      <c r="M1026" s="146">
        <f t="shared" ref="M1026:M1089" si="66">IF(ISBLANK(L1026),K1026*-1,L1026)</f>
        <v>-25.16</v>
      </c>
      <c r="N1026" s="72">
        <f t="shared" si="63"/>
        <v>492567.73999999906</v>
      </c>
    </row>
    <row r="1027" spans="1:14" x14ac:dyDescent="0.2">
      <c r="A1027" s="3" t="s">
        <v>950</v>
      </c>
      <c r="B1027" s="3">
        <f t="shared" si="64"/>
        <v>2025</v>
      </c>
      <c r="C1027" s="3">
        <f t="shared" si="65"/>
        <v>6</v>
      </c>
      <c r="D1027" s="73" t="s">
        <v>893</v>
      </c>
      <c r="E1027" s="2"/>
      <c r="F1027" s="2" t="s">
        <v>304</v>
      </c>
      <c r="G1027" s="2" t="s">
        <v>996</v>
      </c>
      <c r="H1027" s="2" t="s">
        <v>992</v>
      </c>
      <c r="I1027" s="2" t="s">
        <v>316</v>
      </c>
      <c r="J1027" s="2" t="s">
        <v>22</v>
      </c>
      <c r="K1027" s="146">
        <v>90</v>
      </c>
      <c r="L1027" s="146"/>
      <c r="M1027" s="146">
        <f t="shared" si="66"/>
        <v>-90</v>
      </c>
      <c r="N1027" s="72">
        <f t="shared" ref="N1027:N1090" si="67">+N1026+M1027</f>
        <v>492477.73999999906</v>
      </c>
    </row>
    <row r="1028" spans="1:14" x14ac:dyDescent="0.2">
      <c r="A1028" s="3" t="s">
        <v>950</v>
      </c>
      <c r="B1028" s="3">
        <f t="shared" si="64"/>
        <v>2025</v>
      </c>
      <c r="C1028" s="3">
        <f t="shared" si="65"/>
        <v>6</v>
      </c>
      <c r="D1028" s="73" t="s">
        <v>893</v>
      </c>
      <c r="E1028" s="2"/>
      <c r="F1028" s="2" t="s">
        <v>304</v>
      </c>
      <c r="G1028" s="2" t="s">
        <v>913</v>
      </c>
      <c r="H1028" s="2" t="s">
        <v>937</v>
      </c>
      <c r="I1028" s="2" t="s">
        <v>316</v>
      </c>
      <c r="J1028" s="2" t="s">
        <v>22</v>
      </c>
      <c r="K1028" s="146">
        <v>66.97</v>
      </c>
      <c r="L1028" s="146"/>
      <c r="M1028" s="146">
        <f t="shared" si="66"/>
        <v>-66.97</v>
      </c>
      <c r="N1028" s="72">
        <f t="shared" si="67"/>
        <v>492410.76999999909</v>
      </c>
    </row>
    <row r="1029" spans="1:14" x14ac:dyDescent="0.2">
      <c r="A1029" s="3" t="s">
        <v>950</v>
      </c>
      <c r="B1029" s="3">
        <f t="shared" si="64"/>
        <v>2025</v>
      </c>
      <c r="C1029" s="3">
        <f t="shared" si="65"/>
        <v>6</v>
      </c>
      <c r="D1029" s="73" t="s">
        <v>893</v>
      </c>
      <c r="E1029" s="2"/>
      <c r="F1029" s="2" t="s">
        <v>304</v>
      </c>
      <c r="G1029" s="2" t="s">
        <v>913</v>
      </c>
      <c r="H1029" s="2" t="s">
        <v>992</v>
      </c>
      <c r="I1029" s="2" t="s">
        <v>316</v>
      </c>
      <c r="J1029" s="2" t="s">
        <v>22</v>
      </c>
      <c r="K1029" s="146">
        <v>76.02</v>
      </c>
      <c r="L1029" s="146"/>
      <c r="M1029" s="146">
        <f t="shared" si="66"/>
        <v>-76.02</v>
      </c>
      <c r="N1029" s="72">
        <f t="shared" si="67"/>
        <v>492334.74999999907</v>
      </c>
    </row>
    <row r="1030" spans="1:14" x14ac:dyDescent="0.2">
      <c r="A1030" s="3" t="s">
        <v>950</v>
      </c>
      <c r="B1030" s="3">
        <f t="shared" si="64"/>
        <v>2025</v>
      </c>
      <c r="C1030" s="3">
        <f t="shared" si="65"/>
        <v>6</v>
      </c>
      <c r="D1030" s="73" t="s">
        <v>893</v>
      </c>
      <c r="E1030" s="2"/>
      <c r="F1030" s="2" t="s">
        <v>304</v>
      </c>
      <c r="G1030" s="2" t="s">
        <v>998</v>
      </c>
      <c r="H1030" s="2" t="s">
        <v>992</v>
      </c>
      <c r="I1030" s="2" t="s">
        <v>316</v>
      </c>
      <c r="J1030" s="2" t="s">
        <v>22</v>
      </c>
      <c r="K1030" s="146">
        <v>172.92</v>
      </c>
      <c r="L1030" s="146"/>
      <c r="M1030" s="146">
        <f t="shared" si="66"/>
        <v>-172.92</v>
      </c>
      <c r="N1030" s="72">
        <f t="shared" si="67"/>
        <v>492161.82999999908</v>
      </c>
    </row>
    <row r="1031" spans="1:14" x14ac:dyDescent="0.2">
      <c r="A1031" s="73" t="s">
        <v>760</v>
      </c>
      <c r="B1031" s="3">
        <f t="shared" si="64"/>
        <v>2025</v>
      </c>
      <c r="C1031" s="3">
        <f t="shared" si="65"/>
        <v>6</v>
      </c>
      <c r="D1031" s="73" t="s">
        <v>300</v>
      </c>
      <c r="E1031" s="2"/>
      <c r="F1031" s="2" t="s">
        <v>309</v>
      </c>
      <c r="G1031" s="2" t="s">
        <v>838</v>
      </c>
      <c r="H1031" s="2" t="s">
        <v>346</v>
      </c>
      <c r="I1031" s="2" t="s">
        <v>315</v>
      </c>
      <c r="J1031" s="2" t="s">
        <v>23</v>
      </c>
      <c r="K1031" s="72"/>
      <c r="L1031" s="39">
        <v>9987</v>
      </c>
      <c r="M1031" s="72">
        <f t="shared" si="66"/>
        <v>9987</v>
      </c>
      <c r="N1031" s="72">
        <f t="shared" si="67"/>
        <v>502148.82999999908</v>
      </c>
    </row>
    <row r="1032" spans="1:14" x14ac:dyDescent="0.2">
      <c r="A1032" s="3" t="s">
        <v>760</v>
      </c>
      <c r="B1032" s="3">
        <f t="shared" si="64"/>
        <v>2025</v>
      </c>
      <c r="C1032" s="3">
        <f t="shared" si="65"/>
        <v>6</v>
      </c>
      <c r="D1032" s="73" t="s">
        <v>893</v>
      </c>
      <c r="E1032" s="2"/>
      <c r="F1032" s="2" t="s">
        <v>938</v>
      </c>
      <c r="G1032" s="2" t="s">
        <v>936</v>
      </c>
      <c r="H1032" s="2" t="s">
        <v>937</v>
      </c>
      <c r="I1032" s="2" t="s">
        <v>316</v>
      </c>
      <c r="J1032" s="2" t="s">
        <v>22</v>
      </c>
      <c r="K1032" s="146"/>
      <c r="L1032" s="146">
        <v>95</v>
      </c>
      <c r="M1032" s="146">
        <f t="shared" si="66"/>
        <v>95</v>
      </c>
      <c r="N1032" s="72">
        <f t="shared" si="67"/>
        <v>502243.82999999908</v>
      </c>
    </row>
    <row r="1033" spans="1:14" x14ac:dyDescent="0.2">
      <c r="A1033" s="73" t="s">
        <v>760</v>
      </c>
      <c r="B1033" s="3">
        <f t="shared" si="64"/>
        <v>2025</v>
      </c>
      <c r="C1033" s="3">
        <f t="shared" si="65"/>
        <v>6</v>
      </c>
      <c r="D1033" s="73" t="s">
        <v>300</v>
      </c>
      <c r="E1033" s="2"/>
      <c r="F1033" s="2" t="s">
        <v>304</v>
      </c>
      <c r="G1033" s="2" t="s">
        <v>336</v>
      </c>
      <c r="H1033" s="2" t="s">
        <v>766</v>
      </c>
      <c r="I1033" s="2" t="s">
        <v>301</v>
      </c>
      <c r="J1033" s="2" t="s">
        <v>11</v>
      </c>
      <c r="K1033" s="72">
        <v>124.1</v>
      </c>
      <c r="L1033" s="39"/>
      <c r="M1033" s="72">
        <f t="shared" si="66"/>
        <v>-124.1</v>
      </c>
      <c r="N1033" s="72">
        <f t="shared" si="67"/>
        <v>502119.72999999911</v>
      </c>
    </row>
    <row r="1034" spans="1:14" x14ac:dyDescent="0.2">
      <c r="A1034" s="3" t="s">
        <v>760</v>
      </c>
      <c r="B1034" s="3">
        <f t="shared" si="64"/>
        <v>2025</v>
      </c>
      <c r="C1034" s="3">
        <f t="shared" si="65"/>
        <v>6</v>
      </c>
      <c r="D1034" s="73" t="s">
        <v>893</v>
      </c>
      <c r="E1034" s="2"/>
      <c r="F1034" s="2" t="s">
        <v>304</v>
      </c>
      <c r="G1034" s="2" t="s">
        <v>994</v>
      </c>
      <c r="H1034" s="2" t="s">
        <v>992</v>
      </c>
      <c r="I1034" s="2" t="s">
        <v>316</v>
      </c>
      <c r="J1034" s="2" t="s">
        <v>22</v>
      </c>
      <c r="K1034" s="146">
        <v>70</v>
      </c>
      <c r="L1034" s="146"/>
      <c r="M1034" s="146">
        <f t="shared" si="66"/>
        <v>-70</v>
      </c>
      <c r="N1034" s="72">
        <f t="shared" si="67"/>
        <v>502049.72999999911</v>
      </c>
    </row>
    <row r="1035" spans="1:14" x14ac:dyDescent="0.2">
      <c r="A1035" s="3" t="s">
        <v>760</v>
      </c>
      <c r="B1035" s="3">
        <f t="shared" si="64"/>
        <v>2025</v>
      </c>
      <c r="C1035" s="3">
        <f t="shared" si="65"/>
        <v>6</v>
      </c>
      <c r="D1035" s="73" t="s">
        <v>893</v>
      </c>
      <c r="E1035" s="2"/>
      <c r="F1035" s="2" t="s">
        <v>304</v>
      </c>
      <c r="G1035" s="2" t="s">
        <v>965</v>
      </c>
      <c r="H1035" s="2" t="s">
        <v>956</v>
      </c>
      <c r="I1035" s="2" t="s">
        <v>316</v>
      </c>
      <c r="J1035" s="2" t="s">
        <v>22</v>
      </c>
      <c r="K1035" s="146">
        <v>17.100000000000001</v>
      </c>
      <c r="L1035" s="146"/>
      <c r="M1035" s="146">
        <f t="shared" si="66"/>
        <v>-17.100000000000001</v>
      </c>
      <c r="N1035" s="72">
        <f t="shared" si="67"/>
        <v>502032.62999999913</v>
      </c>
    </row>
    <row r="1036" spans="1:14" x14ac:dyDescent="0.2">
      <c r="A1036" s="73" t="s">
        <v>760</v>
      </c>
      <c r="B1036" s="3">
        <f t="shared" si="64"/>
        <v>2025</v>
      </c>
      <c r="C1036" s="3">
        <f t="shared" si="65"/>
        <v>6</v>
      </c>
      <c r="D1036" s="73" t="s">
        <v>300</v>
      </c>
      <c r="E1036" s="2"/>
      <c r="F1036" s="2" t="s">
        <v>325</v>
      </c>
      <c r="G1036" s="2" t="s">
        <v>837</v>
      </c>
      <c r="H1036" s="2" t="s">
        <v>323</v>
      </c>
      <c r="I1036" s="2" t="s">
        <v>316</v>
      </c>
      <c r="J1036" s="2" t="s">
        <v>22</v>
      </c>
      <c r="K1036" s="72">
        <v>13.44</v>
      </c>
      <c r="L1036" s="39"/>
      <c r="M1036" s="72">
        <f t="shared" si="66"/>
        <v>-13.44</v>
      </c>
      <c r="N1036" s="72">
        <f t="shared" si="67"/>
        <v>502019.18999999913</v>
      </c>
    </row>
    <row r="1037" spans="1:14" x14ac:dyDescent="0.2">
      <c r="A1037" s="73" t="s">
        <v>760</v>
      </c>
      <c r="B1037" s="3">
        <f t="shared" si="64"/>
        <v>2025</v>
      </c>
      <c r="C1037" s="3">
        <f t="shared" si="65"/>
        <v>6</v>
      </c>
      <c r="D1037" s="73" t="s">
        <v>300</v>
      </c>
      <c r="E1037" s="2"/>
      <c r="F1037" s="2" t="s">
        <v>325</v>
      </c>
      <c r="G1037" s="2" t="s">
        <v>837</v>
      </c>
      <c r="H1037" s="2" t="s">
        <v>323</v>
      </c>
      <c r="I1037" s="2" t="s">
        <v>316</v>
      </c>
      <c r="J1037" s="2" t="s">
        <v>22</v>
      </c>
      <c r="K1037" s="72">
        <v>29.34</v>
      </c>
      <c r="L1037" s="39"/>
      <c r="M1037" s="72">
        <f t="shared" si="66"/>
        <v>-29.34</v>
      </c>
      <c r="N1037" s="72">
        <f t="shared" si="67"/>
        <v>501989.8499999991</v>
      </c>
    </row>
    <row r="1038" spans="1:14" x14ac:dyDescent="0.2">
      <c r="A1038" s="73" t="s">
        <v>760</v>
      </c>
      <c r="B1038" s="3">
        <f t="shared" si="64"/>
        <v>2025</v>
      </c>
      <c r="C1038" s="3">
        <f t="shared" si="65"/>
        <v>6</v>
      </c>
      <c r="D1038" s="73" t="s">
        <v>300</v>
      </c>
      <c r="E1038" s="2"/>
      <c r="F1038" s="2" t="s">
        <v>325</v>
      </c>
      <c r="G1038" s="2" t="s">
        <v>837</v>
      </c>
      <c r="H1038" s="2" t="s">
        <v>323</v>
      </c>
      <c r="I1038" s="2" t="s">
        <v>316</v>
      </c>
      <c r="J1038" s="2" t="s">
        <v>22</v>
      </c>
      <c r="K1038" s="72">
        <v>488.36</v>
      </c>
      <c r="L1038" s="39"/>
      <c r="M1038" s="72">
        <f t="shared" si="66"/>
        <v>-488.36</v>
      </c>
      <c r="N1038" s="72">
        <f t="shared" si="67"/>
        <v>501501.48999999912</v>
      </c>
    </row>
    <row r="1039" spans="1:14" x14ac:dyDescent="0.2">
      <c r="A1039" s="3" t="s">
        <v>760</v>
      </c>
      <c r="B1039" s="3">
        <f t="shared" si="64"/>
        <v>2025</v>
      </c>
      <c r="C1039" s="3">
        <f t="shared" si="65"/>
        <v>6</v>
      </c>
      <c r="D1039" s="73" t="s">
        <v>893</v>
      </c>
      <c r="E1039" s="2"/>
      <c r="F1039" s="2" t="s">
        <v>304</v>
      </c>
      <c r="G1039" s="2" t="s">
        <v>1021</v>
      </c>
      <c r="H1039" s="2" t="s">
        <v>1007</v>
      </c>
      <c r="I1039" s="1" t="s">
        <v>316</v>
      </c>
      <c r="J1039" s="2" t="s">
        <v>17</v>
      </c>
      <c r="K1039" s="146">
        <v>78</v>
      </c>
      <c r="L1039" s="146"/>
      <c r="M1039" s="146">
        <f t="shared" si="66"/>
        <v>-78</v>
      </c>
      <c r="N1039" s="72">
        <f t="shared" si="67"/>
        <v>501423.48999999912</v>
      </c>
    </row>
    <row r="1040" spans="1:14" x14ac:dyDescent="0.2">
      <c r="A1040" s="3" t="s">
        <v>760</v>
      </c>
      <c r="B1040" s="3">
        <f t="shared" si="64"/>
        <v>2025</v>
      </c>
      <c r="C1040" s="3">
        <f t="shared" si="65"/>
        <v>6</v>
      </c>
      <c r="D1040" s="73" t="s">
        <v>893</v>
      </c>
      <c r="E1040" s="2"/>
      <c r="F1040" s="2" t="s">
        <v>304</v>
      </c>
      <c r="G1040" s="2" t="s">
        <v>1021</v>
      </c>
      <c r="H1040" s="2" t="s">
        <v>1007</v>
      </c>
      <c r="I1040" s="1" t="s">
        <v>316</v>
      </c>
      <c r="J1040" s="2" t="s">
        <v>17</v>
      </c>
      <c r="K1040" s="146">
        <v>15</v>
      </c>
      <c r="L1040" s="146"/>
      <c r="M1040" s="146">
        <f t="shared" si="66"/>
        <v>-15</v>
      </c>
      <c r="N1040" s="72">
        <f t="shared" si="67"/>
        <v>501408.48999999912</v>
      </c>
    </row>
    <row r="1041" spans="1:14" x14ac:dyDescent="0.2">
      <c r="A1041" s="73" t="s">
        <v>760</v>
      </c>
      <c r="B1041" s="3">
        <f t="shared" si="64"/>
        <v>2025</v>
      </c>
      <c r="C1041" s="3">
        <f t="shared" si="65"/>
        <v>6</v>
      </c>
      <c r="D1041" s="73" t="s">
        <v>300</v>
      </c>
      <c r="E1041" s="2"/>
      <c r="F1041" s="2" t="s">
        <v>304</v>
      </c>
      <c r="G1041" s="2" t="s">
        <v>317</v>
      </c>
      <c r="H1041" s="2" t="s">
        <v>349</v>
      </c>
      <c r="I1041" s="2" t="s">
        <v>297</v>
      </c>
      <c r="J1041" s="2" t="s">
        <v>26</v>
      </c>
      <c r="K1041" s="72">
        <v>339.81</v>
      </c>
      <c r="L1041" s="39"/>
      <c r="M1041" s="72">
        <f t="shared" si="66"/>
        <v>-339.81</v>
      </c>
      <c r="N1041" s="72">
        <f t="shared" si="67"/>
        <v>501068.67999999912</v>
      </c>
    </row>
    <row r="1042" spans="1:14" x14ac:dyDescent="0.2">
      <c r="A1042" s="73" t="s">
        <v>760</v>
      </c>
      <c r="B1042" s="3">
        <f t="shared" si="64"/>
        <v>2025</v>
      </c>
      <c r="C1042" s="3">
        <f t="shared" si="65"/>
        <v>6</v>
      </c>
      <c r="D1042" s="73" t="s">
        <v>300</v>
      </c>
      <c r="E1042" s="2"/>
      <c r="F1042" s="2" t="s">
        <v>325</v>
      </c>
      <c r="G1042" s="2" t="s">
        <v>379</v>
      </c>
      <c r="H1042" s="2" t="s">
        <v>323</v>
      </c>
      <c r="I1042" s="2" t="s">
        <v>316</v>
      </c>
      <c r="J1042" s="2" t="s">
        <v>32</v>
      </c>
      <c r="K1042" s="72">
        <v>287.5</v>
      </c>
      <c r="L1042" s="39"/>
      <c r="M1042" s="72">
        <f t="shared" si="66"/>
        <v>-287.5</v>
      </c>
      <c r="N1042" s="72">
        <f t="shared" si="67"/>
        <v>500781.17999999912</v>
      </c>
    </row>
    <row r="1043" spans="1:14" x14ac:dyDescent="0.2">
      <c r="A1043" s="73" t="s">
        <v>760</v>
      </c>
      <c r="B1043" s="3">
        <f t="shared" si="64"/>
        <v>2025</v>
      </c>
      <c r="C1043" s="3">
        <f t="shared" si="65"/>
        <v>6</v>
      </c>
      <c r="D1043" s="73" t="s">
        <v>300</v>
      </c>
      <c r="E1043" s="2"/>
      <c r="F1043" s="2" t="s">
        <v>304</v>
      </c>
      <c r="G1043" s="2" t="s">
        <v>327</v>
      </c>
      <c r="H1043" s="2" t="s">
        <v>326</v>
      </c>
      <c r="I1043" s="2" t="s">
        <v>316</v>
      </c>
      <c r="J1043" s="2" t="s">
        <v>18</v>
      </c>
      <c r="K1043" s="72">
        <v>1332.89</v>
      </c>
      <c r="L1043" s="39"/>
      <c r="M1043" s="72">
        <f t="shared" si="66"/>
        <v>-1332.89</v>
      </c>
      <c r="N1043" s="72">
        <f t="shared" si="67"/>
        <v>499448.28999999911</v>
      </c>
    </row>
    <row r="1044" spans="1:14" x14ac:dyDescent="0.2">
      <c r="A1044" s="73" t="s">
        <v>760</v>
      </c>
      <c r="B1044" s="3">
        <f t="shared" si="64"/>
        <v>2025</v>
      </c>
      <c r="C1044" s="3">
        <f t="shared" si="65"/>
        <v>6</v>
      </c>
      <c r="D1044" s="73" t="s">
        <v>300</v>
      </c>
      <c r="E1044" s="2"/>
      <c r="F1044" s="2" t="s">
        <v>325</v>
      </c>
      <c r="G1044" s="2" t="s">
        <v>374</v>
      </c>
      <c r="H1044" s="2" t="s">
        <v>323</v>
      </c>
      <c r="I1044" s="2" t="s">
        <v>316</v>
      </c>
      <c r="J1044" s="2" t="s">
        <v>29</v>
      </c>
      <c r="K1044" s="72">
        <v>3818</v>
      </c>
      <c r="L1044" s="39"/>
      <c r="M1044" s="72">
        <f t="shared" si="66"/>
        <v>-3818</v>
      </c>
      <c r="N1044" s="72">
        <f t="shared" si="67"/>
        <v>495630.28999999911</v>
      </c>
    </row>
    <row r="1045" spans="1:14" x14ac:dyDescent="0.2">
      <c r="A1045" s="73" t="s">
        <v>760</v>
      </c>
      <c r="B1045" s="3">
        <f t="shared" si="64"/>
        <v>2025</v>
      </c>
      <c r="C1045" s="3">
        <f t="shared" si="65"/>
        <v>6</v>
      </c>
      <c r="D1045" s="73" t="s">
        <v>300</v>
      </c>
      <c r="E1045" s="2"/>
      <c r="F1045" s="2" t="s">
        <v>325</v>
      </c>
      <c r="G1045" s="2" t="s">
        <v>733</v>
      </c>
      <c r="H1045" s="2" t="s">
        <v>323</v>
      </c>
      <c r="I1045" s="2" t="s">
        <v>316</v>
      </c>
      <c r="J1045" s="2" t="s">
        <v>22</v>
      </c>
      <c r="K1045" s="72">
        <v>6832.56</v>
      </c>
      <c r="L1045" s="39"/>
      <c r="M1045" s="72">
        <f t="shared" si="66"/>
        <v>-6832.56</v>
      </c>
      <c r="N1045" s="72">
        <f t="shared" si="67"/>
        <v>488797.72999999911</v>
      </c>
    </row>
    <row r="1046" spans="1:14" x14ac:dyDescent="0.2">
      <c r="A1046" s="73" t="s">
        <v>760</v>
      </c>
      <c r="B1046" s="3">
        <f t="shared" si="64"/>
        <v>2025</v>
      </c>
      <c r="C1046" s="3">
        <f t="shared" si="65"/>
        <v>6</v>
      </c>
      <c r="D1046" s="73" t="s">
        <v>300</v>
      </c>
      <c r="E1046" s="2"/>
      <c r="F1046" s="2" t="s">
        <v>325</v>
      </c>
      <c r="G1046" s="2" t="s">
        <v>733</v>
      </c>
      <c r="H1046" s="2" t="s">
        <v>323</v>
      </c>
      <c r="I1046" s="2" t="s">
        <v>316</v>
      </c>
      <c r="J1046" s="2" t="s">
        <v>22</v>
      </c>
      <c r="K1046" s="72">
        <v>6206.23</v>
      </c>
      <c r="L1046" s="39"/>
      <c r="M1046" s="72">
        <f t="shared" si="66"/>
        <v>-6206.23</v>
      </c>
      <c r="N1046" s="72">
        <f t="shared" si="67"/>
        <v>482591.49999999913</v>
      </c>
    </row>
    <row r="1047" spans="1:14" x14ac:dyDescent="0.2">
      <c r="A1047" s="73" t="s">
        <v>760</v>
      </c>
      <c r="B1047" s="3">
        <f t="shared" si="64"/>
        <v>2025</v>
      </c>
      <c r="C1047" s="3">
        <f t="shared" si="65"/>
        <v>6</v>
      </c>
      <c r="D1047" s="73" t="s">
        <v>300</v>
      </c>
      <c r="E1047" s="2"/>
      <c r="F1047" s="2" t="s">
        <v>299</v>
      </c>
      <c r="G1047" s="2"/>
      <c r="H1047" s="2" t="s">
        <v>298</v>
      </c>
      <c r="I1047" s="2" t="s">
        <v>297</v>
      </c>
      <c r="J1047" s="2" t="s">
        <v>296</v>
      </c>
      <c r="K1047" s="72"/>
      <c r="L1047" s="39">
        <v>18851.27</v>
      </c>
      <c r="M1047" s="72">
        <f t="shared" si="66"/>
        <v>18851.27</v>
      </c>
      <c r="N1047" s="72">
        <f t="shared" si="67"/>
        <v>501442.76999999915</v>
      </c>
    </row>
    <row r="1048" spans="1:14" x14ac:dyDescent="0.2">
      <c r="A1048" s="3" t="s">
        <v>1020</v>
      </c>
      <c r="B1048" s="3">
        <f t="shared" si="64"/>
        <v>2025</v>
      </c>
      <c r="C1048" s="3">
        <f t="shared" si="65"/>
        <v>6</v>
      </c>
      <c r="D1048" s="73" t="s">
        <v>893</v>
      </c>
      <c r="E1048" s="2"/>
      <c r="F1048" s="2" t="s">
        <v>304</v>
      </c>
      <c r="G1048" s="2" t="s">
        <v>1019</v>
      </c>
      <c r="H1048" s="2" t="s">
        <v>1007</v>
      </c>
      <c r="I1048" s="1" t="s">
        <v>316</v>
      </c>
      <c r="J1048" s="2" t="s">
        <v>17</v>
      </c>
      <c r="K1048" s="146">
        <v>372.28</v>
      </c>
      <c r="L1048" s="146"/>
      <c r="M1048" s="146">
        <f t="shared" si="66"/>
        <v>-372.28</v>
      </c>
      <c r="N1048" s="72">
        <f t="shared" si="67"/>
        <v>501070.48999999912</v>
      </c>
    </row>
    <row r="1049" spans="1:14" x14ac:dyDescent="0.2">
      <c r="A1049" s="3" t="s">
        <v>1020</v>
      </c>
      <c r="B1049" s="3">
        <f t="shared" si="64"/>
        <v>2025</v>
      </c>
      <c r="C1049" s="3">
        <f t="shared" si="65"/>
        <v>6</v>
      </c>
      <c r="D1049" s="73" t="s">
        <v>893</v>
      </c>
      <c r="E1049" s="2"/>
      <c r="F1049" s="2" t="s">
        <v>304</v>
      </c>
      <c r="G1049" s="2" t="s">
        <v>1026</v>
      </c>
      <c r="H1049" s="2" t="s">
        <v>1007</v>
      </c>
      <c r="I1049" s="1" t="s">
        <v>316</v>
      </c>
      <c r="J1049" s="2" t="s">
        <v>17</v>
      </c>
      <c r="K1049" s="146">
        <v>16.989999999999998</v>
      </c>
      <c r="L1049" s="146"/>
      <c r="M1049" s="146">
        <f t="shared" si="66"/>
        <v>-16.989999999999998</v>
      </c>
      <c r="N1049" s="72">
        <f t="shared" si="67"/>
        <v>501053.49999999913</v>
      </c>
    </row>
    <row r="1050" spans="1:14" x14ac:dyDescent="0.2">
      <c r="A1050" s="3" t="s">
        <v>902</v>
      </c>
      <c r="B1050" s="3">
        <f t="shared" si="64"/>
        <v>2025</v>
      </c>
      <c r="C1050" s="3">
        <f t="shared" si="65"/>
        <v>6</v>
      </c>
      <c r="D1050" s="73" t="s">
        <v>893</v>
      </c>
      <c r="E1050" s="2"/>
      <c r="F1050" s="2" t="s">
        <v>304</v>
      </c>
      <c r="G1050" s="2" t="s">
        <v>900</v>
      </c>
      <c r="H1050" s="2" t="s">
        <v>901</v>
      </c>
      <c r="I1050" s="1" t="s">
        <v>316</v>
      </c>
      <c r="J1050" s="2" t="s">
        <v>17</v>
      </c>
      <c r="K1050" s="146">
        <v>20</v>
      </c>
      <c r="L1050" s="146"/>
      <c r="M1050" s="146">
        <f t="shared" si="66"/>
        <v>-20</v>
      </c>
      <c r="N1050" s="72">
        <f t="shared" si="67"/>
        <v>501033.49999999913</v>
      </c>
    </row>
    <row r="1051" spans="1:14" x14ac:dyDescent="0.2">
      <c r="A1051" s="73" t="s">
        <v>761</v>
      </c>
      <c r="B1051" s="3">
        <f t="shared" si="64"/>
        <v>2025</v>
      </c>
      <c r="C1051" s="3">
        <f t="shared" si="65"/>
        <v>6</v>
      </c>
      <c r="D1051" s="73" t="s">
        <v>300</v>
      </c>
      <c r="E1051" s="2"/>
      <c r="F1051" s="2" t="s">
        <v>304</v>
      </c>
      <c r="G1051" s="2" t="s">
        <v>334</v>
      </c>
      <c r="H1051" s="2" t="s">
        <v>333</v>
      </c>
      <c r="I1051" s="2" t="s">
        <v>301</v>
      </c>
      <c r="J1051" s="2" t="s">
        <v>11</v>
      </c>
      <c r="K1051" s="72">
        <v>1463.18</v>
      </c>
      <c r="L1051" s="39"/>
      <c r="M1051" s="72">
        <f t="shared" si="66"/>
        <v>-1463.18</v>
      </c>
      <c r="N1051" s="72">
        <f t="shared" si="67"/>
        <v>499570.31999999913</v>
      </c>
    </row>
    <row r="1052" spans="1:14" x14ac:dyDescent="0.2">
      <c r="A1052" s="73" t="s">
        <v>761</v>
      </c>
      <c r="B1052" s="3">
        <f t="shared" si="64"/>
        <v>2025</v>
      </c>
      <c r="C1052" s="3">
        <f t="shared" si="65"/>
        <v>6</v>
      </c>
      <c r="D1052" s="73" t="s">
        <v>300</v>
      </c>
      <c r="E1052" s="2"/>
      <c r="F1052" s="2" t="s">
        <v>325</v>
      </c>
      <c r="G1052" s="2" t="s">
        <v>324</v>
      </c>
      <c r="H1052" s="2" t="s">
        <v>323</v>
      </c>
      <c r="I1052" s="2" t="s">
        <v>316</v>
      </c>
      <c r="J1052" s="2" t="s">
        <v>17</v>
      </c>
      <c r="K1052" s="72">
        <v>3061.89</v>
      </c>
      <c r="L1052" s="39"/>
      <c r="M1052" s="72">
        <f t="shared" si="66"/>
        <v>-3061.89</v>
      </c>
      <c r="N1052" s="72">
        <f t="shared" si="67"/>
        <v>496508.42999999912</v>
      </c>
    </row>
    <row r="1053" spans="1:14" x14ac:dyDescent="0.2">
      <c r="A1053" s="73" t="s">
        <v>761</v>
      </c>
      <c r="B1053" s="3">
        <f t="shared" si="64"/>
        <v>2025</v>
      </c>
      <c r="C1053" s="3">
        <f t="shared" si="65"/>
        <v>6</v>
      </c>
      <c r="D1053" s="73" t="s">
        <v>300</v>
      </c>
      <c r="E1053" s="2"/>
      <c r="F1053" s="2" t="s">
        <v>325</v>
      </c>
      <c r="G1053" s="2" t="s">
        <v>837</v>
      </c>
      <c r="H1053" s="2" t="s">
        <v>323</v>
      </c>
      <c r="I1053" s="2" t="s">
        <v>316</v>
      </c>
      <c r="J1053" s="2" t="s">
        <v>22</v>
      </c>
      <c r="K1053" s="72">
        <v>304.99</v>
      </c>
      <c r="L1053" s="39"/>
      <c r="M1053" s="72">
        <f t="shared" si="66"/>
        <v>-304.99</v>
      </c>
      <c r="N1053" s="72">
        <f t="shared" si="67"/>
        <v>496203.43999999913</v>
      </c>
    </row>
    <row r="1054" spans="1:14" x14ac:dyDescent="0.2">
      <c r="A1054" s="73" t="s">
        <v>761</v>
      </c>
      <c r="B1054" s="3">
        <f t="shared" si="64"/>
        <v>2025</v>
      </c>
      <c r="C1054" s="3">
        <f t="shared" si="65"/>
        <v>6</v>
      </c>
      <c r="D1054" s="73" t="s">
        <v>300</v>
      </c>
      <c r="E1054" s="2"/>
      <c r="F1054" s="2" t="s">
        <v>325</v>
      </c>
      <c r="G1054" s="2" t="s">
        <v>837</v>
      </c>
      <c r="H1054" s="2" t="s">
        <v>323</v>
      </c>
      <c r="I1054" s="2" t="s">
        <v>316</v>
      </c>
      <c r="J1054" s="2" t="s">
        <v>22</v>
      </c>
      <c r="K1054" s="72">
        <v>23.6</v>
      </c>
      <c r="L1054" s="39"/>
      <c r="M1054" s="72">
        <f t="shared" si="66"/>
        <v>-23.6</v>
      </c>
      <c r="N1054" s="72">
        <f t="shared" si="67"/>
        <v>496179.83999999915</v>
      </c>
    </row>
    <row r="1055" spans="1:14" x14ac:dyDescent="0.2">
      <c r="A1055" s="73" t="s">
        <v>761</v>
      </c>
      <c r="B1055" s="3">
        <f t="shared" si="64"/>
        <v>2025</v>
      </c>
      <c r="C1055" s="3">
        <f t="shared" si="65"/>
        <v>6</v>
      </c>
      <c r="D1055" s="73" t="s">
        <v>300</v>
      </c>
      <c r="E1055" s="2"/>
      <c r="F1055" s="2" t="s">
        <v>304</v>
      </c>
      <c r="G1055" s="2" t="s">
        <v>327</v>
      </c>
      <c r="H1055" s="2" t="s">
        <v>326</v>
      </c>
      <c r="I1055" s="2" t="s">
        <v>316</v>
      </c>
      <c r="J1055" s="2" t="s">
        <v>18</v>
      </c>
      <c r="K1055" s="72">
        <v>1706.6</v>
      </c>
      <c r="L1055" s="39"/>
      <c r="M1055" s="72">
        <f t="shared" si="66"/>
        <v>-1706.6</v>
      </c>
      <c r="N1055" s="72">
        <f t="shared" si="67"/>
        <v>494473.23999999918</v>
      </c>
    </row>
    <row r="1056" spans="1:14" x14ac:dyDescent="0.2">
      <c r="A1056" s="73" t="s">
        <v>761</v>
      </c>
      <c r="B1056" s="3">
        <f t="shared" si="64"/>
        <v>2025</v>
      </c>
      <c r="C1056" s="3">
        <f t="shared" si="65"/>
        <v>6</v>
      </c>
      <c r="D1056" s="73" t="s">
        <v>300</v>
      </c>
      <c r="E1056" s="2"/>
      <c r="F1056" s="2" t="s">
        <v>325</v>
      </c>
      <c r="G1056" s="2" t="s">
        <v>733</v>
      </c>
      <c r="H1056" s="2" t="s">
        <v>323</v>
      </c>
      <c r="I1056" s="2" t="s">
        <v>316</v>
      </c>
      <c r="J1056" s="2" t="s">
        <v>22</v>
      </c>
      <c r="K1056" s="72">
        <v>4762.0600000000004</v>
      </c>
      <c r="L1056" s="39"/>
      <c r="M1056" s="72">
        <f t="shared" si="66"/>
        <v>-4762.0600000000004</v>
      </c>
      <c r="N1056" s="72">
        <f t="shared" si="67"/>
        <v>489711.17999999918</v>
      </c>
    </row>
    <row r="1057" spans="1:14" x14ac:dyDescent="0.2">
      <c r="A1057" s="73" t="s">
        <v>761</v>
      </c>
      <c r="B1057" s="3">
        <f t="shared" si="64"/>
        <v>2025</v>
      </c>
      <c r="C1057" s="3">
        <f t="shared" si="65"/>
        <v>6</v>
      </c>
      <c r="D1057" s="73" t="s">
        <v>300</v>
      </c>
      <c r="E1057" s="2"/>
      <c r="F1057" s="2" t="s">
        <v>299</v>
      </c>
      <c r="G1057" s="2"/>
      <c r="H1057" s="2" t="s">
        <v>298</v>
      </c>
      <c r="I1057" s="2" t="s">
        <v>297</v>
      </c>
      <c r="J1057" s="2" t="s">
        <v>296</v>
      </c>
      <c r="K1057" s="72"/>
      <c r="L1057" s="39">
        <v>1877.68</v>
      </c>
      <c r="M1057" s="72">
        <f t="shared" si="66"/>
        <v>1877.68</v>
      </c>
      <c r="N1057" s="72">
        <f t="shared" si="67"/>
        <v>491588.85999999917</v>
      </c>
    </row>
    <row r="1058" spans="1:14" x14ac:dyDescent="0.2">
      <c r="A1058" s="3" t="s">
        <v>762</v>
      </c>
      <c r="B1058" s="3">
        <f t="shared" si="64"/>
        <v>2025</v>
      </c>
      <c r="C1058" s="3">
        <f t="shared" si="65"/>
        <v>6</v>
      </c>
      <c r="D1058" s="73" t="s">
        <v>893</v>
      </c>
      <c r="E1058" s="2"/>
      <c r="F1058" s="2" t="s">
        <v>304</v>
      </c>
      <c r="G1058" s="2" t="s">
        <v>1036</v>
      </c>
      <c r="H1058" s="2" t="s">
        <v>1035</v>
      </c>
      <c r="I1058" s="2" t="s">
        <v>316</v>
      </c>
      <c r="J1058" s="2" t="s">
        <v>22</v>
      </c>
      <c r="K1058" s="146">
        <v>46.64</v>
      </c>
      <c r="L1058" s="146"/>
      <c r="M1058" s="146">
        <f t="shared" si="66"/>
        <v>-46.64</v>
      </c>
      <c r="N1058" s="72">
        <f t="shared" si="67"/>
        <v>491542.21999999916</v>
      </c>
    </row>
    <row r="1059" spans="1:14" x14ac:dyDescent="0.2">
      <c r="A1059" s="3" t="s">
        <v>762</v>
      </c>
      <c r="B1059" s="3">
        <f t="shared" si="64"/>
        <v>2025</v>
      </c>
      <c r="C1059" s="3">
        <f t="shared" si="65"/>
        <v>6</v>
      </c>
      <c r="D1059" s="73" t="s">
        <v>893</v>
      </c>
      <c r="E1059" s="2"/>
      <c r="F1059" s="2" t="s">
        <v>304</v>
      </c>
      <c r="G1059" s="2" t="s">
        <v>913</v>
      </c>
      <c r="H1059" s="2" t="s">
        <v>937</v>
      </c>
      <c r="I1059" s="2" t="s">
        <v>316</v>
      </c>
      <c r="J1059" s="2" t="s">
        <v>22</v>
      </c>
      <c r="K1059" s="146">
        <v>41.9</v>
      </c>
      <c r="L1059" s="146"/>
      <c r="M1059" s="146">
        <f t="shared" si="66"/>
        <v>-41.9</v>
      </c>
      <c r="N1059" s="72">
        <f t="shared" si="67"/>
        <v>491500.31999999913</v>
      </c>
    </row>
    <row r="1060" spans="1:14" x14ac:dyDescent="0.2">
      <c r="A1060" s="73" t="s">
        <v>762</v>
      </c>
      <c r="B1060" s="3">
        <f t="shared" si="64"/>
        <v>2025</v>
      </c>
      <c r="C1060" s="3">
        <f t="shared" si="65"/>
        <v>6</v>
      </c>
      <c r="D1060" s="73" t="s">
        <v>300</v>
      </c>
      <c r="E1060" s="2"/>
      <c r="F1060" s="2" t="s">
        <v>299</v>
      </c>
      <c r="G1060" s="2"/>
      <c r="H1060" s="2" t="s">
        <v>298</v>
      </c>
      <c r="I1060" s="2" t="s">
        <v>297</v>
      </c>
      <c r="J1060" s="2" t="s">
        <v>296</v>
      </c>
      <c r="K1060" s="72"/>
      <c r="L1060" s="39">
        <v>328.59</v>
      </c>
      <c r="M1060" s="72">
        <f t="shared" si="66"/>
        <v>328.59</v>
      </c>
      <c r="N1060" s="72">
        <f t="shared" si="67"/>
        <v>491828.90999999916</v>
      </c>
    </row>
    <row r="1061" spans="1:14" x14ac:dyDescent="0.2">
      <c r="A1061" s="73" t="s">
        <v>763</v>
      </c>
      <c r="B1061" s="3">
        <f t="shared" si="64"/>
        <v>2025</v>
      </c>
      <c r="C1061" s="3">
        <f t="shared" si="65"/>
        <v>6</v>
      </c>
      <c r="D1061" s="73" t="s">
        <v>300</v>
      </c>
      <c r="E1061" s="2"/>
      <c r="F1061" s="2" t="s">
        <v>304</v>
      </c>
      <c r="G1061" s="2" t="s">
        <v>336</v>
      </c>
      <c r="H1061" s="2" t="s">
        <v>766</v>
      </c>
      <c r="I1061" s="2" t="s">
        <v>301</v>
      </c>
      <c r="J1061" s="2" t="s">
        <v>11</v>
      </c>
      <c r="K1061" s="72">
        <v>50</v>
      </c>
      <c r="L1061" s="39"/>
      <c r="M1061" s="72">
        <f t="shared" si="66"/>
        <v>-50</v>
      </c>
      <c r="N1061" s="72">
        <f t="shared" si="67"/>
        <v>491778.90999999916</v>
      </c>
    </row>
    <row r="1062" spans="1:14" x14ac:dyDescent="0.2">
      <c r="A1062" s="73" t="s">
        <v>763</v>
      </c>
      <c r="B1062" s="3">
        <f t="shared" si="64"/>
        <v>2025</v>
      </c>
      <c r="C1062" s="3">
        <f t="shared" si="65"/>
        <v>6</v>
      </c>
      <c r="D1062" s="73" t="s">
        <v>300</v>
      </c>
      <c r="E1062" s="2"/>
      <c r="F1062" s="2" t="s">
        <v>325</v>
      </c>
      <c r="G1062" s="2" t="s">
        <v>386</v>
      </c>
      <c r="H1062" s="2" t="s">
        <v>323</v>
      </c>
      <c r="I1062" s="2" t="s">
        <v>350</v>
      </c>
      <c r="J1062" s="2" t="s">
        <v>353</v>
      </c>
      <c r="K1062" s="72">
        <v>2500</v>
      </c>
      <c r="L1062" s="39"/>
      <c r="M1062" s="72">
        <f t="shared" si="66"/>
        <v>-2500</v>
      </c>
      <c r="N1062" s="72">
        <f t="shared" si="67"/>
        <v>489278.90999999916</v>
      </c>
    </row>
    <row r="1063" spans="1:14" x14ac:dyDescent="0.2">
      <c r="A1063" s="73" t="s">
        <v>763</v>
      </c>
      <c r="B1063" s="3">
        <f t="shared" si="64"/>
        <v>2025</v>
      </c>
      <c r="C1063" s="3">
        <f t="shared" si="65"/>
        <v>6</v>
      </c>
      <c r="D1063" s="73" t="s">
        <v>300</v>
      </c>
      <c r="E1063" s="2"/>
      <c r="F1063" s="2" t="s">
        <v>325</v>
      </c>
      <c r="G1063" s="2" t="s">
        <v>392</v>
      </c>
      <c r="H1063" s="2" t="s">
        <v>323</v>
      </c>
      <c r="I1063" s="2" t="s">
        <v>316</v>
      </c>
      <c r="J1063" s="2" t="s">
        <v>17</v>
      </c>
      <c r="K1063" s="72">
        <v>112.07</v>
      </c>
      <c r="L1063" s="39"/>
      <c r="M1063" s="72">
        <f t="shared" si="66"/>
        <v>-112.07</v>
      </c>
      <c r="N1063" s="72">
        <f t="shared" si="67"/>
        <v>489166.83999999915</v>
      </c>
    </row>
    <row r="1064" spans="1:14" x14ac:dyDescent="0.2">
      <c r="A1064" s="3" t="s">
        <v>763</v>
      </c>
      <c r="B1064" s="3">
        <f t="shared" si="64"/>
        <v>2025</v>
      </c>
      <c r="C1064" s="3">
        <f t="shared" si="65"/>
        <v>6</v>
      </c>
      <c r="D1064" s="73" t="s">
        <v>893</v>
      </c>
      <c r="E1064" s="2"/>
      <c r="F1064" s="2" t="s">
        <v>304</v>
      </c>
      <c r="G1064" s="2" t="s">
        <v>970</v>
      </c>
      <c r="H1064" s="2" t="s">
        <v>956</v>
      </c>
      <c r="I1064" s="2" t="s">
        <v>316</v>
      </c>
      <c r="J1064" s="2" t="s">
        <v>22</v>
      </c>
      <c r="K1064" s="146">
        <v>16.09</v>
      </c>
      <c r="L1064" s="146"/>
      <c r="M1064" s="146">
        <f t="shared" si="66"/>
        <v>-16.09</v>
      </c>
      <c r="N1064" s="72">
        <f t="shared" si="67"/>
        <v>489150.74999999913</v>
      </c>
    </row>
    <row r="1065" spans="1:14" x14ac:dyDescent="0.2">
      <c r="A1065" s="73" t="s">
        <v>763</v>
      </c>
      <c r="B1065" s="3">
        <f t="shared" si="64"/>
        <v>2025</v>
      </c>
      <c r="C1065" s="3">
        <f t="shared" si="65"/>
        <v>6</v>
      </c>
      <c r="D1065" s="73" t="s">
        <v>300</v>
      </c>
      <c r="E1065" s="2"/>
      <c r="F1065" s="2" t="s">
        <v>325</v>
      </c>
      <c r="G1065" s="2" t="s">
        <v>375</v>
      </c>
      <c r="H1065" s="2" t="s">
        <v>323</v>
      </c>
      <c r="I1065" s="2" t="s">
        <v>316</v>
      </c>
      <c r="J1065" s="2" t="s">
        <v>29</v>
      </c>
      <c r="K1065" s="72">
        <v>2848</v>
      </c>
      <c r="L1065" s="39"/>
      <c r="M1065" s="72">
        <f t="shared" si="66"/>
        <v>-2848</v>
      </c>
      <c r="N1065" s="72">
        <f t="shared" si="67"/>
        <v>486302.74999999913</v>
      </c>
    </row>
    <row r="1066" spans="1:14" x14ac:dyDescent="0.2">
      <c r="A1066" s="73" t="s">
        <v>763</v>
      </c>
      <c r="B1066" s="3">
        <f t="shared" si="64"/>
        <v>2025</v>
      </c>
      <c r="C1066" s="3">
        <f t="shared" si="65"/>
        <v>6</v>
      </c>
      <c r="D1066" s="73" t="s">
        <v>300</v>
      </c>
      <c r="E1066" s="2"/>
      <c r="F1066" s="2" t="s">
        <v>325</v>
      </c>
      <c r="G1066" s="2" t="s">
        <v>375</v>
      </c>
      <c r="H1066" s="2" t="s">
        <v>323</v>
      </c>
      <c r="I1066" s="2" t="s">
        <v>316</v>
      </c>
      <c r="J1066" s="2" t="s">
        <v>29</v>
      </c>
      <c r="K1066" s="72">
        <v>3720.45</v>
      </c>
      <c r="L1066" s="39"/>
      <c r="M1066" s="72">
        <f t="shared" si="66"/>
        <v>-3720.45</v>
      </c>
      <c r="N1066" s="72">
        <f t="shared" si="67"/>
        <v>482582.29999999912</v>
      </c>
    </row>
    <row r="1067" spans="1:14" x14ac:dyDescent="0.2">
      <c r="A1067" s="3" t="s">
        <v>763</v>
      </c>
      <c r="B1067" s="3">
        <f t="shared" si="64"/>
        <v>2025</v>
      </c>
      <c r="C1067" s="3">
        <f t="shared" si="65"/>
        <v>6</v>
      </c>
      <c r="D1067" s="73" t="s">
        <v>893</v>
      </c>
      <c r="E1067" s="2"/>
      <c r="F1067" s="2" t="s">
        <v>304</v>
      </c>
      <c r="G1067" s="2" t="s">
        <v>1044</v>
      </c>
      <c r="H1067" s="2" t="s">
        <v>1035</v>
      </c>
      <c r="I1067" s="2" t="s">
        <v>316</v>
      </c>
      <c r="J1067" s="2" t="s">
        <v>22</v>
      </c>
      <c r="K1067" s="146">
        <v>38.85</v>
      </c>
      <c r="L1067" s="146"/>
      <c r="M1067" s="146">
        <f t="shared" si="66"/>
        <v>-38.85</v>
      </c>
      <c r="N1067" s="72">
        <f t="shared" si="67"/>
        <v>482543.44999999914</v>
      </c>
    </row>
    <row r="1068" spans="1:14" x14ac:dyDescent="0.2">
      <c r="A1068" s="3" t="s">
        <v>763</v>
      </c>
      <c r="B1068" s="3">
        <f t="shared" si="64"/>
        <v>2025</v>
      </c>
      <c r="C1068" s="3">
        <f t="shared" si="65"/>
        <v>6</v>
      </c>
      <c r="D1068" s="73" t="s">
        <v>893</v>
      </c>
      <c r="E1068" s="2"/>
      <c r="F1068" s="2" t="s">
        <v>304</v>
      </c>
      <c r="G1068" s="2" t="s">
        <v>947</v>
      </c>
      <c r="H1068" s="2" t="s">
        <v>937</v>
      </c>
      <c r="I1068" s="2" t="s">
        <v>316</v>
      </c>
      <c r="J1068" s="2" t="s">
        <v>22</v>
      </c>
      <c r="K1068" s="146">
        <v>720.83</v>
      </c>
      <c r="L1068" s="146"/>
      <c r="M1068" s="146">
        <f t="shared" si="66"/>
        <v>-720.83</v>
      </c>
      <c r="N1068" s="72">
        <f t="shared" si="67"/>
        <v>481822.61999999912</v>
      </c>
    </row>
    <row r="1069" spans="1:14" x14ac:dyDescent="0.2">
      <c r="A1069" s="3" t="s">
        <v>763</v>
      </c>
      <c r="B1069" s="3">
        <f t="shared" si="64"/>
        <v>2025</v>
      </c>
      <c r="C1069" s="3">
        <f t="shared" si="65"/>
        <v>6</v>
      </c>
      <c r="D1069" s="73" t="s">
        <v>893</v>
      </c>
      <c r="E1069" s="2"/>
      <c r="F1069" s="2" t="s">
        <v>304</v>
      </c>
      <c r="G1069" s="2" t="s">
        <v>913</v>
      </c>
      <c r="H1069" s="2" t="s">
        <v>937</v>
      </c>
      <c r="I1069" s="2" t="s">
        <v>316</v>
      </c>
      <c r="J1069" s="2" t="s">
        <v>22</v>
      </c>
      <c r="K1069" s="146">
        <v>15.76</v>
      </c>
      <c r="L1069" s="146"/>
      <c r="M1069" s="146">
        <f t="shared" si="66"/>
        <v>-15.76</v>
      </c>
      <c r="N1069" s="72">
        <f t="shared" si="67"/>
        <v>481806.85999999911</v>
      </c>
    </row>
    <row r="1070" spans="1:14" x14ac:dyDescent="0.2">
      <c r="A1070" s="3" t="s">
        <v>763</v>
      </c>
      <c r="B1070" s="3">
        <f t="shared" si="64"/>
        <v>2025</v>
      </c>
      <c r="C1070" s="3">
        <f t="shared" si="65"/>
        <v>6</v>
      </c>
      <c r="D1070" s="73" t="s">
        <v>893</v>
      </c>
      <c r="E1070" s="2"/>
      <c r="F1070" s="2" t="s">
        <v>304</v>
      </c>
      <c r="G1070" s="2" t="s">
        <v>913</v>
      </c>
      <c r="H1070" s="2" t="s">
        <v>937</v>
      </c>
      <c r="I1070" s="2" t="s">
        <v>316</v>
      </c>
      <c r="J1070" s="2" t="s">
        <v>22</v>
      </c>
      <c r="K1070" s="146">
        <v>33.99</v>
      </c>
      <c r="L1070" s="146"/>
      <c r="M1070" s="146">
        <f t="shared" si="66"/>
        <v>-33.99</v>
      </c>
      <c r="N1070" s="72">
        <f t="shared" si="67"/>
        <v>481772.86999999912</v>
      </c>
    </row>
    <row r="1071" spans="1:14" x14ac:dyDescent="0.2">
      <c r="A1071" s="3" t="s">
        <v>763</v>
      </c>
      <c r="B1071" s="3">
        <f t="shared" si="64"/>
        <v>2025</v>
      </c>
      <c r="C1071" s="3">
        <f t="shared" si="65"/>
        <v>6</v>
      </c>
      <c r="D1071" s="73" t="s">
        <v>893</v>
      </c>
      <c r="E1071" s="2"/>
      <c r="F1071" s="2" t="s">
        <v>304</v>
      </c>
      <c r="G1071" s="2" t="s">
        <v>913</v>
      </c>
      <c r="H1071" s="2" t="s">
        <v>937</v>
      </c>
      <c r="I1071" s="2" t="s">
        <v>316</v>
      </c>
      <c r="J1071" s="2" t="s">
        <v>22</v>
      </c>
      <c r="K1071" s="146">
        <v>23.9</v>
      </c>
      <c r="L1071" s="146"/>
      <c r="M1071" s="146">
        <f t="shared" si="66"/>
        <v>-23.9</v>
      </c>
      <c r="N1071" s="72">
        <f t="shared" si="67"/>
        <v>481748.9699999991</v>
      </c>
    </row>
    <row r="1072" spans="1:14" x14ac:dyDescent="0.2">
      <c r="A1072" s="3" t="s">
        <v>763</v>
      </c>
      <c r="B1072" s="3">
        <f t="shared" si="64"/>
        <v>2025</v>
      </c>
      <c r="C1072" s="3">
        <f t="shared" si="65"/>
        <v>6</v>
      </c>
      <c r="D1072" s="73" t="s">
        <v>893</v>
      </c>
      <c r="E1072" s="2"/>
      <c r="F1072" s="2" t="s">
        <v>304</v>
      </c>
      <c r="G1072" s="2" t="s">
        <v>913</v>
      </c>
      <c r="H1072" s="2" t="s">
        <v>937</v>
      </c>
      <c r="I1072" s="2" t="s">
        <v>316</v>
      </c>
      <c r="J1072" s="2" t="s">
        <v>22</v>
      </c>
      <c r="K1072" s="146">
        <v>4</v>
      </c>
      <c r="L1072" s="146"/>
      <c r="M1072" s="146">
        <f t="shared" si="66"/>
        <v>-4</v>
      </c>
      <c r="N1072" s="72">
        <f t="shared" si="67"/>
        <v>481744.9699999991</v>
      </c>
    </row>
    <row r="1073" spans="1:14" x14ac:dyDescent="0.2">
      <c r="A1073" s="73" t="s">
        <v>763</v>
      </c>
      <c r="B1073" s="3">
        <f t="shared" si="64"/>
        <v>2025</v>
      </c>
      <c r="C1073" s="3">
        <f t="shared" si="65"/>
        <v>6</v>
      </c>
      <c r="D1073" s="73" t="s">
        <v>300</v>
      </c>
      <c r="E1073" s="2"/>
      <c r="F1073" s="2" t="s">
        <v>304</v>
      </c>
      <c r="G1073" s="2" t="s">
        <v>303</v>
      </c>
      <c r="H1073" s="2" t="s">
        <v>302</v>
      </c>
      <c r="I1073" s="2" t="s">
        <v>301</v>
      </c>
      <c r="J1073" s="2" t="s">
        <v>11</v>
      </c>
      <c r="K1073" s="72">
        <v>61.8</v>
      </c>
      <c r="L1073" s="39"/>
      <c r="M1073" s="72">
        <f t="shared" si="66"/>
        <v>-61.8</v>
      </c>
      <c r="N1073" s="72">
        <f t="shared" si="67"/>
        <v>481683.16999999911</v>
      </c>
    </row>
    <row r="1074" spans="1:14" x14ac:dyDescent="0.2">
      <c r="A1074" s="73" t="s">
        <v>763</v>
      </c>
      <c r="B1074" s="3">
        <f t="shared" si="64"/>
        <v>2025</v>
      </c>
      <c r="C1074" s="3">
        <f t="shared" si="65"/>
        <v>6</v>
      </c>
      <c r="D1074" s="73" t="s">
        <v>300</v>
      </c>
      <c r="E1074" s="2"/>
      <c r="F1074" s="2" t="s">
        <v>321</v>
      </c>
      <c r="G1074" s="2" t="s">
        <v>387</v>
      </c>
      <c r="H1074" s="2" t="s">
        <v>319</v>
      </c>
      <c r="I1074" s="2" t="s">
        <v>315</v>
      </c>
      <c r="J1074" s="2" t="s">
        <v>23</v>
      </c>
      <c r="K1074" s="72"/>
      <c r="L1074" s="39">
        <v>5722.25</v>
      </c>
      <c r="M1074" s="72">
        <f t="shared" si="66"/>
        <v>5722.25</v>
      </c>
      <c r="N1074" s="72">
        <f t="shared" si="67"/>
        <v>487405.41999999911</v>
      </c>
    </row>
    <row r="1075" spans="1:14" x14ac:dyDescent="0.2">
      <c r="A1075" s="3" t="s">
        <v>763</v>
      </c>
      <c r="B1075" s="3">
        <f t="shared" si="64"/>
        <v>2025</v>
      </c>
      <c r="C1075" s="3">
        <f t="shared" si="65"/>
        <v>6</v>
      </c>
      <c r="D1075" s="73" t="s">
        <v>893</v>
      </c>
      <c r="E1075" s="2"/>
      <c r="F1075" s="2" t="s">
        <v>304</v>
      </c>
      <c r="G1075" s="2" t="s">
        <v>982</v>
      </c>
      <c r="H1075" s="2" t="s">
        <v>956</v>
      </c>
      <c r="I1075" s="2" t="s">
        <v>316</v>
      </c>
      <c r="J1075" s="2" t="s">
        <v>22</v>
      </c>
      <c r="K1075" s="146">
        <v>24.4</v>
      </c>
      <c r="L1075" s="146"/>
      <c r="M1075" s="146">
        <f t="shared" si="66"/>
        <v>-24.4</v>
      </c>
      <c r="N1075" s="72">
        <f t="shared" si="67"/>
        <v>487381.01999999909</v>
      </c>
    </row>
    <row r="1076" spans="1:14" x14ac:dyDescent="0.2">
      <c r="A1076" s="73" t="s">
        <v>763</v>
      </c>
      <c r="B1076" s="3">
        <f t="shared" si="64"/>
        <v>2025</v>
      </c>
      <c r="C1076" s="3">
        <f t="shared" si="65"/>
        <v>6</v>
      </c>
      <c r="D1076" s="73" t="s">
        <v>300</v>
      </c>
      <c r="E1076" s="2"/>
      <c r="F1076" s="2" t="s">
        <v>299</v>
      </c>
      <c r="G1076" s="2"/>
      <c r="H1076" s="2" t="s">
        <v>298</v>
      </c>
      <c r="I1076" s="2" t="s">
        <v>297</v>
      </c>
      <c r="J1076" s="2" t="s">
        <v>296</v>
      </c>
      <c r="K1076" s="72"/>
      <c r="L1076" s="39">
        <v>3570.07</v>
      </c>
      <c r="M1076" s="72">
        <f t="shared" si="66"/>
        <v>3570.07</v>
      </c>
      <c r="N1076" s="72">
        <f t="shared" si="67"/>
        <v>490951.08999999909</v>
      </c>
    </row>
    <row r="1077" spans="1:14" x14ac:dyDescent="0.2">
      <c r="A1077" s="3" t="s">
        <v>951</v>
      </c>
      <c r="B1077" s="3">
        <f t="shared" si="64"/>
        <v>2025</v>
      </c>
      <c r="C1077" s="3">
        <f t="shared" si="65"/>
        <v>6</v>
      </c>
      <c r="D1077" s="73" t="s">
        <v>893</v>
      </c>
      <c r="E1077" s="2"/>
      <c r="F1077" s="2" t="s">
        <v>304</v>
      </c>
      <c r="G1077" s="2" t="s">
        <v>955</v>
      </c>
      <c r="H1077" s="2" t="s">
        <v>956</v>
      </c>
      <c r="I1077" s="2" t="s">
        <v>316</v>
      </c>
      <c r="J1077" s="2" t="s">
        <v>22</v>
      </c>
      <c r="K1077" s="146">
        <v>4.04</v>
      </c>
      <c r="L1077" s="146"/>
      <c r="M1077" s="146">
        <f t="shared" si="66"/>
        <v>-4.04</v>
      </c>
      <c r="N1077" s="72">
        <f t="shared" si="67"/>
        <v>490947.04999999912</v>
      </c>
    </row>
    <row r="1078" spans="1:14" x14ac:dyDescent="0.2">
      <c r="A1078" s="3" t="s">
        <v>951</v>
      </c>
      <c r="B1078" s="3">
        <f t="shared" si="64"/>
        <v>2025</v>
      </c>
      <c r="C1078" s="3">
        <f t="shared" si="65"/>
        <v>6</v>
      </c>
      <c r="D1078" s="73" t="s">
        <v>893</v>
      </c>
      <c r="E1078" s="2"/>
      <c r="F1078" s="2" t="s">
        <v>304</v>
      </c>
      <c r="G1078" s="2" t="s">
        <v>1034</v>
      </c>
      <c r="H1078" s="2" t="s">
        <v>1035</v>
      </c>
      <c r="I1078" s="2" t="s">
        <v>316</v>
      </c>
      <c r="J1078" s="2" t="s">
        <v>22</v>
      </c>
      <c r="K1078" s="146">
        <v>25.44</v>
      </c>
      <c r="L1078" s="146"/>
      <c r="M1078" s="146">
        <f t="shared" si="66"/>
        <v>-25.44</v>
      </c>
      <c r="N1078" s="72">
        <f t="shared" si="67"/>
        <v>490921.60999999911</v>
      </c>
    </row>
    <row r="1079" spans="1:14" x14ac:dyDescent="0.2">
      <c r="A1079" s="3" t="s">
        <v>951</v>
      </c>
      <c r="B1079" s="3">
        <f t="shared" si="64"/>
        <v>2025</v>
      </c>
      <c r="C1079" s="3">
        <f t="shared" si="65"/>
        <v>6</v>
      </c>
      <c r="D1079" s="73" t="s">
        <v>893</v>
      </c>
      <c r="E1079" s="2"/>
      <c r="F1079" s="2" t="s">
        <v>304</v>
      </c>
      <c r="G1079" s="2" t="s">
        <v>1033</v>
      </c>
      <c r="H1079" s="2" t="s">
        <v>884</v>
      </c>
      <c r="I1079" s="2" t="s">
        <v>316</v>
      </c>
      <c r="J1079" s="2" t="s">
        <v>22</v>
      </c>
      <c r="K1079" s="146">
        <v>31.74</v>
      </c>
      <c r="L1079" s="146"/>
      <c r="M1079" s="146">
        <f t="shared" si="66"/>
        <v>-31.74</v>
      </c>
      <c r="N1079" s="72">
        <f t="shared" si="67"/>
        <v>490889.86999999912</v>
      </c>
    </row>
    <row r="1080" spans="1:14" x14ac:dyDescent="0.2">
      <c r="A1080" s="3" t="s">
        <v>951</v>
      </c>
      <c r="B1080" s="3">
        <f t="shared" si="64"/>
        <v>2025</v>
      </c>
      <c r="C1080" s="3">
        <f t="shared" si="65"/>
        <v>6</v>
      </c>
      <c r="D1080" s="73" t="s">
        <v>893</v>
      </c>
      <c r="E1080" s="2"/>
      <c r="F1080" s="2" t="s">
        <v>304</v>
      </c>
      <c r="G1080" s="2" t="s">
        <v>1033</v>
      </c>
      <c r="H1080" s="2" t="s">
        <v>884</v>
      </c>
      <c r="I1080" s="2" t="s">
        <v>316</v>
      </c>
      <c r="J1080" s="2" t="s">
        <v>22</v>
      </c>
      <c r="K1080" s="146">
        <v>32.04</v>
      </c>
      <c r="L1080" s="146"/>
      <c r="M1080" s="146">
        <f t="shared" si="66"/>
        <v>-32.04</v>
      </c>
      <c r="N1080" s="72">
        <f t="shared" si="67"/>
        <v>490857.82999999914</v>
      </c>
    </row>
    <row r="1081" spans="1:14" x14ac:dyDescent="0.2">
      <c r="A1081" s="3" t="s">
        <v>951</v>
      </c>
      <c r="B1081" s="3">
        <f t="shared" si="64"/>
        <v>2025</v>
      </c>
      <c r="C1081" s="3">
        <f t="shared" si="65"/>
        <v>6</v>
      </c>
      <c r="D1081" s="73" t="s">
        <v>893</v>
      </c>
      <c r="E1081" s="2"/>
      <c r="F1081" s="2" t="s">
        <v>304</v>
      </c>
      <c r="G1081" s="2" t="s">
        <v>962</v>
      </c>
      <c r="H1081" s="2" t="s">
        <v>956</v>
      </c>
      <c r="I1081" s="2" t="s">
        <v>316</v>
      </c>
      <c r="J1081" s="2" t="s">
        <v>22</v>
      </c>
      <c r="K1081" s="146">
        <v>523.75</v>
      </c>
      <c r="L1081" s="146"/>
      <c r="M1081" s="146">
        <f t="shared" si="66"/>
        <v>-523.75</v>
      </c>
      <c r="N1081" s="72">
        <f t="shared" si="67"/>
        <v>490334.07999999914</v>
      </c>
    </row>
    <row r="1082" spans="1:14" x14ac:dyDescent="0.2">
      <c r="A1082" s="3" t="s">
        <v>951</v>
      </c>
      <c r="B1082" s="3">
        <f t="shared" si="64"/>
        <v>2025</v>
      </c>
      <c r="C1082" s="3">
        <f t="shared" si="65"/>
        <v>6</v>
      </c>
      <c r="D1082" s="73" t="s">
        <v>893</v>
      </c>
      <c r="E1082" s="2"/>
      <c r="F1082" s="2" t="s">
        <v>304</v>
      </c>
      <c r="G1082" s="2" t="s">
        <v>970</v>
      </c>
      <c r="H1082" s="2" t="s">
        <v>956</v>
      </c>
      <c r="I1082" s="2" t="s">
        <v>316</v>
      </c>
      <c r="J1082" s="2" t="s">
        <v>22</v>
      </c>
      <c r="K1082" s="146">
        <v>20</v>
      </c>
      <c r="L1082" s="146"/>
      <c r="M1082" s="146">
        <f t="shared" si="66"/>
        <v>-20</v>
      </c>
      <c r="N1082" s="72">
        <f t="shared" si="67"/>
        <v>490314.07999999914</v>
      </c>
    </row>
    <row r="1083" spans="1:14" x14ac:dyDescent="0.2">
      <c r="A1083" s="3" t="s">
        <v>951</v>
      </c>
      <c r="B1083" s="3">
        <f t="shared" si="64"/>
        <v>2025</v>
      </c>
      <c r="C1083" s="3">
        <f t="shared" si="65"/>
        <v>6</v>
      </c>
      <c r="D1083" s="73" t="s">
        <v>893</v>
      </c>
      <c r="E1083" s="2"/>
      <c r="F1083" s="2" t="s">
        <v>304</v>
      </c>
      <c r="G1083" s="2" t="s">
        <v>971</v>
      </c>
      <c r="H1083" s="2" t="s">
        <v>956</v>
      </c>
      <c r="I1083" s="2" t="s">
        <v>316</v>
      </c>
      <c r="J1083" s="2" t="s">
        <v>22</v>
      </c>
      <c r="K1083" s="146">
        <v>46.52</v>
      </c>
      <c r="L1083" s="146"/>
      <c r="M1083" s="146">
        <f t="shared" si="66"/>
        <v>-46.52</v>
      </c>
      <c r="N1083" s="72">
        <f t="shared" si="67"/>
        <v>490267.55999999912</v>
      </c>
    </row>
    <row r="1084" spans="1:14" x14ac:dyDescent="0.2">
      <c r="A1084" s="3" t="s">
        <v>951</v>
      </c>
      <c r="B1084" s="3">
        <f t="shared" si="64"/>
        <v>2025</v>
      </c>
      <c r="C1084" s="3">
        <f t="shared" si="65"/>
        <v>6</v>
      </c>
      <c r="D1084" s="73" t="s">
        <v>893</v>
      </c>
      <c r="E1084" s="2"/>
      <c r="F1084" s="2" t="s">
        <v>304</v>
      </c>
      <c r="G1084" s="2" t="s">
        <v>973</v>
      </c>
      <c r="H1084" s="2" t="s">
        <v>956</v>
      </c>
      <c r="I1084" s="2" t="s">
        <v>316</v>
      </c>
      <c r="J1084" s="2" t="s">
        <v>22</v>
      </c>
      <c r="K1084" s="146">
        <v>27.2</v>
      </c>
      <c r="L1084" s="146"/>
      <c r="M1084" s="146">
        <f t="shared" si="66"/>
        <v>-27.2</v>
      </c>
      <c r="N1084" s="72">
        <f t="shared" si="67"/>
        <v>490240.35999999911</v>
      </c>
    </row>
    <row r="1085" spans="1:14" x14ac:dyDescent="0.2">
      <c r="A1085" s="3" t="s">
        <v>951</v>
      </c>
      <c r="B1085" s="3">
        <f t="shared" si="64"/>
        <v>2025</v>
      </c>
      <c r="C1085" s="3">
        <f t="shared" si="65"/>
        <v>6</v>
      </c>
      <c r="D1085" s="73" t="s">
        <v>893</v>
      </c>
      <c r="E1085" s="2"/>
      <c r="F1085" s="2" t="s">
        <v>304</v>
      </c>
      <c r="G1085" s="2" t="s">
        <v>974</v>
      </c>
      <c r="H1085" s="2" t="s">
        <v>956</v>
      </c>
      <c r="I1085" s="2" t="s">
        <v>316</v>
      </c>
      <c r="J1085" s="2" t="s">
        <v>22</v>
      </c>
      <c r="K1085" s="146">
        <v>51.8</v>
      </c>
      <c r="L1085" s="146"/>
      <c r="M1085" s="146">
        <f t="shared" si="66"/>
        <v>-51.8</v>
      </c>
      <c r="N1085" s="72">
        <f t="shared" si="67"/>
        <v>490188.55999999912</v>
      </c>
    </row>
    <row r="1086" spans="1:14" x14ac:dyDescent="0.2">
      <c r="A1086" s="3" t="s">
        <v>951</v>
      </c>
      <c r="B1086" s="3">
        <f t="shared" si="64"/>
        <v>2025</v>
      </c>
      <c r="C1086" s="3">
        <f t="shared" si="65"/>
        <v>6</v>
      </c>
      <c r="D1086" s="73" t="s">
        <v>893</v>
      </c>
      <c r="E1086" s="2"/>
      <c r="F1086" s="2" t="s">
        <v>304</v>
      </c>
      <c r="G1086" s="2" t="s">
        <v>1042</v>
      </c>
      <c r="H1086" s="2" t="s">
        <v>1035</v>
      </c>
      <c r="I1086" s="2" t="s">
        <v>316</v>
      </c>
      <c r="J1086" s="2" t="s">
        <v>22</v>
      </c>
      <c r="K1086" s="146">
        <v>56.44</v>
      </c>
      <c r="L1086" s="146"/>
      <c r="M1086" s="146">
        <f t="shared" si="66"/>
        <v>-56.44</v>
      </c>
      <c r="N1086" s="72">
        <f t="shared" si="67"/>
        <v>490132.11999999912</v>
      </c>
    </row>
    <row r="1087" spans="1:14" x14ac:dyDescent="0.2">
      <c r="A1087" s="3" t="s">
        <v>951</v>
      </c>
      <c r="B1087" s="3">
        <f t="shared" si="64"/>
        <v>2025</v>
      </c>
      <c r="C1087" s="3">
        <f t="shared" si="65"/>
        <v>6</v>
      </c>
      <c r="D1087" s="73" t="s">
        <v>893</v>
      </c>
      <c r="E1087" s="2"/>
      <c r="F1087" s="2" t="s">
        <v>304</v>
      </c>
      <c r="G1087" s="2" t="s">
        <v>977</v>
      </c>
      <c r="H1087" s="2" t="s">
        <v>956</v>
      </c>
      <c r="I1087" s="2" t="s">
        <v>316</v>
      </c>
      <c r="J1087" s="2" t="s">
        <v>22</v>
      </c>
      <c r="K1087" s="146">
        <v>32.76</v>
      </c>
      <c r="L1087" s="146"/>
      <c r="M1087" s="146">
        <f t="shared" si="66"/>
        <v>-32.76</v>
      </c>
      <c r="N1087" s="72">
        <f t="shared" si="67"/>
        <v>490099.35999999911</v>
      </c>
    </row>
    <row r="1088" spans="1:14" x14ac:dyDescent="0.2">
      <c r="A1088" s="3" t="s">
        <v>951</v>
      </c>
      <c r="B1088" s="3">
        <f t="shared" si="64"/>
        <v>2025</v>
      </c>
      <c r="C1088" s="3">
        <f t="shared" si="65"/>
        <v>6</v>
      </c>
      <c r="D1088" s="73" t="s">
        <v>893</v>
      </c>
      <c r="E1088" s="2"/>
      <c r="F1088" s="2" t="s">
        <v>304</v>
      </c>
      <c r="G1088" s="2" t="s">
        <v>980</v>
      </c>
      <c r="H1088" s="2" t="s">
        <v>956</v>
      </c>
      <c r="I1088" s="2" t="s">
        <v>316</v>
      </c>
      <c r="J1088" s="2" t="s">
        <v>22</v>
      </c>
      <c r="K1088" s="146">
        <v>55.88</v>
      </c>
      <c r="L1088" s="146"/>
      <c r="M1088" s="146">
        <f t="shared" si="66"/>
        <v>-55.88</v>
      </c>
      <c r="N1088" s="72">
        <f t="shared" si="67"/>
        <v>490043.47999999911</v>
      </c>
    </row>
    <row r="1089" spans="1:14" x14ac:dyDescent="0.2">
      <c r="A1089" s="3" t="s">
        <v>951</v>
      </c>
      <c r="B1089" s="3">
        <f t="shared" si="64"/>
        <v>2025</v>
      </c>
      <c r="C1089" s="3">
        <f t="shared" si="65"/>
        <v>6</v>
      </c>
      <c r="D1089" s="73" t="s">
        <v>893</v>
      </c>
      <c r="E1089" s="2"/>
      <c r="F1089" s="2" t="s">
        <v>304</v>
      </c>
      <c r="G1089" s="2" t="s">
        <v>913</v>
      </c>
      <c r="H1089" s="2" t="s">
        <v>937</v>
      </c>
      <c r="I1089" s="2" t="s">
        <v>316</v>
      </c>
      <c r="J1089" s="2" t="s">
        <v>22</v>
      </c>
      <c r="K1089" s="146">
        <v>15.76</v>
      </c>
      <c r="L1089" s="146"/>
      <c r="M1089" s="146">
        <f t="shared" si="66"/>
        <v>-15.76</v>
      </c>
      <c r="N1089" s="72">
        <f t="shared" si="67"/>
        <v>490027.7199999991</v>
      </c>
    </row>
    <row r="1090" spans="1:14" x14ac:dyDescent="0.2">
      <c r="A1090" s="3" t="s">
        <v>951</v>
      </c>
      <c r="B1090" s="3">
        <f t="shared" ref="B1090:B1153" si="68">YEAR(A1090)</f>
        <v>2025</v>
      </c>
      <c r="C1090" s="3">
        <f t="shared" ref="C1090:C1153" si="69">MONTH(A1090)</f>
        <v>6</v>
      </c>
      <c r="D1090" s="73" t="s">
        <v>893</v>
      </c>
      <c r="E1090" s="2"/>
      <c r="F1090" s="2" t="s">
        <v>304</v>
      </c>
      <c r="G1090" s="2" t="s">
        <v>913</v>
      </c>
      <c r="H1090" s="2" t="s">
        <v>937</v>
      </c>
      <c r="I1090" s="2" t="s">
        <v>316</v>
      </c>
      <c r="J1090" s="2" t="s">
        <v>22</v>
      </c>
      <c r="K1090" s="146">
        <v>18.07</v>
      </c>
      <c r="L1090" s="146"/>
      <c r="M1090" s="146">
        <f t="shared" ref="M1090:M1153" si="70">IF(ISBLANK(L1090),K1090*-1,L1090)</f>
        <v>-18.07</v>
      </c>
      <c r="N1090" s="72">
        <f t="shared" si="67"/>
        <v>490009.64999999909</v>
      </c>
    </row>
    <row r="1091" spans="1:14" x14ac:dyDescent="0.2">
      <c r="A1091" s="3" t="s">
        <v>951</v>
      </c>
      <c r="B1091" s="3">
        <f t="shared" si="68"/>
        <v>2025</v>
      </c>
      <c r="C1091" s="3">
        <f t="shared" si="69"/>
        <v>6</v>
      </c>
      <c r="D1091" s="73" t="s">
        <v>893</v>
      </c>
      <c r="E1091" s="2"/>
      <c r="F1091" s="2" t="s">
        <v>304</v>
      </c>
      <c r="G1091" s="2" t="s">
        <v>913</v>
      </c>
      <c r="H1091" s="2" t="s">
        <v>937</v>
      </c>
      <c r="I1091" s="2" t="s">
        <v>316</v>
      </c>
      <c r="J1091" s="2" t="s">
        <v>22</v>
      </c>
      <c r="K1091" s="146">
        <v>12.97</v>
      </c>
      <c r="L1091" s="146"/>
      <c r="M1091" s="146">
        <f t="shared" si="70"/>
        <v>-12.97</v>
      </c>
      <c r="N1091" s="72">
        <f t="shared" ref="N1091:N1154" si="71">+N1090+M1091</f>
        <v>489996.67999999912</v>
      </c>
    </row>
    <row r="1092" spans="1:14" x14ac:dyDescent="0.2">
      <c r="A1092" s="3" t="s">
        <v>951</v>
      </c>
      <c r="B1092" s="3">
        <f t="shared" si="68"/>
        <v>2025</v>
      </c>
      <c r="C1092" s="3">
        <f t="shared" si="69"/>
        <v>6</v>
      </c>
      <c r="D1092" s="73" t="s">
        <v>893</v>
      </c>
      <c r="E1092" s="2"/>
      <c r="F1092" s="2" t="s">
        <v>304</v>
      </c>
      <c r="G1092" s="2" t="s">
        <v>913</v>
      </c>
      <c r="H1092" s="2" t="s">
        <v>937</v>
      </c>
      <c r="I1092" s="2" t="s">
        <v>316</v>
      </c>
      <c r="J1092" s="2" t="s">
        <v>22</v>
      </c>
      <c r="K1092" s="146">
        <v>14.91</v>
      </c>
      <c r="L1092" s="146"/>
      <c r="M1092" s="146">
        <f t="shared" si="70"/>
        <v>-14.91</v>
      </c>
      <c r="N1092" s="72">
        <f t="shared" si="71"/>
        <v>489981.76999999915</v>
      </c>
    </row>
    <row r="1093" spans="1:14" x14ac:dyDescent="0.2">
      <c r="A1093" s="3" t="s">
        <v>951</v>
      </c>
      <c r="B1093" s="3">
        <f t="shared" si="68"/>
        <v>2025</v>
      </c>
      <c r="C1093" s="3">
        <f t="shared" si="69"/>
        <v>6</v>
      </c>
      <c r="D1093" s="73" t="s">
        <v>893</v>
      </c>
      <c r="E1093" s="2"/>
      <c r="F1093" s="2" t="s">
        <v>304</v>
      </c>
      <c r="G1093" s="2" t="s">
        <v>913</v>
      </c>
      <c r="H1093" s="2" t="s">
        <v>937</v>
      </c>
      <c r="I1093" s="2" t="s">
        <v>316</v>
      </c>
      <c r="J1093" s="2" t="s">
        <v>22</v>
      </c>
      <c r="K1093" s="146">
        <v>11.97</v>
      </c>
      <c r="L1093" s="146"/>
      <c r="M1093" s="146">
        <f t="shared" si="70"/>
        <v>-11.97</v>
      </c>
      <c r="N1093" s="72">
        <f t="shared" si="71"/>
        <v>489969.79999999917</v>
      </c>
    </row>
    <row r="1094" spans="1:14" x14ac:dyDescent="0.2">
      <c r="A1094" s="3" t="s">
        <v>764</v>
      </c>
      <c r="B1094" s="3">
        <f t="shared" si="68"/>
        <v>2025</v>
      </c>
      <c r="C1094" s="3">
        <f t="shared" si="69"/>
        <v>6</v>
      </c>
      <c r="D1094" s="73" t="s">
        <v>893</v>
      </c>
      <c r="E1094" s="2"/>
      <c r="F1094" s="2" t="s">
        <v>304</v>
      </c>
      <c r="G1094" s="2" t="s">
        <v>957</v>
      </c>
      <c r="H1094" s="2" t="s">
        <v>956</v>
      </c>
      <c r="I1094" s="2" t="s">
        <v>316</v>
      </c>
      <c r="J1094" s="2" t="s">
        <v>22</v>
      </c>
      <c r="K1094" s="146">
        <v>299.51</v>
      </c>
      <c r="L1094" s="146"/>
      <c r="M1094" s="146">
        <f t="shared" si="70"/>
        <v>-299.51</v>
      </c>
      <c r="N1094" s="72">
        <f t="shared" si="71"/>
        <v>489670.28999999916</v>
      </c>
    </row>
    <row r="1095" spans="1:14" x14ac:dyDescent="0.2">
      <c r="A1095" s="3" t="s">
        <v>764</v>
      </c>
      <c r="B1095" s="3">
        <f t="shared" si="68"/>
        <v>2025</v>
      </c>
      <c r="C1095" s="3">
        <f t="shared" si="69"/>
        <v>6</v>
      </c>
      <c r="D1095" s="73" t="s">
        <v>893</v>
      </c>
      <c r="E1095" s="2"/>
      <c r="F1095" s="2" t="s">
        <v>304</v>
      </c>
      <c r="G1095" s="2" t="s">
        <v>1009</v>
      </c>
      <c r="H1095" s="2" t="s">
        <v>1007</v>
      </c>
      <c r="I1095" s="1" t="s">
        <v>316</v>
      </c>
      <c r="J1095" s="2" t="s">
        <v>17</v>
      </c>
      <c r="K1095" s="146">
        <v>15.02</v>
      </c>
      <c r="L1095" s="146"/>
      <c r="M1095" s="146">
        <f t="shared" si="70"/>
        <v>-15.02</v>
      </c>
      <c r="N1095" s="72">
        <f t="shared" si="71"/>
        <v>489655.26999999915</v>
      </c>
    </row>
    <row r="1096" spans="1:14" x14ac:dyDescent="0.2">
      <c r="A1096" s="3" t="s">
        <v>764</v>
      </c>
      <c r="B1096" s="3">
        <f t="shared" si="68"/>
        <v>2025</v>
      </c>
      <c r="C1096" s="3">
        <f t="shared" si="69"/>
        <v>6</v>
      </c>
      <c r="D1096" s="73" t="s">
        <v>893</v>
      </c>
      <c r="E1096" s="2"/>
      <c r="F1096" s="2" t="s">
        <v>304</v>
      </c>
      <c r="G1096" s="2" t="s">
        <v>1032</v>
      </c>
      <c r="H1096" s="2" t="s">
        <v>884</v>
      </c>
      <c r="I1096" s="2" t="s">
        <v>316</v>
      </c>
      <c r="J1096" s="2" t="s">
        <v>22</v>
      </c>
      <c r="K1096" s="146">
        <v>72</v>
      </c>
      <c r="L1096" s="146"/>
      <c r="M1096" s="146">
        <f t="shared" si="70"/>
        <v>-72</v>
      </c>
      <c r="N1096" s="72">
        <f t="shared" si="71"/>
        <v>489583.26999999915</v>
      </c>
    </row>
    <row r="1097" spans="1:14" x14ac:dyDescent="0.2">
      <c r="A1097" s="3" t="s">
        <v>764</v>
      </c>
      <c r="B1097" s="3">
        <f t="shared" si="68"/>
        <v>2025</v>
      </c>
      <c r="C1097" s="3">
        <f t="shared" si="69"/>
        <v>6</v>
      </c>
      <c r="D1097" s="73" t="s">
        <v>893</v>
      </c>
      <c r="E1097" s="2"/>
      <c r="F1097" s="2" t="s">
        <v>304</v>
      </c>
      <c r="G1097" s="2" t="s">
        <v>1037</v>
      </c>
      <c r="H1097" s="2" t="s">
        <v>1035</v>
      </c>
      <c r="I1097" s="2" t="s">
        <v>316</v>
      </c>
      <c r="J1097" s="2" t="s">
        <v>22</v>
      </c>
      <c r="K1097" s="146">
        <v>44.72</v>
      </c>
      <c r="L1097" s="146"/>
      <c r="M1097" s="146">
        <f t="shared" si="70"/>
        <v>-44.72</v>
      </c>
      <c r="N1097" s="72">
        <f t="shared" si="71"/>
        <v>489538.54999999917</v>
      </c>
    </row>
    <row r="1098" spans="1:14" x14ac:dyDescent="0.2">
      <c r="A1098" s="3" t="s">
        <v>764</v>
      </c>
      <c r="B1098" s="3">
        <f t="shared" si="68"/>
        <v>2025</v>
      </c>
      <c r="C1098" s="3">
        <f t="shared" si="69"/>
        <v>6</v>
      </c>
      <c r="D1098" s="73" t="s">
        <v>893</v>
      </c>
      <c r="E1098" s="2"/>
      <c r="F1098" s="2" t="s">
        <v>304</v>
      </c>
      <c r="G1098" s="2" t="s">
        <v>964</v>
      </c>
      <c r="H1098" s="2" t="s">
        <v>956</v>
      </c>
      <c r="I1098" s="2" t="s">
        <v>316</v>
      </c>
      <c r="J1098" s="2" t="s">
        <v>22</v>
      </c>
      <c r="K1098" s="146">
        <v>87.76</v>
      </c>
      <c r="L1098" s="146"/>
      <c r="M1098" s="146">
        <f t="shared" si="70"/>
        <v>-87.76</v>
      </c>
      <c r="N1098" s="72">
        <f t="shared" si="71"/>
        <v>489450.78999999916</v>
      </c>
    </row>
    <row r="1099" spans="1:14" x14ac:dyDescent="0.2">
      <c r="A1099" s="3" t="s">
        <v>764</v>
      </c>
      <c r="B1099" s="3">
        <f t="shared" si="68"/>
        <v>2025</v>
      </c>
      <c r="C1099" s="3">
        <f t="shared" si="69"/>
        <v>6</v>
      </c>
      <c r="D1099" s="73" t="s">
        <v>893</v>
      </c>
      <c r="E1099" s="2"/>
      <c r="F1099" s="2" t="s">
        <v>304</v>
      </c>
      <c r="G1099" s="2" t="s">
        <v>1040</v>
      </c>
      <c r="H1099" s="2" t="s">
        <v>1035</v>
      </c>
      <c r="I1099" s="2" t="s">
        <v>316</v>
      </c>
      <c r="J1099" s="2" t="s">
        <v>22</v>
      </c>
      <c r="K1099" s="146">
        <v>16.93</v>
      </c>
      <c r="L1099" s="146"/>
      <c r="M1099" s="146">
        <f t="shared" si="70"/>
        <v>-16.93</v>
      </c>
      <c r="N1099" s="72">
        <f t="shared" si="71"/>
        <v>489433.85999999917</v>
      </c>
    </row>
    <row r="1100" spans="1:14" x14ac:dyDescent="0.2">
      <c r="A1100" s="3" t="s">
        <v>764</v>
      </c>
      <c r="B1100" s="3">
        <f t="shared" si="68"/>
        <v>2025</v>
      </c>
      <c r="C1100" s="3">
        <f t="shared" si="69"/>
        <v>6</v>
      </c>
      <c r="D1100" s="73" t="s">
        <v>893</v>
      </c>
      <c r="E1100" s="2"/>
      <c r="F1100" s="2" t="s">
        <v>304</v>
      </c>
      <c r="G1100" s="2" t="s">
        <v>942</v>
      </c>
      <c r="H1100" s="2" t="s">
        <v>937</v>
      </c>
      <c r="I1100" s="2" t="s">
        <v>316</v>
      </c>
      <c r="J1100" s="2" t="s">
        <v>22</v>
      </c>
      <c r="K1100" s="146">
        <v>44</v>
      </c>
      <c r="L1100" s="146"/>
      <c r="M1100" s="146">
        <f t="shared" si="70"/>
        <v>-44</v>
      </c>
      <c r="N1100" s="72">
        <f t="shared" si="71"/>
        <v>489389.85999999917</v>
      </c>
    </row>
    <row r="1101" spans="1:14" x14ac:dyDescent="0.2">
      <c r="A1101" s="3" t="s">
        <v>764</v>
      </c>
      <c r="B1101" s="3">
        <f t="shared" si="68"/>
        <v>2025</v>
      </c>
      <c r="C1101" s="3">
        <f t="shared" si="69"/>
        <v>6</v>
      </c>
      <c r="D1101" s="73" t="s">
        <v>893</v>
      </c>
      <c r="E1101" s="2"/>
      <c r="F1101" s="2" t="s">
        <v>304</v>
      </c>
      <c r="G1101" s="2" t="s">
        <v>1043</v>
      </c>
      <c r="H1101" s="2" t="s">
        <v>1035</v>
      </c>
      <c r="I1101" s="2" t="s">
        <v>316</v>
      </c>
      <c r="J1101" s="2" t="s">
        <v>22</v>
      </c>
      <c r="K1101" s="146">
        <v>44.86</v>
      </c>
      <c r="L1101" s="146"/>
      <c r="M1101" s="146">
        <f t="shared" si="70"/>
        <v>-44.86</v>
      </c>
      <c r="N1101" s="72">
        <f t="shared" si="71"/>
        <v>489344.99999999919</v>
      </c>
    </row>
    <row r="1102" spans="1:14" x14ac:dyDescent="0.2">
      <c r="A1102" s="73" t="s">
        <v>764</v>
      </c>
      <c r="B1102" s="3">
        <f t="shared" si="68"/>
        <v>2025</v>
      </c>
      <c r="C1102" s="3">
        <f t="shared" si="69"/>
        <v>6</v>
      </c>
      <c r="D1102" s="73" t="s">
        <v>300</v>
      </c>
      <c r="E1102" s="2"/>
      <c r="F1102" s="2" t="s">
        <v>304</v>
      </c>
      <c r="G1102" s="2" t="s">
        <v>306</v>
      </c>
      <c r="H1102" s="2" t="s">
        <v>516</v>
      </c>
      <c r="I1102" s="2" t="s">
        <v>301</v>
      </c>
      <c r="J1102" s="2" t="s">
        <v>11</v>
      </c>
      <c r="K1102" s="72">
        <v>1234.75</v>
      </c>
      <c r="L1102" s="39"/>
      <c r="M1102" s="72">
        <f t="shared" si="70"/>
        <v>-1234.75</v>
      </c>
      <c r="N1102" s="72">
        <f t="shared" si="71"/>
        <v>488110.24999999919</v>
      </c>
    </row>
    <row r="1103" spans="1:14" x14ac:dyDescent="0.2">
      <c r="A1103" s="73" t="s">
        <v>764</v>
      </c>
      <c r="B1103" s="3">
        <f t="shared" si="68"/>
        <v>2025</v>
      </c>
      <c r="C1103" s="3">
        <f t="shared" si="69"/>
        <v>6</v>
      </c>
      <c r="D1103" s="73" t="s">
        <v>300</v>
      </c>
      <c r="E1103" s="2"/>
      <c r="F1103" s="2" t="s">
        <v>304</v>
      </c>
      <c r="G1103" s="2" t="s">
        <v>306</v>
      </c>
      <c r="H1103" s="2" t="s">
        <v>516</v>
      </c>
      <c r="I1103" s="2" t="s">
        <v>301</v>
      </c>
      <c r="J1103" s="2" t="s">
        <v>20</v>
      </c>
      <c r="K1103" s="72">
        <v>45423.74</v>
      </c>
      <c r="L1103" s="39"/>
      <c r="M1103" s="72">
        <f t="shared" si="70"/>
        <v>-45423.74</v>
      </c>
      <c r="N1103" s="72">
        <f t="shared" si="71"/>
        <v>442686.50999999919</v>
      </c>
    </row>
    <row r="1104" spans="1:14" x14ac:dyDescent="0.2">
      <c r="A1104" s="73" t="s">
        <v>764</v>
      </c>
      <c r="B1104" s="3">
        <f t="shared" si="68"/>
        <v>2025</v>
      </c>
      <c r="C1104" s="3">
        <f t="shared" si="69"/>
        <v>6</v>
      </c>
      <c r="D1104" s="73" t="s">
        <v>300</v>
      </c>
      <c r="E1104" s="2"/>
      <c r="F1104" s="2" t="s">
        <v>304</v>
      </c>
      <c r="G1104" s="2" t="s">
        <v>306</v>
      </c>
      <c r="H1104" s="2" t="s">
        <v>516</v>
      </c>
      <c r="I1104" s="2" t="s">
        <v>301</v>
      </c>
      <c r="J1104" s="2" t="s">
        <v>24</v>
      </c>
      <c r="K1104" s="72">
        <v>90021.59</v>
      </c>
      <c r="L1104" s="39"/>
      <c r="M1104" s="72">
        <f t="shared" si="70"/>
        <v>-90021.59</v>
      </c>
      <c r="N1104" s="72">
        <f t="shared" si="71"/>
        <v>352664.91999999923</v>
      </c>
    </row>
    <row r="1105" spans="1:14" x14ac:dyDescent="0.2">
      <c r="A1105" s="3" t="s">
        <v>764</v>
      </c>
      <c r="B1105" s="3">
        <f t="shared" si="68"/>
        <v>2025</v>
      </c>
      <c r="C1105" s="3">
        <f t="shared" si="69"/>
        <v>6</v>
      </c>
      <c r="D1105" s="73" t="s">
        <v>893</v>
      </c>
      <c r="E1105" s="2"/>
      <c r="F1105" s="2" t="s">
        <v>304</v>
      </c>
      <c r="G1105" s="2" t="s">
        <v>1045</v>
      </c>
      <c r="H1105" s="2" t="s">
        <v>1035</v>
      </c>
      <c r="I1105" s="2" t="s">
        <v>316</v>
      </c>
      <c r="J1105" s="2" t="s">
        <v>22</v>
      </c>
      <c r="K1105" s="146">
        <v>26.19</v>
      </c>
      <c r="L1105" s="146"/>
      <c r="M1105" s="146">
        <f t="shared" si="70"/>
        <v>-26.19</v>
      </c>
      <c r="N1105" s="72">
        <f t="shared" si="71"/>
        <v>352638.72999999922</v>
      </c>
    </row>
    <row r="1106" spans="1:14" x14ac:dyDescent="0.2">
      <c r="A1106" s="3" t="s">
        <v>764</v>
      </c>
      <c r="B1106" s="3">
        <f t="shared" si="68"/>
        <v>2025</v>
      </c>
      <c r="C1106" s="3">
        <f t="shared" si="69"/>
        <v>6</v>
      </c>
      <c r="D1106" s="73" t="s">
        <v>893</v>
      </c>
      <c r="E1106" s="2"/>
      <c r="F1106" s="2" t="s">
        <v>304</v>
      </c>
      <c r="G1106" s="2" t="s">
        <v>925</v>
      </c>
      <c r="H1106" s="2" t="s">
        <v>884</v>
      </c>
      <c r="I1106" s="2" t="s">
        <v>316</v>
      </c>
      <c r="J1106" s="2" t="s">
        <v>22</v>
      </c>
      <c r="K1106" s="146">
        <v>8</v>
      </c>
      <c r="L1106" s="146"/>
      <c r="M1106" s="146">
        <f t="shared" si="70"/>
        <v>-8</v>
      </c>
      <c r="N1106" s="72">
        <f t="shared" si="71"/>
        <v>352630.72999999922</v>
      </c>
    </row>
    <row r="1107" spans="1:14" x14ac:dyDescent="0.2">
      <c r="A1107" s="73" t="s">
        <v>764</v>
      </c>
      <c r="B1107" s="3">
        <f t="shared" si="68"/>
        <v>2025</v>
      </c>
      <c r="C1107" s="3">
        <f t="shared" si="69"/>
        <v>6</v>
      </c>
      <c r="D1107" s="73" t="s">
        <v>300</v>
      </c>
      <c r="E1107" s="2"/>
      <c r="F1107" s="2" t="s">
        <v>321</v>
      </c>
      <c r="G1107" s="2" t="s">
        <v>329</v>
      </c>
      <c r="H1107" s="2" t="s">
        <v>319</v>
      </c>
      <c r="I1107" s="2" t="s">
        <v>315</v>
      </c>
      <c r="J1107" s="2" t="s">
        <v>23</v>
      </c>
      <c r="K1107" s="72"/>
      <c r="L1107" s="39">
        <v>24777.599999999999</v>
      </c>
      <c r="M1107" s="72">
        <f t="shared" si="70"/>
        <v>24777.599999999999</v>
      </c>
      <c r="N1107" s="72">
        <f t="shared" si="71"/>
        <v>377408.3299999992</v>
      </c>
    </row>
    <row r="1108" spans="1:14" x14ac:dyDescent="0.2">
      <c r="A1108" s="3" t="s">
        <v>764</v>
      </c>
      <c r="B1108" s="3">
        <f t="shared" si="68"/>
        <v>2025</v>
      </c>
      <c r="C1108" s="3">
        <f t="shared" si="69"/>
        <v>6</v>
      </c>
      <c r="D1108" s="73" t="s">
        <v>893</v>
      </c>
      <c r="E1108" s="2"/>
      <c r="F1108" s="2" t="s">
        <v>304</v>
      </c>
      <c r="G1108" s="2" t="s">
        <v>913</v>
      </c>
      <c r="H1108" s="2" t="s">
        <v>937</v>
      </c>
      <c r="I1108" s="2" t="s">
        <v>316</v>
      </c>
      <c r="J1108" s="2" t="s">
        <v>22</v>
      </c>
      <c r="K1108" s="146">
        <v>18.55</v>
      </c>
      <c r="L1108" s="146"/>
      <c r="M1108" s="146">
        <f t="shared" si="70"/>
        <v>-18.55</v>
      </c>
      <c r="N1108" s="72">
        <f t="shared" si="71"/>
        <v>377389.77999999921</v>
      </c>
    </row>
    <row r="1109" spans="1:14" x14ac:dyDescent="0.2">
      <c r="A1109" s="3" t="s">
        <v>764</v>
      </c>
      <c r="B1109" s="3">
        <f t="shared" si="68"/>
        <v>2025</v>
      </c>
      <c r="C1109" s="3">
        <f t="shared" si="69"/>
        <v>6</v>
      </c>
      <c r="D1109" s="73" t="s">
        <v>893</v>
      </c>
      <c r="E1109" s="2"/>
      <c r="F1109" s="2" t="s">
        <v>304</v>
      </c>
      <c r="G1109" s="2" t="s">
        <v>913</v>
      </c>
      <c r="H1109" s="2" t="s">
        <v>937</v>
      </c>
      <c r="I1109" s="2" t="s">
        <v>316</v>
      </c>
      <c r="J1109" s="2" t="s">
        <v>22</v>
      </c>
      <c r="K1109" s="146">
        <v>12.76</v>
      </c>
      <c r="L1109" s="146"/>
      <c r="M1109" s="146">
        <f t="shared" si="70"/>
        <v>-12.76</v>
      </c>
      <c r="N1109" s="72">
        <f t="shared" si="71"/>
        <v>377377.0199999992</v>
      </c>
    </row>
    <row r="1110" spans="1:14" x14ac:dyDescent="0.2">
      <c r="A1110" s="3" t="s">
        <v>764</v>
      </c>
      <c r="B1110" s="3">
        <f t="shared" si="68"/>
        <v>2025</v>
      </c>
      <c r="C1110" s="3">
        <f t="shared" si="69"/>
        <v>6</v>
      </c>
      <c r="D1110" s="73" t="s">
        <v>893</v>
      </c>
      <c r="E1110" s="2"/>
      <c r="F1110" s="2" t="s">
        <v>304</v>
      </c>
      <c r="G1110" s="2" t="s">
        <v>913</v>
      </c>
      <c r="H1110" s="2" t="s">
        <v>937</v>
      </c>
      <c r="I1110" s="2" t="s">
        <v>316</v>
      </c>
      <c r="J1110" s="2" t="s">
        <v>22</v>
      </c>
      <c r="K1110" s="146">
        <v>11.96</v>
      </c>
      <c r="L1110" s="146"/>
      <c r="M1110" s="146">
        <f t="shared" si="70"/>
        <v>-11.96</v>
      </c>
      <c r="N1110" s="72">
        <f t="shared" si="71"/>
        <v>377365.05999999918</v>
      </c>
    </row>
    <row r="1111" spans="1:14" x14ac:dyDescent="0.2">
      <c r="A1111" s="3" t="s">
        <v>764</v>
      </c>
      <c r="B1111" s="3">
        <f t="shared" si="68"/>
        <v>2025</v>
      </c>
      <c r="C1111" s="3">
        <f t="shared" si="69"/>
        <v>6</v>
      </c>
      <c r="D1111" s="73" t="s">
        <v>893</v>
      </c>
      <c r="E1111" s="2"/>
      <c r="F1111" s="2" t="s">
        <v>304</v>
      </c>
      <c r="G1111" s="2" t="s">
        <v>913</v>
      </c>
      <c r="H1111" s="2" t="s">
        <v>937</v>
      </c>
      <c r="I1111" s="2" t="s">
        <v>316</v>
      </c>
      <c r="J1111" s="2" t="s">
        <v>22</v>
      </c>
      <c r="K1111" s="146">
        <v>5</v>
      </c>
      <c r="L1111" s="146"/>
      <c r="M1111" s="146">
        <f t="shared" si="70"/>
        <v>-5</v>
      </c>
      <c r="N1111" s="72">
        <f t="shared" si="71"/>
        <v>377360.05999999918</v>
      </c>
    </row>
    <row r="1112" spans="1:14" x14ac:dyDescent="0.2">
      <c r="A1112" s="3" t="s">
        <v>764</v>
      </c>
      <c r="B1112" s="3">
        <f t="shared" si="68"/>
        <v>2025</v>
      </c>
      <c r="C1112" s="3">
        <f t="shared" si="69"/>
        <v>6</v>
      </c>
      <c r="D1112" s="73" t="s">
        <v>893</v>
      </c>
      <c r="E1112" s="2"/>
      <c r="F1112" s="2" t="s">
        <v>304</v>
      </c>
      <c r="G1112" s="2" t="s">
        <v>913</v>
      </c>
      <c r="H1112" s="2" t="s">
        <v>937</v>
      </c>
      <c r="I1112" s="2" t="s">
        <v>316</v>
      </c>
      <c r="J1112" s="2" t="s">
        <v>22</v>
      </c>
      <c r="K1112" s="146">
        <v>22.38</v>
      </c>
      <c r="L1112" s="146"/>
      <c r="M1112" s="146">
        <f t="shared" si="70"/>
        <v>-22.38</v>
      </c>
      <c r="N1112" s="72">
        <f t="shared" si="71"/>
        <v>377337.67999999918</v>
      </c>
    </row>
    <row r="1113" spans="1:14" x14ac:dyDescent="0.2">
      <c r="A1113" s="3" t="s">
        <v>764</v>
      </c>
      <c r="B1113" s="3">
        <f t="shared" si="68"/>
        <v>2025</v>
      </c>
      <c r="C1113" s="3">
        <f t="shared" si="69"/>
        <v>6</v>
      </c>
      <c r="D1113" s="73" t="s">
        <v>893</v>
      </c>
      <c r="E1113" s="2"/>
      <c r="F1113" s="2" t="s">
        <v>304</v>
      </c>
      <c r="G1113" s="2" t="s">
        <v>913</v>
      </c>
      <c r="H1113" s="2" t="s">
        <v>937</v>
      </c>
      <c r="I1113" s="2" t="s">
        <v>316</v>
      </c>
      <c r="J1113" s="2" t="s">
        <v>22</v>
      </c>
      <c r="K1113" s="146">
        <v>11.11</v>
      </c>
      <c r="L1113" s="146"/>
      <c r="M1113" s="146">
        <f t="shared" si="70"/>
        <v>-11.11</v>
      </c>
      <c r="N1113" s="72">
        <f t="shared" si="71"/>
        <v>377326.56999999919</v>
      </c>
    </row>
    <row r="1114" spans="1:14" x14ac:dyDescent="0.2">
      <c r="A1114" s="3" t="s">
        <v>764</v>
      </c>
      <c r="B1114" s="3">
        <f t="shared" si="68"/>
        <v>2025</v>
      </c>
      <c r="C1114" s="3">
        <f t="shared" si="69"/>
        <v>6</v>
      </c>
      <c r="D1114" s="73" t="s">
        <v>893</v>
      </c>
      <c r="E1114" s="2"/>
      <c r="F1114" s="2" t="s">
        <v>304</v>
      </c>
      <c r="G1114" s="2" t="s">
        <v>913</v>
      </c>
      <c r="H1114" s="2" t="s">
        <v>937</v>
      </c>
      <c r="I1114" s="2" t="s">
        <v>316</v>
      </c>
      <c r="J1114" s="2" t="s">
        <v>22</v>
      </c>
      <c r="K1114" s="146">
        <v>29.26</v>
      </c>
      <c r="L1114" s="146"/>
      <c r="M1114" s="146">
        <f t="shared" si="70"/>
        <v>-29.26</v>
      </c>
      <c r="N1114" s="72">
        <f t="shared" si="71"/>
        <v>377297.30999999918</v>
      </c>
    </row>
    <row r="1115" spans="1:14" x14ac:dyDescent="0.2">
      <c r="A1115" s="3" t="s">
        <v>764</v>
      </c>
      <c r="B1115" s="3">
        <f t="shared" si="68"/>
        <v>2025</v>
      </c>
      <c r="C1115" s="3">
        <f t="shared" si="69"/>
        <v>6</v>
      </c>
      <c r="D1115" s="73" t="s">
        <v>893</v>
      </c>
      <c r="E1115" s="2"/>
      <c r="F1115" s="2" t="s">
        <v>304</v>
      </c>
      <c r="G1115" s="2" t="s">
        <v>913</v>
      </c>
      <c r="H1115" s="2" t="s">
        <v>937</v>
      </c>
      <c r="I1115" s="2" t="s">
        <v>316</v>
      </c>
      <c r="J1115" s="2" t="s">
        <v>22</v>
      </c>
      <c r="K1115" s="146">
        <v>9.69</v>
      </c>
      <c r="L1115" s="146"/>
      <c r="M1115" s="146">
        <f t="shared" si="70"/>
        <v>-9.69</v>
      </c>
      <c r="N1115" s="72">
        <f t="shared" si="71"/>
        <v>377287.61999999918</v>
      </c>
    </row>
    <row r="1116" spans="1:14" x14ac:dyDescent="0.2">
      <c r="A1116" s="3" t="s">
        <v>764</v>
      </c>
      <c r="B1116" s="3">
        <f t="shared" si="68"/>
        <v>2025</v>
      </c>
      <c r="C1116" s="3">
        <f t="shared" si="69"/>
        <v>6</v>
      </c>
      <c r="D1116" s="73" t="s">
        <v>893</v>
      </c>
      <c r="E1116" s="2"/>
      <c r="F1116" s="2" t="s">
        <v>304</v>
      </c>
      <c r="G1116" s="2" t="s">
        <v>913</v>
      </c>
      <c r="H1116" s="2" t="s">
        <v>937</v>
      </c>
      <c r="I1116" s="2" t="s">
        <v>316</v>
      </c>
      <c r="J1116" s="2" t="s">
        <v>22</v>
      </c>
      <c r="K1116" s="146">
        <v>49.67</v>
      </c>
      <c r="L1116" s="146"/>
      <c r="M1116" s="146">
        <f t="shared" si="70"/>
        <v>-49.67</v>
      </c>
      <c r="N1116" s="72">
        <f t="shared" si="71"/>
        <v>377237.9499999992</v>
      </c>
    </row>
    <row r="1117" spans="1:14" x14ac:dyDescent="0.2">
      <c r="A1117" s="73" t="s">
        <v>764</v>
      </c>
      <c r="B1117" s="3">
        <f t="shared" si="68"/>
        <v>2025</v>
      </c>
      <c r="C1117" s="3">
        <f t="shared" si="69"/>
        <v>6</v>
      </c>
      <c r="D1117" s="73" t="s">
        <v>300</v>
      </c>
      <c r="E1117" s="2"/>
      <c r="F1117" s="2" t="s">
        <v>299</v>
      </c>
      <c r="G1117" s="2"/>
      <c r="H1117" s="2" t="s">
        <v>298</v>
      </c>
      <c r="I1117" s="2" t="s">
        <v>297</v>
      </c>
      <c r="J1117" s="2" t="s">
        <v>296</v>
      </c>
      <c r="K1117" s="72"/>
      <c r="L1117" s="39">
        <v>111902.48</v>
      </c>
      <c r="M1117" s="72">
        <f t="shared" si="70"/>
        <v>111902.48</v>
      </c>
      <c r="N1117" s="72">
        <f t="shared" si="71"/>
        <v>489140.42999999918</v>
      </c>
    </row>
    <row r="1118" spans="1:14" x14ac:dyDescent="0.2">
      <c r="A1118" s="3" t="s">
        <v>952</v>
      </c>
      <c r="B1118" s="3">
        <f t="shared" si="68"/>
        <v>2025</v>
      </c>
      <c r="C1118" s="3">
        <f t="shared" si="69"/>
        <v>6</v>
      </c>
      <c r="D1118" s="73" t="s">
        <v>893</v>
      </c>
      <c r="E1118" s="2"/>
      <c r="F1118" s="2" t="s">
        <v>304</v>
      </c>
      <c r="G1118" s="2" t="s">
        <v>913</v>
      </c>
      <c r="H1118" s="2" t="s">
        <v>937</v>
      </c>
      <c r="I1118" s="2" t="s">
        <v>316</v>
      </c>
      <c r="J1118" s="2" t="s">
        <v>22</v>
      </c>
      <c r="K1118" s="146">
        <v>44.97</v>
      </c>
      <c r="L1118" s="146"/>
      <c r="M1118" s="146">
        <f t="shared" si="70"/>
        <v>-44.97</v>
      </c>
      <c r="N1118" s="72">
        <f t="shared" si="71"/>
        <v>489095.45999999921</v>
      </c>
    </row>
    <row r="1119" spans="1:14" x14ac:dyDescent="0.2">
      <c r="A1119" s="3" t="s">
        <v>952</v>
      </c>
      <c r="B1119" s="3">
        <f t="shared" si="68"/>
        <v>2025</v>
      </c>
      <c r="C1119" s="3">
        <f t="shared" si="69"/>
        <v>6</v>
      </c>
      <c r="D1119" s="73" t="s">
        <v>893</v>
      </c>
      <c r="E1119" s="2"/>
      <c r="F1119" s="2" t="s">
        <v>304</v>
      </c>
      <c r="G1119" s="2" t="s">
        <v>981</v>
      </c>
      <c r="H1119" s="2" t="s">
        <v>956</v>
      </c>
      <c r="I1119" s="2" t="s">
        <v>316</v>
      </c>
      <c r="J1119" s="2" t="s">
        <v>22</v>
      </c>
      <c r="K1119" s="146">
        <v>32.47</v>
      </c>
      <c r="L1119" s="146"/>
      <c r="M1119" s="146">
        <f t="shared" si="70"/>
        <v>-32.47</v>
      </c>
      <c r="N1119" s="72">
        <f t="shared" si="71"/>
        <v>489062.98999999923</v>
      </c>
    </row>
    <row r="1120" spans="1:14" x14ac:dyDescent="0.2">
      <c r="A1120" s="3" t="s">
        <v>907</v>
      </c>
      <c r="B1120" s="3">
        <f t="shared" si="68"/>
        <v>2025</v>
      </c>
      <c r="C1120" s="3">
        <f t="shared" si="69"/>
        <v>6</v>
      </c>
      <c r="D1120" s="73" t="s">
        <v>893</v>
      </c>
      <c r="E1120" s="2"/>
      <c r="F1120" s="2" t="s">
        <v>304</v>
      </c>
      <c r="G1120" s="2" t="s">
        <v>908</v>
      </c>
      <c r="H1120" s="2" t="s">
        <v>901</v>
      </c>
      <c r="I1120" s="1" t="s">
        <v>316</v>
      </c>
      <c r="J1120" s="2" t="s">
        <v>17</v>
      </c>
      <c r="K1120" s="146">
        <v>20</v>
      </c>
      <c r="L1120" s="146"/>
      <c r="M1120" s="146">
        <f t="shared" si="70"/>
        <v>-20</v>
      </c>
      <c r="N1120" s="72">
        <f t="shared" si="71"/>
        <v>489042.98999999923</v>
      </c>
    </row>
    <row r="1121" spans="1:15" x14ac:dyDescent="0.2">
      <c r="A1121" s="3" t="s">
        <v>765</v>
      </c>
      <c r="B1121" s="3">
        <f t="shared" si="68"/>
        <v>2025</v>
      </c>
      <c r="C1121" s="3">
        <f t="shared" si="69"/>
        <v>6</v>
      </c>
      <c r="D1121" s="73" t="s">
        <v>893</v>
      </c>
      <c r="E1121" s="2"/>
      <c r="F1121" s="2" t="s">
        <v>304</v>
      </c>
      <c r="G1121" s="2" t="s">
        <v>993</v>
      </c>
      <c r="H1121" s="2" t="s">
        <v>992</v>
      </c>
      <c r="I1121" s="2" t="s">
        <v>316</v>
      </c>
      <c r="J1121" s="2" t="s">
        <v>22</v>
      </c>
      <c r="K1121" s="146">
        <v>266</v>
      </c>
      <c r="L1121" s="146"/>
      <c r="M1121" s="146">
        <f t="shared" si="70"/>
        <v>-266</v>
      </c>
      <c r="N1121" s="72">
        <f t="shared" si="71"/>
        <v>488776.98999999923</v>
      </c>
    </row>
    <row r="1122" spans="1:15" x14ac:dyDescent="0.2">
      <c r="A1122" s="73" t="s">
        <v>765</v>
      </c>
      <c r="B1122" s="3">
        <f t="shared" si="68"/>
        <v>2025</v>
      </c>
      <c r="C1122" s="3">
        <f t="shared" si="69"/>
        <v>6</v>
      </c>
      <c r="D1122" s="73" t="s">
        <v>300</v>
      </c>
      <c r="E1122" s="2"/>
      <c r="F1122" s="2" t="s">
        <v>304</v>
      </c>
      <c r="G1122" s="2" t="s">
        <v>390</v>
      </c>
      <c r="H1122" s="2" t="s">
        <v>839</v>
      </c>
      <c r="I1122" s="2" t="s">
        <v>316</v>
      </c>
      <c r="J1122" s="2" t="s">
        <v>17</v>
      </c>
      <c r="K1122" s="72">
        <v>2500</v>
      </c>
      <c r="L1122" s="39"/>
      <c r="M1122" s="72">
        <f t="shared" si="70"/>
        <v>-2500</v>
      </c>
      <c r="N1122" s="72">
        <f t="shared" si="71"/>
        <v>486276.98999999923</v>
      </c>
    </row>
    <row r="1123" spans="1:15" x14ac:dyDescent="0.2">
      <c r="A1123" s="73" t="s">
        <v>765</v>
      </c>
      <c r="B1123" s="3">
        <f t="shared" si="68"/>
        <v>2025</v>
      </c>
      <c r="C1123" s="3">
        <f t="shared" si="69"/>
        <v>6</v>
      </c>
      <c r="D1123" s="73" t="s">
        <v>300</v>
      </c>
      <c r="E1123" s="2"/>
      <c r="F1123" s="2" t="s">
        <v>304</v>
      </c>
      <c r="G1123" s="2" t="s">
        <v>390</v>
      </c>
      <c r="H1123" s="2" t="s">
        <v>839</v>
      </c>
      <c r="I1123" s="2" t="s">
        <v>316</v>
      </c>
      <c r="J1123" s="2" t="s">
        <v>17</v>
      </c>
      <c r="K1123" s="72">
        <v>3900</v>
      </c>
      <c r="L1123" s="39"/>
      <c r="M1123" s="72">
        <f t="shared" si="70"/>
        <v>-3900</v>
      </c>
      <c r="N1123" s="72">
        <f t="shared" si="71"/>
        <v>482376.98999999923</v>
      </c>
    </row>
    <row r="1124" spans="1:15" x14ac:dyDescent="0.2">
      <c r="A1124" s="3" t="s">
        <v>765</v>
      </c>
      <c r="B1124" s="3">
        <f t="shared" si="68"/>
        <v>2025</v>
      </c>
      <c r="C1124" s="3">
        <f t="shared" si="69"/>
        <v>6</v>
      </c>
      <c r="D1124" s="73" t="s">
        <v>893</v>
      </c>
      <c r="E1124" s="2"/>
      <c r="F1124" s="2" t="s">
        <v>304</v>
      </c>
      <c r="G1124" s="2" t="s">
        <v>941</v>
      </c>
      <c r="H1124" s="2" t="s">
        <v>937</v>
      </c>
      <c r="I1124" s="2" t="s">
        <v>316</v>
      </c>
      <c r="J1124" s="2" t="s">
        <v>22</v>
      </c>
      <c r="K1124" s="146">
        <v>350.36</v>
      </c>
      <c r="L1124" s="146"/>
      <c r="M1124" s="146">
        <f t="shared" si="70"/>
        <v>-350.36</v>
      </c>
      <c r="N1124" s="72">
        <f t="shared" si="71"/>
        <v>482026.62999999925</v>
      </c>
    </row>
    <row r="1125" spans="1:15" x14ac:dyDescent="0.2">
      <c r="A1125" s="73" t="s">
        <v>765</v>
      </c>
      <c r="B1125" s="3">
        <f t="shared" si="68"/>
        <v>2025</v>
      </c>
      <c r="C1125" s="3">
        <f t="shared" si="69"/>
        <v>6</v>
      </c>
      <c r="D1125" s="73" t="s">
        <v>300</v>
      </c>
      <c r="E1125" s="2"/>
      <c r="F1125" s="2" t="s">
        <v>309</v>
      </c>
      <c r="G1125" s="2" t="s">
        <v>308</v>
      </c>
      <c r="H1125" s="2" t="s">
        <v>307</v>
      </c>
      <c r="I1125" s="2" t="s">
        <v>297</v>
      </c>
      <c r="J1125" s="2" t="s">
        <v>48</v>
      </c>
      <c r="K1125" s="72"/>
      <c r="L1125" s="39">
        <v>3887.72</v>
      </c>
      <c r="M1125" s="72">
        <f t="shared" si="70"/>
        <v>3887.72</v>
      </c>
      <c r="N1125" s="72">
        <f t="shared" si="71"/>
        <v>485914.34999999922</v>
      </c>
    </row>
    <row r="1126" spans="1:15" x14ac:dyDescent="0.2">
      <c r="A1126" s="73" t="s">
        <v>765</v>
      </c>
      <c r="B1126" s="3">
        <f t="shared" si="68"/>
        <v>2025</v>
      </c>
      <c r="C1126" s="3">
        <f t="shared" si="69"/>
        <v>6</v>
      </c>
      <c r="D1126" s="73" t="s">
        <v>300</v>
      </c>
      <c r="E1126" s="2"/>
      <c r="F1126" s="2" t="s">
        <v>304</v>
      </c>
      <c r="G1126" s="2" t="s">
        <v>306</v>
      </c>
      <c r="H1126" s="2" t="s">
        <v>305</v>
      </c>
      <c r="I1126" s="2" t="s">
        <v>301</v>
      </c>
      <c r="J1126" s="2" t="s">
        <v>19</v>
      </c>
      <c r="K1126" s="72">
        <v>341.44</v>
      </c>
      <c r="L1126" s="39"/>
      <c r="M1126" s="72">
        <f t="shared" si="70"/>
        <v>-341.44</v>
      </c>
      <c r="N1126" s="72">
        <f t="shared" si="71"/>
        <v>485572.90999999922</v>
      </c>
    </row>
    <row r="1127" spans="1:15" x14ac:dyDescent="0.2">
      <c r="A1127" s="73" t="s">
        <v>765</v>
      </c>
      <c r="B1127" s="3">
        <f t="shared" si="68"/>
        <v>2025</v>
      </c>
      <c r="C1127" s="3">
        <f t="shared" si="69"/>
        <v>6</v>
      </c>
      <c r="D1127" s="73" t="s">
        <v>300</v>
      </c>
      <c r="E1127" s="2"/>
      <c r="F1127" s="2" t="s">
        <v>325</v>
      </c>
      <c r="G1127" s="2" t="s">
        <v>378</v>
      </c>
      <c r="H1127" s="2" t="s">
        <v>323</v>
      </c>
      <c r="I1127" s="2" t="s">
        <v>316</v>
      </c>
      <c r="J1127" s="2" t="s">
        <v>17</v>
      </c>
      <c r="K1127" s="72">
        <v>2747.25</v>
      </c>
      <c r="L1127" s="39"/>
      <c r="M1127" s="72">
        <f t="shared" si="70"/>
        <v>-2747.25</v>
      </c>
      <c r="N1127" s="72">
        <f t="shared" si="71"/>
        <v>482825.65999999922</v>
      </c>
    </row>
    <row r="1128" spans="1:15" x14ac:dyDescent="0.2">
      <c r="A1128" s="90" t="s">
        <v>765</v>
      </c>
      <c r="B1128" s="91">
        <f t="shared" si="68"/>
        <v>2025</v>
      </c>
      <c r="C1128" s="91">
        <f t="shared" si="69"/>
        <v>6</v>
      </c>
      <c r="D1128" s="90" t="s">
        <v>300</v>
      </c>
      <c r="E1128" s="92"/>
      <c r="F1128" s="92" t="s">
        <v>299</v>
      </c>
      <c r="G1128" s="92"/>
      <c r="H1128" s="92" t="s">
        <v>298</v>
      </c>
      <c r="I1128" s="92" t="s">
        <v>297</v>
      </c>
      <c r="J1128" s="92" t="s">
        <v>296</v>
      </c>
      <c r="K1128" s="80"/>
      <c r="L1128" s="93">
        <v>5600.97</v>
      </c>
      <c r="M1128" s="80">
        <f t="shared" si="70"/>
        <v>5600.97</v>
      </c>
      <c r="N1128" s="80">
        <f t="shared" si="71"/>
        <v>488426.62999999919</v>
      </c>
      <c r="O1128" s="72"/>
    </row>
    <row r="1129" spans="1:15" x14ac:dyDescent="0.2">
      <c r="A1129" s="73" t="s">
        <v>863</v>
      </c>
      <c r="B1129" s="3">
        <f t="shared" si="68"/>
        <v>2025</v>
      </c>
      <c r="C1129" s="3">
        <f t="shared" si="69"/>
        <v>7</v>
      </c>
      <c r="D1129" s="73" t="s">
        <v>300</v>
      </c>
      <c r="E1129" s="2"/>
      <c r="F1129" s="2" t="s">
        <v>304</v>
      </c>
      <c r="G1129" s="2" t="s">
        <v>336</v>
      </c>
      <c r="H1129" s="2" t="s">
        <v>766</v>
      </c>
      <c r="I1129" s="2" t="s">
        <v>301</v>
      </c>
      <c r="J1129" s="2" t="s">
        <v>11</v>
      </c>
      <c r="K1129" s="72">
        <v>65</v>
      </c>
      <c r="L1129" s="39"/>
      <c r="M1129" s="72">
        <f t="shared" si="70"/>
        <v>-65</v>
      </c>
      <c r="N1129" s="72">
        <f t="shared" si="71"/>
        <v>488361.62999999919</v>
      </c>
    </row>
    <row r="1130" spans="1:15" x14ac:dyDescent="0.2">
      <c r="A1130" s="73" t="s">
        <v>863</v>
      </c>
      <c r="B1130" s="3">
        <f t="shared" si="68"/>
        <v>2025</v>
      </c>
      <c r="C1130" s="3">
        <f t="shared" si="69"/>
        <v>7</v>
      </c>
      <c r="D1130" s="73" t="s">
        <v>300</v>
      </c>
      <c r="E1130" s="2"/>
      <c r="F1130" s="2" t="s">
        <v>314</v>
      </c>
      <c r="G1130" s="2" t="s">
        <v>0</v>
      </c>
      <c r="H1130" s="2" t="s">
        <v>313</v>
      </c>
      <c r="I1130" s="2" t="s">
        <v>312</v>
      </c>
      <c r="J1130" s="2" t="s">
        <v>0</v>
      </c>
      <c r="K1130" s="72">
        <v>820.37</v>
      </c>
      <c r="L1130" s="39"/>
      <c r="M1130" s="72">
        <f t="shared" si="70"/>
        <v>-820.37</v>
      </c>
      <c r="N1130" s="72">
        <f t="shared" si="71"/>
        <v>487541.25999999919</v>
      </c>
    </row>
    <row r="1131" spans="1:15" x14ac:dyDescent="0.2">
      <c r="A1131" s="3" t="s">
        <v>863</v>
      </c>
      <c r="B1131" s="3">
        <f t="shared" si="68"/>
        <v>2025</v>
      </c>
      <c r="C1131" s="3">
        <f t="shared" si="69"/>
        <v>7</v>
      </c>
      <c r="D1131" s="73" t="s">
        <v>893</v>
      </c>
      <c r="E1131" s="2"/>
      <c r="F1131" s="2" t="s">
        <v>304</v>
      </c>
      <c r="G1131" s="2" t="s">
        <v>922</v>
      </c>
      <c r="H1131" s="2" t="s">
        <v>992</v>
      </c>
      <c r="I1131" s="2" t="s">
        <v>316</v>
      </c>
      <c r="J1131" s="2" t="s">
        <v>22</v>
      </c>
      <c r="K1131" s="146">
        <v>343.1</v>
      </c>
      <c r="L1131" s="146"/>
      <c r="M1131" s="146">
        <f t="shared" si="70"/>
        <v>-343.1</v>
      </c>
      <c r="N1131" s="72">
        <f t="shared" si="71"/>
        <v>487198.15999999922</v>
      </c>
    </row>
    <row r="1132" spans="1:15" x14ac:dyDescent="0.2">
      <c r="A1132" s="3" t="s">
        <v>863</v>
      </c>
      <c r="B1132" s="3">
        <f t="shared" si="68"/>
        <v>2025</v>
      </c>
      <c r="C1132" s="3">
        <f t="shared" si="69"/>
        <v>7</v>
      </c>
      <c r="D1132" s="73" t="s">
        <v>893</v>
      </c>
      <c r="E1132" s="2"/>
      <c r="F1132" s="2" t="s">
        <v>304</v>
      </c>
      <c r="G1132" s="2" t="s">
        <v>922</v>
      </c>
      <c r="H1132" s="2" t="s">
        <v>992</v>
      </c>
      <c r="I1132" s="2" t="s">
        <v>316</v>
      </c>
      <c r="J1132" s="2" t="s">
        <v>22</v>
      </c>
      <c r="K1132" s="146">
        <v>175.08</v>
      </c>
      <c r="L1132" s="146"/>
      <c r="M1132" s="146">
        <f t="shared" si="70"/>
        <v>-175.08</v>
      </c>
      <c r="N1132" s="72">
        <f t="shared" si="71"/>
        <v>487023.0799999992</v>
      </c>
    </row>
    <row r="1133" spans="1:15" x14ac:dyDescent="0.2">
      <c r="A1133" s="3" t="s">
        <v>863</v>
      </c>
      <c r="B1133" s="3">
        <f t="shared" si="68"/>
        <v>2025</v>
      </c>
      <c r="C1133" s="3">
        <f t="shared" si="69"/>
        <v>7</v>
      </c>
      <c r="D1133" s="73" t="s">
        <v>893</v>
      </c>
      <c r="E1133" s="2"/>
      <c r="F1133" s="2" t="s">
        <v>304</v>
      </c>
      <c r="G1133" s="2" t="s">
        <v>926</v>
      </c>
      <c r="H1133" s="2" t="s">
        <v>1035</v>
      </c>
      <c r="I1133" s="2" t="s">
        <v>316</v>
      </c>
      <c r="J1133" s="2" t="s">
        <v>22</v>
      </c>
      <c r="K1133" s="146">
        <v>98.4</v>
      </c>
      <c r="L1133" s="146"/>
      <c r="M1133" s="146">
        <f t="shared" si="70"/>
        <v>-98.4</v>
      </c>
      <c r="N1133" s="72">
        <f t="shared" si="71"/>
        <v>486924.67999999918</v>
      </c>
    </row>
    <row r="1134" spans="1:15" x14ac:dyDescent="0.2">
      <c r="A1134" s="3" t="s">
        <v>863</v>
      </c>
      <c r="B1134" s="3">
        <f t="shared" si="68"/>
        <v>2025</v>
      </c>
      <c r="C1134" s="3">
        <f t="shared" si="69"/>
        <v>7</v>
      </c>
      <c r="D1134" s="73" t="s">
        <v>893</v>
      </c>
      <c r="E1134" s="2"/>
      <c r="F1134" s="2" t="s">
        <v>304</v>
      </c>
      <c r="G1134" s="2" t="s">
        <v>1038</v>
      </c>
      <c r="H1134" s="2" t="s">
        <v>1035</v>
      </c>
      <c r="I1134" s="2" t="s">
        <v>316</v>
      </c>
      <c r="J1134" s="2" t="s">
        <v>22</v>
      </c>
      <c r="K1134" s="146">
        <v>96.89</v>
      </c>
      <c r="L1134" s="146"/>
      <c r="M1134" s="146">
        <f t="shared" si="70"/>
        <v>-96.89</v>
      </c>
      <c r="N1134" s="72">
        <f t="shared" si="71"/>
        <v>486827.78999999916</v>
      </c>
    </row>
    <row r="1135" spans="1:15" x14ac:dyDescent="0.2">
      <c r="A1135" s="3" t="s">
        <v>863</v>
      </c>
      <c r="B1135" s="3">
        <f t="shared" si="68"/>
        <v>2025</v>
      </c>
      <c r="C1135" s="3">
        <f t="shared" si="69"/>
        <v>7</v>
      </c>
      <c r="D1135" s="73" t="s">
        <v>893</v>
      </c>
      <c r="E1135" s="2"/>
      <c r="F1135" s="2" t="s">
        <v>304</v>
      </c>
      <c r="G1135" s="2" t="s">
        <v>1011</v>
      </c>
      <c r="H1135" s="2" t="s">
        <v>1007</v>
      </c>
      <c r="I1135" s="1" t="s">
        <v>316</v>
      </c>
      <c r="J1135" s="2" t="s">
        <v>17</v>
      </c>
      <c r="K1135" s="146">
        <v>80.5</v>
      </c>
      <c r="L1135" s="146"/>
      <c r="M1135" s="146">
        <f t="shared" si="70"/>
        <v>-80.5</v>
      </c>
      <c r="N1135" s="72">
        <f t="shared" si="71"/>
        <v>486747.28999999916</v>
      </c>
    </row>
    <row r="1136" spans="1:15" x14ac:dyDescent="0.2">
      <c r="A1136" s="3" t="s">
        <v>863</v>
      </c>
      <c r="B1136" s="3">
        <f t="shared" si="68"/>
        <v>2025</v>
      </c>
      <c r="C1136" s="3">
        <f t="shared" si="69"/>
        <v>7</v>
      </c>
      <c r="D1136" s="73" t="s">
        <v>893</v>
      </c>
      <c r="E1136" s="2"/>
      <c r="F1136" s="2" t="s">
        <v>304</v>
      </c>
      <c r="G1136" s="2" t="s">
        <v>1014</v>
      </c>
      <c r="H1136" s="2" t="s">
        <v>1007</v>
      </c>
      <c r="I1136" s="1" t="s">
        <v>316</v>
      </c>
      <c r="J1136" s="2" t="s">
        <v>17</v>
      </c>
      <c r="K1136" s="146">
        <v>45.79</v>
      </c>
      <c r="L1136" s="146"/>
      <c r="M1136" s="146">
        <f t="shared" si="70"/>
        <v>-45.79</v>
      </c>
      <c r="N1136" s="72">
        <f t="shared" si="71"/>
        <v>486701.49999999919</v>
      </c>
    </row>
    <row r="1137" spans="1:14" x14ac:dyDescent="0.2">
      <c r="A1137" s="3" t="s">
        <v>863</v>
      </c>
      <c r="B1137" s="3">
        <f t="shared" si="68"/>
        <v>2025</v>
      </c>
      <c r="C1137" s="3">
        <f t="shared" si="69"/>
        <v>7</v>
      </c>
      <c r="D1137" s="73" t="s">
        <v>893</v>
      </c>
      <c r="E1137" s="2"/>
      <c r="F1137" s="2" t="s">
        <v>304</v>
      </c>
      <c r="G1137" s="2" t="s">
        <v>1015</v>
      </c>
      <c r="H1137" s="2" t="s">
        <v>1007</v>
      </c>
      <c r="I1137" s="1" t="s">
        <v>316</v>
      </c>
      <c r="J1137" s="2" t="s">
        <v>17</v>
      </c>
      <c r="K1137" s="146">
        <v>283.25</v>
      </c>
      <c r="L1137" s="146"/>
      <c r="M1137" s="146">
        <f t="shared" si="70"/>
        <v>-283.25</v>
      </c>
      <c r="N1137" s="72">
        <f t="shared" si="71"/>
        <v>486418.24999999919</v>
      </c>
    </row>
    <row r="1138" spans="1:14" x14ac:dyDescent="0.2">
      <c r="A1138" s="73" t="s">
        <v>863</v>
      </c>
      <c r="B1138" s="3">
        <f t="shared" si="68"/>
        <v>2025</v>
      </c>
      <c r="C1138" s="3">
        <f t="shared" si="69"/>
        <v>7</v>
      </c>
      <c r="D1138" s="73" t="s">
        <v>300</v>
      </c>
      <c r="E1138" s="2"/>
      <c r="F1138" s="2" t="s">
        <v>325</v>
      </c>
      <c r="G1138" s="2" t="s">
        <v>837</v>
      </c>
      <c r="H1138" s="2" t="s">
        <v>323</v>
      </c>
      <c r="I1138" s="2" t="s">
        <v>316</v>
      </c>
      <c r="J1138" s="2" t="s">
        <v>22</v>
      </c>
      <c r="K1138" s="72">
        <v>173.39</v>
      </c>
      <c r="L1138" s="39"/>
      <c r="M1138" s="72">
        <f t="shared" si="70"/>
        <v>-173.39</v>
      </c>
      <c r="N1138" s="72">
        <f t="shared" si="71"/>
        <v>486244.85999999917</v>
      </c>
    </row>
    <row r="1139" spans="1:14" x14ac:dyDescent="0.2">
      <c r="A1139" s="73" t="s">
        <v>863</v>
      </c>
      <c r="B1139" s="3">
        <f t="shared" si="68"/>
        <v>2025</v>
      </c>
      <c r="C1139" s="3">
        <f t="shared" si="69"/>
        <v>7</v>
      </c>
      <c r="D1139" s="73" t="s">
        <v>300</v>
      </c>
      <c r="E1139" s="2"/>
      <c r="F1139" s="2" t="s">
        <v>325</v>
      </c>
      <c r="G1139" s="2" t="s">
        <v>837</v>
      </c>
      <c r="H1139" s="2" t="s">
        <v>323</v>
      </c>
      <c r="I1139" s="2" t="s">
        <v>316</v>
      </c>
      <c r="J1139" s="2" t="s">
        <v>22</v>
      </c>
      <c r="K1139" s="72">
        <v>11.37</v>
      </c>
      <c r="L1139" s="39"/>
      <c r="M1139" s="72">
        <f t="shared" si="70"/>
        <v>-11.37</v>
      </c>
      <c r="N1139" s="72">
        <f t="shared" si="71"/>
        <v>486233.48999999918</v>
      </c>
    </row>
    <row r="1140" spans="1:14" x14ac:dyDescent="0.2">
      <c r="A1140" s="73" t="s">
        <v>863</v>
      </c>
      <c r="B1140" s="3">
        <f t="shared" si="68"/>
        <v>2025</v>
      </c>
      <c r="C1140" s="3">
        <f t="shared" si="69"/>
        <v>7</v>
      </c>
      <c r="D1140" s="73" t="s">
        <v>300</v>
      </c>
      <c r="E1140" s="2"/>
      <c r="F1140" s="2" t="s">
        <v>325</v>
      </c>
      <c r="G1140" s="2" t="s">
        <v>837</v>
      </c>
      <c r="H1140" s="2" t="s">
        <v>323</v>
      </c>
      <c r="I1140" s="2" t="s">
        <v>316</v>
      </c>
      <c r="J1140" s="2" t="s">
        <v>22</v>
      </c>
      <c r="K1140" s="72">
        <v>331.97</v>
      </c>
      <c r="L1140" s="39"/>
      <c r="M1140" s="72">
        <f t="shared" si="70"/>
        <v>-331.97</v>
      </c>
      <c r="N1140" s="72">
        <f t="shared" si="71"/>
        <v>485901.5199999992</v>
      </c>
    </row>
    <row r="1141" spans="1:14" x14ac:dyDescent="0.2">
      <c r="A1141" s="73" t="s">
        <v>863</v>
      </c>
      <c r="B1141" s="3">
        <f t="shared" si="68"/>
        <v>2025</v>
      </c>
      <c r="C1141" s="3">
        <f t="shared" si="69"/>
        <v>7</v>
      </c>
      <c r="D1141" s="73" t="s">
        <v>300</v>
      </c>
      <c r="E1141" s="2"/>
      <c r="F1141" s="2" t="s">
        <v>325</v>
      </c>
      <c r="G1141" s="2" t="s">
        <v>837</v>
      </c>
      <c r="H1141" s="2" t="s">
        <v>323</v>
      </c>
      <c r="I1141" s="2" t="s">
        <v>316</v>
      </c>
      <c r="J1141" s="2" t="s">
        <v>22</v>
      </c>
      <c r="K1141" s="72">
        <v>681.25</v>
      </c>
      <c r="L1141" s="39"/>
      <c r="M1141" s="72">
        <f t="shared" si="70"/>
        <v>-681.25</v>
      </c>
      <c r="N1141" s="72">
        <f t="shared" si="71"/>
        <v>485220.2699999992</v>
      </c>
    </row>
    <row r="1142" spans="1:14" x14ac:dyDescent="0.2">
      <c r="A1142" s="3" t="s">
        <v>863</v>
      </c>
      <c r="B1142" s="3">
        <f t="shared" si="68"/>
        <v>2025</v>
      </c>
      <c r="C1142" s="3">
        <f t="shared" si="69"/>
        <v>7</v>
      </c>
      <c r="D1142" s="73" t="s">
        <v>893</v>
      </c>
      <c r="E1142" s="2"/>
      <c r="F1142" s="2" t="s">
        <v>304</v>
      </c>
      <c r="G1142" s="2" t="s">
        <v>932</v>
      </c>
      <c r="H1142" s="2" t="s">
        <v>933</v>
      </c>
      <c r="I1142" s="1" t="s">
        <v>316</v>
      </c>
      <c r="J1142" s="2" t="s">
        <v>17</v>
      </c>
      <c r="K1142" s="146">
        <v>150</v>
      </c>
      <c r="L1142" s="146"/>
      <c r="M1142" s="146">
        <f t="shared" si="70"/>
        <v>-150</v>
      </c>
      <c r="N1142" s="72">
        <f t="shared" si="71"/>
        <v>485070.2699999992</v>
      </c>
    </row>
    <row r="1143" spans="1:14" x14ac:dyDescent="0.2">
      <c r="A1143" s="3" t="s">
        <v>863</v>
      </c>
      <c r="B1143" s="3">
        <f t="shared" si="68"/>
        <v>2025</v>
      </c>
      <c r="C1143" s="3">
        <f t="shared" si="69"/>
        <v>7</v>
      </c>
      <c r="D1143" s="73" t="s">
        <v>893</v>
      </c>
      <c r="E1143" s="2"/>
      <c r="F1143" s="2" t="s">
        <v>304</v>
      </c>
      <c r="G1143" s="2" t="s">
        <v>932</v>
      </c>
      <c r="H1143" s="2" t="s">
        <v>985</v>
      </c>
      <c r="I1143" s="1" t="s">
        <v>316</v>
      </c>
      <c r="J1143" s="2" t="s">
        <v>17</v>
      </c>
      <c r="K1143" s="146">
        <v>21</v>
      </c>
      <c r="L1143" s="146"/>
      <c r="M1143" s="146">
        <f t="shared" si="70"/>
        <v>-21</v>
      </c>
      <c r="N1143" s="72">
        <f t="shared" si="71"/>
        <v>485049.2699999992</v>
      </c>
    </row>
    <row r="1144" spans="1:14" x14ac:dyDescent="0.2">
      <c r="A1144" s="3" t="s">
        <v>863</v>
      </c>
      <c r="B1144" s="3">
        <f t="shared" si="68"/>
        <v>2025</v>
      </c>
      <c r="C1144" s="3">
        <f t="shared" si="69"/>
        <v>7</v>
      </c>
      <c r="D1144" s="73" t="s">
        <v>893</v>
      </c>
      <c r="E1144" s="2"/>
      <c r="F1144" s="2" t="s">
        <v>304</v>
      </c>
      <c r="G1144" s="2" t="s">
        <v>995</v>
      </c>
      <c r="H1144" s="2" t="s">
        <v>992</v>
      </c>
      <c r="I1144" s="2" t="s">
        <v>316</v>
      </c>
      <c r="J1144" s="2" t="s">
        <v>22</v>
      </c>
      <c r="K1144" s="146">
        <v>17.989999999999998</v>
      </c>
      <c r="L1144" s="146"/>
      <c r="M1144" s="146">
        <f t="shared" si="70"/>
        <v>-17.989999999999998</v>
      </c>
      <c r="N1144" s="72">
        <f t="shared" si="71"/>
        <v>485031.27999999921</v>
      </c>
    </row>
    <row r="1145" spans="1:14" x14ac:dyDescent="0.2">
      <c r="A1145" s="73" t="s">
        <v>863</v>
      </c>
      <c r="B1145" s="3">
        <f t="shared" si="68"/>
        <v>2025</v>
      </c>
      <c r="C1145" s="3">
        <f t="shared" si="69"/>
        <v>7</v>
      </c>
      <c r="D1145" s="73" t="s">
        <v>300</v>
      </c>
      <c r="E1145" s="2"/>
      <c r="F1145" s="2" t="s">
        <v>321</v>
      </c>
      <c r="G1145" s="2" t="s">
        <v>320</v>
      </c>
      <c r="H1145" s="2" t="s">
        <v>319</v>
      </c>
      <c r="I1145" s="2" t="s">
        <v>315</v>
      </c>
      <c r="J1145" s="2" t="s">
        <v>23</v>
      </c>
      <c r="K1145" s="72"/>
      <c r="L1145" s="39">
        <v>68320</v>
      </c>
      <c r="M1145" s="72">
        <f t="shared" si="70"/>
        <v>68320</v>
      </c>
      <c r="N1145" s="72">
        <f t="shared" si="71"/>
        <v>553351.27999999921</v>
      </c>
    </row>
    <row r="1146" spans="1:14" x14ac:dyDescent="0.2">
      <c r="A1146" s="73" t="s">
        <v>863</v>
      </c>
      <c r="B1146" s="3">
        <f t="shared" si="68"/>
        <v>2025</v>
      </c>
      <c r="C1146" s="3">
        <f t="shared" si="69"/>
        <v>7</v>
      </c>
      <c r="D1146" s="73" t="s">
        <v>300</v>
      </c>
      <c r="E1146" s="2"/>
      <c r="F1146" s="2" t="s">
        <v>309</v>
      </c>
      <c r="G1146" s="2" t="s">
        <v>69</v>
      </c>
      <c r="H1146" s="2" t="s">
        <v>346</v>
      </c>
      <c r="I1146" s="2" t="s">
        <v>315</v>
      </c>
      <c r="J1146" s="2" t="s">
        <v>23</v>
      </c>
      <c r="K1146" s="72"/>
      <c r="L1146" s="39">
        <v>14500</v>
      </c>
      <c r="M1146" s="72">
        <f t="shared" si="70"/>
        <v>14500</v>
      </c>
      <c r="N1146" s="72">
        <f t="shared" si="71"/>
        <v>567851.27999999921</v>
      </c>
    </row>
    <row r="1147" spans="1:14" x14ac:dyDescent="0.2">
      <c r="A1147" s="73" t="s">
        <v>863</v>
      </c>
      <c r="B1147" s="3">
        <f t="shared" si="68"/>
        <v>2025</v>
      </c>
      <c r="C1147" s="3">
        <f t="shared" si="69"/>
        <v>7</v>
      </c>
      <c r="D1147" s="73" t="s">
        <v>300</v>
      </c>
      <c r="E1147" s="2"/>
      <c r="F1147" s="2" t="s">
        <v>304</v>
      </c>
      <c r="G1147" s="2" t="s">
        <v>317</v>
      </c>
      <c r="H1147" s="2" t="s">
        <v>349</v>
      </c>
      <c r="I1147" s="2" t="s">
        <v>297</v>
      </c>
      <c r="J1147" s="2" t="s">
        <v>26</v>
      </c>
      <c r="K1147" s="72">
        <v>20</v>
      </c>
      <c r="L1147" s="39"/>
      <c r="M1147" s="72">
        <f t="shared" si="70"/>
        <v>-20</v>
      </c>
      <c r="N1147" s="72">
        <f t="shared" si="71"/>
        <v>567831.27999999921</v>
      </c>
    </row>
    <row r="1148" spans="1:14" x14ac:dyDescent="0.2">
      <c r="A1148" s="73" t="s">
        <v>863</v>
      </c>
      <c r="B1148" s="3">
        <f t="shared" si="68"/>
        <v>2025</v>
      </c>
      <c r="C1148" s="3">
        <f t="shared" si="69"/>
        <v>7</v>
      </c>
      <c r="D1148" s="73" t="s">
        <v>300</v>
      </c>
      <c r="E1148" s="2"/>
      <c r="F1148" s="2" t="s">
        <v>304</v>
      </c>
      <c r="G1148" s="2" t="s">
        <v>344</v>
      </c>
      <c r="H1148" s="2" t="s">
        <v>343</v>
      </c>
      <c r="I1148" s="2" t="s">
        <v>301</v>
      </c>
      <c r="J1148" s="2" t="s">
        <v>11</v>
      </c>
      <c r="K1148" s="72">
        <v>15497.74</v>
      </c>
      <c r="L1148" s="39"/>
      <c r="M1148" s="72">
        <f t="shared" si="70"/>
        <v>-15497.74</v>
      </c>
      <c r="N1148" s="72">
        <f t="shared" si="71"/>
        <v>552333.53999999922</v>
      </c>
    </row>
    <row r="1149" spans="1:14" x14ac:dyDescent="0.2">
      <c r="A1149" s="73" t="s">
        <v>863</v>
      </c>
      <c r="B1149" s="3">
        <f t="shared" si="68"/>
        <v>2025</v>
      </c>
      <c r="C1149" s="3">
        <f t="shared" si="69"/>
        <v>7</v>
      </c>
      <c r="D1149" s="73" t="s">
        <v>300</v>
      </c>
      <c r="E1149" s="2"/>
      <c r="F1149" s="2" t="s">
        <v>304</v>
      </c>
      <c r="G1149" s="2" t="s">
        <v>303</v>
      </c>
      <c r="H1149" s="2" t="s">
        <v>302</v>
      </c>
      <c r="I1149" s="2" t="s">
        <v>301</v>
      </c>
      <c r="J1149" s="2" t="s">
        <v>11</v>
      </c>
      <c r="K1149" s="72">
        <v>208.34</v>
      </c>
      <c r="L1149" s="39"/>
      <c r="M1149" s="72">
        <f t="shared" si="70"/>
        <v>-208.34</v>
      </c>
      <c r="N1149" s="72">
        <f t="shared" si="71"/>
        <v>552125.19999999925</v>
      </c>
    </row>
    <row r="1150" spans="1:14" x14ac:dyDescent="0.2">
      <c r="A1150" s="3" t="s">
        <v>863</v>
      </c>
      <c r="B1150" s="3">
        <f t="shared" si="68"/>
        <v>2025</v>
      </c>
      <c r="C1150" s="3">
        <f t="shared" si="69"/>
        <v>7</v>
      </c>
      <c r="D1150" s="73" t="s">
        <v>893</v>
      </c>
      <c r="E1150" s="2"/>
      <c r="F1150" s="2" t="s">
        <v>304</v>
      </c>
      <c r="G1150" s="2" t="s">
        <v>999</v>
      </c>
      <c r="H1150" s="2" t="s">
        <v>992</v>
      </c>
      <c r="I1150" s="2" t="s">
        <v>316</v>
      </c>
      <c r="J1150" s="2" t="s">
        <v>22</v>
      </c>
      <c r="K1150" s="146">
        <v>36.44</v>
      </c>
      <c r="L1150" s="146"/>
      <c r="M1150" s="146">
        <f t="shared" si="70"/>
        <v>-36.44</v>
      </c>
      <c r="N1150" s="72">
        <f t="shared" si="71"/>
        <v>552088.75999999931</v>
      </c>
    </row>
    <row r="1151" spans="1:14" x14ac:dyDescent="0.2">
      <c r="A1151" s="73" t="s">
        <v>863</v>
      </c>
      <c r="B1151" s="3">
        <f t="shared" si="68"/>
        <v>2025</v>
      </c>
      <c r="C1151" s="3">
        <f t="shared" si="69"/>
        <v>7</v>
      </c>
      <c r="D1151" s="73" t="s">
        <v>300</v>
      </c>
      <c r="E1151" s="2"/>
      <c r="F1151" s="2" t="s">
        <v>299</v>
      </c>
      <c r="G1151" s="2"/>
      <c r="H1151" s="2" t="s">
        <v>298</v>
      </c>
      <c r="I1151" s="2" t="s">
        <v>297</v>
      </c>
      <c r="J1151" s="2" t="s">
        <v>296</v>
      </c>
      <c r="K1151" s="72">
        <v>65830.94</v>
      </c>
      <c r="L1151" s="39"/>
      <c r="M1151" s="72">
        <f t="shared" si="70"/>
        <v>-65830.94</v>
      </c>
      <c r="N1151" s="72">
        <f t="shared" si="71"/>
        <v>486257.81999999931</v>
      </c>
    </row>
    <row r="1152" spans="1:14" x14ac:dyDescent="0.2">
      <c r="A1152" s="3" t="s">
        <v>864</v>
      </c>
      <c r="B1152" s="3">
        <f t="shared" si="68"/>
        <v>2025</v>
      </c>
      <c r="C1152" s="3">
        <f t="shared" si="69"/>
        <v>7</v>
      </c>
      <c r="D1152" s="73" t="s">
        <v>893</v>
      </c>
      <c r="E1152" s="2"/>
      <c r="F1152" s="2" t="s">
        <v>304</v>
      </c>
      <c r="G1152" s="2" t="s">
        <v>936</v>
      </c>
      <c r="H1152" s="2" t="s">
        <v>937</v>
      </c>
      <c r="I1152" s="2" t="s">
        <v>316</v>
      </c>
      <c r="J1152" s="2" t="s">
        <v>22</v>
      </c>
      <c r="K1152" s="146">
        <v>376.18</v>
      </c>
      <c r="L1152" s="146"/>
      <c r="M1152" s="146">
        <f t="shared" si="70"/>
        <v>-376.18</v>
      </c>
      <c r="N1152" s="72">
        <f t="shared" si="71"/>
        <v>485881.63999999932</v>
      </c>
    </row>
    <row r="1153" spans="1:14" x14ac:dyDescent="0.2">
      <c r="A1153" s="3" t="s">
        <v>864</v>
      </c>
      <c r="B1153" s="3">
        <f t="shared" si="68"/>
        <v>2025</v>
      </c>
      <c r="C1153" s="3">
        <f t="shared" si="69"/>
        <v>7</v>
      </c>
      <c r="D1153" s="73" t="s">
        <v>893</v>
      </c>
      <c r="E1153" s="2"/>
      <c r="F1153" s="2" t="s">
        <v>304</v>
      </c>
      <c r="G1153" s="2" t="s">
        <v>993</v>
      </c>
      <c r="H1153" s="2" t="s">
        <v>992</v>
      </c>
      <c r="I1153" s="2" t="s">
        <v>316</v>
      </c>
      <c r="J1153" s="2" t="s">
        <v>22</v>
      </c>
      <c r="K1153" s="146">
        <v>142</v>
      </c>
      <c r="L1153" s="146"/>
      <c r="M1153" s="146">
        <f t="shared" si="70"/>
        <v>-142</v>
      </c>
      <c r="N1153" s="72">
        <f t="shared" si="71"/>
        <v>485739.63999999932</v>
      </c>
    </row>
    <row r="1154" spans="1:14" x14ac:dyDescent="0.2">
      <c r="A1154" s="73" t="s">
        <v>864</v>
      </c>
      <c r="B1154" s="3">
        <f t="shared" ref="B1154:B1217" si="72">YEAR(A1154)</f>
        <v>2025</v>
      </c>
      <c r="C1154" s="3">
        <f t="shared" ref="C1154:C1217" si="73">MONTH(A1154)</f>
        <v>7</v>
      </c>
      <c r="D1154" s="73" t="s">
        <v>300</v>
      </c>
      <c r="E1154" s="2"/>
      <c r="F1154" s="2" t="s">
        <v>304</v>
      </c>
      <c r="G1154" s="2" t="s">
        <v>373</v>
      </c>
      <c r="H1154" s="2" t="s">
        <v>372</v>
      </c>
      <c r="I1154" s="2" t="s">
        <v>301</v>
      </c>
      <c r="J1154" s="2" t="s">
        <v>11</v>
      </c>
      <c r="K1154" s="72">
        <v>16996.64</v>
      </c>
      <c r="L1154" s="39"/>
      <c r="M1154" s="72">
        <f t="shared" ref="M1154:M1217" si="74">IF(ISBLANK(L1154),K1154*-1,L1154)</f>
        <v>-16996.64</v>
      </c>
      <c r="N1154" s="72">
        <f t="shared" si="71"/>
        <v>468742.9999999993</v>
      </c>
    </row>
    <row r="1155" spans="1:14" x14ac:dyDescent="0.2">
      <c r="A1155" s="73" t="s">
        <v>864</v>
      </c>
      <c r="B1155" s="3">
        <f t="shared" si="72"/>
        <v>2025</v>
      </c>
      <c r="C1155" s="3">
        <f t="shared" si="73"/>
        <v>7</v>
      </c>
      <c r="D1155" s="73" t="s">
        <v>300</v>
      </c>
      <c r="E1155" s="2"/>
      <c r="F1155" s="2" t="s">
        <v>304</v>
      </c>
      <c r="G1155" s="2" t="s">
        <v>385</v>
      </c>
      <c r="H1155" s="2" t="s">
        <v>326</v>
      </c>
      <c r="I1155" s="2" t="s">
        <v>316</v>
      </c>
      <c r="J1155" s="2" t="s">
        <v>18</v>
      </c>
      <c r="K1155" s="72">
        <v>3797</v>
      </c>
      <c r="L1155" s="39"/>
      <c r="M1155" s="72">
        <f t="shared" si="74"/>
        <v>-3797</v>
      </c>
      <c r="N1155" s="72">
        <f t="shared" ref="N1155:N1218" si="75">+N1154+M1155</f>
        <v>464945.9999999993</v>
      </c>
    </row>
    <row r="1156" spans="1:14" x14ac:dyDescent="0.2">
      <c r="A1156" s="3" t="s">
        <v>864</v>
      </c>
      <c r="B1156" s="3">
        <f t="shared" si="72"/>
        <v>2025</v>
      </c>
      <c r="C1156" s="3">
        <f t="shared" si="73"/>
        <v>7</v>
      </c>
      <c r="D1156" s="73" t="s">
        <v>893</v>
      </c>
      <c r="E1156" s="2"/>
      <c r="F1156" s="2" t="s">
        <v>304</v>
      </c>
      <c r="G1156" s="2" t="s">
        <v>941</v>
      </c>
      <c r="H1156" s="2" t="s">
        <v>937</v>
      </c>
      <c r="I1156" s="2" t="s">
        <v>316</v>
      </c>
      <c r="J1156" s="2" t="s">
        <v>22</v>
      </c>
      <c r="K1156" s="146">
        <v>231.19</v>
      </c>
      <c r="L1156" s="146"/>
      <c r="M1156" s="146">
        <f t="shared" si="74"/>
        <v>-231.19</v>
      </c>
      <c r="N1156" s="72">
        <f t="shared" si="75"/>
        <v>464714.8099999993</v>
      </c>
    </row>
    <row r="1157" spans="1:14" x14ac:dyDescent="0.2">
      <c r="A1157" s="3" t="s">
        <v>864</v>
      </c>
      <c r="B1157" s="3">
        <f t="shared" si="72"/>
        <v>2025</v>
      </c>
      <c r="C1157" s="3">
        <f t="shared" si="73"/>
        <v>7</v>
      </c>
      <c r="D1157" s="73" t="s">
        <v>893</v>
      </c>
      <c r="E1157" s="2"/>
      <c r="F1157" s="2" t="s">
        <v>304</v>
      </c>
      <c r="G1157" s="2" t="s">
        <v>1038</v>
      </c>
      <c r="H1157" s="2" t="s">
        <v>1035</v>
      </c>
      <c r="I1157" s="2" t="s">
        <v>316</v>
      </c>
      <c r="J1157" s="2" t="s">
        <v>22</v>
      </c>
      <c r="K1157" s="146">
        <v>22.46</v>
      </c>
      <c r="L1157" s="146"/>
      <c r="M1157" s="146">
        <f t="shared" si="74"/>
        <v>-22.46</v>
      </c>
      <c r="N1157" s="72">
        <f t="shared" si="75"/>
        <v>464692.34999999928</v>
      </c>
    </row>
    <row r="1158" spans="1:14" x14ac:dyDescent="0.2">
      <c r="A1158" s="3" t="s">
        <v>864</v>
      </c>
      <c r="B1158" s="3">
        <f t="shared" si="72"/>
        <v>2025</v>
      </c>
      <c r="C1158" s="3">
        <f t="shared" si="73"/>
        <v>7</v>
      </c>
      <c r="D1158" s="73" t="s">
        <v>893</v>
      </c>
      <c r="E1158" s="2"/>
      <c r="F1158" s="2" t="s">
        <v>304</v>
      </c>
      <c r="G1158" s="2" t="s">
        <v>916</v>
      </c>
      <c r="H1158" s="2" t="s">
        <v>917</v>
      </c>
      <c r="I1158" s="2" t="s">
        <v>350</v>
      </c>
      <c r="J1158" s="1" t="s">
        <v>477</v>
      </c>
      <c r="K1158" s="146">
        <v>464.08</v>
      </c>
      <c r="L1158" s="146"/>
      <c r="M1158" s="146">
        <f t="shared" si="74"/>
        <v>-464.08</v>
      </c>
      <c r="N1158" s="72">
        <f t="shared" si="75"/>
        <v>464228.26999999926</v>
      </c>
    </row>
    <row r="1159" spans="1:14" x14ac:dyDescent="0.2">
      <c r="A1159" s="3" t="s">
        <v>864</v>
      </c>
      <c r="B1159" s="3">
        <f t="shared" si="72"/>
        <v>2025</v>
      </c>
      <c r="C1159" s="3">
        <f t="shared" si="73"/>
        <v>7</v>
      </c>
      <c r="D1159" s="73" t="s">
        <v>893</v>
      </c>
      <c r="E1159" s="2"/>
      <c r="F1159" s="2" t="s">
        <v>304</v>
      </c>
      <c r="G1159" s="2" t="s">
        <v>995</v>
      </c>
      <c r="H1159" s="2" t="s">
        <v>992</v>
      </c>
      <c r="I1159" s="2" t="s">
        <v>316</v>
      </c>
      <c r="J1159" s="2" t="s">
        <v>22</v>
      </c>
      <c r="K1159" s="146">
        <v>63.57</v>
      </c>
      <c r="L1159" s="146"/>
      <c r="M1159" s="146">
        <f t="shared" si="74"/>
        <v>-63.57</v>
      </c>
      <c r="N1159" s="72">
        <f t="shared" si="75"/>
        <v>464164.69999999925</v>
      </c>
    </row>
    <row r="1160" spans="1:14" x14ac:dyDescent="0.2">
      <c r="A1160" s="73" t="s">
        <v>864</v>
      </c>
      <c r="B1160" s="3">
        <f t="shared" si="72"/>
        <v>2025</v>
      </c>
      <c r="C1160" s="3">
        <f t="shared" si="73"/>
        <v>7</v>
      </c>
      <c r="D1160" s="73" t="s">
        <v>300</v>
      </c>
      <c r="E1160" s="2"/>
      <c r="F1160" s="2" t="s">
        <v>309</v>
      </c>
      <c r="G1160" s="2" t="s">
        <v>729</v>
      </c>
      <c r="H1160" s="2" t="s">
        <v>883</v>
      </c>
      <c r="I1160" s="2" t="s">
        <v>316</v>
      </c>
      <c r="J1160" s="2" t="s">
        <v>22</v>
      </c>
      <c r="K1160" s="72"/>
      <c r="L1160" s="39">
        <v>36.58</v>
      </c>
      <c r="M1160" s="72">
        <f t="shared" si="74"/>
        <v>36.58</v>
      </c>
      <c r="N1160" s="72">
        <f t="shared" si="75"/>
        <v>464201.27999999927</v>
      </c>
    </row>
    <row r="1161" spans="1:14" x14ac:dyDescent="0.2">
      <c r="A1161" s="73" t="s">
        <v>864</v>
      </c>
      <c r="B1161" s="3">
        <f t="shared" si="72"/>
        <v>2025</v>
      </c>
      <c r="C1161" s="3">
        <f t="shared" si="73"/>
        <v>7</v>
      </c>
      <c r="D1161" s="73" t="s">
        <v>300</v>
      </c>
      <c r="E1161" s="2"/>
      <c r="F1161" s="2" t="s">
        <v>321</v>
      </c>
      <c r="G1161" s="2" t="s">
        <v>10</v>
      </c>
      <c r="H1161" s="2" t="s">
        <v>319</v>
      </c>
      <c r="I1161" s="2" t="s">
        <v>315</v>
      </c>
      <c r="J1161" s="2" t="s">
        <v>23</v>
      </c>
      <c r="K1161" s="72"/>
      <c r="L1161" s="39">
        <v>4200</v>
      </c>
      <c r="M1161" s="72">
        <f t="shared" si="74"/>
        <v>4200</v>
      </c>
      <c r="N1161" s="72">
        <f t="shared" si="75"/>
        <v>468401.27999999927</v>
      </c>
    </row>
    <row r="1162" spans="1:14" x14ac:dyDescent="0.2">
      <c r="A1162" s="3" t="s">
        <v>864</v>
      </c>
      <c r="B1162" s="3">
        <f t="shared" si="72"/>
        <v>2025</v>
      </c>
      <c r="C1162" s="3">
        <f t="shared" si="73"/>
        <v>7</v>
      </c>
      <c r="D1162" s="73" t="s">
        <v>893</v>
      </c>
      <c r="E1162" s="2"/>
      <c r="F1162" s="2" t="s">
        <v>304</v>
      </c>
      <c r="G1162" s="2" t="s">
        <v>1044</v>
      </c>
      <c r="H1162" s="2" t="s">
        <v>1035</v>
      </c>
      <c r="I1162" s="2" t="s">
        <v>316</v>
      </c>
      <c r="J1162" s="2" t="s">
        <v>22</v>
      </c>
      <c r="K1162" s="146">
        <v>37.58</v>
      </c>
      <c r="L1162" s="146"/>
      <c r="M1162" s="146">
        <f t="shared" si="74"/>
        <v>-37.58</v>
      </c>
      <c r="N1162" s="72">
        <f t="shared" si="75"/>
        <v>468363.69999999925</v>
      </c>
    </row>
    <row r="1163" spans="1:14" x14ac:dyDescent="0.2">
      <c r="A1163" s="3" t="s">
        <v>864</v>
      </c>
      <c r="B1163" s="3">
        <f t="shared" si="72"/>
        <v>2025</v>
      </c>
      <c r="C1163" s="3">
        <f t="shared" si="73"/>
        <v>7</v>
      </c>
      <c r="D1163" s="73" t="s">
        <v>893</v>
      </c>
      <c r="E1163" s="2"/>
      <c r="F1163" s="2" t="s">
        <v>304</v>
      </c>
      <c r="G1163" s="2" t="s">
        <v>1047</v>
      </c>
      <c r="H1163" s="2" t="s">
        <v>1035</v>
      </c>
      <c r="I1163" s="2" t="s">
        <v>316</v>
      </c>
      <c r="J1163" s="2" t="s">
        <v>22</v>
      </c>
      <c r="K1163" s="146">
        <v>13.14</v>
      </c>
      <c r="L1163" s="146"/>
      <c r="M1163" s="146">
        <f t="shared" si="74"/>
        <v>-13.14</v>
      </c>
      <c r="N1163" s="72">
        <f t="shared" si="75"/>
        <v>468350.55999999924</v>
      </c>
    </row>
    <row r="1164" spans="1:14" x14ac:dyDescent="0.2">
      <c r="A1164" s="3" t="s">
        <v>864</v>
      </c>
      <c r="B1164" s="3">
        <f t="shared" si="72"/>
        <v>2025</v>
      </c>
      <c r="C1164" s="3">
        <f t="shared" si="73"/>
        <v>7</v>
      </c>
      <c r="D1164" s="73" t="s">
        <v>893</v>
      </c>
      <c r="E1164" s="2"/>
      <c r="F1164" s="2" t="s">
        <v>304</v>
      </c>
      <c r="G1164" s="2" t="s">
        <v>1004</v>
      </c>
      <c r="H1164" s="2" t="s">
        <v>1001</v>
      </c>
      <c r="I1164" s="2" t="s">
        <v>316</v>
      </c>
      <c r="J1164" s="2" t="s">
        <v>22</v>
      </c>
      <c r="K1164" s="146">
        <v>20.47</v>
      </c>
      <c r="L1164" s="146"/>
      <c r="M1164" s="146">
        <f t="shared" si="74"/>
        <v>-20.47</v>
      </c>
      <c r="N1164" s="72">
        <f t="shared" si="75"/>
        <v>468330.08999999927</v>
      </c>
    </row>
    <row r="1165" spans="1:14" x14ac:dyDescent="0.2">
      <c r="A1165" s="3" t="s">
        <v>864</v>
      </c>
      <c r="B1165" s="3">
        <f t="shared" si="72"/>
        <v>2025</v>
      </c>
      <c r="C1165" s="3">
        <f t="shared" si="73"/>
        <v>7</v>
      </c>
      <c r="D1165" s="73" t="s">
        <v>893</v>
      </c>
      <c r="E1165" s="2"/>
      <c r="F1165" s="2" t="s">
        <v>304</v>
      </c>
      <c r="G1165" s="2" t="s">
        <v>912</v>
      </c>
      <c r="H1165" s="2" t="s">
        <v>883</v>
      </c>
      <c r="I1165" s="2" t="s">
        <v>316</v>
      </c>
      <c r="J1165" s="2" t="s">
        <v>22</v>
      </c>
      <c r="K1165" s="146">
        <v>36.58</v>
      </c>
      <c r="L1165" s="146"/>
      <c r="M1165" s="146">
        <f t="shared" si="74"/>
        <v>-36.58</v>
      </c>
      <c r="N1165" s="72">
        <f t="shared" si="75"/>
        <v>468293.50999999925</v>
      </c>
    </row>
    <row r="1166" spans="1:14" x14ac:dyDescent="0.2">
      <c r="A1166" s="3" t="s">
        <v>864</v>
      </c>
      <c r="B1166" s="3">
        <f t="shared" si="72"/>
        <v>2025</v>
      </c>
      <c r="C1166" s="3">
        <f t="shared" si="73"/>
        <v>7</v>
      </c>
      <c r="D1166" s="73" t="s">
        <v>893</v>
      </c>
      <c r="E1166" s="2"/>
      <c r="F1166" s="2" t="s">
        <v>304</v>
      </c>
      <c r="G1166" s="2" t="s">
        <v>913</v>
      </c>
      <c r="H1166" s="2" t="s">
        <v>992</v>
      </c>
      <c r="I1166" s="2" t="s">
        <v>316</v>
      </c>
      <c r="J1166" s="2" t="s">
        <v>22</v>
      </c>
      <c r="K1166" s="146">
        <v>33.979999999999997</v>
      </c>
      <c r="L1166" s="146"/>
      <c r="M1166" s="146">
        <f t="shared" si="74"/>
        <v>-33.979999999999997</v>
      </c>
      <c r="N1166" s="72">
        <f t="shared" si="75"/>
        <v>468259.52999999927</v>
      </c>
    </row>
    <row r="1167" spans="1:14" x14ac:dyDescent="0.2">
      <c r="A1167" s="73" t="s">
        <v>864</v>
      </c>
      <c r="B1167" s="3">
        <f t="shared" si="72"/>
        <v>2025</v>
      </c>
      <c r="C1167" s="3">
        <f t="shared" si="73"/>
        <v>7</v>
      </c>
      <c r="D1167" s="73" t="s">
        <v>300</v>
      </c>
      <c r="E1167" s="2"/>
      <c r="F1167" s="2" t="s">
        <v>299</v>
      </c>
      <c r="G1167" s="2"/>
      <c r="H1167" s="2" t="s">
        <v>298</v>
      </c>
      <c r="I1167" s="2" t="s">
        <v>297</v>
      </c>
      <c r="J1167" s="2" t="s">
        <v>296</v>
      </c>
      <c r="K1167" s="72"/>
      <c r="L1167" s="39">
        <v>17377.43</v>
      </c>
      <c r="M1167" s="72">
        <f t="shared" si="74"/>
        <v>17377.43</v>
      </c>
      <c r="N1167" s="72">
        <f t="shared" si="75"/>
        <v>485636.95999999926</v>
      </c>
    </row>
    <row r="1168" spans="1:14" x14ac:dyDescent="0.2">
      <c r="A1168" s="73" t="s">
        <v>865</v>
      </c>
      <c r="B1168" s="3">
        <f t="shared" si="72"/>
        <v>2025</v>
      </c>
      <c r="C1168" s="3">
        <f t="shared" si="73"/>
        <v>7</v>
      </c>
      <c r="D1168" s="73" t="s">
        <v>300</v>
      </c>
      <c r="E1168" s="2"/>
      <c r="F1168" s="2" t="s">
        <v>304</v>
      </c>
      <c r="G1168" s="2" t="s">
        <v>336</v>
      </c>
      <c r="H1168" s="2" t="s">
        <v>766</v>
      </c>
      <c r="I1168" s="2" t="s">
        <v>301</v>
      </c>
      <c r="J1168" s="2" t="s">
        <v>11</v>
      </c>
      <c r="K1168" s="72">
        <v>25</v>
      </c>
      <c r="L1168" s="39"/>
      <c r="M1168" s="72">
        <f t="shared" si="74"/>
        <v>-25</v>
      </c>
      <c r="N1168" s="72">
        <f t="shared" si="75"/>
        <v>485611.95999999926</v>
      </c>
    </row>
    <row r="1169" spans="1:14" x14ac:dyDescent="0.2">
      <c r="A1169" s="3" t="s">
        <v>865</v>
      </c>
      <c r="B1169" s="3">
        <f t="shared" si="72"/>
        <v>2025</v>
      </c>
      <c r="C1169" s="3">
        <f t="shared" si="73"/>
        <v>7</v>
      </c>
      <c r="D1169" s="73" t="s">
        <v>893</v>
      </c>
      <c r="E1169" s="2"/>
      <c r="F1169" s="2" t="s">
        <v>304</v>
      </c>
      <c r="G1169" s="2" t="s">
        <v>994</v>
      </c>
      <c r="H1169" s="2" t="s">
        <v>992</v>
      </c>
      <c r="I1169" s="2" t="s">
        <v>316</v>
      </c>
      <c r="J1169" s="2" t="s">
        <v>22</v>
      </c>
      <c r="K1169" s="146">
        <v>105</v>
      </c>
      <c r="L1169" s="146"/>
      <c r="M1169" s="146">
        <f t="shared" si="74"/>
        <v>-105</v>
      </c>
      <c r="N1169" s="72">
        <f t="shared" si="75"/>
        <v>485506.95999999926</v>
      </c>
    </row>
    <row r="1170" spans="1:14" x14ac:dyDescent="0.2">
      <c r="A1170" s="73" t="s">
        <v>865</v>
      </c>
      <c r="B1170" s="3">
        <f t="shared" si="72"/>
        <v>2025</v>
      </c>
      <c r="C1170" s="3">
        <f t="shared" si="73"/>
        <v>7</v>
      </c>
      <c r="D1170" s="73" t="s">
        <v>300</v>
      </c>
      <c r="E1170" s="2"/>
      <c r="F1170" s="2" t="s">
        <v>325</v>
      </c>
      <c r="G1170" s="2" t="s">
        <v>694</v>
      </c>
      <c r="H1170" s="2" t="s">
        <v>323</v>
      </c>
      <c r="I1170" s="2" t="s">
        <v>316</v>
      </c>
      <c r="J1170" s="2" t="s">
        <v>34</v>
      </c>
      <c r="K1170" s="72">
        <v>3545.63</v>
      </c>
      <c r="L1170" s="39"/>
      <c r="M1170" s="72">
        <f t="shared" si="74"/>
        <v>-3545.63</v>
      </c>
      <c r="N1170" s="72">
        <f t="shared" si="75"/>
        <v>481961.32999999926</v>
      </c>
    </row>
    <row r="1171" spans="1:14" x14ac:dyDescent="0.2">
      <c r="A1171" s="73" t="s">
        <v>865</v>
      </c>
      <c r="B1171" s="3">
        <f t="shared" si="72"/>
        <v>2025</v>
      </c>
      <c r="C1171" s="3">
        <f t="shared" si="73"/>
        <v>7</v>
      </c>
      <c r="D1171" s="73" t="s">
        <v>300</v>
      </c>
      <c r="E1171" s="2"/>
      <c r="F1171" s="2" t="s">
        <v>309</v>
      </c>
      <c r="G1171" s="2" t="s">
        <v>12</v>
      </c>
      <c r="H1171" s="2" t="s">
        <v>346</v>
      </c>
      <c r="I1171" s="2" t="s">
        <v>315</v>
      </c>
      <c r="J1171" s="2" t="s">
        <v>23</v>
      </c>
      <c r="K1171" s="72"/>
      <c r="L1171" s="39">
        <v>1500</v>
      </c>
      <c r="M1171" s="72">
        <f t="shared" si="74"/>
        <v>1500</v>
      </c>
      <c r="N1171" s="72">
        <f t="shared" si="75"/>
        <v>483461.32999999926</v>
      </c>
    </row>
    <row r="1172" spans="1:14" x14ac:dyDescent="0.2">
      <c r="A1172" s="73" t="s">
        <v>865</v>
      </c>
      <c r="B1172" s="3">
        <f t="shared" si="72"/>
        <v>2025</v>
      </c>
      <c r="C1172" s="3">
        <f t="shared" si="73"/>
        <v>7</v>
      </c>
      <c r="D1172" s="73" t="s">
        <v>300</v>
      </c>
      <c r="E1172" s="2"/>
      <c r="F1172" s="2" t="s">
        <v>325</v>
      </c>
      <c r="G1172" s="2" t="s">
        <v>473</v>
      </c>
      <c r="H1172" s="2" t="s">
        <v>323</v>
      </c>
      <c r="I1172" s="2" t="s">
        <v>350</v>
      </c>
      <c r="J1172" s="2" t="s">
        <v>353</v>
      </c>
      <c r="K1172" s="72">
        <v>15921.25</v>
      </c>
      <c r="L1172" s="39"/>
      <c r="M1172" s="72">
        <f t="shared" si="74"/>
        <v>-15921.25</v>
      </c>
      <c r="N1172" s="72">
        <f t="shared" si="75"/>
        <v>467540.07999999926</v>
      </c>
    </row>
    <row r="1173" spans="1:14" x14ac:dyDescent="0.2">
      <c r="A1173" s="73" t="s">
        <v>865</v>
      </c>
      <c r="B1173" s="3">
        <f t="shared" si="72"/>
        <v>2025</v>
      </c>
      <c r="C1173" s="3">
        <f t="shared" si="73"/>
        <v>7</v>
      </c>
      <c r="D1173" s="73" t="s">
        <v>300</v>
      </c>
      <c r="E1173" s="2"/>
      <c r="F1173" s="2" t="s">
        <v>325</v>
      </c>
      <c r="G1173" s="2" t="s">
        <v>473</v>
      </c>
      <c r="H1173" s="2" t="s">
        <v>323</v>
      </c>
      <c r="I1173" s="2" t="s">
        <v>350</v>
      </c>
      <c r="J1173" s="2" t="s">
        <v>353</v>
      </c>
      <c r="K1173" s="72">
        <v>4200.5</v>
      </c>
      <c r="L1173" s="39"/>
      <c r="M1173" s="72">
        <f t="shared" si="74"/>
        <v>-4200.5</v>
      </c>
      <c r="N1173" s="72">
        <f t="shared" si="75"/>
        <v>463339.57999999926</v>
      </c>
    </row>
    <row r="1174" spans="1:14" x14ac:dyDescent="0.2">
      <c r="A1174" s="73" t="s">
        <v>865</v>
      </c>
      <c r="B1174" s="3">
        <f t="shared" si="72"/>
        <v>2025</v>
      </c>
      <c r="C1174" s="3">
        <f t="shared" si="73"/>
        <v>7</v>
      </c>
      <c r="D1174" s="73" t="s">
        <v>300</v>
      </c>
      <c r="E1174" s="2"/>
      <c r="F1174" s="2" t="s">
        <v>325</v>
      </c>
      <c r="G1174" s="2" t="s">
        <v>473</v>
      </c>
      <c r="H1174" s="2" t="s">
        <v>323</v>
      </c>
      <c r="I1174" s="2" t="s">
        <v>350</v>
      </c>
      <c r="J1174" s="2" t="s">
        <v>353</v>
      </c>
      <c r="K1174" s="72">
        <v>4810.25</v>
      </c>
      <c r="L1174" s="39"/>
      <c r="M1174" s="72">
        <f t="shared" si="74"/>
        <v>-4810.25</v>
      </c>
      <c r="N1174" s="72">
        <f t="shared" si="75"/>
        <v>458529.32999999926</v>
      </c>
    </row>
    <row r="1175" spans="1:14" x14ac:dyDescent="0.2">
      <c r="A1175" s="73" t="s">
        <v>865</v>
      </c>
      <c r="B1175" s="3">
        <f t="shared" si="72"/>
        <v>2025</v>
      </c>
      <c r="C1175" s="3">
        <f t="shared" si="73"/>
        <v>7</v>
      </c>
      <c r="D1175" s="73" t="s">
        <v>300</v>
      </c>
      <c r="E1175" s="2"/>
      <c r="F1175" s="2" t="s">
        <v>325</v>
      </c>
      <c r="G1175" s="2" t="s">
        <v>473</v>
      </c>
      <c r="H1175" s="2" t="s">
        <v>323</v>
      </c>
      <c r="I1175" s="2" t="s">
        <v>350</v>
      </c>
      <c r="J1175" s="2" t="s">
        <v>353</v>
      </c>
      <c r="K1175" s="72">
        <v>13888.75</v>
      </c>
      <c r="L1175" s="39"/>
      <c r="M1175" s="72">
        <f t="shared" si="74"/>
        <v>-13888.75</v>
      </c>
      <c r="N1175" s="72">
        <f t="shared" si="75"/>
        <v>444640.57999999926</v>
      </c>
    </row>
    <row r="1176" spans="1:14" x14ac:dyDescent="0.2">
      <c r="A1176" s="73" t="s">
        <v>865</v>
      </c>
      <c r="B1176" s="3">
        <f t="shared" si="72"/>
        <v>2025</v>
      </c>
      <c r="C1176" s="3">
        <f t="shared" si="73"/>
        <v>7</v>
      </c>
      <c r="D1176" s="73" t="s">
        <v>300</v>
      </c>
      <c r="E1176" s="2"/>
      <c r="F1176" s="2" t="s">
        <v>325</v>
      </c>
      <c r="G1176" s="2" t="s">
        <v>473</v>
      </c>
      <c r="H1176" s="2" t="s">
        <v>323</v>
      </c>
      <c r="I1176" s="2" t="s">
        <v>350</v>
      </c>
      <c r="J1176" s="2" t="s">
        <v>353</v>
      </c>
      <c r="K1176" s="72">
        <v>1081.73</v>
      </c>
      <c r="L1176" s="39"/>
      <c r="M1176" s="72">
        <f t="shared" si="74"/>
        <v>-1081.73</v>
      </c>
      <c r="N1176" s="72">
        <f t="shared" si="75"/>
        <v>443558.84999999928</v>
      </c>
    </row>
    <row r="1177" spans="1:14" x14ac:dyDescent="0.2">
      <c r="A1177" s="73" t="s">
        <v>865</v>
      </c>
      <c r="B1177" s="3">
        <f t="shared" si="72"/>
        <v>2025</v>
      </c>
      <c r="C1177" s="3">
        <f t="shared" si="73"/>
        <v>7</v>
      </c>
      <c r="D1177" s="73" t="s">
        <v>300</v>
      </c>
      <c r="E1177" s="2"/>
      <c r="F1177" s="2" t="s">
        <v>325</v>
      </c>
      <c r="G1177" s="2" t="s">
        <v>473</v>
      </c>
      <c r="H1177" s="2" t="s">
        <v>323</v>
      </c>
      <c r="I1177" s="2" t="s">
        <v>350</v>
      </c>
      <c r="J1177" s="2" t="s">
        <v>353</v>
      </c>
      <c r="K1177" s="72">
        <v>1407.48</v>
      </c>
      <c r="L1177" s="39"/>
      <c r="M1177" s="72">
        <f t="shared" si="74"/>
        <v>-1407.48</v>
      </c>
      <c r="N1177" s="72">
        <f t="shared" si="75"/>
        <v>442151.3699999993</v>
      </c>
    </row>
    <row r="1178" spans="1:14" x14ac:dyDescent="0.2">
      <c r="A1178" s="73" t="s">
        <v>865</v>
      </c>
      <c r="B1178" s="3">
        <f t="shared" si="72"/>
        <v>2025</v>
      </c>
      <c r="C1178" s="3">
        <f t="shared" si="73"/>
        <v>7</v>
      </c>
      <c r="D1178" s="73" t="s">
        <v>300</v>
      </c>
      <c r="E1178" s="2"/>
      <c r="F1178" s="2" t="s">
        <v>304</v>
      </c>
      <c r="G1178" s="2" t="s">
        <v>377</v>
      </c>
      <c r="H1178" s="2" t="s">
        <v>376</v>
      </c>
      <c r="I1178" s="2" t="s">
        <v>301</v>
      </c>
      <c r="J1178" s="2" t="s">
        <v>11</v>
      </c>
      <c r="K1178" s="72">
        <v>1162.69</v>
      </c>
      <c r="L1178" s="39"/>
      <c r="M1178" s="72">
        <f t="shared" si="74"/>
        <v>-1162.69</v>
      </c>
      <c r="N1178" s="72">
        <f t="shared" si="75"/>
        <v>440988.67999999929</v>
      </c>
    </row>
    <row r="1179" spans="1:14" x14ac:dyDescent="0.2">
      <c r="A1179" s="3" t="s">
        <v>865</v>
      </c>
      <c r="B1179" s="3">
        <f t="shared" si="72"/>
        <v>2025</v>
      </c>
      <c r="C1179" s="3">
        <f t="shared" si="73"/>
        <v>7</v>
      </c>
      <c r="D1179" s="73" t="s">
        <v>893</v>
      </c>
      <c r="E1179" s="2"/>
      <c r="F1179" s="2" t="s">
        <v>304</v>
      </c>
      <c r="G1179" s="2" t="s">
        <v>908</v>
      </c>
      <c r="H1179" s="2" t="s">
        <v>1007</v>
      </c>
      <c r="I1179" s="1" t="s">
        <v>316</v>
      </c>
      <c r="J1179" s="2" t="s">
        <v>17</v>
      </c>
      <c r="K1179" s="146">
        <v>21.2</v>
      </c>
      <c r="L1179" s="146"/>
      <c r="M1179" s="146">
        <f t="shared" si="74"/>
        <v>-21.2</v>
      </c>
      <c r="N1179" s="72">
        <f t="shared" si="75"/>
        <v>440967.47999999928</v>
      </c>
    </row>
    <row r="1180" spans="1:14" x14ac:dyDescent="0.2">
      <c r="A1180" s="73" t="s">
        <v>865</v>
      </c>
      <c r="B1180" s="3">
        <f t="shared" si="72"/>
        <v>2025</v>
      </c>
      <c r="C1180" s="3">
        <f t="shared" si="73"/>
        <v>7</v>
      </c>
      <c r="D1180" s="73" t="s">
        <v>300</v>
      </c>
      <c r="E1180" s="2"/>
      <c r="F1180" s="2" t="s">
        <v>304</v>
      </c>
      <c r="G1180" s="2" t="s">
        <v>317</v>
      </c>
      <c r="H1180" s="2" t="s">
        <v>349</v>
      </c>
      <c r="I1180" s="2" t="s">
        <v>297</v>
      </c>
      <c r="J1180" s="2" t="s">
        <v>26</v>
      </c>
      <c r="K1180" s="72">
        <v>15</v>
      </c>
      <c r="L1180" s="39"/>
      <c r="M1180" s="72">
        <f t="shared" si="74"/>
        <v>-15</v>
      </c>
      <c r="N1180" s="72">
        <f t="shared" si="75"/>
        <v>440952.47999999928</v>
      </c>
    </row>
    <row r="1181" spans="1:14" x14ac:dyDescent="0.2">
      <c r="A1181" s="3" t="s">
        <v>865</v>
      </c>
      <c r="B1181" s="3">
        <f t="shared" si="72"/>
        <v>2025</v>
      </c>
      <c r="C1181" s="3">
        <f t="shared" si="73"/>
        <v>7</v>
      </c>
      <c r="D1181" s="73" t="s">
        <v>893</v>
      </c>
      <c r="E1181" s="2"/>
      <c r="F1181" s="2" t="s">
        <v>304</v>
      </c>
      <c r="G1181" s="2" t="s">
        <v>913</v>
      </c>
      <c r="H1181" s="2" t="s">
        <v>884</v>
      </c>
      <c r="I1181" s="2" t="s">
        <v>316</v>
      </c>
      <c r="J1181" s="2" t="s">
        <v>22</v>
      </c>
      <c r="K1181" s="146">
        <v>22.7</v>
      </c>
      <c r="L1181" s="146"/>
      <c r="M1181" s="146">
        <f t="shared" si="74"/>
        <v>-22.7</v>
      </c>
      <c r="N1181" s="72">
        <f t="shared" si="75"/>
        <v>440929.77999999927</v>
      </c>
    </row>
    <row r="1182" spans="1:14" x14ac:dyDescent="0.2">
      <c r="A1182" s="73" t="s">
        <v>865</v>
      </c>
      <c r="B1182" s="3">
        <f t="shared" si="72"/>
        <v>2025</v>
      </c>
      <c r="C1182" s="3">
        <f t="shared" si="73"/>
        <v>7</v>
      </c>
      <c r="D1182" s="73" t="s">
        <v>300</v>
      </c>
      <c r="E1182" s="2"/>
      <c r="F1182" s="2" t="s">
        <v>299</v>
      </c>
      <c r="G1182" s="2"/>
      <c r="H1182" s="2" t="s">
        <v>298</v>
      </c>
      <c r="I1182" s="2" t="s">
        <v>297</v>
      </c>
      <c r="J1182" s="2" t="s">
        <v>296</v>
      </c>
      <c r="K1182" s="72"/>
      <c r="L1182" s="39">
        <v>44558.28</v>
      </c>
      <c r="M1182" s="72">
        <f t="shared" si="74"/>
        <v>44558.28</v>
      </c>
      <c r="N1182" s="72">
        <f t="shared" si="75"/>
        <v>485488.05999999924</v>
      </c>
    </row>
    <row r="1183" spans="1:14" x14ac:dyDescent="0.2">
      <c r="A1183" s="3" t="s">
        <v>990</v>
      </c>
      <c r="B1183" s="3">
        <f t="shared" si="72"/>
        <v>2025</v>
      </c>
      <c r="C1183" s="3">
        <f t="shared" si="73"/>
        <v>7</v>
      </c>
      <c r="D1183" s="73" t="s">
        <v>893</v>
      </c>
      <c r="E1183" s="2"/>
      <c r="F1183" s="2" t="s">
        <v>304</v>
      </c>
      <c r="G1183" s="2" t="s">
        <v>991</v>
      </c>
      <c r="H1183" s="2" t="s">
        <v>992</v>
      </c>
      <c r="I1183" s="2" t="s">
        <v>316</v>
      </c>
      <c r="J1183" s="2" t="s">
        <v>22</v>
      </c>
      <c r="K1183" s="146">
        <v>56.36</v>
      </c>
      <c r="L1183" s="146"/>
      <c r="M1183" s="146">
        <f t="shared" si="74"/>
        <v>-56.36</v>
      </c>
      <c r="N1183" s="72">
        <f t="shared" si="75"/>
        <v>485431.69999999925</v>
      </c>
    </row>
    <row r="1184" spans="1:14" x14ac:dyDescent="0.2">
      <c r="A1184" s="3" t="s">
        <v>990</v>
      </c>
      <c r="B1184" s="3">
        <f t="shared" si="72"/>
        <v>2025</v>
      </c>
      <c r="C1184" s="3">
        <f t="shared" si="73"/>
        <v>7</v>
      </c>
      <c r="D1184" s="73" t="s">
        <v>893</v>
      </c>
      <c r="E1184" s="2"/>
      <c r="F1184" s="2" t="s">
        <v>304</v>
      </c>
      <c r="G1184" s="2" t="s">
        <v>1006</v>
      </c>
      <c r="H1184" s="2" t="s">
        <v>1007</v>
      </c>
      <c r="I1184" s="1" t="s">
        <v>316</v>
      </c>
      <c r="J1184" s="2" t="s">
        <v>17</v>
      </c>
      <c r="K1184" s="146">
        <v>21.19</v>
      </c>
      <c r="L1184" s="146"/>
      <c r="M1184" s="146">
        <f t="shared" si="74"/>
        <v>-21.19</v>
      </c>
      <c r="N1184" s="72">
        <f t="shared" si="75"/>
        <v>485410.50999999925</v>
      </c>
    </row>
    <row r="1185" spans="1:14" x14ac:dyDescent="0.2">
      <c r="A1185" s="3" t="s">
        <v>990</v>
      </c>
      <c r="B1185" s="3">
        <f t="shared" si="72"/>
        <v>2025</v>
      </c>
      <c r="C1185" s="3">
        <f t="shared" si="73"/>
        <v>7</v>
      </c>
      <c r="D1185" s="73" t="s">
        <v>893</v>
      </c>
      <c r="E1185" s="2"/>
      <c r="F1185" s="2" t="s">
        <v>304</v>
      </c>
      <c r="G1185" s="2" t="s">
        <v>1028</v>
      </c>
      <c r="H1185" s="2" t="s">
        <v>1027</v>
      </c>
      <c r="I1185" s="1" t="s">
        <v>316</v>
      </c>
      <c r="J1185" s="2" t="s">
        <v>17</v>
      </c>
      <c r="K1185" s="146">
        <v>188.99</v>
      </c>
      <c r="L1185" s="146"/>
      <c r="M1185" s="146">
        <f t="shared" si="74"/>
        <v>-188.99</v>
      </c>
      <c r="N1185" s="72">
        <f t="shared" si="75"/>
        <v>485221.51999999926</v>
      </c>
    </row>
    <row r="1186" spans="1:14" x14ac:dyDescent="0.2">
      <c r="A1186" s="3" t="s">
        <v>990</v>
      </c>
      <c r="B1186" s="3">
        <f t="shared" si="72"/>
        <v>2025</v>
      </c>
      <c r="C1186" s="3">
        <f t="shared" si="73"/>
        <v>7</v>
      </c>
      <c r="D1186" s="73" t="s">
        <v>893</v>
      </c>
      <c r="E1186" s="2"/>
      <c r="F1186" s="2" t="s">
        <v>304</v>
      </c>
      <c r="G1186" s="2" t="s">
        <v>1028</v>
      </c>
      <c r="H1186" s="2" t="s">
        <v>1035</v>
      </c>
      <c r="I1186" s="1" t="s">
        <v>316</v>
      </c>
      <c r="J1186" s="2" t="s">
        <v>17</v>
      </c>
      <c r="K1186" s="146">
        <v>188.99</v>
      </c>
      <c r="L1186" s="146"/>
      <c r="M1186" s="146">
        <f t="shared" si="74"/>
        <v>-188.99</v>
      </c>
      <c r="N1186" s="72">
        <f t="shared" si="75"/>
        <v>485032.52999999927</v>
      </c>
    </row>
    <row r="1187" spans="1:14" x14ac:dyDescent="0.2">
      <c r="A1187" s="3" t="s">
        <v>934</v>
      </c>
      <c r="B1187" s="3">
        <f t="shared" si="72"/>
        <v>2025</v>
      </c>
      <c r="C1187" s="3">
        <f t="shared" si="73"/>
        <v>7</v>
      </c>
      <c r="D1187" s="73" t="s">
        <v>893</v>
      </c>
      <c r="E1187" s="2"/>
      <c r="F1187" s="2" t="s">
        <v>304</v>
      </c>
      <c r="G1187" s="2" t="s">
        <v>932</v>
      </c>
      <c r="H1187" s="2" t="s">
        <v>933</v>
      </c>
      <c r="I1187" s="1" t="s">
        <v>316</v>
      </c>
      <c r="J1187" s="2" t="s">
        <v>17</v>
      </c>
      <c r="K1187" s="146">
        <v>127.19</v>
      </c>
      <c r="L1187" s="146"/>
      <c r="M1187" s="146">
        <f t="shared" si="74"/>
        <v>-127.19</v>
      </c>
      <c r="N1187" s="72">
        <f t="shared" si="75"/>
        <v>484905.33999999927</v>
      </c>
    </row>
    <row r="1188" spans="1:14" x14ac:dyDescent="0.2">
      <c r="A1188" s="3" t="s">
        <v>934</v>
      </c>
      <c r="B1188" s="3">
        <f t="shared" si="72"/>
        <v>2025</v>
      </c>
      <c r="C1188" s="3">
        <f t="shared" si="73"/>
        <v>7</v>
      </c>
      <c r="D1188" s="73" t="s">
        <v>893</v>
      </c>
      <c r="E1188" s="2"/>
      <c r="F1188" s="2" t="s">
        <v>304</v>
      </c>
      <c r="G1188" s="2" t="s">
        <v>1023</v>
      </c>
      <c r="H1188" s="2" t="s">
        <v>1007</v>
      </c>
      <c r="I1188" s="1" t="s">
        <v>316</v>
      </c>
      <c r="J1188" s="2" t="s">
        <v>17</v>
      </c>
      <c r="K1188" s="146">
        <v>31.8</v>
      </c>
      <c r="L1188" s="146"/>
      <c r="M1188" s="146">
        <f t="shared" si="74"/>
        <v>-31.8</v>
      </c>
      <c r="N1188" s="72">
        <f t="shared" si="75"/>
        <v>484873.53999999928</v>
      </c>
    </row>
    <row r="1189" spans="1:14" x14ac:dyDescent="0.2">
      <c r="A1189" s="3" t="s">
        <v>1005</v>
      </c>
      <c r="B1189" s="3">
        <f t="shared" si="72"/>
        <v>2025</v>
      </c>
      <c r="C1189" s="3">
        <f t="shared" si="73"/>
        <v>7</v>
      </c>
      <c r="D1189" s="73" t="s">
        <v>893</v>
      </c>
      <c r="E1189" s="2"/>
      <c r="F1189" s="2" t="s">
        <v>304</v>
      </c>
      <c r="G1189" s="2" t="s">
        <v>997</v>
      </c>
      <c r="H1189" s="2" t="s">
        <v>1001</v>
      </c>
      <c r="I1189" s="2" t="s">
        <v>316</v>
      </c>
      <c r="J1189" s="2" t="s">
        <v>22</v>
      </c>
      <c r="K1189" s="146">
        <v>10</v>
      </c>
      <c r="L1189" s="146"/>
      <c r="M1189" s="146">
        <f t="shared" si="74"/>
        <v>-10</v>
      </c>
      <c r="N1189" s="72">
        <f t="shared" si="75"/>
        <v>484863.53999999928</v>
      </c>
    </row>
    <row r="1190" spans="1:14" x14ac:dyDescent="0.2">
      <c r="A1190" s="73" t="s">
        <v>866</v>
      </c>
      <c r="B1190" s="3">
        <f t="shared" si="72"/>
        <v>2025</v>
      </c>
      <c r="C1190" s="3">
        <f t="shared" si="73"/>
        <v>7</v>
      </c>
      <c r="D1190" s="73" t="s">
        <v>300</v>
      </c>
      <c r="E1190" s="2"/>
      <c r="F1190" s="2" t="s">
        <v>325</v>
      </c>
      <c r="G1190" s="2" t="s">
        <v>694</v>
      </c>
      <c r="H1190" s="2" t="s">
        <v>323</v>
      </c>
      <c r="I1190" s="2" t="s">
        <v>316</v>
      </c>
      <c r="J1190" s="2" t="s">
        <v>34</v>
      </c>
      <c r="K1190" s="72">
        <v>3545.63</v>
      </c>
      <c r="L1190" s="39"/>
      <c r="M1190" s="72">
        <f t="shared" si="74"/>
        <v>-3545.63</v>
      </c>
      <c r="N1190" s="72">
        <f t="shared" si="75"/>
        <v>481317.90999999928</v>
      </c>
    </row>
    <row r="1191" spans="1:14" x14ac:dyDescent="0.2">
      <c r="A1191" s="73" t="s">
        <v>866</v>
      </c>
      <c r="B1191" s="3">
        <f t="shared" si="72"/>
        <v>2025</v>
      </c>
      <c r="C1191" s="3">
        <f t="shared" si="73"/>
        <v>7</v>
      </c>
      <c r="D1191" s="73" t="s">
        <v>300</v>
      </c>
      <c r="E1191" s="2"/>
      <c r="F1191" s="2" t="s">
        <v>314</v>
      </c>
      <c r="G1191" s="2" t="s">
        <v>308</v>
      </c>
      <c r="H1191" s="2" t="s">
        <v>313</v>
      </c>
      <c r="I1191" s="2" t="s">
        <v>312</v>
      </c>
      <c r="J1191" s="2" t="s">
        <v>0</v>
      </c>
      <c r="K1191" s="72">
        <v>305.74</v>
      </c>
      <c r="L1191" s="39"/>
      <c r="M1191" s="72">
        <f t="shared" si="74"/>
        <v>-305.74</v>
      </c>
      <c r="N1191" s="72">
        <f t="shared" si="75"/>
        <v>481012.16999999929</v>
      </c>
    </row>
    <row r="1192" spans="1:14" x14ac:dyDescent="0.2">
      <c r="A1192" s="3" t="s">
        <v>866</v>
      </c>
      <c r="B1192" s="3">
        <f t="shared" si="72"/>
        <v>2025</v>
      </c>
      <c r="C1192" s="3">
        <f t="shared" si="73"/>
        <v>7</v>
      </c>
      <c r="D1192" s="73" t="s">
        <v>893</v>
      </c>
      <c r="E1192" s="2"/>
      <c r="F1192" s="2" t="s">
        <v>304</v>
      </c>
      <c r="G1192" s="2" t="s">
        <v>900</v>
      </c>
      <c r="H1192" s="2" t="s">
        <v>901</v>
      </c>
      <c r="I1192" s="1" t="s">
        <v>316</v>
      </c>
      <c r="J1192" s="2" t="s">
        <v>17</v>
      </c>
      <c r="K1192" s="146">
        <v>20</v>
      </c>
      <c r="L1192" s="146"/>
      <c r="M1192" s="146">
        <f t="shared" si="74"/>
        <v>-20</v>
      </c>
      <c r="N1192" s="72">
        <f t="shared" si="75"/>
        <v>480992.16999999929</v>
      </c>
    </row>
    <row r="1193" spans="1:14" x14ac:dyDescent="0.2">
      <c r="A1193" s="73" t="s">
        <v>866</v>
      </c>
      <c r="B1193" s="3">
        <f t="shared" si="72"/>
        <v>2025</v>
      </c>
      <c r="C1193" s="3">
        <f t="shared" si="73"/>
        <v>7</v>
      </c>
      <c r="D1193" s="73" t="s">
        <v>300</v>
      </c>
      <c r="E1193" s="2"/>
      <c r="F1193" s="2" t="s">
        <v>304</v>
      </c>
      <c r="G1193" s="2" t="s">
        <v>306</v>
      </c>
      <c r="H1193" s="2" t="s">
        <v>305</v>
      </c>
      <c r="I1193" s="2" t="s">
        <v>301</v>
      </c>
      <c r="J1193" s="2" t="s">
        <v>19</v>
      </c>
      <c r="K1193" s="72">
        <v>4</v>
      </c>
      <c r="L1193" s="39"/>
      <c r="M1193" s="72">
        <f t="shared" si="74"/>
        <v>-4</v>
      </c>
      <c r="N1193" s="72">
        <f t="shared" si="75"/>
        <v>480988.16999999929</v>
      </c>
    </row>
    <row r="1194" spans="1:14" x14ac:dyDescent="0.2">
      <c r="A1194" s="73" t="s">
        <v>866</v>
      </c>
      <c r="B1194" s="3">
        <f t="shared" si="72"/>
        <v>2025</v>
      </c>
      <c r="C1194" s="3">
        <f t="shared" si="73"/>
        <v>7</v>
      </c>
      <c r="D1194" s="73" t="s">
        <v>300</v>
      </c>
      <c r="E1194" s="2"/>
      <c r="F1194" s="2" t="s">
        <v>309</v>
      </c>
      <c r="G1194" s="2" t="s">
        <v>733</v>
      </c>
      <c r="H1194" s="2" t="s">
        <v>884</v>
      </c>
      <c r="I1194" s="2" t="s">
        <v>316</v>
      </c>
      <c r="J1194" s="2" t="s">
        <v>22</v>
      </c>
      <c r="K1194" s="72"/>
      <c r="L1194" s="39">
        <v>44.72</v>
      </c>
      <c r="M1194" s="72">
        <f t="shared" si="74"/>
        <v>44.72</v>
      </c>
      <c r="N1194" s="72">
        <f t="shared" si="75"/>
        <v>481032.88999999926</v>
      </c>
    </row>
    <row r="1195" spans="1:14" x14ac:dyDescent="0.2">
      <c r="A1195" s="73" t="s">
        <v>866</v>
      </c>
      <c r="B1195" s="3">
        <f t="shared" si="72"/>
        <v>2025</v>
      </c>
      <c r="C1195" s="3">
        <f t="shared" si="73"/>
        <v>7</v>
      </c>
      <c r="D1195" s="73" t="s">
        <v>300</v>
      </c>
      <c r="E1195" s="2"/>
      <c r="F1195" s="2" t="s">
        <v>299</v>
      </c>
      <c r="G1195" s="2"/>
      <c r="H1195" s="2" t="s">
        <v>298</v>
      </c>
      <c r="I1195" s="2" t="s">
        <v>297</v>
      </c>
      <c r="J1195" s="2" t="s">
        <v>296</v>
      </c>
      <c r="K1195" s="72"/>
      <c r="L1195" s="39">
        <v>3504.91</v>
      </c>
      <c r="M1195" s="72">
        <f t="shared" si="74"/>
        <v>3504.91</v>
      </c>
      <c r="N1195" s="72">
        <f t="shared" si="75"/>
        <v>484537.79999999923</v>
      </c>
    </row>
    <row r="1196" spans="1:14" x14ac:dyDescent="0.2">
      <c r="A1196" s="73" t="s">
        <v>867</v>
      </c>
      <c r="B1196" s="3">
        <f t="shared" si="72"/>
        <v>2025</v>
      </c>
      <c r="C1196" s="3">
        <f t="shared" si="73"/>
        <v>7</v>
      </c>
      <c r="D1196" s="73" t="s">
        <v>300</v>
      </c>
      <c r="E1196" s="2"/>
      <c r="F1196" s="2" t="s">
        <v>325</v>
      </c>
      <c r="G1196" s="2" t="s">
        <v>696</v>
      </c>
      <c r="H1196" s="2" t="s">
        <v>323</v>
      </c>
      <c r="I1196" s="2" t="s">
        <v>350</v>
      </c>
      <c r="J1196" s="2" t="s">
        <v>353</v>
      </c>
      <c r="K1196" s="72">
        <v>1100</v>
      </c>
      <c r="L1196" s="39"/>
      <c r="M1196" s="72">
        <f t="shared" si="74"/>
        <v>-1100</v>
      </c>
      <c r="N1196" s="72">
        <f t="shared" si="75"/>
        <v>483437.79999999923</v>
      </c>
    </row>
    <row r="1197" spans="1:14" x14ac:dyDescent="0.2">
      <c r="A1197" s="73" t="s">
        <v>867</v>
      </c>
      <c r="B1197" s="3">
        <f t="shared" si="72"/>
        <v>2025</v>
      </c>
      <c r="C1197" s="3">
        <f t="shared" si="73"/>
        <v>7</v>
      </c>
      <c r="D1197" s="73" t="s">
        <v>300</v>
      </c>
      <c r="E1197" s="2"/>
      <c r="F1197" s="2" t="s">
        <v>325</v>
      </c>
      <c r="G1197" s="2" t="s">
        <v>369</v>
      </c>
      <c r="H1197" s="2" t="s">
        <v>323</v>
      </c>
      <c r="I1197" s="2" t="s">
        <v>316</v>
      </c>
      <c r="J1197" s="2" t="s">
        <v>360</v>
      </c>
      <c r="K1197" s="72">
        <v>1740</v>
      </c>
      <c r="L1197" s="39"/>
      <c r="M1197" s="72">
        <f t="shared" si="74"/>
        <v>-1740</v>
      </c>
      <c r="N1197" s="72">
        <f t="shared" si="75"/>
        <v>481697.79999999923</v>
      </c>
    </row>
    <row r="1198" spans="1:14" x14ac:dyDescent="0.2">
      <c r="A1198" s="73" t="s">
        <v>867</v>
      </c>
      <c r="B1198" s="3">
        <f t="shared" si="72"/>
        <v>2025</v>
      </c>
      <c r="C1198" s="3">
        <f t="shared" si="73"/>
        <v>7</v>
      </c>
      <c r="D1198" s="73" t="s">
        <v>300</v>
      </c>
      <c r="E1198" s="2"/>
      <c r="F1198" s="2" t="s">
        <v>325</v>
      </c>
      <c r="G1198" s="2" t="s">
        <v>369</v>
      </c>
      <c r="H1198" s="2" t="s">
        <v>323</v>
      </c>
      <c r="I1198" s="2" t="s">
        <v>316</v>
      </c>
      <c r="J1198" s="2" t="s">
        <v>360</v>
      </c>
      <c r="K1198" s="72">
        <v>900</v>
      </c>
      <c r="L1198" s="39"/>
      <c r="M1198" s="72">
        <f t="shared" si="74"/>
        <v>-900</v>
      </c>
      <c r="N1198" s="72">
        <f t="shared" si="75"/>
        <v>480797.79999999923</v>
      </c>
    </row>
    <row r="1199" spans="1:14" x14ac:dyDescent="0.2">
      <c r="A1199" s="73" t="s">
        <v>867</v>
      </c>
      <c r="B1199" s="3">
        <f t="shared" si="72"/>
        <v>2025</v>
      </c>
      <c r="C1199" s="3">
        <f t="shared" si="73"/>
        <v>7</v>
      </c>
      <c r="D1199" s="73" t="s">
        <v>300</v>
      </c>
      <c r="E1199" s="2"/>
      <c r="F1199" s="2" t="s">
        <v>325</v>
      </c>
      <c r="G1199" s="2" t="s">
        <v>369</v>
      </c>
      <c r="H1199" s="2" t="s">
        <v>323</v>
      </c>
      <c r="I1199" s="2" t="s">
        <v>316</v>
      </c>
      <c r="J1199" s="2" t="s">
        <v>360</v>
      </c>
      <c r="K1199" s="72">
        <v>2610</v>
      </c>
      <c r="L1199" s="39"/>
      <c r="M1199" s="72">
        <f t="shared" si="74"/>
        <v>-2610</v>
      </c>
      <c r="N1199" s="72">
        <f t="shared" si="75"/>
        <v>478187.79999999923</v>
      </c>
    </row>
    <row r="1200" spans="1:14" x14ac:dyDescent="0.2">
      <c r="A1200" s="73" t="s">
        <v>867</v>
      </c>
      <c r="B1200" s="3">
        <f t="shared" si="72"/>
        <v>2025</v>
      </c>
      <c r="C1200" s="3">
        <f t="shared" si="73"/>
        <v>7</v>
      </c>
      <c r="D1200" s="73" t="s">
        <v>300</v>
      </c>
      <c r="E1200" s="2"/>
      <c r="F1200" s="2" t="s">
        <v>325</v>
      </c>
      <c r="G1200" s="2" t="s">
        <v>368</v>
      </c>
      <c r="H1200" s="2" t="s">
        <v>323</v>
      </c>
      <c r="I1200" s="2" t="s">
        <v>350</v>
      </c>
      <c r="J1200" s="2" t="s">
        <v>27</v>
      </c>
      <c r="K1200" s="72">
        <v>5250</v>
      </c>
      <c r="L1200" s="39"/>
      <c r="M1200" s="72">
        <f t="shared" si="74"/>
        <v>-5250</v>
      </c>
      <c r="N1200" s="72">
        <f t="shared" si="75"/>
        <v>472937.79999999923</v>
      </c>
    </row>
    <row r="1201" spans="1:14" x14ac:dyDescent="0.2">
      <c r="A1201" s="73" t="s">
        <v>867</v>
      </c>
      <c r="B1201" s="3">
        <f t="shared" si="72"/>
        <v>2025</v>
      </c>
      <c r="C1201" s="3">
        <f t="shared" si="73"/>
        <v>7</v>
      </c>
      <c r="D1201" s="73" t="s">
        <v>300</v>
      </c>
      <c r="E1201" s="2"/>
      <c r="F1201" s="2" t="s">
        <v>325</v>
      </c>
      <c r="G1201" s="2" t="s">
        <v>366</v>
      </c>
      <c r="H1201" s="2" t="s">
        <v>323</v>
      </c>
      <c r="I1201" s="2" t="s">
        <v>350</v>
      </c>
      <c r="J1201" s="2" t="s">
        <v>27</v>
      </c>
      <c r="K1201" s="72">
        <v>22.5</v>
      </c>
      <c r="L1201" s="39"/>
      <c r="M1201" s="72">
        <f t="shared" si="74"/>
        <v>-22.5</v>
      </c>
      <c r="N1201" s="72">
        <f t="shared" si="75"/>
        <v>472915.29999999923</v>
      </c>
    </row>
    <row r="1202" spans="1:14" x14ac:dyDescent="0.2">
      <c r="A1202" s="73" t="s">
        <v>867</v>
      </c>
      <c r="B1202" s="3">
        <f t="shared" si="72"/>
        <v>2025</v>
      </c>
      <c r="C1202" s="3">
        <f t="shared" si="73"/>
        <v>7</v>
      </c>
      <c r="D1202" s="73" t="s">
        <v>300</v>
      </c>
      <c r="E1202" s="2"/>
      <c r="F1202" s="2" t="s">
        <v>325</v>
      </c>
      <c r="G1202" s="2" t="s">
        <v>365</v>
      </c>
      <c r="H1202" s="2" t="s">
        <v>323</v>
      </c>
      <c r="I1202" s="2" t="s">
        <v>350</v>
      </c>
      <c r="J1202" s="2" t="s">
        <v>353</v>
      </c>
      <c r="K1202" s="72">
        <v>20000</v>
      </c>
      <c r="L1202" s="39"/>
      <c r="M1202" s="72">
        <f t="shared" si="74"/>
        <v>-20000</v>
      </c>
      <c r="N1202" s="72">
        <f t="shared" si="75"/>
        <v>452915.29999999923</v>
      </c>
    </row>
    <row r="1203" spans="1:14" x14ac:dyDescent="0.2">
      <c r="A1203" s="73" t="s">
        <v>867</v>
      </c>
      <c r="B1203" s="3">
        <f t="shared" si="72"/>
        <v>2025</v>
      </c>
      <c r="C1203" s="3">
        <f t="shared" si="73"/>
        <v>7</v>
      </c>
      <c r="D1203" s="73" t="s">
        <v>300</v>
      </c>
      <c r="E1203" s="2"/>
      <c r="F1203" s="2" t="s">
        <v>325</v>
      </c>
      <c r="G1203" s="2" t="s">
        <v>364</v>
      </c>
      <c r="H1203" s="2" t="s">
        <v>323</v>
      </c>
      <c r="I1203" s="2" t="s">
        <v>350</v>
      </c>
      <c r="J1203" s="2" t="s">
        <v>27</v>
      </c>
      <c r="K1203" s="72">
        <v>3500</v>
      </c>
      <c r="L1203" s="39"/>
      <c r="M1203" s="72">
        <f t="shared" si="74"/>
        <v>-3500</v>
      </c>
      <c r="N1203" s="72">
        <f t="shared" si="75"/>
        <v>449415.29999999923</v>
      </c>
    </row>
    <row r="1204" spans="1:14" x14ac:dyDescent="0.2">
      <c r="A1204" s="73" t="s">
        <v>867</v>
      </c>
      <c r="B1204" s="3">
        <f t="shared" si="72"/>
        <v>2025</v>
      </c>
      <c r="C1204" s="3">
        <f t="shared" si="73"/>
        <v>7</v>
      </c>
      <c r="D1204" s="73" t="s">
        <v>300</v>
      </c>
      <c r="E1204" s="2"/>
      <c r="F1204" s="2" t="s">
        <v>325</v>
      </c>
      <c r="G1204" s="2" t="s">
        <v>363</v>
      </c>
      <c r="H1204" s="2" t="s">
        <v>323</v>
      </c>
      <c r="I1204" s="2" t="s">
        <v>316</v>
      </c>
      <c r="J1204" s="2" t="s">
        <v>17</v>
      </c>
      <c r="K1204" s="72">
        <v>49</v>
      </c>
      <c r="L1204" s="39"/>
      <c r="M1204" s="72">
        <f t="shared" si="74"/>
        <v>-49</v>
      </c>
      <c r="N1204" s="72">
        <f t="shared" si="75"/>
        <v>449366.29999999923</v>
      </c>
    </row>
    <row r="1205" spans="1:14" x14ac:dyDescent="0.2">
      <c r="A1205" s="73" t="s">
        <v>867</v>
      </c>
      <c r="B1205" s="3">
        <f t="shared" si="72"/>
        <v>2025</v>
      </c>
      <c r="C1205" s="3">
        <f t="shared" si="73"/>
        <v>7</v>
      </c>
      <c r="D1205" s="73" t="s">
        <v>300</v>
      </c>
      <c r="E1205" s="2"/>
      <c r="F1205" s="2" t="s">
        <v>325</v>
      </c>
      <c r="G1205" s="2" t="s">
        <v>363</v>
      </c>
      <c r="H1205" s="2" t="s">
        <v>323</v>
      </c>
      <c r="I1205" s="2" t="s">
        <v>316</v>
      </c>
      <c r="J1205" s="2" t="s">
        <v>17</v>
      </c>
      <c r="K1205" s="72">
        <v>5</v>
      </c>
      <c r="L1205" s="39"/>
      <c r="M1205" s="72">
        <f t="shared" si="74"/>
        <v>-5</v>
      </c>
      <c r="N1205" s="72">
        <f t="shared" si="75"/>
        <v>449361.29999999923</v>
      </c>
    </row>
    <row r="1206" spans="1:14" x14ac:dyDescent="0.2">
      <c r="A1206" s="73" t="s">
        <v>867</v>
      </c>
      <c r="B1206" s="3">
        <f t="shared" si="72"/>
        <v>2025</v>
      </c>
      <c r="C1206" s="3">
        <f t="shared" si="73"/>
        <v>7</v>
      </c>
      <c r="D1206" s="73" t="s">
        <v>300</v>
      </c>
      <c r="E1206" s="2"/>
      <c r="F1206" s="2" t="s">
        <v>325</v>
      </c>
      <c r="G1206" s="2" t="s">
        <v>363</v>
      </c>
      <c r="H1206" s="2" t="s">
        <v>323</v>
      </c>
      <c r="I1206" s="2" t="s">
        <v>316</v>
      </c>
      <c r="J1206" s="2" t="s">
        <v>17</v>
      </c>
      <c r="K1206" s="72">
        <v>49</v>
      </c>
      <c r="L1206" s="39"/>
      <c r="M1206" s="72">
        <f t="shared" si="74"/>
        <v>-49</v>
      </c>
      <c r="N1206" s="72">
        <f t="shared" si="75"/>
        <v>449312.29999999923</v>
      </c>
    </row>
    <row r="1207" spans="1:14" x14ac:dyDescent="0.2">
      <c r="A1207" s="73" t="s">
        <v>867</v>
      </c>
      <c r="B1207" s="3">
        <f t="shared" si="72"/>
        <v>2025</v>
      </c>
      <c r="C1207" s="3">
        <f t="shared" si="73"/>
        <v>7</v>
      </c>
      <c r="D1207" s="73" t="s">
        <v>300</v>
      </c>
      <c r="E1207" s="2"/>
      <c r="F1207" s="2" t="s">
        <v>325</v>
      </c>
      <c r="G1207" s="2" t="s">
        <v>363</v>
      </c>
      <c r="H1207" s="2" t="s">
        <v>323</v>
      </c>
      <c r="I1207" s="2" t="s">
        <v>316</v>
      </c>
      <c r="J1207" s="2" t="s">
        <v>17</v>
      </c>
      <c r="K1207" s="72">
        <v>49</v>
      </c>
      <c r="L1207" s="39"/>
      <c r="M1207" s="72">
        <f t="shared" si="74"/>
        <v>-49</v>
      </c>
      <c r="N1207" s="72">
        <f t="shared" si="75"/>
        <v>449263.29999999923</v>
      </c>
    </row>
    <row r="1208" spans="1:14" x14ac:dyDescent="0.2">
      <c r="A1208" s="73" t="s">
        <v>867</v>
      </c>
      <c r="B1208" s="3">
        <f t="shared" si="72"/>
        <v>2025</v>
      </c>
      <c r="C1208" s="3">
        <f t="shared" si="73"/>
        <v>7</v>
      </c>
      <c r="D1208" s="73" t="s">
        <v>300</v>
      </c>
      <c r="E1208" s="2"/>
      <c r="F1208" s="2" t="s">
        <v>325</v>
      </c>
      <c r="G1208" s="2" t="s">
        <v>363</v>
      </c>
      <c r="H1208" s="2" t="s">
        <v>323</v>
      </c>
      <c r="I1208" s="2" t="s">
        <v>316</v>
      </c>
      <c r="J1208" s="2" t="s">
        <v>17</v>
      </c>
      <c r="K1208" s="72">
        <v>49</v>
      </c>
      <c r="L1208" s="39"/>
      <c r="M1208" s="72">
        <f t="shared" si="74"/>
        <v>-49</v>
      </c>
      <c r="N1208" s="72">
        <f t="shared" si="75"/>
        <v>449214.29999999923</v>
      </c>
    </row>
    <row r="1209" spans="1:14" x14ac:dyDescent="0.2">
      <c r="A1209" s="73" t="s">
        <v>867</v>
      </c>
      <c r="B1209" s="3">
        <f t="shared" si="72"/>
        <v>2025</v>
      </c>
      <c r="C1209" s="3">
        <f t="shared" si="73"/>
        <v>7</v>
      </c>
      <c r="D1209" s="73" t="s">
        <v>300</v>
      </c>
      <c r="E1209" s="2"/>
      <c r="F1209" s="2" t="s">
        <v>325</v>
      </c>
      <c r="G1209" s="2" t="s">
        <v>363</v>
      </c>
      <c r="H1209" s="2" t="s">
        <v>323</v>
      </c>
      <c r="I1209" s="2" t="s">
        <v>316</v>
      </c>
      <c r="J1209" s="2" t="s">
        <v>17</v>
      </c>
      <c r="K1209" s="72">
        <v>49</v>
      </c>
      <c r="L1209" s="39"/>
      <c r="M1209" s="72">
        <f t="shared" si="74"/>
        <v>-49</v>
      </c>
      <c r="N1209" s="72">
        <f t="shared" si="75"/>
        <v>449165.29999999923</v>
      </c>
    </row>
    <row r="1210" spans="1:14" x14ac:dyDescent="0.2">
      <c r="A1210" s="73" t="s">
        <v>867</v>
      </c>
      <c r="B1210" s="3">
        <f t="shared" si="72"/>
        <v>2025</v>
      </c>
      <c r="C1210" s="3">
        <f t="shared" si="73"/>
        <v>7</v>
      </c>
      <c r="D1210" s="73" t="s">
        <v>300</v>
      </c>
      <c r="E1210" s="2"/>
      <c r="F1210" s="2" t="s">
        <v>325</v>
      </c>
      <c r="G1210" s="2" t="s">
        <v>363</v>
      </c>
      <c r="H1210" s="2" t="s">
        <v>323</v>
      </c>
      <c r="I1210" s="2" t="s">
        <v>316</v>
      </c>
      <c r="J1210" s="2" t="s">
        <v>17</v>
      </c>
      <c r="K1210" s="72">
        <v>49</v>
      </c>
      <c r="L1210" s="39"/>
      <c r="M1210" s="72">
        <f t="shared" si="74"/>
        <v>-49</v>
      </c>
      <c r="N1210" s="72">
        <f t="shared" si="75"/>
        <v>449116.29999999923</v>
      </c>
    </row>
    <row r="1211" spans="1:14" x14ac:dyDescent="0.2">
      <c r="A1211" s="73" t="s">
        <v>867</v>
      </c>
      <c r="B1211" s="3">
        <f t="shared" si="72"/>
        <v>2025</v>
      </c>
      <c r="C1211" s="3">
        <f t="shared" si="73"/>
        <v>7</v>
      </c>
      <c r="D1211" s="73" t="s">
        <v>300</v>
      </c>
      <c r="E1211" s="2"/>
      <c r="F1211" s="2" t="s">
        <v>325</v>
      </c>
      <c r="G1211" s="2" t="s">
        <v>363</v>
      </c>
      <c r="H1211" s="2" t="s">
        <v>323</v>
      </c>
      <c r="I1211" s="2" t="s">
        <v>316</v>
      </c>
      <c r="J1211" s="2" t="s">
        <v>17</v>
      </c>
      <c r="K1211" s="72">
        <v>49</v>
      </c>
      <c r="L1211" s="39"/>
      <c r="M1211" s="72">
        <f t="shared" si="74"/>
        <v>-49</v>
      </c>
      <c r="N1211" s="72">
        <f t="shared" si="75"/>
        <v>449067.29999999923</v>
      </c>
    </row>
    <row r="1212" spans="1:14" x14ac:dyDescent="0.2">
      <c r="A1212" s="73" t="s">
        <v>867</v>
      </c>
      <c r="B1212" s="3">
        <f t="shared" si="72"/>
        <v>2025</v>
      </c>
      <c r="C1212" s="3">
        <f t="shared" si="73"/>
        <v>7</v>
      </c>
      <c r="D1212" s="73" t="s">
        <v>300</v>
      </c>
      <c r="E1212" s="2"/>
      <c r="F1212" s="2" t="s">
        <v>325</v>
      </c>
      <c r="G1212" s="2" t="s">
        <v>363</v>
      </c>
      <c r="H1212" s="2" t="s">
        <v>323</v>
      </c>
      <c r="I1212" s="2" t="s">
        <v>316</v>
      </c>
      <c r="J1212" s="2" t="s">
        <v>17</v>
      </c>
      <c r="K1212" s="72">
        <v>49</v>
      </c>
      <c r="L1212" s="39"/>
      <c r="M1212" s="72">
        <f t="shared" si="74"/>
        <v>-49</v>
      </c>
      <c r="N1212" s="72">
        <f t="shared" si="75"/>
        <v>449018.29999999923</v>
      </c>
    </row>
    <row r="1213" spans="1:14" x14ac:dyDescent="0.2">
      <c r="A1213" s="73" t="s">
        <v>867</v>
      </c>
      <c r="B1213" s="3">
        <f t="shared" si="72"/>
        <v>2025</v>
      </c>
      <c r="C1213" s="3">
        <f t="shared" si="73"/>
        <v>7</v>
      </c>
      <c r="D1213" s="73" t="s">
        <v>300</v>
      </c>
      <c r="E1213" s="2"/>
      <c r="F1213" s="2" t="s">
        <v>325</v>
      </c>
      <c r="G1213" s="2" t="s">
        <v>363</v>
      </c>
      <c r="H1213" s="2" t="s">
        <v>323</v>
      </c>
      <c r="I1213" s="2" t="s">
        <v>316</v>
      </c>
      <c r="J1213" s="2" t="s">
        <v>17</v>
      </c>
      <c r="K1213" s="72">
        <v>49</v>
      </c>
      <c r="L1213" s="39"/>
      <c r="M1213" s="72">
        <f t="shared" si="74"/>
        <v>-49</v>
      </c>
      <c r="N1213" s="72">
        <f t="shared" si="75"/>
        <v>448969.29999999923</v>
      </c>
    </row>
    <row r="1214" spans="1:14" x14ac:dyDescent="0.2">
      <c r="A1214" s="73" t="s">
        <v>867</v>
      </c>
      <c r="B1214" s="3">
        <f t="shared" si="72"/>
        <v>2025</v>
      </c>
      <c r="C1214" s="3">
        <f t="shared" si="73"/>
        <v>7</v>
      </c>
      <c r="D1214" s="73" t="s">
        <v>300</v>
      </c>
      <c r="E1214" s="2"/>
      <c r="F1214" s="2" t="s">
        <v>325</v>
      </c>
      <c r="G1214" s="2" t="s">
        <v>363</v>
      </c>
      <c r="H1214" s="2" t="s">
        <v>323</v>
      </c>
      <c r="I1214" s="2" t="s">
        <v>316</v>
      </c>
      <c r="J1214" s="2" t="s">
        <v>17</v>
      </c>
      <c r="K1214" s="72">
        <v>49</v>
      </c>
      <c r="L1214" s="39"/>
      <c r="M1214" s="72">
        <f t="shared" si="74"/>
        <v>-49</v>
      </c>
      <c r="N1214" s="72">
        <f t="shared" si="75"/>
        <v>448920.29999999923</v>
      </c>
    </row>
    <row r="1215" spans="1:14" x14ac:dyDescent="0.2">
      <c r="A1215" s="73" t="s">
        <v>867</v>
      </c>
      <c r="B1215" s="3">
        <f t="shared" si="72"/>
        <v>2025</v>
      </c>
      <c r="C1215" s="3">
        <f t="shared" si="73"/>
        <v>7</v>
      </c>
      <c r="D1215" s="73" t="s">
        <v>300</v>
      </c>
      <c r="E1215" s="2"/>
      <c r="F1215" s="2" t="s">
        <v>325</v>
      </c>
      <c r="G1215" s="2" t="s">
        <v>363</v>
      </c>
      <c r="H1215" s="2" t="s">
        <v>323</v>
      </c>
      <c r="I1215" s="2" t="s">
        <v>316</v>
      </c>
      <c r="J1215" s="2" t="s">
        <v>17</v>
      </c>
      <c r="K1215" s="72">
        <v>49</v>
      </c>
      <c r="L1215" s="39"/>
      <c r="M1215" s="72">
        <f t="shared" si="74"/>
        <v>-49</v>
      </c>
      <c r="N1215" s="72">
        <f t="shared" si="75"/>
        <v>448871.29999999923</v>
      </c>
    </row>
    <row r="1216" spans="1:14" x14ac:dyDescent="0.2">
      <c r="A1216" s="73" t="s">
        <v>867</v>
      </c>
      <c r="B1216" s="3">
        <f t="shared" si="72"/>
        <v>2025</v>
      </c>
      <c r="C1216" s="3">
        <f t="shared" si="73"/>
        <v>7</v>
      </c>
      <c r="D1216" s="73" t="s">
        <v>300</v>
      </c>
      <c r="E1216" s="2"/>
      <c r="F1216" s="2" t="s">
        <v>325</v>
      </c>
      <c r="G1216" s="2" t="s">
        <v>363</v>
      </c>
      <c r="H1216" s="2" t="s">
        <v>323</v>
      </c>
      <c r="I1216" s="2" t="s">
        <v>316</v>
      </c>
      <c r="J1216" s="2" t="s">
        <v>17</v>
      </c>
      <c r="K1216" s="72">
        <v>49</v>
      </c>
      <c r="L1216" s="39"/>
      <c r="M1216" s="72">
        <f t="shared" si="74"/>
        <v>-49</v>
      </c>
      <c r="N1216" s="72">
        <f t="shared" si="75"/>
        <v>448822.29999999923</v>
      </c>
    </row>
    <row r="1217" spans="1:14" x14ac:dyDescent="0.2">
      <c r="A1217" s="73" t="s">
        <v>867</v>
      </c>
      <c r="B1217" s="3">
        <f t="shared" si="72"/>
        <v>2025</v>
      </c>
      <c r="C1217" s="3">
        <f t="shared" si="73"/>
        <v>7</v>
      </c>
      <c r="D1217" s="73" t="s">
        <v>300</v>
      </c>
      <c r="E1217" s="2"/>
      <c r="F1217" s="2" t="s">
        <v>325</v>
      </c>
      <c r="G1217" s="2" t="s">
        <v>363</v>
      </c>
      <c r="H1217" s="2" t="s">
        <v>323</v>
      </c>
      <c r="I1217" s="2" t="s">
        <v>316</v>
      </c>
      <c r="J1217" s="2" t="s">
        <v>17</v>
      </c>
      <c r="K1217" s="72">
        <v>49</v>
      </c>
      <c r="L1217" s="39"/>
      <c r="M1217" s="72">
        <f t="shared" si="74"/>
        <v>-49</v>
      </c>
      <c r="N1217" s="72">
        <f t="shared" si="75"/>
        <v>448773.29999999923</v>
      </c>
    </row>
    <row r="1218" spans="1:14" x14ac:dyDescent="0.2">
      <c r="A1218" s="73" t="s">
        <v>867</v>
      </c>
      <c r="B1218" s="3">
        <f t="shared" ref="B1218:B1281" si="76">YEAR(A1218)</f>
        <v>2025</v>
      </c>
      <c r="C1218" s="3">
        <f t="shared" ref="C1218:C1281" si="77">MONTH(A1218)</f>
        <v>7</v>
      </c>
      <c r="D1218" s="73" t="s">
        <v>300</v>
      </c>
      <c r="E1218" s="2"/>
      <c r="F1218" s="2" t="s">
        <v>325</v>
      </c>
      <c r="G1218" s="2" t="s">
        <v>363</v>
      </c>
      <c r="H1218" s="2" t="s">
        <v>323</v>
      </c>
      <c r="I1218" s="2" t="s">
        <v>316</v>
      </c>
      <c r="J1218" s="2" t="s">
        <v>17</v>
      </c>
      <c r="K1218" s="72">
        <v>49</v>
      </c>
      <c r="L1218" s="39"/>
      <c r="M1218" s="72">
        <f t="shared" ref="M1218:M1281" si="78">IF(ISBLANK(L1218),K1218*-1,L1218)</f>
        <v>-49</v>
      </c>
      <c r="N1218" s="72">
        <f t="shared" si="75"/>
        <v>448724.29999999923</v>
      </c>
    </row>
    <row r="1219" spans="1:14" x14ac:dyDescent="0.2">
      <c r="A1219" s="73" t="s">
        <v>867</v>
      </c>
      <c r="B1219" s="3">
        <f t="shared" si="76"/>
        <v>2025</v>
      </c>
      <c r="C1219" s="3">
        <f t="shared" si="77"/>
        <v>7</v>
      </c>
      <c r="D1219" s="73" t="s">
        <v>300</v>
      </c>
      <c r="E1219" s="2"/>
      <c r="F1219" s="2" t="s">
        <v>325</v>
      </c>
      <c r="G1219" s="2" t="s">
        <v>363</v>
      </c>
      <c r="H1219" s="2" t="s">
        <v>323</v>
      </c>
      <c r="I1219" s="2" t="s">
        <v>316</v>
      </c>
      <c r="J1219" s="2" t="s">
        <v>17</v>
      </c>
      <c r="K1219" s="72">
        <v>49</v>
      </c>
      <c r="L1219" s="39"/>
      <c r="M1219" s="72">
        <f t="shared" si="78"/>
        <v>-49</v>
      </c>
      <c r="N1219" s="72">
        <f t="shared" ref="N1219:N1282" si="79">+N1218+M1219</f>
        <v>448675.29999999923</v>
      </c>
    </row>
    <row r="1220" spans="1:14" x14ac:dyDescent="0.2">
      <c r="A1220" s="73" t="s">
        <v>867</v>
      </c>
      <c r="B1220" s="3">
        <f t="shared" si="76"/>
        <v>2025</v>
      </c>
      <c r="C1220" s="3">
        <f t="shared" si="77"/>
        <v>7</v>
      </c>
      <c r="D1220" s="73" t="s">
        <v>300</v>
      </c>
      <c r="E1220" s="2"/>
      <c r="F1220" s="2" t="s">
        <v>325</v>
      </c>
      <c r="G1220" s="2" t="s">
        <v>363</v>
      </c>
      <c r="H1220" s="2" t="s">
        <v>323</v>
      </c>
      <c r="I1220" s="2" t="s">
        <v>316</v>
      </c>
      <c r="J1220" s="2" t="s">
        <v>17</v>
      </c>
      <c r="K1220" s="72">
        <v>49</v>
      </c>
      <c r="L1220" s="39"/>
      <c r="M1220" s="72">
        <f t="shared" si="78"/>
        <v>-49</v>
      </c>
      <c r="N1220" s="72">
        <f t="shared" si="79"/>
        <v>448626.29999999923</v>
      </c>
    </row>
    <row r="1221" spans="1:14" x14ac:dyDescent="0.2">
      <c r="A1221" s="73" t="s">
        <v>867</v>
      </c>
      <c r="B1221" s="3">
        <f t="shared" si="76"/>
        <v>2025</v>
      </c>
      <c r="C1221" s="3">
        <f t="shared" si="77"/>
        <v>7</v>
      </c>
      <c r="D1221" s="73" t="s">
        <v>300</v>
      </c>
      <c r="E1221" s="2"/>
      <c r="F1221" s="2" t="s">
        <v>325</v>
      </c>
      <c r="G1221" s="2" t="s">
        <v>363</v>
      </c>
      <c r="H1221" s="2" t="s">
        <v>323</v>
      </c>
      <c r="I1221" s="2" t="s">
        <v>316</v>
      </c>
      <c r="J1221" s="2" t="s">
        <v>17</v>
      </c>
      <c r="K1221" s="72">
        <v>49</v>
      </c>
      <c r="L1221" s="39"/>
      <c r="M1221" s="72">
        <f t="shared" si="78"/>
        <v>-49</v>
      </c>
      <c r="N1221" s="72">
        <f t="shared" si="79"/>
        <v>448577.29999999923</v>
      </c>
    </row>
    <row r="1222" spans="1:14" x14ac:dyDescent="0.2">
      <c r="A1222" s="73" t="s">
        <v>867</v>
      </c>
      <c r="B1222" s="3">
        <f t="shared" si="76"/>
        <v>2025</v>
      </c>
      <c r="C1222" s="3">
        <f t="shared" si="77"/>
        <v>7</v>
      </c>
      <c r="D1222" s="73" t="s">
        <v>300</v>
      </c>
      <c r="E1222" s="2"/>
      <c r="F1222" s="2" t="s">
        <v>325</v>
      </c>
      <c r="G1222" s="2" t="s">
        <v>363</v>
      </c>
      <c r="H1222" s="2" t="s">
        <v>323</v>
      </c>
      <c r="I1222" s="2" t="s">
        <v>316</v>
      </c>
      <c r="J1222" s="2" t="s">
        <v>17</v>
      </c>
      <c r="K1222" s="72">
        <v>49</v>
      </c>
      <c r="L1222" s="39"/>
      <c r="M1222" s="72">
        <f t="shared" si="78"/>
        <v>-49</v>
      </c>
      <c r="N1222" s="72">
        <f t="shared" si="79"/>
        <v>448528.29999999923</v>
      </c>
    </row>
    <row r="1223" spans="1:14" x14ac:dyDescent="0.2">
      <c r="A1223" s="73" t="s">
        <v>867</v>
      </c>
      <c r="B1223" s="3">
        <f t="shared" si="76"/>
        <v>2025</v>
      </c>
      <c r="C1223" s="3">
        <f t="shared" si="77"/>
        <v>7</v>
      </c>
      <c r="D1223" s="73" t="s">
        <v>300</v>
      </c>
      <c r="E1223" s="2"/>
      <c r="F1223" s="2" t="s">
        <v>325</v>
      </c>
      <c r="G1223" s="2" t="s">
        <v>363</v>
      </c>
      <c r="H1223" s="2" t="s">
        <v>323</v>
      </c>
      <c r="I1223" s="2" t="s">
        <v>316</v>
      </c>
      <c r="J1223" s="2" t="s">
        <v>17</v>
      </c>
      <c r="K1223" s="72">
        <v>49</v>
      </c>
      <c r="L1223" s="39"/>
      <c r="M1223" s="72">
        <f t="shared" si="78"/>
        <v>-49</v>
      </c>
      <c r="N1223" s="72">
        <f t="shared" si="79"/>
        <v>448479.29999999923</v>
      </c>
    </row>
    <row r="1224" spans="1:14" x14ac:dyDescent="0.2">
      <c r="A1224" s="73" t="s">
        <v>867</v>
      </c>
      <c r="B1224" s="3">
        <f t="shared" si="76"/>
        <v>2025</v>
      </c>
      <c r="C1224" s="3">
        <f t="shared" si="77"/>
        <v>7</v>
      </c>
      <c r="D1224" s="73" t="s">
        <v>300</v>
      </c>
      <c r="E1224" s="2"/>
      <c r="F1224" s="2" t="s">
        <v>325</v>
      </c>
      <c r="G1224" s="2" t="s">
        <v>363</v>
      </c>
      <c r="H1224" s="2" t="s">
        <v>323</v>
      </c>
      <c r="I1224" s="2" t="s">
        <v>316</v>
      </c>
      <c r="J1224" s="2" t="s">
        <v>17</v>
      </c>
      <c r="K1224" s="72">
        <v>49</v>
      </c>
      <c r="L1224" s="39"/>
      <c r="M1224" s="72">
        <f t="shared" si="78"/>
        <v>-49</v>
      </c>
      <c r="N1224" s="72">
        <f t="shared" si="79"/>
        <v>448430.29999999923</v>
      </c>
    </row>
    <row r="1225" spans="1:14" x14ac:dyDescent="0.2">
      <c r="A1225" s="73" t="s">
        <v>867</v>
      </c>
      <c r="B1225" s="3">
        <f t="shared" si="76"/>
        <v>2025</v>
      </c>
      <c r="C1225" s="3">
        <f t="shared" si="77"/>
        <v>7</v>
      </c>
      <c r="D1225" s="73" t="s">
        <v>300</v>
      </c>
      <c r="E1225" s="2"/>
      <c r="F1225" s="2" t="s">
        <v>325</v>
      </c>
      <c r="G1225" s="2" t="s">
        <v>363</v>
      </c>
      <c r="H1225" s="2" t="s">
        <v>323</v>
      </c>
      <c r="I1225" s="2" t="s">
        <v>316</v>
      </c>
      <c r="J1225" s="2" t="s">
        <v>17</v>
      </c>
      <c r="K1225" s="72">
        <v>49</v>
      </c>
      <c r="L1225" s="39"/>
      <c r="M1225" s="72">
        <f t="shared" si="78"/>
        <v>-49</v>
      </c>
      <c r="N1225" s="72">
        <f t="shared" si="79"/>
        <v>448381.29999999923</v>
      </c>
    </row>
    <row r="1226" spans="1:14" x14ac:dyDescent="0.2">
      <c r="A1226" s="73" t="s">
        <v>867</v>
      </c>
      <c r="B1226" s="3">
        <f t="shared" si="76"/>
        <v>2025</v>
      </c>
      <c r="C1226" s="3">
        <f t="shared" si="77"/>
        <v>7</v>
      </c>
      <c r="D1226" s="73" t="s">
        <v>300</v>
      </c>
      <c r="E1226" s="2"/>
      <c r="F1226" s="2" t="s">
        <v>325</v>
      </c>
      <c r="G1226" s="2" t="s">
        <v>363</v>
      </c>
      <c r="H1226" s="2" t="s">
        <v>323</v>
      </c>
      <c r="I1226" s="2" t="s">
        <v>316</v>
      </c>
      <c r="J1226" s="2" t="s">
        <v>17</v>
      </c>
      <c r="K1226" s="72">
        <v>49</v>
      </c>
      <c r="L1226" s="39"/>
      <c r="M1226" s="72">
        <f t="shared" si="78"/>
        <v>-49</v>
      </c>
      <c r="N1226" s="72">
        <f t="shared" si="79"/>
        <v>448332.29999999923</v>
      </c>
    </row>
    <row r="1227" spans="1:14" x14ac:dyDescent="0.2">
      <c r="A1227" s="73" t="s">
        <v>867</v>
      </c>
      <c r="B1227" s="3">
        <f t="shared" si="76"/>
        <v>2025</v>
      </c>
      <c r="C1227" s="3">
        <f t="shared" si="77"/>
        <v>7</v>
      </c>
      <c r="D1227" s="73" t="s">
        <v>300</v>
      </c>
      <c r="E1227" s="2"/>
      <c r="F1227" s="2" t="s">
        <v>325</v>
      </c>
      <c r="G1227" s="2" t="s">
        <v>363</v>
      </c>
      <c r="H1227" s="2" t="s">
        <v>323</v>
      </c>
      <c r="I1227" s="2" t="s">
        <v>316</v>
      </c>
      <c r="J1227" s="2" t="s">
        <v>17</v>
      </c>
      <c r="K1227" s="72">
        <v>49</v>
      </c>
      <c r="L1227" s="39"/>
      <c r="M1227" s="72">
        <f t="shared" si="78"/>
        <v>-49</v>
      </c>
      <c r="N1227" s="72">
        <f t="shared" si="79"/>
        <v>448283.29999999923</v>
      </c>
    </row>
    <row r="1228" spans="1:14" x14ac:dyDescent="0.2">
      <c r="A1228" s="73" t="s">
        <v>867</v>
      </c>
      <c r="B1228" s="3">
        <f t="shared" si="76"/>
        <v>2025</v>
      </c>
      <c r="C1228" s="3">
        <f t="shared" si="77"/>
        <v>7</v>
      </c>
      <c r="D1228" s="73" t="s">
        <v>300</v>
      </c>
      <c r="E1228" s="2"/>
      <c r="F1228" s="2" t="s">
        <v>325</v>
      </c>
      <c r="G1228" s="2" t="s">
        <v>363</v>
      </c>
      <c r="H1228" s="2" t="s">
        <v>323</v>
      </c>
      <c r="I1228" s="2" t="s">
        <v>316</v>
      </c>
      <c r="J1228" s="2" t="s">
        <v>17</v>
      </c>
      <c r="K1228" s="72">
        <v>49</v>
      </c>
      <c r="L1228" s="39"/>
      <c r="M1228" s="72">
        <f t="shared" si="78"/>
        <v>-49</v>
      </c>
      <c r="N1228" s="72">
        <f t="shared" si="79"/>
        <v>448234.29999999923</v>
      </c>
    </row>
    <row r="1229" spans="1:14" x14ac:dyDescent="0.2">
      <c r="A1229" s="73" t="s">
        <v>867</v>
      </c>
      <c r="B1229" s="3">
        <f t="shared" si="76"/>
        <v>2025</v>
      </c>
      <c r="C1229" s="3">
        <f t="shared" si="77"/>
        <v>7</v>
      </c>
      <c r="D1229" s="73" t="s">
        <v>300</v>
      </c>
      <c r="E1229" s="2"/>
      <c r="F1229" s="2" t="s">
        <v>325</v>
      </c>
      <c r="G1229" s="2" t="s">
        <v>363</v>
      </c>
      <c r="H1229" s="2" t="s">
        <v>323</v>
      </c>
      <c r="I1229" s="2" t="s">
        <v>316</v>
      </c>
      <c r="J1229" s="2" t="s">
        <v>17</v>
      </c>
      <c r="K1229" s="72">
        <v>49</v>
      </c>
      <c r="L1229" s="39"/>
      <c r="M1229" s="72">
        <f t="shared" si="78"/>
        <v>-49</v>
      </c>
      <c r="N1229" s="72">
        <f t="shared" si="79"/>
        <v>448185.29999999923</v>
      </c>
    </row>
    <row r="1230" spans="1:14" x14ac:dyDescent="0.2">
      <c r="A1230" s="73" t="s">
        <v>867</v>
      </c>
      <c r="B1230" s="3">
        <f t="shared" si="76"/>
        <v>2025</v>
      </c>
      <c r="C1230" s="3">
        <f t="shared" si="77"/>
        <v>7</v>
      </c>
      <c r="D1230" s="73" t="s">
        <v>300</v>
      </c>
      <c r="E1230" s="2"/>
      <c r="F1230" s="2" t="s">
        <v>325</v>
      </c>
      <c r="G1230" s="2" t="s">
        <v>363</v>
      </c>
      <c r="H1230" s="2" t="s">
        <v>323</v>
      </c>
      <c r="I1230" s="2" t="s">
        <v>316</v>
      </c>
      <c r="J1230" s="2" t="s">
        <v>17</v>
      </c>
      <c r="K1230" s="72">
        <v>49</v>
      </c>
      <c r="L1230" s="39"/>
      <c r="M1230" s="72">
        <f t="shared" si="78"/>
        <v>-49</v>
      </c>
      <c r="N1230" s="72">
        <f t="shared" si="79"/>
        <v>448136.29999999923</v>
      </c>
    </row>
    <row r="1231" spans="1:14" x14ac:dyDescent="0.2">
      <c r="A1231" s="73" t="s">
        <v>867</v>
      </c>
      <c r="B1231" s="3">
        <f t="shared" si="76"/>
        <v>2025</v>
      </c>
      <c r="C1231" s="3">
        <f t="shared" si="77"/>
        <v>7</v>
      </c>
      <c r="D1231" s="73" t="s">
        <v>300</v>
      </c>
      <c r="E1231" s="2"/>
      <c r="F1231" s="2" t="s">
        <v>325</v>
      </c>
      <c r="G1231" s="2" t="s">
        <v>363</v>
      </c>
      <c r="H1231" s="2" t="s">
        <v>323</v>
      </c>
      <c r="I1231" s="2" t="s">
        <v>316</v>
      </c>
      <c r="J1231" s="2" t="s">
        <v>17</v>
      </c>
      <c r="K1231" s="72">
        <v>49</v>
      </c>
      <c r="L1231" s="39"/>
      <c r="M1231" s="72">
        <f t="shared" si="78"/>
        <v>-49</v>
      </c>
      <c r="N1231" s="72">
        <f t="shared" si="79"/>
        <v>448087.29999999923</v>
      </c>
    </row>
    <row r="1232" spans="1:14" x14ac:dyDescent="0.2">
      <c r="A1232" s="73" t="s">
        <v>867</v>
      </c>
      <c r="B1232" s="3">
        <f t="shared" si="76"/>
        <v>2025</v>
      </c>
      <c r="C1232" s="3">
        <f t="shared" si="77"/>
        <v>7</v>
      </c>
      <c r="D1232" s="73" t="s">
        <v>300</v>
      </c>
      <c r="E1232" s="2"/>
      <c r="F1232" s="2" t="s">
        <v>325</v>
      </c>
      <c r="G1232" s="2" t="s">
        <v>363</v>
      </c>
      <c r="H1232" s="2" t="s">
        <v>323</v>
      </c>
      <c r="I1232" s="2" t="s">
        <v>316</v>
      </c>
      <c r="J1232" s="2" t="s">
        <v>17</v>
      </c>
      <c r="K1232" s="72">
        <v>49</v>
      </c>
      <c r="L1232" s="39"/>
      <c r="M1232" s="72">
        <f t="shared" si="78"/>
        <v>-49</v>
      </c>
      <c r="N1232" s="72">
        <f t="shared" si="79"/>
        <v>448038.29999999923</v>
      </c>
    </row>
    <row r="1233" spans="1:14" x14ac:dyDescent="0.2">
      <c r="A1233" s="73" t="s">
        <v>867</v>
      </c>
      <c r="B1233" s="3">
        <f t="shared" si="76"/>
        <v>2025</v>
      </c>
      <c r="C1233" s="3">
        <f t="shared" si="77"/>
        <v>7</v>
      </c>
      <c r="D1233" s="73" t="s">
        <v>300</v>
      </c>
      <c r="E1233" s="2"/>
      <c r="F1233" s="2" t="s">
        <v>325</v>
      </c>
      <c r="G1233" s="2" t="s">
        <v>363</v>
      </c>
      <c r="H1233" s="2" t="s">
        <v>323</v>
      </c>
      <c r="I1233" s="2" t="s">
        <v>316</v>
      </c>
      <c r="J1233" s="2" t="s">
        <v>17</v>
      </c>
      <c r="K1233" s="72">
        <v>49</v>
      </c>
      <c r="L1233" s="39"/>
      <c r="M1233" s="72">
        <f t="shared" si="78"/>
        <v>-49</v>
      </c>
      <c r="N1233" s="72">
        <f t="shared" si="79"/>
        <v>447989.29999999923</v>
      </c>
    </row>
    <row r="1234" spans="1:14" x14ac:dyDescent="0.2">
      <c r="A1234" s="73" t="s">
        <v>867</v>
      </c>
      <c r="B1234" s="3">
        <f t="shared" si="76"/>
        <v>2025</v>
      </c>
      <c r="C1234" s="3">
        <f t="shared" si="77"/>
        <v>7</v>
      </c>
      <c r="D1234" s="73" t="s">
        <v>300</v>
      </c>
      <c r="E1234" s="2"/>
      <c r="F1234" s="2" t="s">
        <v>325</v>
      </c>
      <c r="G1234" s="2" t="s">
        <v>363</v>
      </c>
      <c r="H1234" s="2" t="s">
        <v>323</v>
      </c>
      <c r="I1234" s="2" t="s">
        <v>316</v>
      </c>
      <c r="J1234" s="2" t="s">
        <v>17</v>
      </c>
      <c r="K1234" s="72">
        <v>49</v>
      </c>
      <c r="L1234" s="39"/>
      <c r="M1234" s="72">
        <f t="shared" si="78"/>
        <v>-49</v>
      </c>
      <c r="N1234" s="72">
        <f t="shared" si="79"/>
        <v>447940.29999999923</v>
      </c>
    </row>
    <row r="1235" spans="1:14" x14ac:dyDescent="0.2">
      <c r="A1235" s="73" t="s">
        <v>867</v>
      </c>
      <c r="B1235" s="3">
        <f t="shared" si="76"/>
        <v>2025</v>
      </c>
      <c r="C1235" s="3">
        <f t="shared" si="77"/>
        <v>7</v>
      </c>
      <c r="D1235" s="73" t="s">
        <v>300</v>
      </c>
      <c r="E1235" s="2"/>
      <c r="F1235" s="2" t="s">
        <v>325</v>
      </c>
      <c r="G1235" s="2" t="s">
        <v>363</v>
      </c>
      <c r="H1235" s="2" t="s">
        <v>323</v>
      </c>
      <c r="I1235" s="2" t="s">
        <v>316</v>
      </c>
      <c r="J1235" s="2" t="s">
        <v>17</v>
      </c>
      <c r="K1235" s="72">
        <v>49</v>
      </c>
      <c r="L1235" s="39"/>
      <c r="M1235" s="72">
        <f t="shared" si="78"/>
        <v>-49</v>
      </c>
      <c r="N1235" s="72">
        <f t="shared" si="79"/>
        <v>447891.29999999923</v>
      </c>
    </row>
    <row r="1236" spans="1:14" x14ac:dyDescent="0.2">
      <c r="A1236" s="73" t="s">
        <v>867</v>
      </c>
      <c r="B1236" s="3">
        <f t="shared" si="76"/>
        <v>2025</v>
      </c>
      <c r="C1236" s="3">
        <f t="shared" si="77"/>
        <v>7</v>
      </c>
      <c r="D1236" s="73" t="s">
        <v>300</v>
      </c>
      <c r="E1236" s="2"/>
      <c r="F1236" s="2" t="s">
        <v>325</v>
      </c>
      <c r="G1236" s="2" t="s">
        <v>363</v>
      </c>
      <c r="H1236" s="2" t="s">
        <v>323</v>
      </c>
      <c r="I1236" s="2" t="s">
        <v>316</v>
      </c>
      <c r="J1236" s="2" t="s">
        <v>17</v>
      </c>
      <c r="K1236" s="72">
        <v>49</v>
      </c>
      <c r="L1236" s="39"/>
      <c r="M1236" s="72">
        <f t="shared" si="78"/>
        <v>-49</v>
      </c>
      <c r="N1236" s="72">
        <f t="shared" si="79"/>
        <v>447842.29999999923</v>
      </c>
    </row>
    <row r="1237" spans="1:14" x14ac:dyDescent="0.2">
      <c r="A1237" s="73" t="s">
        <v>867</v>
      </c>
      <c r="B1237" s="3">
        <f t="shared" si="76"/>
        <v>2025</v>
      </c>
      <c r="C1237" s="3">
        <f t="shared" si="77"/>
        <v>7</v>
      </c>
      <c r="D1237" s="73" t="s">
        <v>300</v>
      </c>
      <c r="E1237" s="2"/>
      <c r="F1237" s="2" t="s">
        <v>325</v>
      </c>
      <c r="G1237" s="2" t="s">
        <v>363</v>
      </c>
      <c r="H1237" s="2" t="s">
        <v>323</v>
      </c>
      <c r="I1237" s="2" t="s">
        <v>316</v>
      </c>
      <c r="J1237" s="2" t="s">
        <v>17</v>
      </c>
      <c r="K1237" s="72">
        <v>49</v>
      </c>
      <c r="L1237" s="39"/>
      <c r="M1237" s="72">
        <f t="shared" si="78"/>
        <v>-49</v>
      </c>
      <c r="N1237" s="72">
        <f t="shared" si="79"/>
        <v>447793.29999999923</v>
      </c>
    </row>
    <row r="1238" spans="1:14" x14ac:dyDescent="0.2">
      <c r="A1238" s="73" t="s">
        <v>867</v>
      </c>
      <c r="B1238" s="3">
        <f t="shared" si="76"/>
        <v>2025</v>
      </c>
      <c r="C1238" s="3">
        <f t="shared" si="77"/>
        <v>7</v>
      </c>
      <c r="D1238" s="73" t="s">
        <v>300</v>
      </c>
      <c r="E1238" s="2"/>
      <c r="F1238" s="2" t="s">
        <v>325</v>
      </c>
      <c r="G1238" s="2" t="s">
        <v>362</v>
      </c>
      <c r="H1238" s="2" t="s">
        <v>323</v>
      </c>
      <c r="I1238" s="2" t="s">
        <v>350</v>
      </c>
      <c r="J1238" s="2" t="s">
        <v>353</v>
      </c>
      <c r="K1238" s="72">
        <v>18600</v>
      </c>
      <c r="L1238" s="39"/>
      <c r="M1238" s="72">
        <f t="shared" si="78"/>
        <v>-18600</v>
      </c>
      <c r="N1238" s="72">
        <f t="shared" si="79"/>
        <v>429193.29999999923</v>
      </c>
    </row>
    <row r="1239" spans="1:14" x14ac:dyDescent="0.2">
      <c r="A1239" s="73" t="s">
        <v>867</v>
      </c>
      <c r="B1239" s="3">
        <f t="shared" si="76"/>
        <v>2025</v>
      </c>
      <c r="C1239" s="3">
        <f t="shared" si="77"/>
        <v>7</v>
      </c>
      <c r="D1239" s="73" t="s">
        <v>300</v>
      </c>
      <c r="E1239" s="2"/>
      <c r="F1239" s="2" t="s">
        <v>321</v>
      </c>
      <c r="G1239" s="2" t="s">
        <v>737</v>
      </c>
      <c r="H1239" s="2" t="s">
        <v>319</v>
      </c>
      <c r="I1239" s="2" t="s">
        <v>315</v>
      </c>
      <c r="J1239" s="2" t="s">
        <v>23</v>
      </c>
      <c r="K1239" s="72"/>
      <c r="L1239" s="39">
        <v>34500</v>
      </c>
      <c r="M1239" s="72">
        <f t="shared" si="78"/>
        <v>34500</v>
      </c>
      <c r="N1239" s="72">
        <f t="shared" si="79"/>
        <v>463693.29999999923</v>
      </c>
    </row>
    <row r="1240" spans="1:14" x14ac:dyDescent="0.2">
      <c r="A1240" s="73" t="s">
        <v>867</v>
      </c>
      <c r="B1240" s="3">
        <f t="shared" si="76"/>
        <v>2025</v>
      </c>
      <c r="C1240" s="3">
        <f t="shared" si="77"/>
        <v>7</v>
      </c>
      <c r="D1240" s="73" t="s">
        <v>300</v>
      </c>
      <c r="E1240" s="2"/>
      <c r="F1240" s="2" t="s">
        <v>321</v>
      </c>
      <c r="G1240" s="2" t="s">
        <v>738</v>
      </c>
      <c r="H1240" s="2" t="s">
        <v>319</v>
      </c>
      <c r="I1240" s="2" t="s">
        <v>315</v>
      </c>
      <c r="J1240" s="2" t="s">
        <v>23</v>
      </c>
      <c r="K1240" s="72"/>
      <c r="L1240" s="39">
        <v>10000</v>
      </c>
      <c r="M1240" s="72">
        <f t="shared" si="78"/>
        <v>10000</v>
      </c>
      <c r="N1240" s="72">
        <f t="shared" si="79"/>
        <v>473693.29999999923</v>
      </c>
    </row>
    <row r="1241" spans="1:14" x14ac:dyDescent="0.2">
      <c r="A1241" s="73" t="s">
        <v>867</v>
      </c>
      <c r="B1241" s="3">
        <f t="shared" si="76"/>
        <v>2025</v>
      </c>
      <c r="C1241" s="3">
        <f t="shared" si="77"/>
        <v>7</v>
      </c>
      <c r="D1241" s="73" t="s">
        <v>300</v>
      </c>
      <c r="E1241" s="2"/>
      <c r="F1241" s="2" t="s">
        <v>325</v>
      </c>
      <c r="G1241" s="2" t="s">
        <v>361</v>
      </c>
      <c r="H1241" s="2" t="s">
        <v>323</v>
      </c>
      <c r="I1241" s="2" t="s">
        <v>316</v>
      </c>
      <c r="J1241" s="2" t="s">
        <v>360</v>
      </c>
      <c r="K1241" s="72">
        <v>20583.330000000002</v>
      </c>
      <c r="L1241" s="39"/>
      <c r="M1241" s="72">
        <f t="shared" si="78"/>
        <v>-20583.330000000002</v>
      </c>
      <c r="N1241" s="72">
        <f t="shared" si="79"/>
        <v>453109.96999999922</v>
      </c>
    </row>
    <row r="1242" spans="1:14" x14ac:dyDescent="0.2">
      <c r="A1242" s="73" t="s">
        <v>867</v>
      </c>
      <c r="B1242" s="3">
        <f t="shared" si="76"/>
        <v>2025</v>
      </c>
      <c r="C1242" s="3">
        <f t="shared" si="77"/>
        <v>7</v>
      </c>
      <c r="D1242" s="73" t="s">
        <v>300</v>
      </c>
      <c r="E1242" s="2"/>
      <c r="F1242" s="2" t="s">
        <v>325</v>
      </c>
      <c r="G1242" s="2" t="s">
        <v>361</v>
      </c>
      <c r="H1242" s="2" t="s">
        <v>323</v>
      </c>
      <c r="I1242" s="2" t="s">
        <v>316</v>
      </c>
      <c r="J1242" s="2" t="s">
        <v>360</v>
      </c>
      <c r="K1242" s="72">
        <v>1147.5</v>
      </c>
      <c r="L1242" s="39"/>
      <c r="M1242" s="72">
        <f t="shared" si="78"/>
        <v>-1147.5</v>
      </c>
      <c r="N1242" s="72">
        <f t="shared" si="79"/>
        <v>451962.46999999922</v>
      </c>
    </row>
    <row r="1243" spans="1:14" x14ac:dyDescent="0.2">
      <c r="A1243" s="73" t="s">
        <v>867</v>
      </c>
      <c r="B1243" s="3">
        <f t="shared" si="76"/>
        <v>2025</v>
      </c>
      <c r="C1243" s="3">
        <f t="shared" si="77"/>
        <v>7</v>
      </c>
      <c r="D1243" s="73" t="s">
        <v>300</v>
      </c>
      <c r="E1243" s="2"/>
      <c r="F1243" s="2" t="s">
        <v>325</v>
      </c>
      <c r="G1243" s="2" t="s">
        <v>359</v>
      </c>
      <c r="H1243" s="2" t="s">
        <v>323</v>
      </c>
      <c r="I1243" s="2" t="s">
        <v>350</v>
      </c>
      <c r="J1243" s="2" t="s">
        <v>27</v>
      </c>
      <c r="K1243" s="72">
        <v>8625</v>
      </c>
      <c r="L1243" s="39"/>
      <c r="M1243" s="72">
        <f t="shared" si="78"/>
        <v>-8625</v>
      </c>
      <c r="N1243" s="72">
        <f t="shared" si="79"/>
        <v>443337.46999999922</v>
      </c>
    </row>
    <row r="1244" spans="1:14" x14ac:dyDescent="0.2">
      <c r="A1244" s="73" t="s">
        <v>867</v>
      </c>
      <c r="B1244" s="3">
        <f t="shared" si="76"/>
        <v>2025</v>
      </c>
      <c r="C1244" s="3">
        <f t="shared" si="77"/>
        <v>7</v>
      </c>
      <c r="D1244" s="73" t="s">
        <v>300</v>
      </c>
      <c r="E1244" s="2"/>
      <c r="F1244" s="2" t="s">
        <v>325</v>
      </c>
      <c r="G1244" s="2" t="s">
        <v>357</v>
      </c>
      <c r="H1244" s="2" t="s">
        <v>323</v>
      </c>
      <c r="I1244" s="2" t="s">
        <v>350</v>
      </c>
      <c r="J1244" s="2" t="s">
        <v>353</v>
      </c>
      <c r="K1244" s="72">
        <v>20000</v>
      </c>
      <c r="L1244" s="39"/>
      <c r="M1244" s="72">
        <f t="shared" si="78"/>
        <v>-20000</v>
      </c>
      <c r="N1244" s="72">
        <f t="shared" si="79"/>
        <v>423337.46999999922</v>
      </c>
    </row>
    <row r="1245" spans="1:14" x14ac:dyDescent="0.2">
      <c r="A1245" s="3" t="s">
        <v>867</v>
      </c>
      <c r="B1245" s="3">
        <f t="shared" si="76"/>
        <v>2025</v>
      </c>
      <c r="C1245" s="3">
        <f t="shared" si="77"/>
        <v>7</v>
      </c>
      <c r="D1245" s="73" t="s">
        <v>893</v>
      </c>
      <c r="E1245" s="2"/>
      <c r="F1245" s="2" t="s">
        <v>304</v>
      </c>
      <c r="G1245" s="2" t="s">
        <v>932</v>
      </c>
      <c r="H1245" s="2" t="s">
        <v>1007</v>
      </c>
      <c r="I1245" s="1" t="s">
        <v>316</v>
      </c>
      <c r="J1245" s="2" t="s">
        <v>17</v>
      </c>
      <c r="K1245" s="146">
        <v>63.59</v>
      </c>
      <c r="L1245" s="146"/>
      <c r="M1245" s="146">
        <f t="shared" si="78"/>
        <v>-63.59</v>
      </c>
      <c r="N1245" s="72">
        <f t="shared" si="79"/>
        <v>423273.87999999919</v>
      </c>
    </row>
    <row r="1246" spans="1:14" x14ac:dyDescent="0.2">
      <c r="A1246" s="73" t="s">
        <v>867</v>
      </c>
      <c r="B1246" s="3">
        <f t="shared" si="76"/>
        <v>2025</v>
      </c>
      <c r="C1246" s="3">
        <f t="shared" si="77"/>
        <v>7</v>
      </c>
      <c r="D1246" s="73" t="s">
        <v>300</v>
      </c>
      <c r="E1246" s="2"/>
      <c r="F1246" s="2" t="s">
        <v>325</v>
      </c>
      <c r="G1246" s="2" t="s">
        <v>7</v>
      </c>
      <c r="H1246" s="2" t="s">
        <v>323</v>
      </c>
      <c r="I1246" s="2" t="s">
        <v>350</v>
      </c>
      <c r="J1246" s="2" t="s">
        <v>27</v>
      </c>
      <c r="K1246" s="72">
        <v>3920</v>
      </c>
      <c r="L1246" s="39"/>
      <c r="M1246" s="72">
        <f t="shared" si="78"/>
        <v>-3920</v>
      </c>
      <c r="N1246" s="72">
        <f t="shared" si="79"/>
        <v>419353.87999999919</v>
      </c>
    </row>
    <row r="1247" spans="1:14" x14ac:dyDescent="0.2">
      <c r="A1247" s="73" t="s">
        <v>867</v>
      </c>
      <c r="B1247" s="3">
        <f t="shared" si="76"/>
        <v>2025</v>
      </c>
      <c r="C1247" s="3">
        <f t="shared" si="77"/>
        <v>7</v>
      </c>
      <c r="D1247" s="73" t="s">
        <v>300</v>
      </c>
      <c r="E1247" s="2"/>
      <c r="F1247" s="2" t="s">
        <v>325</v>
      </c>
      <c r="G1247" s="2" t="s">
        <v>355</v>
      </c>
      <c r="H1247" s="2" t="s">
        <v>323</v>
      </c>
      <c r="I1247" s="2" t="s">
        <v>350</v>
      </c>
      <c r="J1247" s="2" t="s">
        <v>27</v>
      </c>
      <c r="K1247" s="72">
        <v>8000</v>
      </c>
      <c r="L1247" s="39"/>
      <c r="M1247" s="72">
        <f t="shared" si="78"/>
        <v>-8000</v>
      </c>
      <c r="N1247" s="72">
        <f t="shared" si="79"/>
        <v>411353.87999999919</v>
      </c>
    </row>
    <row r="1248" spans="1:14" x14ac:dyDescent="0.2">
      <c r="A1248" s="73" t="s">
        <v>867</v>
      </c>
      <c r="B1248" s="3">
        <f t="shared" si="76"/>
        <v>2025</v>
      </c>
      <c r="C1248" s="3">
        <f t="shared" si="77"/>
        <v>7</v>
      </c>
      <c r="D1248" s="73" t="s">
        <v>300</v>
      </c>
      <c r="E1248" s="2"/>
      <c r="F1248" s="2" t="s">
        <v>325</v>
      </c>
      <c r="G1248" s="2" t="s">
        <v>428</v>
      </c>
      <c r="H1248" s="2" t="s">
        <v>323</v>
      </c>
      <c r="I1248" s="2" t="s">
        <v>350</v>
      </c>
      <c r="J1248" s="2" t="s">
        <v>353</v>
      </c>
      <c r="K1248" s="72">
        <v>199</v>
      </c>
      <c r="L1248" s="39"/>
      <c r="M1248" s="72">
        <f t="shared" si="78"/>
        <v>-199</v>
      </c>
      <c r="N1248" s="72">
        <f t="shared" si="79"/>
        <v>411154.87999999919</v>
      </c>
    </row>
    <row r="1249" spans="1:14" x14ac:dyDescent="0.2">
      <c r="A1249" s="73" t="s">
        <v>867</v>
      </c>
      <c r="B1249" s="3">
        <f t="shared" si="76"/>
        <v>2025</v>
      </c>
      <c r="C1249" s="3">
        <f t="shared" si="77"/>
        <v>7</v>
      </c>
      <c r="D1249" s="73" t="s">
        <v>300</v>
      </c>
      <c r="E1249" s="2"/>
      <c r="F1249" s="2" t="s">
        <v>325</v>
      </c>
      <c r="G1249" s="2" t="s">
        <v>885</v>
      </c>
      <c r="H1249" s="2" t="s">
        <v>323</v>
      </c>
      <c r="I1249" s="2" t="s">
        <v>350</v>
      </c>
      <c r="J1249" s="2" t="s">
        <v>353</v>
      </c>
      <c r="K1249" s="72">
        <v>2136.67</v>
      </c>
      <c r="L1249" s="39"/>
      <c r="M1249" s="72">
        <f t="shared" si="78"/>
        <v>-2136.67</v>
      </c>
      <c r="N1249" s="72">
        <f t="shared" si="79"/>
        <v>409018.20999999921</v>
      </c>
    </row>
    <row r="1250" spans="1:14" x14ac:dyDescent="0.2">
      <c r="A1250" s="73" t="s">
        <v>867</v>
      </c>
      <c r="B1250" s="3">
        <f t="shared" si="76"/>
        <v>2025</v>
      </c>
      <c r="C1250" s="3">
        <f t="shared" si="77"/>
        <v>7</v>
      </c>
      <c r="D1250" s="73" t="s">
        <v>300</v>
      </c>
      <c r="E1250" s="2"/>
      <c r="F1250" s="2" t="s">
        <v>325</v>
      </c>
      <c r="G1250" s="2" t="s">
        <v>354</v>
      </c>
      <c r="H1250" s="2" t="s">
        <v>323</v>
      </c>
      <c r="I1250" s="2" t="s">
        <v>350</v>
      </c>
      <c r="J1250" s="2" t="s">
        <v>353</v>
      </c>
      <c r="K1250" s="72">
        <v>5880</v>
      </c>
      <c r="L1250" s="39"/>
      <c r="M1250" s="72">
        <f t="shared" si="78"/>
        <v>-5880</v>
      </c>
      <c r="N1250" s="72">
        <f t="shared" si="79"/>
        <v>403138.20999999921</v>
      </c>
    </row>
    <row r="1251" spans="1:14" x14ac:dyDescent="0.2">
      <c r="A1251" s="73" t="s">
        <v>867</v>
      </c>
      <c r="B1251" s="3">
        <f t="shared" si="76"/>
        <v>2025</v>
      </c>
      <c r="C1251" s="3">
        <f t="shared" si="77"/>
        <v>7</v>
      </c>
      <c r="D1251" s="73" t="s">
        <v>300</v>
      </c>
      <c r="E1251" s="2"/>
      <c r="F1251" s="2" t="s">
        <v>325</v>
      </c>
      <c r="G1251" s="2" t="s">
        <v>354</v>
      </c>
      <c r="H1251" s="2" t="s">
        <v>323</v>
      </c>
      <c r="I1251" s="2" t="s">
        <v>350</v>
      </c>
      <c r="J1251" s="2" t="s">
        <v>353</v>
      </c>
      <c r="K1251" s="72">
        <v>3360</v>
      </c>
      <c r="L1251" s="39"/>
      <c r="M1251" s="72">
        <f t="shared" si="78"/>
        <v>-3360</v>
      </c>
      <c r="N1251" s="72">
        <f t="shared" si="79"/>
        <v>399778.20999999921</v>
      </c>
    </row>
    <row r="1252" spans="1:14" x14ac:dyDescent="0.2">
      <c r="A1252" s="73" t="s">
        <v>867</v>
      </c>
      <c r="B1252" s="3">
        <f t="shared" si="76"/>
        <v>2025</v>
      </c>
      <c r="C1252" s="3">
        <f t="shared" si="77"/>
        <v>7</v>
      </c>
      <c r="D1252" s="73" t="s">
        <v>300</v>
      </c>
      <c r="E1252" s="2"/>
      <c r="F1252" s="2" t="s">
        <v>325</v>
      </c>
      <c r="G1252" s="2" t="s">
        <v>14</v>
      </c>
      <c r="H1252" s="2" t="s">
        <v>323</v>
      </c>
      <c r="I1252" s="2" t="s">
        <v>350</v>
      </c>
      <c r="J1252" s="2" t="s">
        <v>27</v>
      </c>
      <c r="K1252" s="72">
        <v>656.25</v>
      </c>
      <c r="L1252" s="39"/>
      <c r="M1252" s="72">
        <f t="shared" si="78"/>
        <v>-656.25</v>
      </c>
      <c r="N1252" s="72">
        <f t="shared" si="79"/>
        <v>399121.95999999921</v>
      </c>
    </row>
    <row r="1253" spans="1:14" x14ac:dyDescent="0.2">
      <c r="A1253" s="73" t="s">
        <v>867</v>
      </c>
      <c r="B1253" s="3">
        <f t="shared" si="76"/>
        <v>2025</v>
      </c>
      <c r="C1253" s="3">
        <f t="shared" si="77"/>
        <v>7</v>
      </c>
      <c r="D1253" s="73" t="s">
        <v>300</v>
      </c>
      <c r="E1253" s="2"/>
      <c r="F1253" s="2" t="s">
        <v>325</v>
      </c>
      <c r="G1253" s="2" t="s">
        <v>352</v>
      </c>
      <c r="H1253" s="2" t="s">
        <v>323</v>
      </c>
      <c r="I1253" s="2" t="s">
        <v>350</v>
      </c>
      <c r="J1253" s="2" t="s">
        <v>27</v>
      </c>
      <c r="K1253" s="72">
        <v>96.25</v>
      </c>
      <c r="L1253" s="39"/>
      <c r="M1253" s="72">
        <f t="shared" si="78"/>
        <v>-96.25</v>
      </c>
      <c r="N1253" s="72">
        <f t="shared" si="79"/>
        <v>399025.70999999921</v>
      </c>
    </row>
    <row r="1254" spans="1:14" x14ac:dyDescent="0.2">
      <c r="A1254" s="73" t="s">
        <v>867</v>
      </c>
      <c r="B1254" s="3">
        <f t="shared" si="76"/>
        <v>2025</v>
      </c>
      <c r="C1254" s="3">
        <f t="shared" si="77"/>
        <v>7</v>
      </c>
      <c r="D1254" s="73" t="s">
        <v>300</v>
      </c>
      <c r="E1254" s="2"/>
      <c r="F1254" s="2" t="s">
        <v>325</v>
      </c>
      <c r="G1254" s="2" t="s">
        <v>352</v>
      </c>
      <c r="H1254" s="2" t="s">
        <v>323</v>
      </c>
      <c r="I1254" s="2" t="s">
        <v>350</v>
      </c>
      <c r="J1254" s="2" t="s">
        <v>27</v>
      </c>
      <c r="K1254" s="72">
        <v>3483</v>
      </c>
      <c r="L1254" s="39"/>
      <c r="M1254" s="72">
        <f t="shared" si="78"/>
        <v>-3483</v>
      </c>
      <c r="N1254" s="72">
        <f t="shared" si="79"/>
        <v>395542.70999999921</v>
      </c>
    </row>
    <row r="1255" spans="1:14" x14ac:dyDescent="0.2">
      <c r="A1255" s="73" t="s">
        <v>867</v>
      </c>
      <c r="B1255" s="3">
        <f t="shared" si="76"/>
        <v>2025</v>
      </c>
      <c r="C1255" s="3">
        <f t="shared" si="77"/>
        <v>7</v>
      </c>
      <c r="D1255" s="73" t="s">
        <v>300</v>
      </c>
      <c r="E1255" s="2"/>
      <c r="F1255" s="2" t="s">
        <v>325</v>
      </c>
      <c r="G1255" s="2" t="s">
        <v>352</v>
      </c>
      <c r="H1255" s="2" t="s">
        <v>323</v>
      </c>
      <c r="I1255" s="2" t="s">
        <v>350</v>
      </c>
      <c r="J1255" s="2" t="s">
        <v>27</v>
      </c>
      <c r="K1255" s="72">
        <v>875</v>
      </c>
      <c r="L1255" s="39"/>
      <c r="M1255" s="72">
        <f t="shared" si="78"/>
        <v>-875</v>
      </c>
      <c r="N1255" s="72">
        <f t="shared" si="79"/>
        <v>394667.70999999921</v>
      </c>
    </row>
    <row r="1256" spans="1:14" x14ac:dyDescent="0.2">
      <c r="A1256" s="73" t="s">
        <v>867</v>
      </c>
      <c r="B1256" s="3">
        <f t="shared" si="76"/>
        <v>2025</v>
      </c>
      <c r="C1256" s="3">
        <f t="shared" si="77"/>
        <v>7</v>
      </c>
      <c r="D1256" s="73" t="s">
        <v>300</v>
      </c>
      <c r="E1256" s="2"/>
      <c r="F1256" s="2" t="s">
        <v>325</v>
      </c>
      <c r="G1256" s="2" t="s">
        <v>352</v>
      </c>
      <c r="H1256" s="2" t="s">
        <v>323</v>
      </c>
      <c r="I1256" s="2" t="s">
        <v>350</v>
      </c>
      <c r="J1256" s="2" t="s">
        <v>27</v>
      </c>
      <c r="K1256" s="72">
        <v>3132</v>
      </c>
      <c r="L1256" s="39"/>
      <c r="M1256" s="72">
        <f t="shared" si="78"/>
        <v>-3132</v>
      </c>
      <c r="N1256" s="72">
        <f t="shared" si="79"/>
        <v>391535.70999999921</v>
      </c>
    </row>
    <row r="1257" spans="1:14" x14ac:dyDescent="0.2">
      <c r="A1257" s="73" t="s">
        <v>867</v>
      </c>
      <c r="B1257" s="3">
        <f t="shared" si="76"/>
        <v>2025</v>
      </c>
      <c r="C1257" s="3">
        <f t="shared" si="77"/>
        <v>7</v>
      </c>
      <c r="D1257" s="73" t="s">
        <v>300</v>
      </c>
      <c r="E1257" s="2"/>
      <c r="F1257" s="2" t="s">
        <v>325</v>
      </c>
      <c r="G1257" s="2" t="s">
        <v>352</v>
      </c>
      <c r="H1257" s="2" t="s">
        <v>323</v>
      </c>
      <c r="I1257" s="2" t="s">
        <v>350</v>
      </c>
      <c r="J1257" s="2" t="s">
        <v>27</v>
      </c>
      <c r="K1257" s="72">
        <v>175</v>
      </c>
      <c r="L1257" s="39"/>
      <c r="M1257" s="72">
        <f t="shared" si="78"/>
        <v>-175</v>
      </c>
      <c r="N1257" s="72">
        <f t="shared" si="79"/>
        <v>391360.70999999921</v>
      </c>
    </row>
    <row r="1258" spans="1:14" x14ac:dyDescent="0.2">
      <c r="A1258" s="73" t="s">
        <v>867</v>
      </c>
      <c r="B1258" s="3">
        <f t="shared" si="76"/>
        <v>2025</v>
      </c>
      <c r="C1258" s="3">
        <f t="shared" si="77"/>
        <v>7</v>
      </c>
      <c r="D1258" s="73" t="s">
        <v>300</v>
      </c>
      <c r="E1258" s="2"/>
      <c r="F1258" s="2" t="s">
        <v>325</v>
      </c>
      <c r="G1258" s="2" t="s">
        <v>352</v>
      </c>
      <c r="H1258" s="2" t="s">
        <v>323</v>
      </c>
      <c r="I1258" s="2" t="s">
        <v>350</v>
      </c>
      <c r="J1258" s="2" t="s">
        <v>27</v>
      </c>
      <c r="K1258" s="72">
        <v>264</v>
      </c>
      <c r="L1258" s="39"/>
      <c r="M1258" s="72">
        <f t="shared" si="78"/>
        <v>-264</v>
      </c>
      <c r="N1258" s="72">
        <f t="shared" si="79"/>
        <v>391096.70999999921</v>
      </c>
    </row>
    <row r="1259" spans="1:14" x14ac:dyDescent="0.2">
      <c r="A1259" s="73" t="s">
        <v>867</v>
      </c>
      <c r="B1259" s="3">
        <f t="shared" si="76"/>
        <v>2025</v>
      </c>
      <c r="C1259" s="3">
        <f t="shared" si="77"/>
        <v>7</v>
      </c>
      <c r="D1259" s="73" t="s">
        <v>300</v>
      </c>
      <c r="E1259" s="2"/>
      <c r="F1259" s="2" t="s">
        <v>325</v>
      </c>
      <c r="G1259" s="2" t="s">
        <v>352</v>
      </c>
      <c r="H1259" s="2" t="s">
        <v>323</v>
      </c>
      <c r="I1259" s="2" t="s">
        <v>350</v>
      </c>
      <c r="J1259" s="2" t="s">
        <v>27</v>
      </c>
      <c r="K1259" s="72">
        <v>2685</v>
      </c>
      <c r="L1259" s="39"/>
      <c r="M1259" s="72">
        <f t="shared" si="78"/>
        <v>-2685</v>
      </c>
      <c r="N1259" s="72">
        <f t="shared" si="79"/>
        <v>388411.70999999921</v>
      </c>
    </row>
    <row r="1260" spans="1:14" x14ac:dyDescent="0.2">
      <c r="A1260" s="73" t="s">
        <v>867</v>
      </c>
      <c r="B1260" s="3">
        <f t="shared" si="76"/>
        <v>2025</v>
      </c>
      <c r="C1260" s="3">
        <f t="shared" si="77"/>
        <v>7</v>
      </c>
      <c r="D1260" s="73" t="s">
        <v>300</v>
      </c>
      <c r="E1260" s="2"/>
      <c r="F1260" s="2" t="s">
        <v>325</v>
      </c>
      <c r="G1260" s="2" t="s">
        <v>352</v>
      </c>
      <c r="H1260" s="2" t="s">
        <v>323</v>
      </c>
      <c r="I1260" s="2" t="s">
        <v>350</v>
      </c>
      <c r="J1260" s="2" t="s">
        <v>27</v>
      </c>
      <c r="K1260" s="72">
        <v>1120</v>
      </c>
      <c r="L1260" s="39"/>
      <c r="M1260" s="72">
        <f t="shared" si="78"/>
        <v>-1120</v>
      </c>
      <c r="N1260" s="72">
        <f t="shared" si="79"/>
        <v>387291.70999999921</v>
      </c>
    </row>
    <row r="1261" spans="1:14" x14ac:dyDescent="0.2">
      <c r="A1261" s="73" t="s">
        <v>867</v>
      </c>
      <c r="B1261" s="3">
        <f t="shared" si="76"/>
        <v>2025</v>
      </c>
      <c r="C1261" s="3">
        <f t="shared" si="77"/>
        <v>7</v>
      </c>
      <c r="D1261" s="73" t="s">
        <v>300</v>
      </c>
      <c r="E1261" s="2"/>
      <c r="F1261" s="2" t="s">
        <v>325</v>
      </c>
      <c r="G1261" s="2" t="s">
        <v>352</v>
      </c>
      <c r="H1261" s="2" t="s">
        <v>323</v>
      </c>
      <c r="I1261" s="2" t="s">
        <v>350</v>
      </c>
      <c r="J1261" s="2" t="s">
        <v>27</v>
      </c>
      <c r="K1261" s="72">
        <v>2882</v>
      </c>
      <c r="L1261" s="39"/>
      <c r="M1261" s="72">
        <f t="shared" si="78"/>
        <v>-2882</v>
      </c>
      <c r="N1261" s="72">
        <f t="shared" si="79"/>
        <v>384409.70999999921</v>
      </c>
    </row>
    <row r="1262" spans="1:14" x14ac:dyDescent="0.2">
      <c r="A1262" s="73" t="s">
        <v>867</v>
      </c>
      <c r="B1262" s="3">
        <f t="shared" si="76"/>
        <v>2025</v>
      </c>
      <c r="C1262" s="3">
        <f t="shared" si="77"/>
        <v>7</v>
      </c>
      <c r="D1262" s="73" t="s">
        <v>300</v>
      </c>
      <c r="E1262" s="2"/>
      <c r="F1262" s="2" t="s">
        <v>325</v>
      </c>
      <c r="G1262" s="2" t="s">
        <v>352</v>
      </c>
      <c r="H1262" s="2" t="s">
        <v>323</v>
      </c>
      <c r="I1262" s="2" t="s">
        <v>350</v>
      </c>
      <c r="J1262" s="2" t="s">
        <v>27</v>
      </c>
      <c r="K1262" s="72">
        <v>1232</v>
      </c>
      <c r="L1262" s="39"/>
      <c r="M1262" s="72">
        <f t="shared" si="78"/>
        <v>-1232</v>
      </c>
      <c r="N1262" s="72">
        <f t="shared" si="79"/>
        <v>383177.70999999921</v>
      </c>
    </row>
    <row r="1263" spans="1:14" x14ac:dyDescent="0.2">
      <c r="A1263" s="73" t="s">
        <v>867</v>
      </c>
      <c r="B1263" s="3">
        <f t="shared" si="76"/>
        <v>2025</v>
      </c>
      <c r="C1263" s="3">
        <f t="shared" si="77"/>
        <v>7</v>
      </c>
      <c r="D1263" s="73" t="s">
        <v>300</v>
      </c>
      <c r="E1263" s="2"/>
      <c r="F1263" s="2" t="s">
        <v>325</v>
      </c>
      <c r="G1263" s="2" t="s">
        <v>352</v>
      </c>
      <c r="H1263" s="2" t="s">
        <v>323</v>
      </c>
      <c r="I1263" s="2" t="s">
        <v>350</v>
      </c>
      <c r="J1263" s="2" t="s">
        <v>27</v>
      </c>
      <c r="K1263" s="72">
        <v>3948</v>
      </c>
      <c r="L1263" s="39"/>
      <c r="M1263" s="72">
        <f t="shared" si="78"/>
        <v>-3948</v>
      </c>
      <c r="N1263" s="72">
        <f t="shared" si="79"/>
        <v>379229.70999999921</v>
      </c>
    </row>
    <row r="1264" spans="1:14" x14ac:dyDescent="0.2">
      <c r="A1264" s="73" t="s">
        <v>867</v>
      </c>
      <c r="B1264" s="3">
        <f t="shared" si="76"/>
        <v>2025</v>
      </c>
      <c r="C1264" s="3">
        <f t="shared" si="77"/>
        <v>7</v>
      </c>
      <c r="D1264" s="73" t="s">
        <v>300</v>
      </c>
      <c r="E1264" s="2"/>
      <c r="F1264" s="2" t="s">
        <v>325</v>
      </c>
      <c r="G1264" s="2" t="s">
        <v>352</v>
      </c>
      <c r="H1264" s="2" t="s">
        <v>323</v>
      </c>
      <c r="I1264" s="2" t="s">
        <v>350</v>
      </c>
      <c r="J1264" s="2" t="s">
        <v>27</v>
      </c>
      <c r="K1264" s="72">
        <v>280</v>
      </c>
      <c r="L1264" s="39"/>
      <c r="M1264" s="72">
        <f t="shared" si="78"/>
        <v>-280</v>
      </c>
      <c r="N1264" s="72">
        <f t="shared" si="79"/>
        <v>378949.70999999921</v>
      </c>
    </row>
    <row r="1265" spans="1:14" x14ac:dyDescent="0.2">
      <c r="A1265" s="73" t="s">
        <v>867</v>
      </c>
      <c r="B1265" s="3">
        <f t="shared" si="76"/>
        <v>2025</v>
      </c>
      <c r="C1265" s="3">
        <f t="shared" si="77"/>
        <v>7</v>
      </c>
      <c r="D1265" s="73" t="s">
        <v>300</v>
      </c>
      <c r="E1265" s="2"/>
      <c r="F1265" s="2" t="s">
        <v>325</v>
      </c>
      <c r="G1265" s="2" t="s">
        <v>352</v>
      </c>
      <c r="H1265" s="2" t="s">
        <v>323</v>
      </c>
      <c r="I1265" s="2" t="s">
        <v>350</v>
      </c>
      <c r="J1265" s="2" t="s">
        <v>27</v>
      </c>
      <c r="K1265" s="72">
        <v>620</v>
      </c>
      <c r="L1265" s="39"/>
      <c r="M1265" s="72">
        <f t="shared" si="78"/>
        <v>-620</v>
      </c>
      <c r="N1265" s="72">
        <f t="shared" si="79"/>
        <v>378329.70999999921</v>
      </c>
    </row>
    <row r="1266" spans="1:14" x14ac:dyDescent="0.2">
      <c r="A1266" s="73" t="s">
        <v>867</v>
      </c>
      <c r="B1266" s="3">
        <f t="shared" si="76"/>
        <v>2025</v>
      </c>
      <c r="C1266" s="3">
        <f t="shared" si="77"/>
        <v>7</v>
      </c>
      <c r="D1266" s="73" t="s">
        <v>300</v>
      </c>
      <c r="E1266" s="2"/>
      <c r="F1266" s="2" t="s">
        <v>325</v>
      </c>
      <c r="G1266" s="2" t="s">
        <v>352</v>
      </c>
      <c r="H1266" s="2" t="s">
        <v>323</v>
      </c>
      <c r="I1266" s="2" t="s">
        <v>350</v>
      </c>
      <c r="J1266" s="2" t="s">
        <v>27</v>
      </c>
      <c r="K1266" s="72">
        <v>3780</v>
      </c>
      <c r="L1266" s="39"/>
      <c r="M1266" s="72">
        <f t="shared" si="78"/>
        <v>-3780</v>
      </c>
      <c r="N1266" s="72">
        <f t="shared" si="79"/>
        <v>374549.70999999921</v>
      </c>
    </row>
    <row r="1267" spans="1:14" x14ac:dyDescent="0.2">
      <c r="A1267" s="73" t="s">
        <v>867</v>
      </c>
      <c r="B1267" s="3">
        <f t="shared" si="76"/>
        <v>2025</v>
      </c>
      <c r="C1267" s="3">
        <f t="shared" si="77"/>
        <v>7</v>
      </c>
      <c r="D1267" s="73" t="s">
        <v>300</v>
      </c>
      <c r="E1267" s="2"/>
      <c r="F1267" s="2" t="s">
        <v>325</v>
      </c>
      <c r="G1267" s="2" t="s">
        <v>352</v>
      </c>
      <c r="H1267" s="2" t="s">
        <v>323</v>
      </c>
      <c r="I1267" s="2" t="s">
        <v>350</v>
      </c>
      <c r="J1267" s="2" t="s">
        <v>27</v>
      </c>
      <c r="K1267" s="72">
        <v>271.25</v>
      </c>
      <c r="L1267" s="39"/>
      <c r="M1267" s="72">
        <f t="shared" si="78"/>
        <v>-271.25</v>
      </c>
      <c r="N1267" s="72">
        <f t="shared" si="79"/>
        <v>374278.45999999921</v>
      </c>
    </row>
    <row r="1268" spans="1:14" x14ac:dyDescent="0.2">
      <c r="A1268" s="73" t="s">
        <v>867</v>
      </c>
      <c r="B1268" s="3">
        <f t="shared" si="76"/>
        <v>2025</v>
      </c>
      <c r="C1268" s="3">
        <f t="shared" si="77"/>
        <v>7</v>
      </c>
      <c r="D1268" s="73" t="s">
        <v>300</v>
      </c>
      <c r="E1268" s="2"/>
      <c r="F1268" s="2" t="s">
        <v>325</v>
      </c>
      <c r="G1268" s="2" t="s">
        <v>351</v>
      </c>
      <c r="H1268" s="2" t="s">
        <v>323</v>
      </c>
      <c r="I1268" s="2" t="s">
        <v>350</v>
      </c>
      <c r="J1268" s="2" t="s">
        <v>27</v>
      </c>
      <c r="K1268" s="72">
        <v>18544</v>
      </c>
      <c r="L1268" s="39"/>
      <c r="M1268" s="72">
        <f t="shared" si="78"/>
        <v>-18544</v>
      </c>
      <c r="N1268" s="72">
        <f t="shared" si="79"/>
        <v>355734.45999999921</v>
      </c>
    </row>
    <row r="1269" spans="1:14" x14ac:dyDescent="0.2">
      <c r="A1269" s="73" t="s">
        <v>867</v>
      </c>
      <c r="B1269" s="3">
        <f t="shared" si="76"/>
        <v>2025</v>
      </c>
      <c r="C1269" s="3">
        <f t="shared" si="77"/>
        <v>7</v>
      </c>
      <c r="D1269" s="73" t="s">
        <v>300</v>
      </c>
      <c r="E1269" s="2"/>
      <c r="F1269" s="2" t="s">
        <v>299</v>
      </c>
      <c r="G1269" s="2"/>
      <c r="H1269" s="2" t="s">
        <v>298</v>
      </c>
      <c r="I1269" s="2" t="s">
        <v>297</v>
      </c>
      <c r="J1269" s="2" t="s">
        <v>296</v>
      </c>
      <c r="K1269" s="72">
        <v>275</v>
      </c>
      <c r="L1269" s="39"/>
      <c r="M1269" s="72">
        <f t="shared" si="78"/>
        <v>-275</v>
      </c>
      <c r="N1269" s="72">
        <f t="shared" si="79"/>
        <v>355459.45999999921</v>
      </c>
    </row>
    <row r="1270" spans="1:14" x14ac:dyDescent="0.2">
      <c r="A1270" s="73" t="s">
        <v>868</v>
      </c>
      <c r="B1270" s="3">
        <f t="shared" si="76"/>
        <v>2025</v>
      </c>
      <c r="C1270" s="3">
        <f t="shared" si="77"/>
        <v>7</v>
      </c>
      <c r="D1270" s="73" t="s">
        <v>300</v>
      </c>
      <c r="E1270" s="2"/>
      <c r="F1270" s="2" t="s">
        <v>304</v>
      </c>
      <c r="G1270" s="2" t="s">
        <v>336</v>
      </c>
      <c r="H1270" s="2" t="s">
        <v>766</v>
      </c>
      <c r="I1270" s="2" t="s">
        <v>301</v>
      </c>
      <c r="J1270" s="2" t="s">
        <v>11</v>
      </c>
      <c r="K1270" s="72">
        <v>50</v>
      </c>
      <c r="L1270" s="39"/>
      <c r="M1270" s="72">
        <f t="shared" si="78"/>
        <v>-50</v>
      </c>
      <c r="N1270" s="72">
        <f t="shared" si="79"/>
        <v>355409.45999999921</v>
      </c>
    </row>
    <row r="1271" spans="1:14" x14ac:dyDescent="0.2">
      <c r="A1271" s="3" t="s">
        <v>868</v>
      </c>
      <c r="B1271" s="3">
        <f t="shared" si="76"/>
        <v>2025</v>
      </c>
      <c r="C1271" s="3">
        <f t="shared" si="77"/>
        <v>7</v>
      </c>
      <c r="D1271" s="73" t="s">
        <v>893</v>
      </c>
      <c r="E1271" s="2"/>
      <c r="F1271" s="2" t="s">
        <v>304</v>
      </c>
      <c r="G1271" s="2" t="s">
        <v>918</v>
      </c>
      <c r="H1271" s="2" t="s">
        <v>919</v>
      </c>
      <c r="I1271" s="2" t="s">
        <v>350</v>
      </c>
      <c r="J1271" s="1" t="s">
        <v>477</v>
      </c>
      <c r="K1271" s="146">
        <v>99</v>
      </c>
      <c r="L1271" s="146"/>
      <c r="M1271" s="146">
        <f t="shared" si="78"/>
        <v>-99</v>
      </c>
      <c r="N1271" s="72">
        <f t="shared" si="79"/>
        <v>355310.45999999921</v>
      </c>
    </row>
    <row r="1272" spans="1:14" x14ac:dyDescent="0.2">
      <c r="A1272" s="3" t="s">
        <v>868</v>
      </c>
      <c r="B1272" s="3">
        <f t="shared" si="76"/>
        <v>2025</v>
      </c>
      <c r="C1272" s="3">
        <f t="shared" si="77"/>
        <v>7</v>
      </c>
      <c r="D1272" s="73" t="s">
        <v>893</v>
      </c>
      <c r="E1272" s="2"/>
      <c r="F1272" s="2" t="s">
        <v>304</v>
      </c>
      <c r="G1272" s="2" t="s">
        <v>935</v>
      </c>
      <c r="H1272" s="2" t="s">
        <v>933</v>
      </c>
      <c r="I1272" s="1" t="s">
        <v>316</v>
      </c>
      <c r="J1272" s="2" t="s">
        <v>17</v>
      </c>
      <c r="K1272" s="146">
        <v>24</v>
      </c>
      <c r="L1272" s="146"/>
      <c r="M1272" s="146">
        <f t="shared" si="78"/>
        <v>-24</v>
      </c>
      <c r="N1272" s="72">
        <f t="shared" si="79"/>
        <v>355286.45999999921</v>
      </c>
    </row>
    <row r="1273" spans="1:14" x14ac:dyDescent="0.2">
      <c r="A1273" s="73" t="s">
        <v>868</v>
      </c>
      <c r="B1273" s="3">
        <f t="shared" si="76"/>
        <v>2025</v>
      </c>
      <c r="C1273" s="3">
        <f t="shared" si="77"/>
        <v>7</v>
      </c>
      <c r="D1273" s="73" t="s">
        <v>300</v>
      </c>
      <c r="E1273" s="2"/>
      <c r="F1273" s="2" t="s">
        <v>304</v>
      </c>
      <c r="G1273" s="2" t="s">
        <v>308</v>
      </c>
      <c r="H1273" s="2" t="s">
        <v>349</v>
      </c>
      <c r="I1273" s="2" t="s">
        <v>297</v>
      </c>
      <c r="J1273" s="2" t="s">
        <v>26</v>
      </c>
      <c r="K1273" s="72">
        <v>316.11</v>
      </c>
      <c r="L1273" s="39"/>
      <c r="M1273" s="72">
        <f t="shared" si="78"/>
        <v>-316.11</v>
      </c>
      <c r="N1273" s="72">
        <f t="shared" si="79"/>
        <v>354970.34999999922</v>
      </c>
    </row>
    <row r="1274" spans="1:14" x14ac:dyDescent="0.2">
      <c r="A1274" s="73" t="s">
        <v>868</v>
      </c>
      <c r="B1274" s="3">
        <f t="shared" si="76"/>
        <v>2025</v>
      </c>
      <c r="C1274" s="3">
        <f t="shared" si="77"/>
        <v>7</v>
      </c>
      <c r="D1274" s="73" t="s">
        <v>300</v>
      </c>
      <c r="E1274" s="2"/>
      <c r="F1274" s="2" t="s">
        <v>299</v>
      </c>
      <c r="G1274" s="2"/>
      <c r="H1274" s="2" t="s">
        <v>298</v>
      </c>
      <c r="I1274" s="2" t="s">
        <v>297</v>
      </c>
      <c r="J1274" s="2" t="s">
        <v>296</v>
      </c>
      <c r="K1274" s="72"/>
      <c r="L1274" s="39">
        <v>129686.6</v>
      </c>
      <c r="M1274" s="72">
        <f t="shared" si="78"/>
        <v>129686.6</v>
      </c>
      <c r="N1274" s="72">
        <f t="shared" si="79"/>
        <v>484656.94999999925</v>
      </c>
    </row>
    <row r="1275" spans="1:14" x14ac:dyDescent="0.2">
      <c r="A1275" s="73" t="s">
        <v>869</v>
      </c>
      <c r="B1275" s="3">
        <f t="shared" si="76"/>
        <v>2025</v>
      </c>
      <c r="C1275" s="3">
        <f t="shared" si="77"/>
        <v>7</v>
      </c>
      <c r="D1275" s="73" t="s">
        <v>300</v>
      </c>
      <c r="E1275" s="2"/>
      <c r="F1275" s="2" t="s">
        <v>304</v>
      </c>
      <c r="G1275" s="2" t="s">
        <v>336</v>
      </c>
      <c r="H1275" s="2" t="s">
        <v>766</v>
      </c>
      <c r="I1275" s="2" t="s">
        <v>301</v>
      </c>
      <c r="J1275" s="2" t="s">
        <v>11</v>
      </c>
      <c r="K1275" s="72">
        <v>25</v>
      </c>
      <c r="L1275" s="39"/>
      <c r="M1275" s="72">
        <f t="shared" si="78"/>
        <v>-25</v>
      </c>
      <c r="N1275" s="72">
        <f t="shared" si="79"/>
        <v>484631.94999999925</v>
      </c>
    </row>
    <row r="1276" spans="1:14" x14ac:dyDescent="0.2">
      <c r="A1276" s="73" t="s">
        <v>869</v>
      </c>
      <c r="B1276" s="3">
        <f t="shared" si="76"/>
        <v>2025</v>
      </c>
      <c r="C1276" s="3">
        <f t="shared" si="77"/>
        <v>7</v>
      </c>
      <c r="D1276" s="73" t="s">
        <v>300</v>
      </c>
      <c r="E1276" s="2"/>
      <c r="F1276" s="2" t="s">
        <v>325</v>
      </c>
      <c r="G1276" s="2" t="s">
        <v>473</v>
      </c>
      <c r="H1276" s="2" t="s">
        <v>323</v>
      </c>
      <c r="I1276" s="2" t="s">
        <v>350</v>
      </c>
      <c r="J1276" s="2" t="s">
        <v>353</v>
      </c>
      <c r="K1276" s="72">
        <v>11788.5</v>
      </c>
      <c r="L1276" s="39"/>
      <c r="M1276" s="72">
        <f t="shared" si="78"/>
        <v>-11788.5</v>
      </c>
      <c r="N1276" s="72">
        <f t="shared" si="79"/>
        <v>472843.44999999925</v>
      </c>
    </row>
    <row r="1277" spans="1:14" x14ac:dyDescent="0.2">
      <c r="A1277" s="3" t="s">
        <v>869</v>
      </c>
      <c r="B1277" s="3">
        <f t="shared" si="76"/>
        <v>2025</v>
      </c>
      <c r="C1277" s="3">
        <f t="shared" si="77"/>
        <v>7</v>
      </c>
      <c r="D1277" s="73" t="s">
        <v>893</v>
      </c>
      <c r="E1277" s="2"/>
      <c r="F1277" s="2" t="s">
        <v>304</v>
      </c>
      <c r="G1277" s="2" t="s">
        <v>900</v>
      </c>
      <c r="H1277" s="2" t="s">
        <v>1007</v>
      </c>
      <c r="I1277" s="1" t="s">
        <v>316</v>
      </c>
      <c r="J1277" s="2" t="s">
        <v>17</v>
      </c>
      <c r="K1277" s="146">
        <v>206</v>
      </c>
      <c r="L1277" s="146"/>
      <c r="M1277" s="146">
        <f t="shared" si="78"/>
        <v>-206</v>
      </c>
      <c r="N1277" s="72">
        <f t="shared" si="79"/>
        <v>472637.44999999925</v>
      </c>
    </row>
    <row r="1278" spans="1:14" x14ac:dyDescent="0.2">
      <c r="A1278" s="73" t="s">
        <v>869</v>
      </c>
      <c r="B1278" s="3">
        <f t="shared" si="76"/>
        <v>2025</v>
      </c>
      <c r="C1278" s="3">
        <f t="shared" si="77"/>
        <v>7</v>
      </c>
      <c r="D1278" s="73" t="s">
        <v>300</v>
      </c>
      <c r="E1278" s="2"/>
      <c r="F1278" s="2" t="s">
        <v>299</v>
      </c>
      <c r="G1278" s="2"/>
      <c r="H1278" s="2" t="s">
        <v>298</v>
      </c>
      <c r="I1278" s="2" t="s">
        <v>297</v>
      </c>
      <c r="J1278" s="2" t="s">
        <v>296</v>
      </c>
      <c r="K1278" s="72"/>
      <c r="L1278" s="39">
        <v>11813.5</v>
      </c>
      <c r="M1278" s="72">
        <f t="shared" si="78"/>
        <v>11813.5</v>
      </c>
      <c r="N1278" s="72">
        <f t="shared" si="79"/>
        <v>484450.94999999925</v>
      </c>
    </row>
    <row r="1279" spans="1:14" x14ac:dyDescent="0.2">
      <c r="A1279" s="73" t="s">
        <v>870</v>
      </c>
      <c r="B1279" s="3">
        <f t="shared" si="76"/>
        <v>2025</v>
      </c>
      <c r="C1279" s="3">
        <f t="shared" si="77"/>
        <v>7</v>
      </c>
      <c r="D1279" s="73" t="s">
        <v>300</v>
      </c>
      <c r="E1279" s="2"/>
      <c r="F1279" s="2" t="s">
        <v>309</v>
      </c>
      <c r="G1279" s="2" t="s">
        <v>381</v>
      </c>
      <c r="H1279" s="2" t="s">
        <v>380</v>
      </c>
      <c r="I1279" s="2" t="s">
        <v>301</v>
      </c>
      <c r="J1279" s="2" t="s">
        <v>11</v>
      </c>
      <c r="K1279" s="72"/>
      <c r="L1279" s="39">
        <v>476.36</v>
      </c>
      <c r="M1279" s="72">
        <f t="shared" si="78"/>
        <v>476.36</v>
      </c>
      <c r="N1279" s="72">
        <f t="shared" si="79"/>
        <v>484927.30999999924</v>
      </c>
    </row>
    <row r="1280" spans="1:14" x14ac:dyDescent="0.2">
      <c r="A1280" s="3" t="s">
        <v>870</v>
      </c>
      <c r="B1280" s="3">
        <f t="shared" si="76"/>
        <v>2025</v>
      </c>
      <c r="C1280" s="3">
        <f t="shared" si="77"/>
        <v>7</v>
      </c>
      <c r="D1280" s="73" t="s">
        <v>893</v>
      </c>
      <c r="E1280" s="2"/>
      <c r="F1280" s="2" t="s">
        <v>304</v>
      </c>
      <c r="G1280" s="2" t="s">
        <v>1008</v>
      </c>
      <c r="H1280" s="2" t="s">
        <v>1007</v>
      </c>
      <c r="I1280" s="1" t="s">
        <v>316</v>
      </c>
      <c r="J1280" s="2" t="s">
        <v>17</v>
      </c>
      <c r="K1280" s="146">
        <v>20.6</v>
      </c>
      <c r="L1280" s="146"/>
      <c r="M1280" s="146">
        <f t="shared" si="78"/>
        <v>-20.6</v>
      </c>
      <c r="N1280" s="72">
        <f t="shared" si="79"/>
        <v>484906.70999999926</v>
      </c>
    </row>
    <row r="1281" spans="1:14" x14ac:dyDescent="0.2">
      <c r="A1281" s="73" t="s">
        <v>870</v>
      </c>
      <c r="B1281" s="3">
        <f t="shared" si="76"/>
        <v>2025</v>
      </c>
      <c r="C1281" s="3">
        <f t="shared" si="77"/>
        <v>7</v>
      </c>
      <c r="D1281" s="73" t="s">
        <v>300</v>
      </c>
      <c r="E1281" s="2"/>
      <c r="F1281" s="2" t="s">
        <v>325</v>
      </c>
      <c r="G1281" s="2" t="s">
        <v>473</v>
      </c>
      <c r="H1281" s="2" t="s">
        <v>323</v>
      </c>
      <c r="I1281" s="2" t="s">
        <v>350</v>
      </c>
      <c r="J1281" s="2" t="s">
        <v>353</v>
      </c>
      <c r="K1281" s="72">
        <v>6097.5</v>
      </c>
      <c r="L1281" s="39"/>
      <c r="M1281" s="72">
        <f t="shared" si="78"/>
        <v>-6097.5</v>
      </c>
      <c r="N1281" s="72">
        <f t="shared" si="79"/>
        <v>478809.20999999926</v>
      </c>
    </row>
    <row r="1282" spans="1:14" x14ac:dyDescent="0.2">
      <c r="A1282" s="73" t="s">
        <v>870</v>
      </c>
      <c r="B1282" s="3">
        <f t="shared" ref="B1282:B1345" si="80">YEAR(A1282)</f>
        <v>2025</v>
      </c>
      <c r="C1282" s="3">
        <f t="shared" ref="C1282:C1345" si="81">MONTH(A1282)</f>
        <v>7</v>
      </c>
      <c r="D1282" s="73" t="s">
        <v>300</v>
      </c>
      <c r="E1282" s="2"/>
      <c r="F1282" s="2" t="s">
        <v>325</v>
      </c>
      <c r="G1282" s="2" t="s">
        <v>473</v>
      </c>
      <c r="H1282" s="2" t="s">
        <v>323</v>
      </c>
      <c r="I1282" s="2" t="s">
        <v>350</v>
      </c>
      <c r="J1282" s="2" t="s">
        <v>353</v>
      </c>
      <c r="K1282" s="72">
        <v>2032.5</v>
      </c>
      <c r="L1282" s="39"/>
      <c r="M1282" s="72">
        <f t="shared" ref="M1282:M1345" si="82">IF(ISBLANK(L1282),K1282*-1,L1282)</f>
        <v>-2032.5</v>
      </c>
      <c r="N1282" s="72">
        <f t="shared" si="79"/>
        <v>476776.70999999926</v>
      </c>
    </row>
    <row r="1283" spans="1:14" x14ac:dyDescent="0.2">
      <c r="A1283" s="3" t="s">
        <v>870</v>
      </c>
      <c r="B1283" s="3">
        <f t="shared" si="80"/>
        <v>2025</v>
      </c>
      <c r="C1283" s="3">
        <f t="shared" si="81"/>
        <v>7</v>
      </c>
      <c r="D1283" s="73" t="s">
        <v>893</v>
      </c>
      <c r="E1283" s="2"/>
      <c r="F1283" s="2" t="s">
        <v>304</v>
      </c>
      <c r="G1283" s="2" t="s">
        <v>900</v>
      </c>
      <c r="H1283" s="2" t="s">
        <v>901</v>
      </c>
      <c r="I1283" s="1" t="s">
        <v>316</v>
      </c>
      <c r="J1283" s="2" t="s">
        <v>17</v>
      </c>
      <c r="K1283" s="146">
        <v>20.6</v>
      </c>
      <c r="L1283" s="146"/>
      <c r="M1283" s="146">
        <f t="shared" si="82"/>
        <v>-20.6</v>
      </c>
      <c r="N1283" s="72">
        <f t="shared" ref="N1283:N1346" si="83">+N1282+M1283</f>
        <v>476756.10999999929</v>
      </c>
    </row>
    <row r="1284" spans="1:14" x14ac:dyDescent="0.2">
      <c r="A1284" s="73" t="s">
        <v>870</v>
      </c>
      <c r="B1284" s="3">
        <f t="shared" si="80"/>
        <v>2025</v>
      </c>
      <c r="C1284" s="3">
        <f t="shared" si="81"/>
        <v>7</v>
      </c>
      <c r="D1284" s="73" t="s">
        <v>300</v>
      </c>
      <c r="E1284" s="2"/>
      <c r="F1284" s="2" t="s">
        <v>309</v>
      </c>
      <c r="G1284" s="2" t="s">
        <v>733</v>
      </c>
      <c r="H1284" s="2" t="s">
        <v>884</v>
      </c>
      <c r="I1284" s="2" t="s">
        <v>316</v>
      </c>
      <c r="J1284" s="2" t="s">
        <v>22</v>
      </c>
      <c r="K1284" s="72"/>
      <c r="L1284" s="39">
        <v>22.7</v>
      </c>
      <c r="M1284" s="72">
        <f t="shared" si="82"/>
        <v>22.7</v>
      </c>
      <c r="N1284" s="72">
        <f t="shared" si="83"/>
        <v>476778.8099999993</v>
      </c>
    </row>
    <row r="1285" spans="1:14" x14ac:dyDescent="0.2">
      <c r="A1285" s="73" t="s">
        <v>870</v>
      </c>
      <c r="B1285" s="3">
        <f t="shared" si="80"/>
        <v>2025</v>
      </c>
      <c r="C1285" s="3">
        <f t="shared" si="81"/>
        <v>7</v>
      </c>
      <c r="D1285" s="73" t="s">
        <v>300</v>
      </c>
      <c r="E1285" s="2"/>
      <c r="F1285" s="2" t="s">
        <v>299</v>
      </c>
      <c r="G1285" s="2"/>
      <c r="H1285" s="2" t="s">
        <v>298</v>
      </c>
      <c r="I1285" s="2" t="s">
        <v>297</v>
      </c>
      <c r="J1285" s="2" t="s">
        <v>296</v>
      </c>
      <c r="K1285" s="72"/>
      <c r="L1285" s="39">
        <v>7630.94</v>
      </c>
      <c r="M1285" s="72">
        <f t="shared" si="82"/>
        <v>7630.94</v>
      </c>
      <c r="N1285" s="72">
        <f t="shared" si="83"/>
        <v>484409.7499999993</v>
      </c>
    </row>
    <row r="1286" spans="1:14" x14ac:dyDescent="0.2">
      <c r="A1286" s="3" t="s">
        <v>924</v>
      </c>
      <c r="B1286" s="3">
        <f t="shared" si="80"/>
        <v>2025</v>
      </c>
      <c r="C1286" s="3">
        <f t="shared" si="81"/>
        <v>7</v>
      </c>
      <c r="D1286" s="73" t="s">
        <v>893</v>
      </c>
      <c r="E1286" s="2"/>
      <c r="F1286" s="2" t="s">
        <v>304</v>
      </c>
      <c r="G1286" s="2" t="s">
        <v>1009</v>
      </c>
      <c r="H1286" s="2" t="s">
        <v>1007</v>
      </c>
      <c r="I1286" s="1" t="s">
        <v>316</v>
      </c>
      <c r="J1286" s="2" t="s">
        <v>17</v>
      </c>
      <c r="K1286" s="146">
        <v>1061.67</v>
      </c>
      <c r="L1286" s="146"/>
      <c r="M1286" s="146">
        <f t="shared" si="82"/>
        <v>-1061.67</v>
      </c>
      <c r="N1286" s="72">
        <f t="shared" si="83"/>
        <v>483348.07999999932</v>
      </c>
    </row>
    <row r="1287" spans="1:14" x14ac:dyDescent="0.2">
      <c r="A1287" s="3" t="s">
        <v>924</v>
      </c>
      <c r="B1287" s="3">
        <f t="shared" si="80"/>
        <v>2025</v>
      </c>
      <c r="C1287" s="3">
        <f t="shared" si="81"/>
        <v>7</v>
      </c>
      <c r="D1287" s="73" t="s">
        <v>893</v>
      </c>
      <c r="E1287" s="2"/>
      <c r="F1287" s="2" t="s">
        <v>304</v>
      </c>
      <c r="G1287" s="2" t="s">
        <v>1010</v>
      </c>
      <c r="H1287" s="2" t="s">
        <v>1007</v>
      </c>
      <c r="I1287" s="1" t="s">
        <v>316</v>
      </c>
      <c r="J1287" s="2" t="s">
        <v>17</v>
      </c>
      <c r="K1287" s="146">
        <v>16</v>
      </c>
      <c r="L1287" s="146"/>
      <c r="M1287" s="146">
        <f t="shared" si="82"/>
        <v>-16</v>
      </c>
      <c r="N1287" s="72">
        <f t="shared" si="83"/>
        <v>483332.07999999932</v>
      </c>
    </row>
    <row r="1288" spans="1:14" x14ac:dyDescent="0.2">
      <c r="A1288" s="3" t="s">
        <v>924</v>
      </c>
      <c r="B1288" s="3">
        <f t="shared" si="80"/>
        <v>2025</v>
      </c>
      <c r="C1288" s="3">
        <f t="shared" si="81"/>
        <v>7</v>
      </c>
      <c r="D1288" s="73" t="s">
        <v>893</v>
      </c>
      <c r="E1288" s="2"/>
      <c r="F1288" s="2" t="s">
        <v>304</v>
      </c>
      <c r="G1288" s="2" t="s">
        <v>900</v>
      </c>
      <c r="H1288" s="2" t="s">
        <v>1007</v>
      </c>
      <c r="I1288" s="1" t="s">
        <v>316</v>
      </c>
      <c r="J1288" s="2" t="s">
        <v>17</v>
      </c>
      <c r="K1288" s="146">
        <v>200</v>
      </c>
      <c r="L1288" s="146"/>
      <c r="M1288" s="146">
        <f t="shared" si="82"/>
        <v>-200</v>
      </c>
      <c r="N1288" s="72">
        <f t="shared" si="83"/>
        <v>483132.07999999932</v>
      </c>
    </row>
    <row r="1289" spans="1:14" x14ac:dyDescent="0.2">
      <c r="A1289" s="3" t="s">
        <v>924</v>
      </c>
      <c r="B1289" s="3">
        <f t="shared" si="80"/>
        <v>2025</v>
      </c>
      <c r="C1289" s="3">
        <f t="shared" si="81"/>
        <v>7</v>
      </c>
      <c r="D1289" s="73" t="s">
        <v>893</v>
      </c>
      <c r="E1289" s="2"/>
      <c r="F1289" s="2" t="s">
        <v>304</v>
      </c>
      <c r="G1289" s="2" t="s">
        <v>925</v>
      </c>
      <c r="H1289" s="2" t="s">
        <v>923</v>
      </c>
      <c r="I1289" s="2" t="s">
        <v>316</v>
      </c>
      <c r="J1289" s="2" t="s">
        <v>22</v>
      </c>
      <c r="K1289" s="146">
        <v>60</v>
      </c>
      <c r="L1289" s="146"/>
      <c r="M1289" s="146">
        <f t="shared" si="82"/>
        <v>-60</v>
      </c>
      <c r="N1289" s="72">
        <f t="shared" si="83"/>
        <v>483072.07999999932</v>
      </c>
    </row>
    <row r="1290" spans="1:14" x14ac:dyDescent="0.2">
      <c r="A1290" s="3" t="s">
        <v>924</v>
      </c>
      <c r="B1290" s="3">
        <f t="shared" si="80"/>
        <v>2025</v>
      </c>
      <c r="C1290" s="3">
        <f t="shared" si="81"/>
        <v>7</v>
      </c>
      <c r="D1290" s="73" t="s">
        <v>893</v>
      </c>
      <c r="E1290" s="2"/>
      <c r="F1290" s="2" t="s">
        <v>304</v>
      </c>
      <c r="G1290" s="2" t="s">
        <v>925</v>
      </c>
      <c r="H1290" s="2" t="s">
        <v>923</v>
      </c>
      <c r="I1290" s="2" t="s">
        <v>316</v>
      </c>
      <c r="J1290" s="2" t="s">
        <v>22</v>
      </c>
      <c r="K1290" s="146">
        <v>530.6</v>
      </c>
      <c r="L1290" s="146"/>
      <c r="M1290" s="146">
        <f t="shared" si="82"/>
        <v>-530.6</v>
      </c>
      <c r="N1290" s="72">
        <f t="shared" si="83"/>
        <v>482541.47999999934</v>
      </c>
    </row>
    <row r="1291" spans="1:14" x14ac:dyDescent="0.2">
      <c r="A1291" s="3" t="s">
        <v>924</v>
      </c>
      <c r="B1291" s="3">
        <f t="shared" si="80"/>
        <v>2025</v>
      </c>
      <c r="C1291" s="3">
        <f t="shared" si="81"/>
        <v>7</v>
      </c>
      <c r="D1291" s="73" t="s">
        <v>893</v>
      </c>
      <c r="E1291" s="2"/>
      <c r="F1291" s="2" t="s">
        <v>304</v>
      </c>
      <c r="G1291" s="2" t="s">
        <v>983</v>
      </c>
      <c r="H1291" s="2" t="s">
        <v>984</v>
      </c>
      <c r="I1291" s="1" t="s">
        <v>316</v>
      </c>
      <c r="J1291" s="2" t="s">
        <v>17</v>
      </c>
      <c r="K1291" s="146">
        <v>29</v>
      </c>
      <c r="L1291" s="146"/>
      <c r="M1291" s="146">
        <f t="shared" si="82"/>
        <v>-29</v>
      </c>
      <c r="N1291" s="72">
        <f t="shared" si="83"/>
        <v>482512.47999999934</v>
      </c>
    </row>
    <row r="1292" spans="1:14" x14ac:dyDescent="0.2">
      <c r="A1292" s="3" t="s">
        <v>871</v>
      </c>
      <c r="B1292" s="3">
        <f t="shared" si="80"/>
        <v>2025</v>
      </c>
      <c r="C1292" s="3">
        <f t="shared" si="81"/>
        <v>7</v>
      </c>
      <c r="D1292" s="73" t="s">
        <v>893</v>
      </c>
      <c r="E1292" s="2"/>
      <c r="F1292" s="2" t="s">
        <v>304</v>
      </c>
      <c r="G1292" s="2" t="s">
        <v>941</v>
      </c>
      <c r="H1292" s="2" t="s">
        <v>937</v>
      </c>
      <c r="I1292" s="2" t="s">
        <v>316</v>
      </c>
      <c r="J1292" s="2" t="s">
        <v>22</v>
      </c>
      <c r="K1292" s="146">
        <v>366.96</v>
      </c>
      <c r="L1292" s="146"/>
      <c r="M1292" s="146">
        <f t="shared" si="82"/>
        <v>-366.96</v>
      </c>
      <c r="N1292" s="72">
        <f t="shared" si="83"/>
        <v>482145.51999999932</v>
      </c>
    </row>
    <row r="1293" spans="1:14" x14ac:dyDescent="0.2">
      <c r="A1293" s="73" t="s">
        <v>871</v>
      </c>
      <c r="B1293" s="3">
        <f t="shared" si="80"/>
        <v>2025</v>
      </c>
      <c r="C1293" s="3">
        <f t="shared" si="81"/>
        <v>7</v>
      </c>
      <c r="D1293" s="73" t="s">
        <v>300</v>
      </c>
      <c r="E1293" s="2"/>
      <c r="F1293" s="2" t="s">
        <v>304</v>
      </c>
      <c r="G1293" s="2" t="s">
        <v>306</v>
      </c>
      <c r="H1293" s="2" t="s">
        <v>516</v>
      </c>
      <c r="I1293" s="2" t="s">
        <v>301</v>
      </c>
      <c r="J1293" s="2" t="s">
        <v>11</v>
      </c>
      <c r="K1293" s="72">
        <v>1234.75</v>
      </c>
      <c r="L1293" s="39"/>
      <c r="M1293" s="72">
        <f t="shared" si="82"/>
        <v>-1234.75</v>
      </c>
      <c r="N1293" s="72">
        <f t="shared" si="83"/>
        <v>480910.76999999932</v>
      </c>
    </row>
    <row r="1294" spans="1:14" x14ac:dyDescent="0.2">
      <c r="A1294" s="73" t="s">
        <v>871</v>
      </c>
      <c r="B1294" s="3">
        <f t="shared" si="80"/>
        <v>2025</v>
      </c>
      <c r="C1294" s="3">
        <f t="shared" si="81"/>
        <v>7</v>
      </c>
      <c r="D1294" s="73" t="s">
        <v>300</v>
      </c>
      <c r="E1294" s="2"/>
      <c r="F1294" s="2" t="s">
        <v>304</v>
      </c>
      <c r="G1294" s="2" t="s">
        <v>306</v>
      </c>
      <c r="H1294" s="2" t="s">
        <v>516</v>
      </c>
      <c r="I1294" s="2" t="s">
        <v>301</v>
      </c>
      <c r="J1294" s="2" t="s">
        <v>24</v>
      </c>
      <c r="K1294" s="72">
        <v>84535.38</v>
      </c>
      <c r="L1294" s="39"/>
      <c r="M1294" s="72">
        <f t="shared" si="82"/>
        <v>-84535.38</v>
      </c>
      <c r="N1294" s="72">
        <f t="shared" si="83"/>
        <v>396375.38999999932</v>
      </c>
    </row>
    <row r="1295" spans="1:14" x14ac:dyDescent="0.2">
      <c r="A1295" s="73" t="s">
        <v>871</v>
      </c>
      <c r="B1295" s="3">
        <f t="shared" si="80"/>
        <v>2025</v>
      </c>
      <c r="C1295" s="3">
        <f t="shared" si="81"/>
        <v>7</v>
      </c>
      <c r="D1295" s="73" t="s">
        <v>300</v>
      </c>
      <c r="E1295" s="2"/>
      <c r="F1295" s="2" t="s">
        <v>304</v>
      </c>
      <c r="G1295" s="2" t="s">
        <v>306</v>
      </c>
      <c r="H1295" s="2" t="s">
        <v>516</v>
      </c>
      <c r="I1295" s="2" t="s">
        <v>301</v>
      </c>
      <c r="J1295" s="2" t="s">
        <v>20</v>
      </c>
      <c r="K1295" s="72">
        <v>42807.95</v>
      </c>
      <c r="L1295" s="39"/>
      <c r="M1295" s="72">
        <f t="shared" si="82"/>
        <v>-42807.95</v>
      </c>
      <c r="N1295" s="72">
        <f t="shared" si="83"/>
        <v>353567.4399999993</v>
      </c>
    </row>
    <row r="1296" spans="1:14" x14ac:dyDescent="0.2">
      <c r="A1296" s="3" t="s">
        <v>871</v>
      </c>
      <c r="B1296" s="3">
        <f t="shared" si="80"/>
        <v>2025</v>
      </c>
      <c r="C1296" s="3">
        <f t="shared" si="81"/>
        <v>7</v>
      </c>
      <c r="D1296" s="73" t="s">
        <v>893</v>
      </c>
      <c r="E1296" s="2"/>
      <c r="F1296" s="2" t="s">
        <v>304</v>
      </c>
      <c r="G1296" s="2" t="s">
        <v>908</v>
      </c>
      <c r="H1296" s="2" t="s">
        <v>1007</v>
      </c>
      <c r="I1296" s="1" t="s">
        <v>316</v>
      </c>
      <c r="J1296" s="2" t="s">
        <v>17</v>
      </c>
      <c r="K1296" s="146">
        <v>187.02</v>
      </c>
      <c r="L1296" s="146"/>
      <c r="M1296" s="146">
        <f t="shared" si="82"/>
        <v>-187.02</v>
      </c>
      <c r="N1296" s="72">
        <f t="shared" si="83"/>
        <v>353380.41999999929</v>
      </c>
    </row>
    <row r="1297" spans="1:14" x14ac:dyDescent="0.2">
      <c r="A1297" s="3" t="s">
        <v>871</v>
      </c>
      <c r="B1297" s="3">
        <f t="shared" si="80"/>
        <v>2025</v>
      </c>
      <c r="C1297" s="3">
        <f t="shared" si="81"/>
        <v>7</v>
      </c>
      <c r="D1297" s="73" t="s">
        <v>893</v>
      </c>
      <c r="E1297" s="2"/>
      <c r="F1297" s="2" t="s">
        <v>304</v>
      </c>
      <c r="G1297" s="2" t="s">
        <v>913</v>
      </c>
      <c r="H1297" s="2" t="s">
        <v>937</v>
      </c>
      <c r="I1297" s="2" t="s">
        <v>316</v>
      </c>
      <c r="J1297" s="2" t="s">
        <v>22</v>
      </c>
      <c r="K1297" s="146">
        <v>41.96</v>
      </c>
      <c r="L1297" s="146"/>
      <c r="M1297" s="146">
        <f t="shared" si="82"/>
        <v>-41.96</v>
      </c>
      <c r="N1297" s="72">
        <f t="shared" si="83"/>
        <v>353338.45999999926</v>
      </c>
    </row>
    <row r="1298" spans="1:14" x14ac:dyDescent="0.2">
      <c r="A1298" s="3" t="s">
        <v>871</v>
      </c>
      <c r="B1298" s="3">
        <f t="shared" si="80"/>
        <v>2025</v>
      </c>
      <c r="C1298" s="3">
        <f t="shared" si="81"/>
        <v>7</v>
      </c>
      <c r="D1298" s="73" t="s">
        <v>893</v>
      </c>
      <c r="E1298" s="2"/>
      <c r="F1298" s="2" t="s">
        <v>304</v>
      </c>
      <c r="G1298" s="2" t="s">
        <v>1025</v>
      </c>
      <c r="H1298" s="2" t="s">
        <v>1007</v>
      </c>
      <c r="I1298" s="1" t="s">
        <v>316</v>
      </c>
      <c r="J1298" s="2" t="s">
        <v>17</v>
      </c>
      <c r="K1298" s="146">
        <v>179</v>
      </c>
      <c r="L1298" s="146"/>
      <c r="M1298" s="146">
        <f t="shared" si="82"/>
        <v>-179</v>
      </c>
      <c r="N1298" s="72">
        <f t="shared" si="83"/>
        <v>353159.45999999926</v>
      </c>
    </row>
    <row r="1299" spans="1:14" x14ac:dyDescent="0.2">
      <c r="A1299" s="73" t="s">
        <v>871</v>
      </c>
      <c r="B1299" s="3">
        <f t="shared" si="80"/>
        <v>2025</v>
      </c>
      <c r="C1299" s="3">
        <f t="shared" si="81"/>
        <v>7</v>
      </c>
      <c r="D1299" s="73" t="s">
        <v>300</v>
      </c>
      <c r="E1299" s="2"/>
      <c r="F1299" s="2" t="s">
        <v>299</v>
      </c>
      <c r="G1299" s="2"/>
      <c r="H1299" s="2" t="s">
        <v>298</v>
      </c>
      <c r="I1299" s="2" t="s">
        <v>297</v>
      </c>
      <c r="J1299" s="2" t="s">
        <v>296</v>
      </c>
      <c r="K1299" s="72"/>
      <c r="L1299" s="39">
        <v>130546.33</v>
      </c>
      <c r="M1299" s="72">
        <f t="shared" si="82"/>
        <v>130546.33</v>
      </c>
      <c r="N1299" s="72">
        <f t="shared" si="83"/>
        <v>483705.78999999928</v>
      </c>
    </row>
    <row r="1300" spans="1:14" x14ac:dyDescent="0.2">
      <c r="A1300" s="73" t="s">
        <v>871</v>
      </c>
      <c r="B1300" s="3">
        <f t="shared" si="80"/>
        <v>2025</v>
      </c>
      <c r="C1300" s="3">
        <f t="shared" si="81"/>
        <v>7</v>
      </c>
      <c r="D1300" s="73" t="s">
        <v>300</v>
      </c>
      <c r="E1300" s="2"/>
      <c r="F1300" s="2" t="s">
        <v>314</v>
      </c>
      <c r="G1300" s="2"/>
      <c r="H1300" s="2" t="s">
        <v>836</v>
      </c>
      <c r="I1300" s="2" t="s">
        <v>312</v>
      </c>
      <c r="J1300" s="2" t="s">
        <v>840</v>
      </c>
      <c r="K1300" s="72">
        <v>14941.09</v>
      </c>
      <c r="L1300" s="39"/>
      <c r="M1300" s="72">
        <f t="shared" si="82"/>
        <v>-14941.09</v>
      </c>
      <c r="N1300" s="72">
        <f t="shared" si="83"/>
        <v>468764.69999999925</v>
      </c>
    </row>
    <row r="1301" spans="1:14" x14ac:dyDescent="0.2">
      <c r="A1301" s="3" t="s">
        <v>871</v>
      </c>
      <c r="B1301" s="3">
        <f t="shared" si="80"/>
        <v>2025</v>
      </c>
      <c r="C1301" s="3">
        <f t="shared" si="81"/>
        <v>7</v>
      </c>
      <c r="D1301" s="73" t="s">
        <v>893</v>
      </c>
      <c r="E1301" s="2"/>
      <c r="F1301" s="2" t="s">
        <v>314</v>
      </c>
      <c r="G1301" s="2"/>
      <c r="H1301" s="2" t="s">
        <v>894</v>
      </c>
      <c r="I1301" s="1" t="s">
        <v>312</v>
      </c>
      <c r="J1301" s="1" t="s">
        <v>840</v>
      </c>
      <c r="K1301" s="146"/>
      <c r="L1301" s="146">
        <v>14941.09</v>
      </c>
      <c r="M1301" s="146">
        <f t="shared" si="82"/>
        <v>14941.09</v>
      </c>
      <c r="N1301" s="72">
        <f t="shared" si="83"/>
        <v>483705.78999999928</v>
      </c>
    </row>
    <row r="1302" spans="1:14" x14ac:dyDescent="0.2">
      <c r="A1302" s="3" t="s">
        <v>872</v>
      </c>
      <c r="B1302" s="3">
        <f t="shared" si="80"/>
        <v>2025</v>
      </c>
      <c r="C1302" s="3">
        <f t="shared" si="81"/>
        <v>7</v>
      </c>
      <c r="D1302" s="73" t="s">
        <v>893</v>
      </c>
      <c r="E1302" s="2"/>
      <c r="F1302" s="2" t="s">
        <v>304</v>
      </c>
      <c r="G1302" s="2" t="s">
        <v>958</v>
      </c>
      <c r="H1302" s="2" t="s">
        <v>956</v>
      </c>
      <c r="I1302" s="2" t="s">
        <v>316</v>
      </c>
      <c r="J1302" s="2" t="s">
        <v>22</v>
      </c>
      <c r="K1302" s="146">
        <v>3</v>
      </c>
      <c r="L1302" s="146"/>
      <c r="M1302" s="146">
        <f t="shared" si="82"/>
        <v>-3</v>
      </c>
      <c r="N1302" s="72">
        <f t="shared" si="83"/>
        <v>483702.78999999928</v>
      </c>
    </row>
    <row r="1303" spans="1:14" x14ac:dyDescent="0.2">
      <c r="A1303" s="3" t="s">
        <v>872</v>
      </c>
      <c r="B1303" s="3">
        <f t="shared" si="80"/>
        <v>2025</v>
      </c>
      <c r="C1303" s="3">
        <f t="shared" si="81"/>
        <v>7</v>
      </c>
      <c r="D1303" s="73" t="s">
        <v>893</v>
      </c>
      <c r="E1303" s="2"/>
      <c r="F1303" s="2" t="s">
        <v>304</v>
      </c>
      <c r="G1303" s="2" t="s">
        <v>922</v>
      </c>
      <c r="H1303" s="2" t="s">
        <v>923</v>
      </c>
      <c r="I1303" s="2" t="s">
        <v>316</v>
      </c>
      <c r="J1303" s="2" t="s">
        <v>22</v>
      </c>
      <c r="K1303" s="146">
        <v>494.91</v>
      </c>
      <c r="L1303" s="146"/>
      <c r="M1303" s="146">
        <f t="shared" si="82"/>
        <v>-494.91</v>
      </c>
      <c r="N1303" s="72">
        <f t="shared" si="83"/>
        <v>483207.87999999931</v>
      </c>
    </row>
    <row r="1304" spans="1:14" x14ac:dyDescent="0.2">
      <c r="A1304" s="3" t="s">
        <v>872</v>
      </c>
      <c r="B1304" s="3">
        <f t="shared" si="80"/>
        <v>2025</v>
      </c>
      <c r="C1304" s="3">
        <f t="shared" si="81"/>
        <v>7</v>
      </c>
      <c r="D1304" s="73" t="s">
        <v>893</v>
      </c>
      <c r="E1304" s="2"/>
      <c r="F1304" s="2" t="s">
        <v>304</v>
      </c>
      <c r="G1304" s="2" t="s">
        <v>922</v>
      </c>
      <c r="H1304" s="2" t="s">
        <v>937</v>
      </c>
      <c r="I1304" s="2" t="s">
        <v>316</v>
      </c>
      <c r="J1304" s="2" t="s">
        <v>22</v>
      </c>
      <c r="K1304" s="146">
        <v>229.13</v>
      </c>
      <c r="L1304" s="146"/>
      <c r="M1304" s="146">
        <f t="shared" si="82"/>
        <v>-229.13</v>
      </c>
      <c r="N1304" s="72">
        <f t="shared" si="83"/>
        <v>482978.7499999993</v>
      </c>
    </row>
    <row r="1305" spans="1:14" x14ac:dyDescent="0.2">
      <c r="A1305" s="3" t="s">
        <v>872</v>
      </c>
      <c r="B1305" s="3">
        <f t="shared" si="80"/>
        <v>2025</v>
      </c>
      <c r="C1305" s="3">
        <f t="shared" si="81"/>
        <v>7</v>
      </c>
      <c r="D1305" s="73" t="s">
        <v>893</v>
      </c>
      <c r="E1305" s="2"/>
      <c r="F1305" s="2" t="s">
        <v>304</v>
      </c>
      <c r="G1305" s="2" t="s">
        <v>922</v>
      </c>
      <c r="H1305" s="2" t="s">
        <v>937</v>
      </c>
      <c r="I1305" s="2" t="s">
        <v>316</v>
      </c>
      <c r="J1305" s="2" t="s">
        <v>22</v>
      </c>
      <c r="K1305" s="146">
        <v>183.6</v>
      </c>
      <c r="L1305" s="146"/>
      <c r="M1305" s="146">
        <f t="shared" si="82"/>
        <v>-183.6</v>
      </c>
      <c r="N1305" s="72">
        <f t="shared" si="83"/>
        <v>482795.14999999932</v>
      </c>
    </row>
    <row r="1306" spans="1:14" x14ac:dyDescent="0.2">
      <c r="A1306" s="73" t="s">
        <v>872</v>
      </c>
      <c r="B1306" s="3">
        <f t="shared" si="80"/>
        <v>2025</v>
      </c>
      <c r="C1306" s="3">
        <f t="shared" si="81"/>
        <v>7</v>
      </c>
      <c r="D1306" s="73" t="s">
        <v>300</v>
      </c>
      <c r="E1306" s="2"/>
      <c r="F1306" s="2" t="s">
        <v>321</v>
      </c>
      <c r="G1306" s="2" t="s">
        <v>886</v>
      </c>
      <c r="H1306" s="2" t="s">
        <v>319</v>
      </c>
      <c r="I1306" s="2" t="s">
        <v>315</v>
      </c>
      <c r="J1306" s="2" t="s">
        <v>23</v>
      </c>
      <c r="K1306" s="72"/>
      <c r="L1306" s="39">
        <v>87724.4</v>
      </c>
      <c r="M1306" s="72">
        <f t="shared" si="82"/>
        <v>87724.4</v>
      </c>
      <c r="N1306" s="72">
        <f t="shared" si="83"/>
        <v>570519.54999999935</v>
      </c>
    </row>
    <row r="1307" spans="1:14" x14ac:dyDescent="0.2">
      <c r="A1307" s="3" t="s">
        <v>872</v>
      </c>
      <c r="B1307" s="3">
        <f t="shared" si="80"/>
        <v>2025</v>
      </c>
      <c r="C1307" s="3">
        <f t="shared" si="81"/>
        <v>7</v>
      </c>
      <c r="D1307" s="73" t="s">
        <v>893</v>
      </c>
      <c r="E1307" s="2"/>
      <c r="F1307" s="2" t="s">
        <v>304</v>
      </c>
      <c r="G1307" s="2" t="s">
        <v>968</v>
      </c>
      <c r="H1307" s="2" t="s">
        <v>956</v>
      </c>
      <c r="I1307" s="2" t="s">
        <v>316</v>
      </c>
      <c r="J1307" s="2" t="s">
        <v>22</v>
      </c>
      <c r="K1307" s="146">
        <v>19.03</v>
      </c>
      <c r="L1307" s="146"/>
      <c r="M1307" s="146">
        <f t="shared" si="82"/>
        <v>-19.03</v>
      </c>
      <c r="N1307" s="72">
        <f t="shared" si="83"/>
        <v>570500.51999999932</v>
      </c>
    </row>
    <row r="1308" spans="1:14" x14ac:dyDescent="0.2">
      <c r="A1308" s="73" t="s">
        <v>872</v>
      </c>
      <c r="B1308" s="3">
        <f t="shared" si="80"/>
        <v>2025</v>
      </c>
      <c r="C1308" s="3">
        <f t="shared" si="81"/>
        <v>7</v>
      </c>
      <c r="D1308" s="73" t="s">
        <v>300</v>
      </c>
      <c r="E1308" s="2"/>
      <c r="F1308" s="2" t="s">
        <v>325</v>
      </c>
      <c r="G1308" s="2" t="s">
        <v>837</v>
      </c>
      <c r="H1308" s="2" t="s">
        <v>323</v>
      </c>
      <c r="I1308" s="2" t="s">
        <v>316</v>
      </c>
      <c r="J1308" s="2" t="s">
        <v>22</v>
      </c>
      <c r="K1308" s="72">
        <v>29.11</v>
      </c>
      <c r="L1308" s="39"/>
      <c r="M1308" s="72">
        <f t="shared" si="82"/>
        <v>-29.11</v>
      </c>
      <c r="N1308" s="72">
        <f t="shared" si="83"/>
        <v>570471.40999999933</v>
      </c>
    </row>
    <row r="1309" spans="1:14" x14ac:dyDescent="0.2">
      <c r="A1309" s="3" t="s">
        <v>872</v>
      </c>
      <c r="B1309" s="3">
        <f t="shared" si="80"/>
        <v>2025</v>
      </c>
      <c r="C1309" s="3">
        <f t="shared" si="81"/>
        <v>7</v>
      </c>
      <c r="D1309" s="73" t="s">
        <v>893</v>
      </c>
      <c r="E1309" s="2"/>
      <c r="F1309" s="2" t="s">
        <v>304</v>
      </c>
      <c r="G1309" s="2" t="s">
        <v>1041</v>
      </c>
      <c r="H1309" s="2" t="s">
        <v>1035</v>
      </c>
      <c r="I1309" s="2" t="s">
        <v>316</v>
      </c>
      <c r="J1309" s="2" t="s">
        <v>22</v>
      </c>
      <c r="K1309" s="146">
        <v>277.88</v>
      </c>
      <c r="L1309" s="146"/>
      <c r="M1309" s="146">
        <f t="shared" si="82"/>
        <v>-277.88</v>
      </c>
      <c r="N1309" s="72">
        <f t="shared" si="83"/>
        <v>570193.52999999933</v>
      </c>
    </row>
    <row r="1310" spans="1:14" x14ac:dyDescent="0.2">
      <c r="A1310" s="3" t="s">
        <v>872</v>
      </c>
      <c r="B1310" s="3">
        <f t="shared" si="80"/>
        <v>2025</v>
      </c>
      <c r="C1310" s="3">
        <f t="shared" si="81"/>
        <v>7</v>
      </c>
      <c r="D1310" s="73" t="s">
        <v>893</v>
      </c>
      <c r="E1310" s="2"/>
      <c r="F1310" s="2" t="s">
        <v>304</v>
      </c>
      <c r="G1310" s="2" t="s">
        <v>975</v>
      </c>
      <c r="H1310" s="2" t="s">
        <v>956</v>
      </c>
      <c r="I1310" s="2" t="s">
        <v>316</v>
      </c>
      <c r="J1310" s="2" t="s">
        <v>22</v>
      </c>
      <c r="K1310" s="146">
        <v>18</v>
      </c>
      <c r="L1310" s="146"/>
      <c r="M1310" s="146">
        <f t="shared" si="82"/>
        <v>-18</v>
      </c>
      <c r="N1310" s="72">
        <f t="shared" si="83"/>
        <v>570175.52999999933</v>
      </c>
    </row>
    <row r="1311" spans="1:14" x14ac:dyDescent="0.2">
      <c r="A1311" s="73" t="s">
        <v>872</v>
      </c>
      <c r="B1311" s="3">
        <f t="shared" si="80"/>
        <v>2025</v>
      </c>
      <c r="C1311" s="3">
        <f t="shared" si="81"/>
        <v>7</v>
      </c>
      <c r="D1311" s="73" t="s">
        <v>300</v>
      </c>
      <c r="E1311" s="2"/>
      <c r="F1311" s="2" t="s">
        <v>304</v>
      </c>
      <c r="G1311" s="2" t="s">
        <v>306</v>
      </c>
      <c r="H1311" s="2" t="s">
        <v>305</v>
      </c>
      <c r="I1311" s="2" t="s">
        <v>301</v>
      </c>
      <c r="J1311" s="2" t="s">
        <v>19</v>
      </c>
      <c r="K1311" s="72">
        <v>158.86000000000001</v>
      </c>
      <c r="L1311" s="39"/>
      <c r="M1311" s="72">
        <f t="shared" si="82"/>
        <v>-158.86000000000001</v>
      </c>
      <c r="N1311" s="72">
        <f t="shared" si="83"/>
        <v>570016.66999999934</v>
      </c>
    </row>
    <row r="1312" spans="1:14" x14ac:dyDescent="0.2">
      <c r="A1312" s="3" t="s">
        <v>872</v>
      </c>
      <c r="B1312" s="3">
        <f t="shared" si="80"/>
        <v>2025</v>
      </c>
      <c r="C1312" s="3">
        <f t="shared" si="81"/>
        <v>7</v>
      </c>
      <c r="D1312" s="73" t="s">
        <v>893</v>
      </c>
      <c r="E1312" s="2"/>
      <c r="F1312" s="2" t="s">
        <v>304</v>
      </c>
      <c r="G1312" s="2" t="s">
        <v>1044</v>
      </c>
      <c r="H1312" s="2" t="s">
        <v>1035</v>
      </c>
      <c r="I1312" s="2" t="s">
        <v>316</v>
      </c>
      <c r="J1312" s="2" t="s">
        <v>22</v>
      </c>
      <c r="K1312" s="146">
        <v>102.51</v>
      </c>
      <c r="L1312" s="146"/>
      <c r="M1312" s="146">
        <f t="shared" si="82"/>
        <v>-102.51</v>
      </c>
      <c r="N1312" s="72">
        <f t="shared" si="83"/>
        <v>569914.15999999933</v>
      </c>
    </row>
    <row r="1313" spans="1:14" x14ac:dyDescent="0.2">
      <c r="A1313" s="3" t="s">
        <v>872</v>
      </c>
      <c r="B1313" s="3">
        <f t="shared" si="80"/>
        <v>2025</v>
      </c>
      <c r="C1313" s="3">
        <f t="shared" si="81"/>
        <v>7</v>
      </c>
      <c r="D1313" s="73" t="s">
        <v>893</v>
      </c>
      <c r="E1313" s="2"/>
      <c r="F1313" s="2" t="s">
        <v>304</v>
      </c>
      <c r="G1313" s="2" t="s">
        <v>928</v>
      </c>
      <c r="H1313" s="2" t="s">
        <v>927</v>
      </c>
      <c r="I1313" s="2" t="s">
        <v>316</v>
      </c>
      <c r="J1313" s="2" t="s">
        <v>22</v>
      </c>
      <c r="K1313" s="146">
        <v>11.12</v>
      </c>
      <c r="L1313" s="146"/>
      <c r="M1313" s="146">
        <f t="shared" si="82"/>
        <v>-11.12</v>
      </c>
      <c r="N1313" s="72">
        <f t="shared" si="83"/>
        <v>569903.03999999934</v>
      </c>
    </row>
    <row r="1314" spans="1:14" x14ac:dyDescent="0.2">
      <c r="A1314" s="3" t="s">
        <v>872</v>
      </c>
      <c r="B1314" s="3">
        <f t="shared" si="80"/>
        <v>2025</v>
      </c>
      <c r="C1314" s="3">
        <f t="shared" si="81"/>
        <v>7</v>
      </c>
      <c r="D1314" s="73" t="s">
        <v>893</v>
      </c>
      <c r="E1314" s="2"/>
      <c r="F1314" s="2" t="s">
        <v>304</v>
      </c>
      <c r="G1314" s="2" t="s">
        <v>913</v>
      </c>
      <c r="H1314" s="2" t="s">
        <v>923</v>
      </c>
      <c r="I1314" s="2" t="s">
        <v>316</v>
      </c>
      <c r="J1314" s="2" t="s">
        <v>22</v>
      </c>
      <c r="K1314" s="146">
        <v>24.17</v>
      </c>
      <c r="L1314" s="146"/>
      <c r="M1314" s="146">
        <f t="shared" si="82"/>
        <v>-24.17</v>
      </c>
      <c r="N1314" s="72">
        <f t="shared" si="83"/>
        <v>569878.8699999993</v>
      </c>
    </row>
    <row r="1315" spans="1:14" x14ac:dyDescent="0.2">
      <c r="A1315" s="3" t="s">
        <v>872</v>
      </c>
      <c r="B1315" s="3">
        <f t="shared" si="80"/>
        <v>2025</v>
      </c>
      <c r="C1315" s="3">
        <f t="shared" si="81"/>
        <v>7</v>
      </c>
      <c r="D1315" s="73" t="s">
        <v>893</v>
      </c>
      <c r="E1315" s="2"/>
      <c r="F1315" s="2" t="s">
        <v>304</v>
      </c>
      <c r="G1315" s="2" t="s">
        <v>913</v>
      </c>
      <c r="H1315" s="2" t="s">
        <v>923</v>
      </c>
      <c r="I1315" s="2" t="s">
        <v>316</v>
      </c>
      <c r="J1315" s="2" t="s">
        <v>22</v>
      </c>
      <c r="K1315" s="146">
        <v>30.95</v>
      </c>
      <c r="L1315" s="146"/>
      <c r="M1315" s="146">
        <f t="shared" si="82"/>
        <v>-30.95</v>
      </c>
      <c r="N1315" s="72">
        <f t="shared" si="83"/>
        <v>569847.91999999934</v>
      </c>
    </row>
    <row r="1316" spans="1:14" x14ac:dyDescent="0.2">
      <c r="A1316" s="3" t="s">
        <v>872</v>
      </c>
      <c r="B1316" s="3">
        <f t="shared" si="80"/>
        <v>2025</v>
      </c>
      <c r="C1316" s="3">
        <f t="shared" si="81"/>
        <v>7</v>
      </c>
      <c r="D1316" s="73" t="s">
        <v>893</v>
      </c>
      <c r="E1316" s="2"/>
      <c r="F1316" s="2" t="s">
        <v>304</v>
      </c>
      <c r="G1316" s="2" t="s">
        <v>913</v>
      </c>
      <c r="H1316" s="2" t="s">
        <v>937</v>
      </c>
      <c r="I1316" s="2" t="s">
        <v>316</v>
      </c>
      <c r="J1316" s="2" t="s">
        <v>22</v>
      </c>
      <c r="K1316" s="146">
        <v>22.65</v>
      </c>
      <c r="L1316" s="146"/>
      <c r="M1316" s="146">
        <f t="shared" si="82"/>
        <v>-22.65</v>
      </c>
      <c r="N1316" s="72">
        <f t="shared" si="83"/>
        <v>569825.26999999932</v>
      </c>
    </row>
    <row r="1317" spans="1:14" x14ac:dyDescent="0.2">
      <c r="A1317" s="3" t="s">
        <v>872</v>
      </c>
      <c r="B1317" s="3">
        <f t="shared" si="80"/>
        <v>2025</v>
      </c>
      <c r="C1317" s="3">
        <f t="shared" si="81"/>
        <v>7</v>
      </c>
      <c r="D1317" s="73" t="s">
        <v>893</v>
      </c>
      <c r="E1317" s="2"/>
      <c r="F1317" s="2" t="s">
        <v>304</v>
      </c>
      <c r="G1317" s="2" t="s">
        <v>913</v>
      </c>
      <c r="H1317" s="2" t="s">
        <v>937</v>
      </c>
      <c r="I1317" s="2" t="s">
        <v>316</v>
      </c>
      <c r="J1317" s="2" t="s">
        <v>22</v>
      </c>
      <c r="K1317" s="146">
        <v>2</v>
      </c>
      <c r="L1317" s="146"/>
      <c r="M1317" s="146">
        <f t="shared" si="82"/>
        <v>-2</v>
      </c>
      <c r="N1317" s="72">
        <f t="shared" si="83"/>
        <v>569823.26999999932</v>
      </c>
    </row>
    <row r="1318" spans="1:14" x14ac:dyDescent="0.2">
      <c r="A1318" s="73" t="s">
        <v>872</v>
      </c>
      <c r="B1318" s="3">
        <f t="shared" si="80"/>
        <v>2025</v>
      </c>
      <c r="C1318" s="3">
        <f t="shared" si="81"/>
        <v>7</v>
      </c>
      <c r="D1318" s="73" t="s">
        <v>300</v>
      </c>
      <c r="E1318" s="2"/>
      <c r="F1318" s="2" t="s">
        <v>321</v>
      </c>
      <c r="G1318" s="2" t="s">
        <v>387</v>
      </c>
      <c r="H1318" s="2" t="s">
        <v>319</v>
      </c>
      <c r="I1318" s="2" t="s">
        <v>315</v>
      </c>
      <c r="J1318" s="2" t="s">
        <v>23</v>
      </c>
      <c r="K1318" s="72"/>
      <c r="L1318" s="39">
        <v>8289</v>
      </c>
      <c r="M1318" s="72">
        <f t="shared" si="82"/>
        <v>8289</v>
      </c>
      <c r="N1318" s="72">
        <f t="shared" si="83"/>
        <v>578112.26999999932</v>
      </c>
    </row>
    <row r="1319" spans="1:14" x14ac:dyDescent="0.2">
      <c r="A1319" s="73" t="s">
        <v>872</v>
      </c>
      <c r="B1319" s="3">
        <f t="shared" si="80"/>
        <v>2025</v>
      </c>
      <c r="C1319" s="3">
        <f t="shared" si="81"/>
        <v>7</v>
      </c>
      <c r="D1319" s="73" t="s">
        <v>300</v>
      </c>
      <c r="E1319" s="2"/>
      <c r="F1319" s="2" t="s">
        <v>299</v>
      </c>
      <c r="G1319" s="2"/>
      <c r="H1319" s="2" t="s">
        <v>298</v>
      </c>
      <c r="I1319" s="2" t="s">
        <v>297</v>
      </c>
      <c r="J1319" s="2" t="s">
        <v>296</v>
      </c>
      <c r="K1319" s="72">
        <v>80913.45</v>
      </c>
      <c r="L1319" s="39"/>
      <c r="M1319" s="72">
        <f t="shared" si="82"/>
        <v>-80913.45</v>
      </c>
      <c r="N1319" s="72">
        <f t="shared" si="83"/>
        <v>497198.81999999931</v>
      </c>
    </row>
    <row r="1320" spans="1:14" x14ac:dyDescent="0.2">
      <c r="A1320" s="73" t="s">
        <v>873</v>
      </c>
      <c r="B1320" s="3">
        <f t="shared" si="80"/>
        <v>2025</v>
      </c>
      <c r="C1320" s="3">
        <f t="shared" si="81"/>
        <v>7</v>
      </c>
      <c r="D1320" s="73" t="s">
        <v>300</v>
      </c>
      <c r="E1320" s="2"/>
      <c r="F1320" s="2" t="s">
        <v>304</v>
      </c>
      <c r="G1320" s="2" t="s">
        <v>336</v>
      </c>
      <c r="H1320" s="2" t="s">
        <v>766</v>
      </c>
      <c r="I1320" s="2" t="s">
        <v>301</v>
      </c>
      <c r="J1320" s="2" t="s">
        <v>11</v>
      </c>
      <c r="K1320" s="72">
        <v>25</v>
      </c>
      <c r="L1320" s="39"/>
      <c r="M1320" s="72">
        <f t="shared" si="82"/>
        <v>-25</v>
      </c>
      <c r="N1320" s="72">
        <f t="shared" si="83"/>
        <v>497173.81999999931</v>
      </c>
    </row>
    <row r="1321" spans="1:14" x14ac:dyDescent="0.2">
      <c r="A1321" s="3" t="s">
        <v>873</v>
      </c>
      <c r="B1321" s="3">
        <f t="shared" si="80"/>
        <v>2025</v>
      </c>
      <c r="C1321" s="3">
        <f t="shared" si="81"/>
        <v>7</v>
      </c>
      <c r="D1321" s="73" t="s">
        <v>893</v>
      </c>
      <c r="E1321" s="2"/>
      <c r="F1321" s="2" t="s">
        <v>304</v>
      </c>
      <c r="G1321" s="2" t="s">
        <v>914</v>
      </c>
      <c r="H1321" s="2" t="s">
        <v>915</v>
      </c>
      <c r="I1321" s="2" t="s">
        <v>316</v>
      </c>
      <c r="J1321" s="2" t="s">
        <v>22</v>
      </c>
      <c r="K1321" s="146">
        <v>15.32</v>
      </c>
      <c r="L1321" s="146"/>
      <c r="M1321" s="146">
        <f t="shared" si="82"/>
        <v>-15.32</v>
      </c>
      <c r="N1321" s="72">
        <f t="shared" si="83"/>
        <v>497158.4999999993</v>
      </c>
    </row>
    <row r="1322" spans="1:14" x14ac:dyDescent="0.2">
      <c r="A1322" s="3" t="s">
        <v>873</v>
      </c>
      <c r="B1322" s="3">
        <f t="shared" si="80"/>
        <v>2025</v>
      </c>
      <c r="C1322" s="3">
        <f t="shared" si="81"/>
        <v>7</v>
      </c>
      <c r="D1322" s="73" t="s">
        <v>893</v>
      </c>
      <c r="E1322" s="2"/>
      <c r="F1322" s="2" t="s">
        <v>304</v>
      </c>
      <c r="G1322" s="2" t="s">
        <v>926</v>
      </c>
      <c r="H1322" s="2" t="s">
        <v>927</v>
      </c>
      <c r="I1322" s="2" t="s">
        <v>316</v>
      </c>
      <c r="J1322" s="2" t="s">
        <v>22</v>
      </c>
      <c r="K1322" s="146">
        <v>17.7</v>
      </c>
      <c r="L1322" s="146"/>
      <c r="M1322" s="146">
        <f t="shared" si="82"/>
        <v>-17.7</v>
      </c>
      <c r="N1322" s="72">
        <f t="shared" si="83"/>
        <v>497140.79999999929</v>
      </c>
    </row>
    <row r="1323" spans="1:14" x14ac:dyDescent="0.2">
      <c r="A1323" s="3" t="s">
        <v>873</v>
      </c>
      <c r="B1323" s="3">
        <f t="shared" si="80"/>
        <v>2025</v>
      </c>
      <c r="C1323" s="3">
        <f t="shared" si="81"/>
        <v>7</v>
      </c>
      <c r="D1323" s="73" t="s">
        <v>893</v>
      </c>
      <c r="E1323" s="2"/>
      <c r="F1323" s="2" t="s">
        <v>304</v>
      </c>
      <c r="G1323" s="2" t="s">
        <v>1038</v>
      </c>
      <c r="H1323" s="2" t="s">
        <v>1035</v>
      </c>
      <c r="I1323" s="2" t="s">
        <v>316</v>
      </c>
      <c r="J1323" s="2" t="s">
        <v>22</v>
      </c>
      <c r="K1323" s="146">
        <v>113.07</v>
      </c>
      <c r="L1323" s="146"/>
      <c r="M1323" s="146">
        <f t="shared" si="82"/>
        <v>-113.07</v>
      </c>
      <c r="N1323" s="72">
        <f t="shared" si="83"/>
        <v>497027.72999999928</v>
      </c>
    </row>
    <row r="1324" spans="1:14" x14ac:dyDescent="0.2">
      <c r="A1324" s="3" t="s">
        <v>873</v>
      </c>
      <c r="B1324" s="3">
        <f t="shared" si="80"/>
        <v>2025</v>
      </c>
      <c r="C1324" s="3">
        <f t="shared" si="81"/>
        <v>7</v>
      </c>
      <c r="D1324" s="73" t="s">
        <v>893</v>
      </c>
      <c r="E1324" s="2"/>
      <c r="F1324" s="2" t="s">
        <v>304</v>
      </c>
      <c r="G1324" s="2" t="s">
        <v>968</v>
      </c>
      <c r="H1324" s="2" t="s">
        <v>956</v>
      </c>
      <c r="I1324" s="2" t="s">
        <v>316</v>
      </c>
      <c r="J1324" s="2" t="s">
        <v>22</v>
      </c>
      <c r="K1324" s="146">
        <v>10.28</v>
      </c>
      <c r="L1324" s="146"/>
      <c r="M1324" s="146">
        <f t="shared" si="82"/>
        <v>-10.28</v>
      </c>
      <c r="N1324" s="72">
        <f t="shared" si="83"/>
        <v>497017.44999999925</v>
      </c>
    </row>
    <row r="1325" spans="1:14" x14ac:dyDescent="0.2">
      <c r="A1325" s="3" t="s">
        <v>873</v>
      </c>
      <c r="B1325" s="3">
        <f t="shared" si="80"/>
        <v>2025</v>
      </c>
      <c r="C1325" s="3">
        <f t="shared" si="81"/>
        <v>7</v>
      </c>
      <c r="D1325" s="73" t="s">
        <v>893</v>
      </c>
      <c r="E1325" s="2"/>
      <c r="F1325" s="2" t="s">
        <v>304</v>
      </c>
      <c r="G1325" s="2" t="s">
        <v>972</v>
      </c>
      <c r="H1325" s="2" t="s">
        <v>956</v>
      </c>
      <c r="I1325" s="2" t="s">
        <v>316</v>
      </c>
      <c r="J1325" s="2" t="s">
        <v>22</v>
      </c>
      <c r="K1325" s="146">
        <v>78.03</v>
      </c>
      <c r="L1325" s="146"/>
      <c r="M1325" s="146">
        <f t="shared" si="82"/>
        <v>-78.03</v>
      </c>
      <c r="N1325" s="72">
        <f t="shared" si="83"/>
        <v>496939.41999999923</v>
      </c>
    </row>
    <row r="1326" spans="1:14" x14ac:dyDescent="0.2">
      <c r="A1326" s="3" t="s">
        <v>873</v>
      </c>
      <c r="B1326" s="3">
        <f t="shared" si="80"/>
        <v>2025</v>
      </c>
      <c r="C1326" s="3">
        <f t="shared" si="81"/>
        <v>7</v>
      </c>
      <c r="D1326" s="73" t="s">
        <v>893</v>
      </c>
      <c r="E1326" s="2"/>
      <c r="F1326" s="2" t="s">
        <v>304</v>
      </c>
      <c r="G1326" s="2" t="s">
        <v>911</v>
      </c>
      <c r="H1326" s="2" t="s">
        <v>883</v>
      </c>
      <c r="I1326" s="2" t="s">
        <v>316</v>
      </c>
      <c r="J1326" s="2" t="s">
        <v>22</v>
      </c>
      <c r="K1326" s="146">
        <v>34</v>
      </c>
      <c r="L1326" s="146"/>
      <c r="M1326" s="146">
        <f t="shared" si="82"/>
        <v>-34</v>
      </c>
      <c r="N1326" s="72">
        <f t="shared" si="83"/>
        <v>496905.41999999923</v>
      </c>
    </row>
    <row r="1327" spans="1:14" x14ac:dyDescent="0.2">
      <c r="A1327" s="3" t="s">
        <v>873</v>
      </c>
      <c r="B1327" s="3">
        <f t="shared" si="80"/>
        <v>2025</v>
      </c>
      <c r="C1327" s="3">
        <f t="shared" si="81"/>
        <v>7</v>
      </c>
      <c r="D1327" s="73" t="s">
        <v>893</v>
      </c>
      <c r="E1327" s="2"/>
      <c r="F1327" s="2" t="s">
        <v>304</v>
      </c>
      <c r="G1327" s="2" t="s">
        <v>932</v>
      </c>
      <c r="H1327" s="2" t="s">
        <v>933</v>
      </c>
      <c r="I1327" s="1" t="s">
        <v>316</v>
      </c>
      <c r="J1327" s="2" t="s">
        <v>17</v>
      </c>
      <c r="K1327" s="146">
        <v>150</v>
      </c>
      <c r="L1327" s="146"/>
      <c r="M1327" s="146">
        <f t="shared" si="82"/>
        <v>-150</v>
      </c>
      <c r="N1327" s="72">
        <f t="shared" si="83"/>
        <v>496755.41999999923</v>
      </c>
    </row>
    <row r="1328" spans="1:14" x14ac:dyDescent="0.2">
      <c r="A1328" s="73" t="s">
        <v>873</v>
      </c>
      <c r="B1328" s="3">
        <f t="shared" si="80"/>
        <v>2025</v>
      </c>
      <c r="C1328" s="3">
        <f t="shared" si="81"/>
        <v>7</v>
      </c>
      <c r="D1328" s="73" t="s">
        <v>300</v>
      </c>
      <c r="E1328" s="2"/>
      <c r="F1328" s="2" t="s">
        <v>304</v>
      </c>
      <c r="G1328" s="2" t="s">
        <v>344</v>
      </c>
      <c r="H1328" s="2" t="s">
        <v>343</v>
      </c>
      <c r="I1328" s="2" t="s">
        <v>301</v>
      </c>
      <c r="J1328" s="2" t="s">
        <v>11</v>
      </c>
      <c r="K1328" s="72">
        <v>15069.73</v>
      </c>
      <c r="L1328" s="39"/>
      <c r="M1328" s="72">
        <f t="shared" si="82"/>
        <v>-15069.73</v>
      </c>
      <c r="N1328" s="72">
        <f t="shared" si="83"/>
        <v>481685.68999999925</v>
      </c>
    </row>
    <row r="1329" spans="1:14" x14ac:dyDescent="0.2">
      <c r="A1329" s="3" t="s">
        <v>873</v>
      </c>
      <c r="B1329" s="3">
        <f t="shared" si="80"/>
        <v>2025</v>
      </c>
      <c r="C1329" s="3">
        <f t="shared" si="81"/>
        <v>7</v>
      </c>
      <c r="D1329" s="73" t="s">
        <v>893</v>
      </c>
      <c r="E1329" s="2"/>
      <c r="F1329" s="2" t="s">
        <v>304</v>
      </c>
      <c r="G1329" s="2" t="s">
        <v>913</v>
      </c>
      <c r="H1329" s="2" t="s">
        <v>883</v>
      </c>
      <c r="I1329" s="2" t="s">
        <v>316</v>
      </c>
      <c r="J1329" s="2" t="s">
        <v>22</v>
      </c>
      <c r="K1329" s="146">
        <v>39.72</v>
      </c>
      <c r="L1329" s="146"/>
      <c r="M1329" s="146">
        <f t="shared" si="82"/>
        <v>-39.72</v>
      </c>
      <c r="N1329" s="72">
        <f t="shared" si="83"/>
        <v>481645.96999999927</v>
      </c>
    </row>
    <row r="1330" spans="1:14" x14ac:dyDescent="0.2">
      <c r="A1330" s="3" t="s">
        <v>873</v>
      </c>
      <c r="B1330" s="3">
        <f t="shared" si="80"/>
        <v>2025</v>
      </c>
      <c r="C1330" s="3">
        <f t="shared" si="81"/>
        <v>7</v>
      </c>
      <c r="D1330" s="73" t="s">
        <v>893</v>
      </c>
      <c r="E1330" s="2"/>
      <c r="F1330" s="2" t="s">
        <v>304</v>
      </c>
      <c r="G1330" s="2" t="s">
        <v>913</v>
      </c>
      <c r="H1330" s="2" t="s">
        <v>883</v>
      </c>
      <c r="I1330" s="2" t="s">
        <v>316</v>
      </c>
      <c r="J1330" s="2" t="s">
        <v>22</v>
      </c>
      <c r="K1330" s="146">
        <v>27.12</v>
      </c>
      <c r="L1330" s="146"/>
      <c r="M1330" s="146">
        <f t="shared" si="82"/>
        <v>-27.12</v>
      </c>
      <c r="N1330" s="72">
        <f t="shared" si="83"/>
        <v>481618.84999999928</v>
      </c>
    </row>
    <row r="1331" spans="1:14" x14ac:dyDescent="0.2">
      <c r="A1331" s="3" t="s">
        <v>873</v>
      </c>
      <c r="B1331" s="3">
        <f t="shared" si="80"/>
        <v>2025</v>
      </c>
      <c r="C1331" s="3">
        <f t="shared" si="81"/>
        <v>7</v>
      </c>
      <c r="D1331" s="73" t="s">
        <v>893</v>
      </c>
      <c r="E1331" s="2"/>
      <c r="F1331" s="2" t="s">
        <v>304</v>
      </c>
      <c r="G1331" s="2" t="s">
        <v>913</v>
      </c>
      <c r="H1331" s="2" t="s">
        <v>937</v>
      </c>
      <c r="I1331" s="2" t="s">
        <v>316</v>
      </c>
      <c r="J1331" s="2" t="s">
        <v>22</v>
      </c>
      <c r="K1331" s="146">
        <v>27.96</v>
      </c>
      <c r="L1331" s="146"/>
      <c r="M1331" s="146">
        <f t="shared" si="82"/>
        <v>-27.96</v>
      </c>
      <c r="N1331" s="72">
        <f t="shared" si="83"/>
        <v>481590.88999999926</v>
      </c>
    </row>
    <row r="1332" spans="1:14" x14ac:dyDescent="0.2">
      <c r="A1332" s="3" t="s">
        <v>873</v>
      </c>
      <c r="B1332" s="3">
        <f t="shared" si="80"/>
        <v>2025</v>
      </c>
      <c r="C1332" s="3">
        <f t="shared" si="81"/>
        <v>7</v>
      </c>
      <c r="D1332" s="73" t="s">
        <v>893</v>
      </c>
      <c r="E1332" s="2"/>
      <c r="F1332" s="2" t="s">
        <v>304</v>
      </c>
      <c r="G1332" s="2" t="s">
        <v>913</v>
      </c>
      <c r="H1332" s="2" t="s">
        <v>937</v>
      </c>
      <c r="I1332" s="2" t="s">
        <v>316</v>
      </c>
      <c r="J1332" s="2" t="s">
        <v>22</v>
      </c>
      <c r="K1332" s="146">
        <v>12.72</v>
      </c>
      <c r="L1332" s="146"/>
      <c r="M1332" s="146">
        <f t="shared" si="82"/>
        <v>-12.72</v>
      </c>
      <c r="N1332" s="72">
        <f t="shared" si="83"/>
        <v>481578.16999999929</v>
      </c>
    </row>
    <row r="1333" spans="1:14" x14ac:dyDescent="0.2">
      <c r="A1333" s="3" t="s">
        <v>873</v>
      </c>
      <c r="B1333" s="3">
        <f t="shared" si="80"/>
        <v>2025</v>
      </c>
      <c r="C1333" s="3">
        <f t="shared" si="81"/>
        <v>7</v>
      </c>
      <c r="D1333" s="73" t="s">
        <v>893</v>
      </c>
      <c r="E1333" s="2"/>
      <c r="F1333" s="2" t="s">
        <v>304</v>
      </c>
      <c r="G1333" s="2" t="s">
        <v>913</v>
      </c>
      <c r="H1333" s="2" t="s">
        <v>937</v>
      </c>
      <c r="I1333" s="2" t="s">
        <v>316</v>
      </c>
      <c r="J1333" s="2" t="s">
        <v>22</v>
      </c>
      <c r="K1333" s="146">
        <v>2</v>
      </c>
      <c r="L1333" s="146"/>
      <c r="M1333" s="146">
        <f t="shared" si="82"/>
        <v>-2</v>
      </c>
      <c r="N1333" s="72">
        <f t="shared" si="83"/>
        <v>481576.16999999929</v>
      </c>
    </row>
    <row r="1334" spans="1:14" x14ac:dyDescent="0.2">
      <c r="A1334" s="3" t="s">
        <v>873</v>
      </c>
      <c r="B1334" s="3">
        <f t="shared" si="80"/>
        <v>2025</v>
      </c>
      <c r="C1334" s="3">
        <f t="shared" si="81"/>
        <v>7</v>
      </c>
      <c r="D1334" s="73" t="s">
        <v>893</v>
      </c>
      <c r="E1334" s="2"/>
      <c r="F1334" s="2" t="s">
        <v>304</v>
      </c>
      <c r="G1334" s="2" t="s">
        <v>913</v>
      </c>
      <c r="H1334" s="2" t="s">
        <v>937</v>
      </c>
      <c r="I1334" s="2" t="s">
        <v>316</v>
      </c>
      <c r="J1334" s="2" t="s">
        <v>22</v>
      </c>
      <c r="K1334" s="146">
        <v>9.7799999999999994</v>
      </c>
      <c r="L1334" s="146"/>
      <c r="M1334" s="146">
        <f t="shared" si="82"/>
        <v>-9.7799999999999994</v>
      </c>
      <c r="N1334" s="72">
        <f t="shared" si="83"/>
        <v>481566.38999999926</v>
      </c>
    </row>
    <row r="1335" spans="1:14" x14ac:dyDescent="0.2">
      <c r="A1335" s="73" t="s">
        <v>873</v>
      </c>
      <c r="B1335" s="3">
        <f t="shared" si="80"/>
        <v>2025</v>
      </c>
      <c r="C1335" s="3">
        <f t="shared" si="81"/>
        <v>7</v>
      </c>
      <c r="D1335" s="73" t="s">
        <v>300</v>
      </c>
      <c r="E1335" s="2"/>
      <c r="F1335" s="2" t="s">
        <v>304</v>
      </c>
      <c r="G1335" s="2" t="s">
        <v>303</v>
      </c>
      <c r="H1335" s="2" t="s">
        <v>302</v>
      </c>
      <c r="I1335" s="2" t="s">
        <v>301</v>
      </c>
      <c r="J1335" s="2" t="s">
        <v>11</v>
      </c>
      <c r="K1335" s="72">
        <v>208.34</v>
      </c>
      <c r="L1335" s="39"/>
      <c r="M1335" s="72">
        <f t="shared" si="82"/>
        <v>-208.34</v>
      </c>
      <c r="N1335" s="72">
        <f t="shared" si="83"/>
        <v>481358.04999999923</v>
      </c>
    </row>
    <row r="1336" spans="1:14" x14ac:dyDescent="0.2">
      <c r="A1336" s="73" t="s">
        <v>873</v>
      </c>
      <c r="B1336" s="3">
        <f t="shared" si="80"/>
        <v>2025</v>
      </c>
      <c r="C1336" s="3">
        <f t="shared" si="81"/>
        <v>7</v>
      </c>
      <c r="D1336" s="73" t="s">
        <v>300</v>
      </c>
      <c r="E1336" s="2"/>
      <c r="F1336" s="2" t="s">
        <v>299</v>
      </c>
      <c r="G1336" s="2"/>
      <c r="H1336" s="2" t="s">
        <v>298</v>
      </c>
      <c r="I1336" s="2" t="s">
        <v>297</v>
      </c>
      <c r="J1336" s="2" t="s">
        <v>296</v>
      </c>
      <c r="K1336" s="72"/>
      <c r="L1336" s="39">
        <v>15332.18</v>
      </c>
      <c r="M1336" s="72">
        <f t="shared" si="82"/>
        <v>15332.18</v>
      </c>
      <c r="N1336" s="72">
        <f t="shared" si="83"/>
        <v>496690.22999999922</v>
      </c>
    </row>
    <row r="1337" spans="1:14" x14ac:dyDescent="0.2">
      <c r="A1337" s="3" t="s">
        <v>895</v>
      </c>
      <c r="B1337" s="3">
        <f t="shared" si="80"/>
        <v>2025</v>
      </c>
      <c r="C1337" s="3">
        <f t="shared" si="81"/>
        <v>7</v>
      </c>
      <c r="D1337" s="73" t="s">
        <v>893</v>
      </c>
      <c r="E1337" s="2"/>
      <c r="F1337" s="2" t="s">
        <v>304</v>
      </c>
      <c r="G1337" s="2" t="s">
        <v>941</v>
      </c>
      <c r="H1337" s="2" t="s">
        <v>937</v>
      </c>
      <c r="I1337" s="2" t="s">
        <v>316</v>
      </c>
      <c r="J1337" s="2" t="s">
        <v>22</v>
      </c>
      <c r="K1337" s="146">
        <v>20</v>
      </c>
      <c r="L1337" s="146"/>
      <c r="M1337" s="146">
        <f t="shared" si="82"/>
        <v>-20</v>
      </c>
      <c r="N1337" s="72">
        <f t="shared" si="83"/>
        <v>496670.22999999922</v>
      </c>
    </row>
    <row r="1338" spans="1:14" x14ac:dyDescent="0.2">
      <c r="A1338" s="3" t="s">
        <v>895</v>
      </c>
      <c r="B1338" s="3">
        <f t="shared" si="80"/>
        <v>2025</v>
      </c>
      <c r="C1338" s="3">
        <f t="shared" si="81"/>
        <v>7</v>
      </c>
      <c r="D1338" s="73" t="s">
        <v>893</v>
      </c>
      <c r="E1338" s="2"/>
      <c r="F1338" s="2" t="s">
        <v>304</v>
      </c>
      <c r="G1338" s="2" t="s">
        <v>975</v>
      </c>
      <c r="H1338" s="2" t="s">
        <v>956</v>
      </c>
      <c r="I1338" s="2" t="s">
        <v>316</v>
      </c>
      <c r="J1338" s="2" t="s">
        <v>22</v>
      </c>
      <c r="K1338" s="146">
        <v>19.63</v>
      </c>
      <c r="L1338" s="146"/>
      <c r="M1338" s="146">
        <f t="shared" si="82"/>
        <v>-19.63</v>
      </c>
      <c r="N1338" s="72">
        <f t="shared" si="83"/>
        <v>496650.59999999922</v>
      </c>
    </row>
    <row r="1339" spans="1:14" x14ac:dyDescent="0.2">
      <c r="A1339" s="3" t="s">
        <v>895</v>
      </c>
      <c r="B1339" s="3">
        <f t="shared" si="80"/>
        <v>2025</v>
      </c>
      <c r="C1339" s="3">
        <f t="shared" si="81"/>
        <v>7</v>
      </c>
      <c r="D1339" s="73" t="s">
        <v>893</v>
      </c>
      <c r="E1339" s="2"/>
      <c r="F1339" s="2" t="s">
        <v>304</v>
      </c>
      <c r="G1339" s="2" t="s">
        <v>896</v>
      </c>
      <c r="H1339" s="2" t="s">
        <v>839</v>
      </c>
      <c r="I1339" s="1" t="s">
        <v>316</v>
      </c>
      <c r="J1339" s="2" t="s">
        <v>17</v>
      </c>
      <c r="K1339" s="146">
        <v>11591.41</v>
      </c>
      <c r="L1339" s="146"/>
      <c r="M1339" s="146">
        <f t="shared" si="82"/>
        <v>-11591.41</v>
      </c>
      <c r="N1339" s="72">
        <f t="shared" si="83"/>
        <v>485059.18999999925</v>
      </c>
    </row>
    <row r="1340" spans="1:14" x14ac:dyDescent="0.2">
      <c r="A1340" s="3" t="s">
        <v>895</v>
      </c>
      <c r="B1340" s="3">
        <f t="shared" si="80"/>
        <v>2025</v>
      </c>
      <c r="C1340" s="3">
        <f t="shared" si="81"/>
        <v>7</v>
      </c>
      <c r="D1340" s="73" t="s">
        <v>893</v>
      </c>
      <c r="E1340" s="2"/>
      <c r="F1340" s="2" t="s">
        <v>304</v>
      </c>
      <c r="G1340" s="2" t="s">
        <v>913</v>
      </c>
      <c r="H1340" s="2" t="s">
        <v>923</v>
      </c>
      <c r="I1340" s="2" t="s">
        <v>316</v>
      </c>
      <c r="J1340" s="2" t="s">
        <v>22</v>
      </c>
      <c r="K1340" s="146">
        <v>32</v>
      </c>
      <c r="L1340" s="146"/>
      <c r="M1340" s="146">
        <f t="shared" si="82"/>
        <v>-32</v>
      </c>
      <c r="N1340" s="72">
        <f t="shared" si="83"/>
        <v>485027.18999999925</v>
      </c>
    </row>
    <row r="1341" spans="1:14" x14ac:dyDescent="0.2">
      <c r="A1341" s="3" t="s">
        <v>895</v>
      </c>
      <c r="B1341" s="3">
        <f t="shared" si="80"/>
        <v>2025</v>
      </c>
      <c r="C1341" s="3">
        <f t="shared" si="81"/>
        <v>7</v>
      </c>
      <c r="D1341" s="73" t="s">
        <v>893</v>
      </c>
      <c r="E1341" s="2"/>
      <c r="F1341" s="2" t="s">
        <v>304</v>
      </c>
      <c r="G1341" s="2" t="s">
        <v>913</v>
      </c>
      <c r="H1341" s="2" t="s">
        <v>923</v>
      </c>
      <c r="I1341" s="2" t="s">
        <v>316</v>
      </c>
      <c r="J1341" s="2" t="s">
        <v>22</v>
      </c>
      <c r="K1341" s="146">
        <v>29.91</v>
      </c>
      <c r="L1341" s="146"/>
      <c r="M1341" s="146">
        <f t="shared" si="82"/>
        <v>-29.91</v>
      </c>
      <c r="N1341" s="72">
        <f t="shared" si="83"/>
        <v>484997.27999999927</v>
      </c>
    </row>
    <row r="1342" spans="1:14" x14ac:dyDescent="0.2">
      <c r="A1342" s="3" t="s">
        <v>895</v>
      </c>
      <c r="B1342" s="3">
        <f t="shared" si="80"/>
        <v>2025</v>
      </c>
      <c r="C1342" s="3">
        <f t="shared" si="81"/>
        <v>7</v>
      </c>
      <c r="D1342" s="73" t="s">
        <v>893</v>
      </c>
      <c r="E1342" s="2"/>
      <c r="F1342" s="2" t="s">
        <v>304</v>
      </c>
      <c r="G1342" s="2" t="s">
        <v>913</v>
      </c>
      <c r="H1342" s="2" t="s">
        <v>937</v>
      </c>
      <c r="I1342" s="2" t="s">
        <v>316</v>
      </c>
      <c r="J1342" s="2" t="s">
        <v>22</v>
      </c>
      <c r="K1342" s="146">
        <v>56.93</v>
      </c>
      <c r="L1342" s="146"/>
      <c r="M1342" s="146">
        <f t="shared" si="82"/>
        <v>-56.93</v>
      </c>
      <c r="N1342" s="72">
        <f t="shared" si="83"/>
        <v>484940.34999999928</v>
      </c>
    </row>
    <row r="1343" spans="1:14" x14ac:dyDescent="0.2">
      <c r="A1343" s="73" t="s">
        <v>874</v>
      </c>
      <c r="B1343" s="3">
        <f t="shared" si="80"/>
        <v>2025</v>
      </c>
      <c r="C1343" s="3">
        <f t="shared" si="81"/>
        <v>7</v>
      </c>
      <c r="D1343" s="73" t="s">
        <v>300</v>
      </c>
      <c r="E1343" s="2"/>
      <c r="F1343" s="2" t="s">
        <v>314</v>
      </c>
      <c r="G1343" s="2" t="s">
        <v>341</v>
      </c>
      <c r="H1343" s="2" t="s">
        <v>340</v>
      </c>
      <c r="I1343" s="2" t="s">
        <v>312</v>
      </c>
      <c r="J1343" s="2" t="s">
        <v>16</v>
      </c>
      <c r="K1343" s="72">
        <v>183.94</v>
      </c>
      <c r="L1343" s="39"/>
      <c r="M1343" s="72">
        <f t="shared" si="82"/>
        <v>-183.94</v>
      </c>
      <c r="N1343" s="72">
        <f t="shared" si="83"/>
        <v>484756.40999999928</v>
      </c>
    </row>
    <row r="1344" spans="1:14" x14ac:dyDescent="0.2">
      <c r="A1344" s="3" t="s">
        <v>874</v>
      </c>
      <c r="B1344" s="3">
        <f t="shared" si="80"/>
        <v>2025</v>
      </c>
      <c r="C1344" s="3">
        <f t="shared" si="81"/>
        <v>7</v>
      </c>
      <c r="D1344" s="73" t="s">
        <v>893</v>
      </c>
      <c r="E1344" s="2"/>
      <c r="F1344" s="2" t="s">
        <v>304</v>
      </c>
      <c r="G1344" s="2" t="s">
        <v>1038</v>
      </c>
      <c r="H1344" s="2" t="s">
        <v>1035</v>
      </c>
      <c r="I1344" s="2" t="s">
        <v>316</v>
      </c>
      <c r="J1344" s="2" t="s">
        <v>22</v>
      </c>
      <c r="K1344" s="146">
        <v>51.98</v>
      </c>
      <c r="L1344" s="146"/>
      <c r="M1344" s="146">
        <f t="shared" si="82"/>
        <v>-51.98</v>
      </c>
      <c r="N1344" s="72">
        <f t="shared" si="83"/>
        <v>484704.42999999929</v>
      </c>
    </row>
    <row r="1345" spans="1:14" x14ac:dyDescent="0.2">
      <c r="A1345" s="73" t="s">
        <v>874</v>
      </c>
      <c r="B1345" s="3">
        <f t="shared" si="80"/>
        <v>2025</v>
      </c>
      <c r="C1345" s="3">
        <f t="shared" si="81"/>
        <v>7</v>
      </c>
      <c r="D1345" s="73" t="s">
        <v>300</v>
      </c>
      <c r="E1345" s="2"/>
      <c r="F1345" s="2" t="s">
        <v>325</v>
      </c>
      <c r="G1345" s="2" t="s">
        <v>473</v>
      </c>
      <c r="H1345" s="2" t="s">
        <v>323</v>
      </c>
      <c r="I1345" s="2" t="s">
        <v>350</v>
      </c>
      <c r="J1345" s="2" t="s">
        <v>353</v>
      </c>
      <c r="K1345" s="72">
        <v>24000</v>
      </c>
      <c r="L1345" s="39"/>
      <c r="M1345" s="72">
        <f t="shared" si="82"/>
        <v>-24000</v>
      </c>
      <c r="N1345" s="72">
        <f t="shared" si="83"/>
        <v>460704.42999999929</v>
      </c>
    </row>
    <row r="1346" spans="1:14" x14ac:dyDescent="0.2">
      <c r="A1346" s="73" t="s">
        <v>874</v>
      </c>
      <c r="B1346" s="3">
        <f t="shared" ref="B1346:B1409" si="84">YEAR(A1346)</f>
        <v>2025</v>
      </c>
      <c r="C1346" s="3">
        <f t="shared" ref="C1346:C1409" si="85">MONTH(A1346)</f>
        <v>7</v>
      </c>
      <c r="D1346" s="73" t="s">
        <v>300</v>
      </c>
      <c r="E1346" s="2"/>
      <c r="F1346" s="2" t="s">
        <v>325</v>
      </c>
      <c r="G1346" s="2" t="s">
        <v>734</v>
      </c>
      <c r="H1346" s="2" t="s">
        <v>323</v>
      </c>
      <c r="I1346" s="2" t="s">
        <v>316</v>
      </c>
      <c r="J1346" s="2" t="s">
        <v>22</v>
      </c>
      <c r="K1346" s="72">
        <v>32.04</v>
      </c>
      <c r="L1346" s="39"/>
      <c r="M1346" s="72">
        <f t="shared" ref="M1346:M1409" si="86">IF(ISBLANK(L1346),K1346*-1,L1346)</f>
        <v>-32.04</v>
      </c>
      <c r="N1346" s="72">
        <f t="shared" si="83"/>
        <v>460672.38999999932</v>
      </c>
    </row>
    <row r="1347" spans="1:14" x14ac:dyDescent="0.2">
      <c r="A1347" s="73" t="s">
        <v>874</v>
      </c>
      <c r="B1347" s="3">
        <f t="shared" si="84"/>
        <v>2025</v>
      </c>
      <c r="C1347" s="3">
        <f t="shared" si="85"/>
        <v>7</v>
      </c>
      <c r="D1347" s="73" t="s">
        <v>300</v>
      </c>
      <c r="E1347" s="2"/>
      <c r="F1347" s="2" t="s">
        <v>325</v>
      </c>
      <c r="G1347" s="2" t="s">
        <v>734</v>
      </c>
      <c r="H1347" s="2" t="s">
        <v>323</v>
      </c>
      <c r="I1347" s="2" t="s">
        <v>316</v>
      </c>
      <c r="J1347" s="2" t="s">
        <v>22</v>
      </c>
      <c r="K1347" s="72">
        <v>384.96</v>
      </c>
      <c r="L1347" s="39"/>
      <c r="M1347" s="72">
        <f t="shared" si="86"/>
        <v>-384.96</v>
      </c>
      <c r="N1347" s="72">
        <f t="shared" ref="N1347:N1410" si="87">+N1346+M1347</f>
        <v>460287.42999999929</v>
      </c>
    </row>
    <row r="1348" spans="1:14" x14ac:dyDescent="0.2">
      <c r="A1348" s="73" t="s">
        <v>874</v>
      </c>
      <c r="B1348" s="3">
        <f t="shared" si="84"/>
        <v>2025</v>
      </c>
      <c r="C1348" s="3">
        <f t="shared" si="85"/>
        <v>7</v>
      </c>
      <c r="D1348" s="73" t="s">
        <v>300</v>
      </c>
      <c r="E1348" s="2"/>
      <c r="F1348" s="2" t="s">
        <v>325</v>
      </c>
      <c r="G1348" s="2" t="s">
        <v>887</v>
      </c>
      <c r="H1348" s="2" t="s">
        <v>323</v>
      </c>
      <c r="I1348" s="2" t="s">
        <v>316</v>
      </c>
      <c r="J1348" s="2" t="s">
        <v>28</v>
      </c>
      <c r="K1348" s="72">
        <v>338.67</v>
      </c>
      <c r="L1348" s="39"/>
      <c r="M1348" s="72">
        <f t="shared" si="86"/>
        <v>-338.67</v>
      </c>
      <c r="N1348" s="72">
        <f t="shared" si="87"/>
        <v>459948.75999999931</v>
      </c>
    </row>
    <row r="1349" spans="1:14" x14ac:dyDescent="0.2">
      <c r="A1349" s="73" t="s">
        <v>874</v>
      </c>
      <c r="B1349" s="3">
        <f t="shared" si="84"/>
        <v>2025</v>
      </c>
      <c r="C1349" s="3">
        <f t="shared" si="85"/>
        <v>7</v>
      </c>
      <c r="D1349" s="73" t="s">
        <v>300</v>
      </c>
      <c r="E1349" s="2"/>
      <c r="F1349" s="2" t="s">
        <v>299</v>
      </c>
      <c r="G1349" s="2"/>
      <c r="H1349" s="2" t="s">
        <v>298</v>
      </c>
      <c r="I1349" s="2" t="s">
        <v>297</v>
      </c>
      <c r="J1349" s="2" t="s">
        <v>296</v>
      </c>
      <c r="K1349" s="72"/>
      <c r="L1349" s="39">
        <v>24522.61</v>
      </c>
      <c r="M1349" s="72">
        <f t="shared" si="86"/>
        <v>24522.61</v>
      </c>
      <c r="N1349" s="72">
        <f t="shared" si="87"/>
        <v>484471.3699999993</v>
      </c>
    </row>
    <row r="1350" spans="1:14" x14ac:dyDescent="0.2">
      <c r="A1350" s="3" t="s">
        <v>1013</v>
      </c>
      <c r="B1350" s="3">
        <f t="shared" si="84"/>
        <v>2025</v>
      </c>
      <c r="C1350" s="3">
        <f t="shared" si="85"/>
        <v>7</v>
      </c>
      <c r="D1350" s="73" t="s">
        <v>893</v>
      </c>
      <c r="E1350" s="2"/>
      <c r="F1350" s="2" t="s">
        <v>304</v>
      </c>
      <c r="G1350" s="2" t="s">
        <v>1012</v>
      </c>
      <c r="H1350" s="2" t="s">
        <v>1007</v>
      </c>
      <c r="I1350" s="1" t="s">
        <v>316</v>
      </c>
      <c r="J1350" s="2" t="s">
        <v>17</v>
      </c>
      <c r="K1350" s="146">
        <v>5.3</v>
      </c>
      <c r="L1350" s="146"/>
      <c r="M1350" s="146">
        <f t="shared" si="86"/>
        <v>-5.3</v>
      </c>
      <c r="N1350" s="72">
        <f t="shared" si="87"/>
        <v>484466.06999999931</v>
      </c>
    </row>
    <row r="1351" spans="1:14" x14ac:dyDescent="0.2">
      <c r="A1351" s="3" t="s">
        <v>1013</v>
      </c>
      <c r="B1351" s="3">
        <f t="shared" si="84"/>
        <v>2025</v>
      </c>
      <c r="C1351" s="3">
        <f t="shared" si="85"/>
        <v>7</v>
      </c>
      <c r="D1351" s="73" t="s">
        <v>893</v>
      </c>
      <c r="E1351" s="2"/>
      <c r="F1351" s="2" t="s">
        <v>304</v>
      </c>
      <c r="G1351" s="2" t="s">
        <v>1024</v>
      </c>
      <c r="H1351" s="2" t="s">
        <v>1007</v>
      </c>
      <c r="I1351" s="1" t="s">
        <v>316</v>
      </c>
      <c r="J1351" s="2" t="s">
        <v>17</v>
      </c>
      <c r="K1351" s="146">
        <v>29.68</v>
      </c>
      <c r="L1351" s="146"/>
      <c r="M1351" s="146">
        <f t="shared" si="86"/>
        <v>-29.68</v>
      </c>
      <c r="N1351" s="72">
        <f t="shared" si="87"/>
        <v>484436.38999999932</v>
      </c>
    </row>
    <row r="1352" spans="1:14" x14ac:dyDescent="0.2">
      <c r="A1352" s="3" t="s">
        <v>1022</v>
      </c>
      <c r="B1352" s="3">
        <f t="shared" si="84"/>
        <v>2025</v>
      </c>
      <c r="C1352" s="3">
        <f t="shared" si="85"/>
        <v>7</v>
      </c>
      <c r="D1352" s="73" t="s">
        <v>893</v>
      </c>
      <c r="E1352" s="2"/>
      <c r="F1352" s="2" t="s">
        <v>304</v>
      </c>
      <c r="G1352" s="2" t="s">
        <v>1021</v>
      </c>
      <c r="H1352" s="2" t="s">
        <v>1007</v>
      </c>
      <c r="I1352" s="1" t="s">
        <v>316</v>
      </c>
      <c r="J1352" s="2" t="s">
        <v>17</v>
      </c>
      <c r="K1352" s="146">
        <v>93</v>
      </c>
      <c r="L1352" s="146"/>
      <c r="M1352" s="146">
        <f t="shared" si="86"/>
        <v>-93</v>
      </c>
      <c r="N1352" s="72">
        <f t="shared" si="87"/>
        <v>484343.38999999932</v>
      </c>
    </row>
    <row r="1353" spans="1:14" x14ac:dyDescent="0.2">
      <c r="A1353" s="73" t="s">
        <v>875</v>
      </c>
      <c r="B1353" s="3">
        <f t="shared" si="84"/>
        <v>2025</v>
      </c>
      <c r="C1353" s="3">
        <f t="shared" si="85"/>
        <v>7</v>
      </c>
      <c r="D1353" s="73" t="s">
        <v>300</v>
      </c>
      <c r="E1353" s="2"/>
      <c r="F1353" s="2" t="s">
        <v>321</v>
      </c>
      <c r="G1353" s="2" t="s">
        <v>49</v>
      </c>
      <c r="H1353" s="2" t="s">
        <v>319</v>
      </c>
      <c r="I1353" s="2" t="s">
        <v>315</v>
      </c>
      <c r="J1353" s="2" t="s">
        <v>23</v>
      </c>
      <c r="K1353" s="72"/>
      <c r="L1353" s="39">
        <v>8750</v>
      </c>
      <c r="M1353" s="72">
        <f t="shared" si="86"/>
        <v>8750</v>
      </c>
      <c r="N1353" s="72">
        <f t="shared" si="87"/>
        <v>493093.38999999932</v>
      </c>
    </row>
    <row r="1354" spans="1:14" x14ac:dyDescent="0.2">
      <c r="A1354" s="3" t="s">
        <v>875</v>
      </c>
      <c r="B1354" s="3">
        <f t="shared" si="84"/>
        <v>2025</v>
      </c>
      <c r="C1354" s="3">
        <f t="shared" si="85"/>
        <v>7</v>
      </c>
      <c r="D1354" s="73" t="s">
        <v>893</v>
      </c>
      <c r="E1354" s="2"/>
      <c r="F1354" s="2" t="s">
        <v>304</v>
      </c>
      <c r="G1354" s="2" t="s">
        <v>1019</v>
      </c>
      <c r="H1354" s="2" t="s">
        <v>1007</v>
      </c>
      <c r="I1354" s="1" t="s">
        <v>316</v>
      </c>
      <c r="J1354" s="2" t="s">
        <v>17</v>
      </c>
      <c r="K1354" s="146">
        <v>361.74</v>
      </c>
      <c r="L1354" s="146"/>
      <c r="M1354" s="146">
        <f t="shared" si="86"/>
        <v>-361.74</v>
      </c>
      <c r="N1354" s="72">
        <f t="shared" si="87"/>
        <v>492731.64999999932</v>
      </c>
    </row>
    <row r="1355" spans="1:14" x14ac:dyDescent="0.2">
      <c r="A1355" s="73" t="s">
        <v>875</v>
      </c>
      <c r="B1355" s="3">
        <f t="shared" si="84"/>
        <v>2025</v>
      </c>
      <c r="C1355" s="3">
        <f t="shared" si="85"/>
        <v>7</v>
      </c>
      <c r="D1355" s="73" t="s">
        <v>300</v>
      </c>
      <c r="E1355" s="2"/>
      <c r="F1355" s="2" t="s">
        <v>304</v>
      </c>
      <c r="G1355" s="2" t="s">
        <v>327</v>
      </c>
      <c r="H1355" s="2" t="s">
        <v>326</v>
      </c>
      <c r="I1355" s="2" t="s">
        <v>316</v>
      </c>
      <c r="J1355" s="2" t="s">
        <v>18</v>
      </c>
      <c r="K1355" s="72">
        <v>450.35</v>
      </c>
      <c r="L1355" s="39"/>
      <c r="M1355" s="72">
        <f t="shared" si="86"/>
        <v>-450.35</v>
      </c>
      <c r="N1355" s="72">
        <f t="shared" si="87"/>
        <v>492281.29999999935</v>
      </c>
    </row>
    <row r="1356" spans="1:14" x14ac:dyDescent="0.2">
      <c r="A1356" s="73" t="s">
        <v>875</v>
      </c>
      <c r="B1356" s="3">
        <f t="shared" si="84"/>
        <v>2025</v>
      </c>
      <c r="C1356" s="3">
        <f t="shared" si="85"/>
        <v>7</v>
      </c>
      <c r="D1356" s="73" t="s">
        <v>300</v>
      </c>
      <c r="E1356" s="2"/>
      <c r="F1356" s="2" t="s">
        <v>304</v>
      </c>
      <c r="G1356" s="2" t="s">
        <v>327</v>
      </c>
      <c r="H1356" s="2" t="s">
        <v>326</v>
      </c>
      <c r="I1356" s="2" t="s">
        <v>316</v>
      </c>
      <c r="J1356" s="2" t="s">
        <v>18</v>
      </c>
      <c r="K1356" s="72">
        <v>1332.89</v>
      </c>
      <c r="L1356" s="39"/>
      <c r="M1356" s="72">
        <f t="shared" si="86"/>
        <v>-1332.89</v>
      </c>
      <c r="N1356" s="72">
        <f t="shared" si="87"/>
        <v>490948.40999999933</v>
      </c>
    </row>
    <row r="1357" spans="1:14" x14ac:dyDescent="0.2">
      <c r="A1357" s="3" t="s">
        <v>875</v>
      </c>
      <c r="B1357" s="3">
        <f t="shared" si="84"/>
        <v>2025</v>
      </c>
      <c r="C1357" s="3">
        <f t="shared" si="85"/>
        <v>7</v>
      </c>
      <c r="D1357" s="73" t="s">
        <v>893</v>
      </c>
      <c r="E1357" s="2"/>
      <c r="F1357" s="2" t="s">
        <v>304</v>
      </c>
      <c r="G1357" s="2" t="s">
        <v>1026</v>
      </c>
      <c r="H1357" s="2" t="s">
        <v>1007</v>
      </c>
      <c r="I1357" s="1" t="s">
        <v>316</v>
      </c>
      <c r="J1357" s="2" t="s">
        <v>17</v>
      </c>
      <c r="K1357" s="146">
        <v>17.5</v>
      </c>
      <c r="L1357" s="146"/>
      <c r="M1357" s="146">
        <f t="shared" si="86"/>
        <v>-17.5</v>
      </c>
      <c r="N1357" s="72">
        <f t="shared" si="87"/>
        <v>490930.90999999933</v>
      </c>
    </row>
    <row r="1358" spans="1:14" x14ac:dyDescent="0.2">
      <c r="A1358" s="73" t="s">
        <v>875</v>
      </c>
      <c r="B1358" s="3">
        <f t="shared" si="84"/>
        <v>2025</v>
      </c>
      <c r="C1358" s="3">
        <f t="shared" si="85"/>
        <v>7</v>
      </c>
      <c r="D1358" s="73" t="s">
        <v>300</v>
      </c>
      <c r="E1358" s="2"/>
      <c r="F1358" s="2" t="s">
        <v>299</v>
      </c>
      <c r="G1358" s="2"/>
      <c r="H1358" s="2" t="s">
        <v>298</v>
      </c>
      <c r="I1358" s="2" t="s">
        <v>297</v>
      </c>
      <c r="J1358" s="2" t="s">
        <v>296</v>
      </c>
      <c r="K1358" s="72">
        <v>6549.76</v>
      </c>
      <c r="L1358" s="39"/>
      <c r="M1358" s="72">
        <f t="shared" si="86"/>
        <v>-6549.76</v>
      </c>
      <c r="N1358" s="72">
        <f t="shared" si="87"/>
        <v>484381.14999999932</v>
      </c>
    </row>
    <row r="1359" spans="1:14" x14ac:dyDescent="0.2">
      <c r="A1359" s="73" t="s">
        <v>876</v>
      </c>
      <c r="B1359" s="3">
        <f t="shared" si="84"/>
        <v>2025</v>
      </c>
      <c r="C1359" s="3">
        <f t="shared" si="85"/>
        <v>7</v>
      </c>
      <c r="D1359" s="73" t="s">
        <v>300</v>
      </c>
      <c r="E1359" s="2"/>
      <c r="F1359" s="2" t="s">
        <v>304</v>
      </c>
      <c r="G1359" s="2" t="s">
        <v>336</v>
      </c>
      <c r="H1359" s="2" t="s">
        <v>766</v>
      </c>
      <c r="I1359" s="2" t="s">
        <v>301</v>
      </c>
      <c r="J1359" s="2" t="s">
        <v>11</v>
      </c>
      <c r="K1359" s="72">
        <v>167.94</v>
      </c>
      <c r="L1359" s="39"/>
      <c r="M1359" s="72">
        <f t="shared" si="86"/>
        <v>-167.94</v>
      </c>
      <c r="N1359" s="72">
        <f t="shared" si="87"/>
        <v>484213.20999999932</v>
      </c>
    </row>
    <row r="1360" spans="1:14" x14ac:dyDescent="0.2">
      <c r="A1360" s="73" t="s">
        <v>876</v>
      </c>
      <c r="B1360" s="3">
        <f t="shared" si="84"/>
        <v>2025</v>
      </c>
      <c r="C1360" s="3">
        <f t="shared" si="85"/>
        <v>7</v>
      </c>
      <c r="D1360" s="73" t="s">
        <v>300</v>
      </c>
      <c r="E1360" s="2"/>
      <c r="F1360" s="2" t="s">
        <v>304</v>
      </c>
      <c r="G1360" s="2" t="s">
        <v>334</v>
      </c>
      <c r="H1360" s="2" t="s">
        <v>333</v>
      </c>
      <c r="I1360" s="2" t="s">
        <v>301</v>
      </c>
      <c r="J1360" s="2" t="s">
        <v>11</v>
      </c>
      <c r="K1360" s="72">
        <v>1463.18</v>
      </c>
      <c r="L1360" s="39"/>
      <c r="M1360" s="72">
        <f t="shared" si="86"/>
        <v>-1463.18</v>
      </c>
      <c r="N1360" s="72">
        <f t="shared" si="87"/>
        <v>482750.02999999933</v>
      </c>
    </row>
    <row r="1361" spans="1:14" x14ac:dyDescent="0.2">
      <c r="A1361" s="3" t="s">
        <v>876</v>
      </c>
      <c r="B1361" s="3">
        <f t="shared" si="84"/>
        <v>2025</v>
      </c>
      <c r="C1361" s="3">
        <f t="shared" si="85"/>
        <v>7</v>
      </c>
      <c r="D1361" s="73" t="s">
        <v>893</v>
      </c>
      <c r="E1361" s="2"/>
      <c r="F1361" s="2" t="s">
        <v>304</v>
      </c>
      <c r="G1361" s="2" t="s">
        <v>900</v>
      </c>
      <c r="H1361" s="2" t="s">
        <v>901</v>
      </c>
      <c r="I1361" s="1" t="s">
        <v>316</v>
      </c>
      <c r="J1361" s="2" t="s">
        <v>17</v>
      </c>
      <c r="K1361" s="146">
        <v>20</v>
      </c>
      <c r="L1361" s="146"/>
      <c r="M1361" s="146">
        <f t="shared" si="86"/>
        <v>-20</v>
      </c>
      <c r="N1361" s="72">
        <f t="shared" si="87"/>
        <v>482730.02999999933</v>
      </c>
    </row>
    <row r="1362" spans="1:14" x14ac:dyDescent="0.2">
      <c r="A1362" s="73" t="s">
        <v>876</v>
      </c>
      <c r="B1362" s="3">
        <f t="shared" si="84"/>
        <v>2025</v>
      </c>
      <c r="C1362" s="3">
        <f t="shared" si="85"/>
        <v>7</v>
      </c>
      <c r="D1362" s="73" t="s">
        <v>300</v>
      </c>
      <c r="E1362" s="2"/>
      <c r="F1362" s="2" t="s">
        <v>299</v>
      </c>
      <c r="G1362" s="2"/>
      <c r="H1362" s="2" t="s">
        <v>298</v>
      </c>
      <c r="I1362" s="2" t="s">
        <v>297</v>
      </c>
      <c r="J1362" s="2" t="s">
        <v>296</v>
      </c>
      <c r="K1362" s="72"/>
      <c r="L1362" s="39">
        <v>1631.12</v>
      </c>
      <c r="M1362" s="72">
        <f t="shared" si="86"/>
        <v>1631.12</v>
      </c>
      <c r="N1362" s="72">
        <f t="shared" si="87"/>
        <v>484361.14999999932</v>
      </c>
    </row>
    <row r="1363" spans="1:14" x14ac:dyDescent="0.2">
      <c r="A1363" s="3" t="s">
        <v>943</v>
      </c>
      <c r="B1363" s="3">
        <f t="shared" si="84"/>
        <v>2025</v>
      </c>
      <c r="C1363" s="3">
        <f t="shared" si="85"/>
        <v>7</v>
      </c>
      <c r="D1363" s="73" t="s">
        <v>893</v>
      </c>
      <c r="E1363" s="2"/>
      <c r="F1363" s="2" t="s">
        <v>304</v>
      </c>
      <c r="G1363" s="2" t="s">
        <v>969</v>
      </c>
      <c r="H1363" s="2" t="s">
        <v>956</v>
      </c>
      <c r="I1363" s="2" t="s">
        <v>316</v>
      </c>
      <c r="J1363" s="2" t="s">
        <v>22</v>
      </c>
      <c r="K1363" s="146">
        <v>16.64</v>
      </c>
      <c r="L1363" s="146"/>
      <c r="M1363" s="146">
        <f t="shared" si="86"/>
        <v>-16.64</v>
      </c>
      <c r="N1363" s="72">
        <f t="shared" si="87"/>
        <v>484344.50999999931</v>
      </c>
    </row>
    <row r="1364" spans="1:14" x14ac:dyDescent="0.2">
      <c r="A1364" s="3" t="s">
        <v>943</v>
      </c>
      <c r="B1364" s="3">
        <f t="shared" si="84"/>
        <v>2025</v>
      </c>
      <c r="C1364" s="3">
        <f t="shared" si="85"/>
        <v>7</v>
      </c>
      <c r="D1364" s="73" t="s">
        <v>893</v>
      </c>
      <c r="E1364" s="2"/>
      <c r="F1364" s="2" t="s">
        <v>304</v>
      </c>
      <c r="G1364" s="2" t="s">
        <v>944</v>
      </c>
      <c r="H1364" s="2" t="s">
        <v>937</v>
      </c>
      <c r="I1364" s="2" t="s">
        <v>316</v>
      </c>
      <c r="J1364" s="2" t="s">
        <v>22</v>
      </c>
      <c r="K1364" s="146">
        <v>3</v>
      </c>
      <c r="L1364" s="146"/>
      <c r="M1364" s="146">
        <f t="shared" si="86"/>
        <v>-3</v>
      </c>
      <c r="N1364" s="72">
        <f t="shared" si="87"/>
        <v>484341.50999999931</v>
      </c>
    </row>
    <row r="1365" spans="1:14" x14ac:dyDescent="0.2">
      <c r="A1365" s="3" t="s">
        <v>943</v>
      </c>
      <c r="B1365" s="3">
        <f t="shared" si="84"/>
        <v>2025</v>
      </c>
      <c r="C1365" s="3">
        <f t="shared" si="85"/>
        <v>7</v>
      </c>
      <c r="D1365" s="73" t="s">
        <v>893</v>
      </c>
      <c r="E1365" s="2"/>
      <c r="F1365" s="2" t="s">
        <v>304</v>
      </c>
      <c r="G1365" s="2" t="s">
        <v>946</v>
      </c>
      <c r="H1365" s="2" t="s">
        <v>937</v>
      </c>
      <c r="I1365" s="2" t="s">
        <v>316</v>
      </c>
      <c r="J1365" s="2" t="s">
        <v>22</v>
      </c>
      <c r="K1365" s="146">
        <v>248.99</v>
      </c>
      <c r="L1365" s="146"/>
      <c r="M1365" s="146">
        <f t="shared" si="86"/>
        <v>-248.99</v>
      </c>
      <c r="N1365" s="72">
        <f t="shared" si="87"/>
        <v>484092.51999999932</v>
      </c>
    </row>
    <row r="1366" spans="1:14" x14ac:dyDescent="0.2">
      <c r="A1366" s="3" t="s">
        <v>877</v>
      </c>
      <c r="B1366" s="3">
        <f t="shared" si="84"/>
        <v>2025</v>
      </c>
      <c r="C1366" s="3">
        <f t="shared" si="85"/>
        <v>7</v>
      </c>
      <c r="D1366" s="73" t="s">
        <v>893</v>
      </c>
      <c r="E1366" s="2"/>
      <c r="F1366" s="2" t="s">
        <v>304</v>
      </c>
      <c r="G1366" s="2" t="s">
        <v>959</v>
      </c>
      <c r="H1366" s="2" t="s">
        <v>956</v>
      </c>
      <c r="I1366" s="2" t="s">
        <v>316</v>
      </c>
      <c r="J1366" s="2" t="s">
        <v>22</v>
      </c>
      <c r="K1366" s="146">
        <v>48.04</v>
      </c>
      <c r="L1366" s="146"/>
      <c r="M1366" s="146">
        <f t="shared" si="86"/>
        <v>-48.04</v>
      </c>
      <c r="N1366" s="72">
        <f t="shared" si="87"/>
        <v>484044.47999999934</v>
      </c>
    </row>
    <row r="1367" spans="1:14" x14ac:dyDescent="0.2">
      <c r="A1367" s="3" t="s">
        <v>877</v>
      </c>
      <c r="B1367" s="3">
        <f t="shared" si="84"/>
        <v>2025</v>
      </c>
      <c r="C1367" s="3">
        <f t="shared" si="85"/>
        <v>7</v>
      </c>
      <c r="D1367" s="73" t="s">
        <v>893</v>
      </c>
      <c r="E1367" s="2"/>
      <c r="F1367" s="2" t="s">
        <v>304</v>
      </c>
      <c r="G1367" s="2" t="s">
        <v>960</v>
      </c>
      <c r="H1367" s="2" t="s">
        <v>956</v>
      </c>
      <c r="I1367" s="2" t="s">
        <v>316</v>
      </c>
      <c r="J1367" s="2" t="s">
        <v>22</v>
      </c>
      <c r="K1367" s="146">
        <v>5.8</v>
      </c>
      <c r="L1367" s="146"/>
      <c r="M1367" s="146">
        <f t="shared" si="86"/>
        <v>-5.8</v>
      </c>
      <c r="N1367" s="72">
        <f t="shared" si="87"/>
        <v>484038.67999999935</v>
      </c>
    </row>
    <row r="1368" spans="1:14" x14ac:dyDescent="0.2">
      <c r="A1368" s="3" t="s">
        <v>877</v>
      </c>
      <c r="B1368" s="3">
        <f t="shared" si="84"/>
        <v>2025</v>
      </c>
      <c r="C1368" s="3">
        <f t="shared" si="85"/>
        <v>7</v>
      </c>
      <c r="D1368" s="73" t="s">
        <v>893</v>
      </c>
      <c r="E1368" s="2"/>
      <c r="F1368" s="2" t="s">
        <v>304</v>
      </c>
      <c r="G1368" s="2" t="s">
        <v>963</v>
      </c>
      <c r="H1368" s="2" t="s">
        <v>956</v>
      </c>
      <c r="I1368" s="2" t="s">
        <v>316</v>
      </c>
      <c r="J1368" s="2" t="s">
        <v>22</v>
      </c>
      <c r="K1368" s="146">
        <v>10.35</v>
      </c>
      <c r="L1368" s="146"/>
      <c r="M1368" s="146">
        <f t="shared" si="86"/>
        <v>-10.35</v>
      </c>
      <c r="N1368" s="72">
        <f t="shared" si="87"/>
        <v>484028.32999999938</v>
      </c>
    </row>
    <row r="1369" spans="1:14" x14ac:dyDescent="0.2">
      <c r="A1369" s="3" t="s">
        <v>877</v>
      </c>
      <c r="B1369" s="3">
        <f t="shared" si="84"/>
        <v>2025</v>
      </c>
      <c r="C1369" s="3">
        <f t="shared" si="85"/>
        <v>7</v>
      </c>
      <c r="D1369" s="73" t="s">
        <v>893</v>
      </c>
      <c r="E1369" s="2"/>
      <c r="F1369" s="2" t="s">
        <v>304</v>
      </c>
      <c r="G1369" s="2" t="s">
        <v>966</v>
      </c>
      <c r="H1369" s="2" t="s">
        <v>956</v>
      </c>
      <c r="I1369" s="2" t="s">
        <v>316</v>
      </c>
      <c r="J1369" s="2" t="s">
        <v>22</v>
      </c>
      <c r="K1369" s="146">
        <v>173.2</v>
      </c>
      <c r="L1369" s="146"/>
      <c r="M1369" s="146">
        <f t="shared" si="86"/>
        <v>-173.2</v>
      </c>
      <c r="N1369" s="72">
        <f t="shared" si="87"/>
        <v>483855.12999999936</v>
      </c>
    </row>
    <row r="1370" spans="1:14" x14ac:dyDescent="0.2">
      <c r="A1370" s="73" t="s">
        <v>877</v>
      </c>
      <c r="B1370" s="3">
        <f t="shared" si="84"/>
        <v>2025</v>
      </c>
      <c r="C1370" s="3">
        <f t="shared" si="85"/>
        <v>7</v>
      </c>
      <c r="D1370" s="73" t="s">
        <v>300</v>
      </c>
      <c r="E1370" s="2"/>
      <c r="F1370" s="2" t="s">
        <v>325</v>
      </c>
      <c r="G1370" s="2" t="s">
        <v>837</v>
      </c>
      <c r="H1370" s="2" t="s">
        <v>323</v>
      </c>
      <c r="I1370" s="2" t="s">
        <v>316</v>
      </c>
      <c r="J1370" s="2" t="s">
        <v>22</v>
      </c>
      <c r="K1370" s="72">
        <v>13.68</v>
      </c>
      <c r="L1370" s="39"/>
      <c r="M1370" s="72">
        <f t="shared" si="86"/>
        <v>-13.68</v>
      </c>
      <c r="N1370" s="72">
        <f t="shared" si="87"/>
        <v>483841.44999999937</v>
      </c>
    </row>
    <row r="1371" spans="1:14" x14ac:dyDescent="0.2">
      <c r="A1371" s="3" t="s">
        <v>877</v>
      </c>
      <c r="B1371" s="3">
        <f t="shared" si="84"/>
        <v>2025</v>
      </c>
      <c r="C1371" s="3">
        <f t="shared" si="85"/>
        <v>7</v>
      </c>
      <c r="D1371" s="73" t="s">
        <v>893</v>
      </c>
      <c r="E1371" s="2"/>
      <c r="F1371" s="2" t="s">
        <v>304</v>
      </c>
      <c r="G1371" s="2" t="s">
        <v>986</v>
      </c>
      <c r="H1371" s="2" t="s">
        <v>987</v>
      </c>
      <c r="I1371" s="2" t="s">
        <v>350</v>
      </c>
      <c r="J1371" s="1" t="s">
        <v>353</v>
      </c>
      <c r="K1371" s="146">
        <v>90.1</v>
      </c>
      <c r="L1371" s="146"/>
      <c r="M1371" s="146">
        <f t="shared" si="86"/>
        <v>-90.1</v>
      </c>
      <c r="N1371" s="72">
        <f t="shared" si="87"/>
        <v>483751.34999999939</v>
      </c>
    </row>
    <row r="1372" spans="1:14" x14ac:dyDescent="0.2">
      <c r="A1372" s="3" t="s">
        <v>877</v>
      </c>
      <c r="B1372" s="3">
        <f t="shared" si="84"/>
        <v>2025</v>
      </c>
      <c r="C1372" s="3">
        <f t="shared" si="85"/>
        <v>7</v>
      </c>
      <c r="D1372" s="73" t="s">
        <v>893</v>
      </c>
      <c r="E1372" s="2"/>
      <c r="F1372" s="2" t="s">
        <v>304</v>
      </c>
      <c r="G1372" s="2" t="s">
        <v>935</v>
      </c>
      <c r="H1372" s="2" t="s">
        <v>933</v>
      </c>
      <c r="I1372" s="1" t="s">
        <v>316</v>
      </c>
      <c r="J1372" s="2" t="s">
        <v>17</v>
      </c>
      <c r="K1372" s="146">
        <v>24</v>
      </c>
      <c r="L1372" s="146"/>
      <c r="M1372" s="146">
        <f t="shared" si="86"/>
        <v>-24</v>
      </c>
      <c r="N1372" s="72">
        <f t="shared" si="87"/>
        <v>483727.34999999939</v>
      </c>
    </row>
    <row r="1373" spans="1:14" x14ac:dyDescent="0.2">
      <c r="A1373" s="3" t="s">
        <v>877</v>
      </c>
      <c r="B1373" s="3">
        <f t="shared" si="84"/>
        <v>2025</v>
      </c>
      <c r="C1373" s="3">
        <f t="shared" si="85"/>
        <v>7</v>
      </c>
      <c r="D1373" s="73" t="s">
        <v>893</v>
      </c>
      <c r="E1373" s="2"/>
      <c r="F1373" s="2" t="s">
        <v>304</v>
      </c>
      <c r="G1373" s="2" t="s">
        <v>976</v>
      </c>
      <c r="H1373" s="2" t="s">
        <v>956</v>
      </c>
      <c r="I1373" s="2" t="s">
        <v>316</v>
      </c>
      <c r="J1373" s="2" t="s">
        <v>22</v>
      </c>
      <c r="K1373" s="146">
        <v>13.1</v>
      </c>
      <c r="L1373" s="146"/>
      <c r="M1373" s="146">
        <f t="shared" si="86"/>
        <v>-13.1</v>
      </c>
      <c r="N1373" s="72">
        <f t="shared" si="87"/>
        <v>483714.24999999942</v>
      </c>
    </row>
    <row r="1374" spans="1:14" x14ac:dyDescent="0.2">
      <c r="A1374" s="73" t="s">
        <v>877</v>
      </c>
      <c r="B1374" s="3">
        <f t="shared" si="84"/>
        <v>2025</v>
      </c>
      <c r="C1374" s="3">
        <f t="shared" si="85"/>
        <v>7</v>
      </c>
      <c r="D1374" s="73" t="s">
        <v>300</v>
      </c>
      <c r="E1374" s="2"/>
      <c r="F1374" s="2" t="s">
        <v>325</v>
      </c>
      <c r="G1374" s="2" t="s">
        <v>379</v>
      </c>
      <c r="H1374" s="2" t="s">
        <v>323</v>
      </c>
      <c r="I1374" s="2" t="s">
        <v>316</v>
      </c>
      <c r="J1374" s="2" t="s">
        <v>32</v>
      </c>
      <c r="K1374" s="72">
        <v>535</v>
      </c>
      <c r="L1374" s="39"/>
      <c r="M1374" s="72">
        <f t="shared" si="86"/>
        <v>-535</v>
      </c>
      <c r="N1374" s="72">
        <f t="shared" si="87"/>
        <v>483179.24999999942</v>
      </c>
    </row>
    <row r="1375" spans="1:14" x14ac:dyDescent="0.2">
      <c r="A1375" s="3" t="s">
        <v>877</v>
      </c>
      <c r="B1375" s="3">
        <f t="shared" si="84"/>
        <v>2025</v>
      </c>
      <c r="C1375" s="3">
        <f t="shared" si="85"/>
        <v>7</v>
      </c>
      <c r="D1375" s="73" t="s">
        <v>893</v>
      </c>
      <c r="E1375" s="2"/>
      <c r="F1375" s="2" t="s">
        <v>304</v>
      </c>
      <c r="G1375" s="2" t="s">
        <v>945</v>
      </c>
      <c r="H1375" s="2" t="s">
        <v>937</v>
      </c>
      <c r="I1375" s="2" t="s">
        <v>316</v>
      </c>
      <c r="J1375" s="2" t="s">
        <v>22</v>
      </c>
      <c r="K1375" s="146">
        <v>28.37</v>
      </c>
      <c r="L1375" s="146"/>
      <c r="M1375" s="146">
        <f t="shared" si="86"/>
        <v>-28.37</v>
      </c>
      <c r="N1375" s="72">
        <f t="shared" si="87"/>
        <v>483150.87999999942</v>
      </c>
    </row>
    <row r="1376" spans="1:14" x14ac:dyDescent="0.2">
      <c r="A1376" s="3" t="s">
        <v>877</v>
      </c>
      <c r="B1376" s="3">
        <f t="shared" si="84"/>
        <v>2025</v>
      </c>
      <c r="C1376" s="3">
        <f t="shared" si="85"/>
        <v>7</v>
      </c>
      <c r="D1376" s="73" t="s">
        <v>893</v>
      </c>
      <c r="E1376" s="2"/>
      <c r="F1376" s="2" t="s">
        <v>304</v>
      </c>
      <c r="G1376" s="2" t="s">
        <v>948</v>
      </c>
      <c r="H1376" s="2" t="s">
        <v>937</v>
      </c>
      <c r="I1376" s="2" t="s">
        <v>316</v>
      </c>
      <c r="J1376" s="2" t="s">
        <v>22</v>
      </c>
      <c r="K1376" s="146">
        <v>1.25</v>
      </c>
      <c r="L1376" s="146"/>
      <c r="M1376" s="146">
        <f t="shared" si="86"/>
        <v>-1.25</v>
      </c>
      <c r="N1376" s="72">
        <f t="shared" si="87"/>
        <v>483149.62999999942</v>
      </c>
    </row>
    <row r="1377" spans="1:14" x14ac:dyDescent="0.2">
      <c r="A1377" s="73" t="s">
        <v>877</v>
      </c>
      <c r="B1377" s="3">
        <f t="shared" si="84"/>
        <v>2025</v>
      </c>
      <c r="C1377" s="3">
        <f t="shared" si="85"/>
        <v>7</v>
      </c>
      <c r="D1377" s="73" t="s">
        <v>300</v>
      </c>
      <c r="E1377" s="2"/>
      <c r="F1377" s="2" t="s">
        <v>325</v>
      </c>
      <c r="G1377" s="2" t="s">
        <v>374</v>
      </c>
      <c r="H1377" s="2" t="s">
        <v>323</v>
      </c>
      <c r="I1377" s="2" t="s">
        <v>316</v>
      </c>
      <c r="J1377" s="2" t="s">
        <v>29</v>
      </c>
      <c r="K1377" s="72">
        <v>9005.5</v>
      </c>
      <c r="L1377" s="39"/>
      <c r="M1377" s="72">
        <f t="shared" si="86"/>
        <v>-9005.5</v>
      </c>
      <c r="N1377" s="72">
        <f t="shared" si="87"/>
        <v>474144.12999999942</v>
      </c>
    </row>
    <row r="1378" spans="1:14" x14ac:dyDescent="0.2">
      <c r="A1378" s="73" t="s">
        <v>878</v>
      </c>
      <c r="B1378" s="3">
        <f t="shared" si="84"/>
        <v>2025</v>
      </c>
      <c r="C1378" s="3">
        <f t="shared" si="85"/>
        <v>7</v>
      </c>
      <c r="D1378" s="73" t="s">
        <v>300</v>
      </c>
      <c r="E1378" s="2"/>
      <c r="F1378" s="2" t="s">
        <v>325</v>
      </c>
      <c r="G1378" s="2" t="s">
        <v>837</v>
      </c>
      <c r="H1378" s="2" t="s">
        <v>323</v>
      </c>
      <c r="I1378" s="2" t="s">
        <v>316</v>
      </c>
      <c r="J1378" s="2" t="s">
        <v>22</v>
      </c>
      <c r="K1378" s="72">
        <v>99.74</v>
      </c>
      <c r="L1378" s="39"/>
      <c r="M1378" s="72">
        <f t="shared" si="86"/>
        <v>-99.74</v>
      </c>
      <c r="N1378" s="72">
        <f t="shared" si="87"/>
        <v>474044.38999999943</v>
      </c>
    </row>
    <row r="1379" spans="1:14" x14ac:dyDescent="0.2">
      <c r="A1379" s="73" t="s">
        <v>878</v>
      </c>
      <c r="B1379" s="3">
        <f t="shared" si="84"/>
        <v>2025</v>
      </c>
      <c r="C1379" s="3">
        <f t="shared" si="85"/>
        <v>7</v>
      </c>
      <c r="D1379" s="73" t="s">
        <v>300</v>
      </c>
      <c r="E1379" s="2"/>
      <c r="F1379" s="2" t="s">
        <v>325</v>
      </c>
      <c r="G1379" s="2" t="s">
        <v>837</v>
      </c>
      <c r="H1379" s="2" t="s">
        <v>323</v>
      </c>
      <c r="I1379" s="2" t="s">
        <v>316</v>
      </c>
      <c r="J1379" s="2" t="s">
        <v>22</v>
      </c>
      <c r="K1379" s="72">
        <v>34.130000000000003</v>
      </c>
      <c r="L1379" s="39"/>
      <c r="M1379" s="72">
        <f t="shared" si="86"/>
        <v>-34.130000000000003</v>
      </c>
      <c r="N1379" s="72">
        <f t="shared" si="87"/>
        <v>474010.25999999943</v>
      </c>
    </row>
    <row r="1380" spans="1:14" x14ac:dyDescent="0.2">
      <c r="A1380" s="73" t="s">
        <v>878</v>
      </c>
      <c r="B1380" s="3">
        <f t="shared" si="84"/>
        <v>2025</v>
      </c>
      <c r="C1380" s="3">
        <f t="shared" si="85"/>
        <v>7</v>
      </c>
      <c r="D1380" s="73" t="s">
        <v>300</v>
      </c>
      <c r="E1380" s="2"/>
      <c r="F1380" s="2" t="s">
        <v>325</v>
      </c>
      <c r="G1380" s="2" t="s">
        <v>837</v>
      </c>
      <c r="H1380" s="2" t="s">
        <v>323</v>
      </c>
      <c r="I1380" s="2" t="s">
        <v>316</v>
      </c>
      <c r="J1380" s="2" t="s">
        <v>22</v>
      </c>
      <c r="K1380" s="72">
        <v>44</v>
      </c>
      <c r="L1380" s="39"/>
      <c r="M1380" s="72">
        <f t="shared" si="86"/>
        <v>-44</v>
      </c>
      <c r="N1380" s="72">
        <f t="shared" si="87"/>
        <v>473966.25999999943</v>
      </c>
    </row>
    <row r="1381" spans="1:14" x14ac:dyDescent="0.2">
      <c r="A1381" s="73" t="s">
        <v>878</v>
      </c>
      <c r="B1381" s="3">
        <f t="shared" si="84"/>
        <v>2025</v>
      </c>
      <c r="C1381" s="3">
        <f t="shared" si="85"/>
        <v>7</v>
      </c>
      <c r="D1381" s="73" t="s">
        <v>300</v>
      </c>
      <c r="E1381" s="2"/>
      <c r="F1381" s="2" t="s">
        <v>321</v>
      </c>
      <c r="G1381" s="2" t="s">
        <v>888</v>
      </c>
      <c r="H1381" s="2" t="s">
        <v>319</v>
      </c>
      <c r="I1381" s="2" t="s">
        <v>315</v>
      </c>
      <c r="J1381" s="2" t="s">
        <v>23</v>
      </c>
      <c r="K1381" s="72"/>
      <c r="L1381" s="39">
        <v>24777.599999999999</v>
      </c>
      <c r="M1381" s="72">
        <f t="shared" si="86"/>
        <v>24777.599999999999</v>
      </c>
      <c r="N1381" s="72">
        <f t="shared" si="87"/>
        <v>498743.8599999994</v>
      </c>
    </row>
    <row r="1382" spans="1:14" x14ac:dyDescent="0.2">
      <c r="A1382" s="73" t="s">
        <v>878</v>
      </c>
      <c r="B1382" s="3">
        <f t="shared" si="84"/>
        <v>2025</v>
      </c>
      <c r="C1382" s="3">
        <f t="shared" si="85"/>
        <v>7</v>
      </c>
      <c r="D1382" s="73" t="s">
        <v>300</v>
      </c>
      <c r="E1382" s="2"/>
      <c r="F1382" s="2" t="s">
        <v>304</v>
      </c>
      <c r="G1382" s="2" t="s">
        <v>303</v>
      </c>
      <c r="H1382" s="2" t="s">
        <v>302</v>
      </c>
      <c r="I1382" s="2" t="s">
        <v>301</v>
      </c>
      <c r="J1382" s="2" t="s">
        <v>11</v>
      </c>
      <c r="K1382" s="72">
        <v>66.95</v>
      </c>
      <c r="L1382" s="39"/>
      <c r="M1382" s="72">
        <f t="shared" si="86"/>
        <v>-66.95</v>
      </c>
      <c r="N1382" s="72">
        <f t="shared" si="87"/>
        <v>498676.90999999939</v>
      </c>
    </row>
    <row r="1383" spans="1:14" x14ac:dyDescent="0.2">
      <c r="A1383" s="73" t="s">
        <v>878</v>
      </c>
      <c r="B1383" s="3">
        <f t="shared" si="84"/>
        <v>2025</v>
      </c>
      <c r="C1383" s="3">
        <f t="shared" si="85"/>
        <v>7</v>
      </c>
      <c r="D1383" s="73" t="s">
        <v>300</v>
      </c>
      <c r="E1383" s="2"/>
      <c r="F1383" s="2" t="s">
        <v>321</v>
      </c>
      <c r="G1383" s="2" t="s">
        <v>889</v>
      </c>
      <c r="H1383" s="2" t="s">
        <v>319</v>
      </c>
      <c r="I1383" s="2" t="s">
        <v>315</v>
      </c>
      <c r="J1383" s="2" t="s">
        <v>23</v>
      </c>
      <c r="K1383" s="72"/>
      <c r="L1383" s="39">
        <v>12000</v>
      </c>
      <c r="M1383" s="72">
        <f t="shared" si="86"/>
        <v>12000</v>
      </c>
      <c r="N1383" s="72">
        <f t="shared" si="87"/>
        <v>510676.90999999939</v>
      </c>
    </row>
    <row r="1384" spans="1:14" x14ac:dyDescent="0.2">
      <c r="A1384" s="73" t="s">
        <v>878</v>
      </c>
      <c r="B1384" s="3">
        <f t="shared" si="84"/>
        <v>2025</v>
      </c>
      <c r="C1384" s="3">
        <f t="shared" si="85"/>
        <v>7</v>
      </c>
      <c r="D1384" s="73" t="s">
        <v>300</v>
      </c>
      <c r="E1384" s="2"/>
      <c r="F1384" s="2" t="s">
        <v>299</v>
      </c>
      <c r="G1384" s="2"/>
      <c r="H1384" s="2" t="s">
        <v>298</v>
      </c>
      <c r="I1384" s="2" t="s">
        <v>297</v>
      </c>
      <c r="J1384" s="2" t="s">
        <v>296</v>
      </c>
      <c r="K1384" s="72">
        <v>27156.47</v>
      </c>
      <c r="L1384" s="39"/>
      <c r="M1384" s="72">
        <f t="shared" si="86"/>
        <v>-27156.47</v>
      </c>
      <c r="N1384" s="72">
        <f t="shared" si="87"/>
        <v>483520.43999999936</v>
      </c>
    </row>
    <row r="1385" spans="1:14" x14ac:dyDescent="0.2">
      <c r="A1385" s="3" t="s">
        <v>1039</v>
      </c>
      <c r="B1385" s="3">
        <f t="shared" si="84"/>
        <v>2025</v>
      </c>
      <c r="C1385" s="3">
        <f t="shared" si="85"/>
        <v>7</v>
      </c>
      <c r="D1385" s="73" t="s">
        <v>893</v>
      </c>
      <c r="E1385" s="2"/>
      <c r="F1385" s="2" t="s">
        <v>304</v>
      </c>
      <c r="G1385" s="2" t="s">
        <v>1038</v>
      </c>
      <c r="H1385" s="2" t="s">
        <v>1035</v>
      </c>
      <c r="I1385" s="2" t="s">
        <v>316</v>
      </c>
      <c r="J1385" s="2" t="s">
        <v>22</v>
      </c>
      <c r="K1385" s="146">
        <v>38.25</v>
      </c>
      <c r="L1385" s="146"/>
      <c r="M1385" s="146">
        <f t="shared" si="86"/>
        <v>-38.25</v>
      </c>
      <c r="N1385" s="72">
        <f t="shared" si="87"/>
        <v>483482.18999999936</v>
      </c>
    </row>
    <row r="1386" spans="1:14" x14ac:dyDescent="0.2">
      <c r="A1386" s="3" t="s">
        <v>1018</v>
      </c>
      <c r="B1386" s="3">
        <f t="shared" si="84"/>
        <v>2025</v>
      </c>
      <c r="C1386" s="3">
        <f t="shared" si="85"/>
        <v>7</v>
      </c>
      <c r="D1386" s="73" t="s">
        <v>893</v>
      </c>
      <c r="E1386" s="2"/>
      <c r="F1386" s="2" t="s">
        <v>304</v>
      </c>
      <c r="G1386" s="2" t="s">
        <v>932</v>
      </c>
      <c r="H1386" s="2" t="s">
        <v>1007</v>
      </c>
      <c r="I1386" s="1" t="s">
        <v>316</v>
      </c>
      <c r="J1386" s="2" t="s">
        <v>17</v>
      </c>
      <c r="K1386" s="146">
        <v>95.39</v>
      </c>
      <c r="L1386" s="146"/>
      <c r="M1386" s="146">
        <f t="shared" si="86"/>
        <v>-95.39</v>
      </c>
      <c r="N1386" s="72">
        <f t="shared" si="87"/>
        <v>483386.79999999935</v>
      </c>
    </row>
    <row r="1387" spans="1:14" x14ac:dyDescent="0.2">
      <c r="A1387" s="3" t="s">
        <v>879</v>
      </c>
      <c r="B1387" s="3">
        <f t="shared" si="84"/>
        <v>2025</v>
      </c>
      <c r="C1387" s="3">
        <f t="shared" si="85"/>
        <v>7</v>
      </c>
      <c r="D1387" s="73" t="s">
        <v>893</v>
      </c>
      <c r="E1387" s="2"/>
      <c r="F1387" s="2" t="s">
        <v>304</v>
      </c>
      <c r="G1387" s="2" t="s">
        <v>898</v>
      </c>
      <c r="H1387" s="2" t="s">
        <v>899</v>
      </c>
      <c r="I1387" s="2" t="s">
        <v>301</v>
      </c>
      <c r="J1387" s="2" t="s">
        <v>11</v>
      </c>
      <c r="K1387" s="146">
        <v>52.36</v>
      </c>
      <c r="L1387" s="146"/>
      <c r="M1387" s="146">
        <f t="shared" si="86"/>
        <v>-52.36</v>
      </c>
      <c r="N1387" s="72">
        <f t="shared" si="87"/>
        <v>483334.43999999936</v>
      </c>
    </row>
    <row r="1388" spans="1:14" x14ac:dyDescent="0.2">
      <c r="A1388" s="3" t="s">
        <v>879</v>
      </c>
      <c r="B1388" s="3">
        <f t="shared" si="84"/>
        <v>2025</v>
      </c>
      <c r="C1388" s="3">
        <f t="shared" si="85"/>
        <v>7</v>
      </c>
      <c r="D1388" s="73" t="s">
        <v>893</v>
      </c>
      <c r="E1388" s="2"/>
      <c r="F1388" s="2" t="s">
        <v>304</v>
      </c>
      <c r="G1388" s="2" t="s">
        <v>898</v>
      </c>
      <c r="H1388" s="2" t="s">
        <v>1031</v>
      </c>
      <c r="I1388" s="1" t="s">
        <v>316</v>
      </c>
      <c r="J1388" s="1" t="s">
        <v>28</v>
      </c>
      <c r="K1388" s="146">
        <v>16.61</v>
      </c>
      <c r="L1388" s="146"/>
      <c r="M1388" s="146">
        <f t="shared" si="86"/>
        <v>-16.61</v>
      </c>
      <c r="N1388" s="72">
        <f t="shared" si="87"/>
        <v>483317.82999999938</v>
      </c>
    </row>
    <row r="1389" spans="1:14" x14ac:dyDescent="0.2">
      <c r="A1389" s="3" t="s">
        <v>879</v>
      </c>
      <c r="B1389" s="3">
        <f t="shared" si="84"/>
        <v>2025</v>
      </c>
      <c r="C1389" s="3">
        <f t="shared" si="85"/>
        <v>7</v>
      </c>
      <c r="D1389" s="73" t="s">
        <v>893</v>
      </c>
      <c r="E1389" s="2"/>
      <c r="F1389" s="2" t="s">
        <v>304</v>
      </c>
      <c r="G1389" s="2" t="s">
        <v>941</v>
      </c>
      <c r="H1389" s="2" t="s">
        <v>937</v>
      </c>
      <c r="I1389" s="2" t="s">
        <v>316</v>
      </c>
      <c r="J1389" s="2" t="s">
        <v>22</v>
      </c>
      <c r="K1389" s="146">
        <v>816.55</v>
      </c>
      <c r="L1389" s="146"/>
      <c r="M1389" s="146">
        <f t="shared" si="86"/>
        <v>-816.55</v>
      </c>
      <c r="N1389" s="72">
        <f t="shared" si="87"/>
        <v>482501.27999999939</v>
      </c>
    </row>
    <row r="1390" spans="1:14" x14ac:dyDescent="0.2">
      <c r="A1390" s="73" t="s">
        <v>879</v>
      </c>
      <c r="B1390" s="3">
        <f t="shared" si="84"/>
        <v>2025</v>
      </c>
      <c r="C1390" s="3">
        <f t="shared" si="85"/>
        <v>7</v>
      </c>
      <c r="D1390" s="73" t="s">
        <v>300</v>
      </c>
      <c r="E1390" s="2"/>
      <c r="F1390" s="2" t="s">
        <v>321</v>
      </c>
      <c r="G1390" s="2" t="s">
        <v>387</v>
      </c>
      <c r="H1390" s="2" t="s">
        <v>319</v>
      </c>
      <c r="I1390" s="2" t="s">
        <v>315</v>
      </c>
      <c r="J1390" s="2" t="s">
        <v>23</v>
      </c>
      <c r="K1390" s="72"/>
      <c r="L1390" s="39">
        <v>34620</v>
      </c>
      <c r="M1390" s="72">
        <f t="shared" si="86"/>
        <v>34620</v>
      </c>
      <c r="N1390" s="72">
        <f t="shared" si="87"/>
        <v>517121.27999999939</v>
      </c>
    </row>
    <row r="1391" spans="1:14" x14ac:dyDescent="0.2">
      <c r="A1391" s="73" t="s">
        <v>879</v>
      </c>
      <c r="B1391" s="3">
        <f t="shared" si="84"/>
        <v>2025</v>
      </c>
      <c r="C1391" s="3">
        <f t="shared" si="85"/>
        <v>7</v>
      </c>
      <c r="D1391" s="73" t="s">
        <v>300</v>
      </c>
      <c r="E1391" s="2"/>
      <c r="F1391" s="2" t="s">
        <v>299</v>
      </c>
      <c r="G1391" s="2"/>
      <c r="H1391" s="2" t="s">
        <v>298</v>
      </c>
      <c r="I1391" s="2" t="s">
        <v>297</v>
      </c>
      <c r="J1391" s="2" t="s">
        <v>296</v>
      </c>
      <c r="K1391" s="72">
        <v>34442.129999999997</v>
      </c>
      <c r="L1391" s="39"/>
      <c r="M1391" s="72">
        <f t="shared" si="86"/>
        <v>-34442.129999999997</v>
      </c>
      <c r="N1391" s="72">
        <f t="shared" si="87"/>
        <v>482679.14999999938</v>
      </c>
    </row>
    <row r="1392" spans="1:14" x14ac:dyDescent="0.2">
      <c r="A1392" s="73" t="s">
        <v>880</v>
      </c>
      <c r="B1392" s="3">
        <f t="shared" si="84"/>
        <v>2025</v>
      </c>
      <c r="C1392" s="3">
        <f t="shared" si="85"/>
        <v>7</v>
      </c>
      <c r="D1392" s="73" t="s">
        <v>300</v>
      </c>
      <c r="E1392" s="2"/>
      <c r="F1392" s="2" t="s">
        <v>325</v>
      </c>
      <c r="G1392" s="2" t="s">
        <v>837</v>
      </c>
      <c r="H1392" s="2" t="s">
        <v>323</v>
      </c>
      <c r="I1392" s="2" t="s">
        <v>316</v>
      </c>
      <c r="J1392" s="2" t="s">
        <v>22</v>
      </c>
      <c r="K1392" s="72">
        <v>0.5</v>
      </c>
      <c r="L1392" s="39"/>
      <c r="M1392" s="72">
        <f t="shared" si="86"/>
        <v>-0.5</v>
      </c>
      <c r="N1392" s="72">
        <f t="shared" si="87"/>
        <v>482678.64999999938</v>
      </c>
    </row>
    <row r="1393" spans="1:14" x14ac:dyDescent="0.2">
      <c r="A1393" s="73" t="s">
        <v>880</v>
      </c>
      <c r="B1393" s="3">
        <f t="shared" si="84"/>
        <v>2025</v>
      </c>
      <c r="C1393" s="3">
        <f t="shared" si="85"/>
        <v>7</v>
      </c>
      <c r="D1393" s="73" t="s">
        <v>300</v>
      </c>
      <c r="E1393" s="2"/>
      <c r="F1393" s="2" t="s">
        <v>309</v>
      </c>
      <c r="G1393" s="2" t="s">
        <v>69</v>
      </c>
      <c r="H1393" s="2" t="s">
        <v>346</v>
      </c>
      <c r="I1393" s="2" t="s">
        <v>315</v>
      </c>
      <c r="J1393" s="2" t="s">
        <v>23</v>
      </c>
      <c r="K1393" s="72"/>
      <c r="L1393" s="39">
        <v>14500</v>
      </c>
      <c r="M1393" s="72">
        <f t="shared" si="86"/>
        <v>14500</v>
      </c>
      <c r="N1393" s="72">
        <f t="shared" si="87"/>
        <v>497178.64999999938</v>
      </c>
    </row>
    <row r="1394" spans="1:14" x14ac:dyDescent="0.2">
      <c r="A1394" s="3" t="s">
        <v>880</v>
      </c>
      <c r="B1394" s="3">
        <f t="shared" si="84"/>
        <v>2025</v>
      </c>
      <c r="C1394" s="3">
        <f t="shared" si="85"/>
        <v>7</v>
      </c>
      <c r="D1394" s="73" t="s">
        <v>893</v>
      </c>
      <c r="E1394" s="2"/>
      <c r="F1394" s="2" t="s">
        <v>304</v>
      </c>
      <c r="G1394" s="2" t="s">
        <v>908</v>
      </c>
      <c r="H1394" s="2" t="s">
        <v>901</v>
      </c>
      <c r="I1394" s="1" t="s">
        <v>316</v>
      </c>
      <c r="J1394" s="2" t="s">
        <v>17</v>
      </c>
      <c r="K1394" s="146">
        <v>20</v>
      </c>
      <c r="L1394" s="146"/>
      <c r="M1394" s="146">
        <f t="shared" si="86"/>
        <v>-20</v>
      </c>
      <c r="N1394" s="72">
        <f t="shared" si="87"/>
        <v>497158.64999999938</v>
      </c>
    </row>
    <row r="1395" spans="1:14" x14ac:dyDescent="0.2">
      <c r="A1395" s="73" t="s">
        <v>880</v>
      </c>
      <c r="B1395" s="3">
        <f t="shared" si="84"/>
        <v>2025</v>
      </c>
      <c r="C1395" s="3">
        <f t="shared" si="85"/>
        <v>7</v>
      </c>
      <c r="D1395" s="73" t="s">
        <v>300</v>
      </c>
      <c r="E1395" s="2"/>
      <c r="F1395" s="2" t="s">
        <v>304</v>
      </c>
      <c r="G1395" s="2" t="s">
        <v>317</v>
      </c>
      <c r="H1395" s="2" t="s">
        <v>349</v>
      </c>
      <c r="I1395" s="2" t="s">
        <v>297</v>
      </c>
      <c r="J1395" s="2" t="s">
        <v>26</v>
      </c>
      <c r="K1395" s="72">
        <v>20</v>
      </c>
      <c r="L1395" s="39"/>
      <c r="M1395" s="72">
        <f t="shared" si="86"/>
        <v>-20</v>
      </c>
      <c r="N1395" s="72">
        <f t="shared" si="87"/>
        <v>497138.64999999938</v>
      </c>
    </row>
    <row r="1396" spans="1:14" x14ac:dyDescent="0.2">
      <c r="A1396" s="73" t="s">
        <v>880</v>
      </c>
      <c r="B1396" s="3">
        <f t="shared" si="84"/>
        <v>2025</v>
      </c>
      <c r="C1396" s="3">
        <f t="shared" si="85"/>
        <v>7</v>
      </c>
      <c r="D1396" s="73" t="s">
        <v>300</v>
      </c>
      <c r="E1396" s="2"/>
      <c r="F1396" s="2" t="s">
        <v>304</v>
      </c>
      <c r="G1396" s="2" t="s">
        <v>344</v>
      </c>
      <c r="H1396" s="2" t="s">
        <v>343</v>
      </c>
      <c r="I1396" s="2" t="s">
        <v>301</v>
      </c>
      <c r="J1396" s="2" t="s">
        <v>11</v>
      </c>
      <c r="K1396" s="72">
        <v>600</v>
      </c>
      <c r="L1396" s="39"/>
      <c r="M1396" s="72">
        <f t="shared" si="86"/>
        <v>-600</v>
      </c>
      <c r="N1396" s="72">
        <f t="shared" si="87"/>
        <v>496538.64999999938</v>
      </c>
    </row>
    <row r="1397" spans="1:14" x14ac:dyDescent="0.2">
      <c r="A1397" s="73" t="s">
        <v>880</v>
      </c>
      <c r="B1397" s="3">
        <f t="shared" si="84"/>
        <v>2025</v>
      </c>
      <c r="C1397" s="3">
        <f t="shared" si="85"/>
        <v>7</v>
      </c>
      <c r="D1397" s="73" t="s">
        <v>300</v>
      </c>
      <c r="E1397" s="2"/>
      <c r="F1397" s="2" t="s">
        <v>299</v>
      </c>
      <c r="G1397" s="2"/>
      <c r="H1397" s="2" t="s">
        <v>298</v>
      </c>
      <c r="I1397" s="2" t="s">
        <v>297</v>
      </c>
      <c r="J1397" s="2" t="s">
        <v>296</v>
      </c>
      <c r="K1397" s="72"/>
      <c r="L1397" s="39">
        <v>600</v>
      </c>
      <c r="M1397" s="72">
        <f t="shared" si="86"/>
        <v>600</v>
      </c>
      <c r="N1397" s="72">
        <f t="shared" si="87"/>
        <v>497138.64999999938</v>
      </c>
    </row>
    <row r="1398" spans="1:14" x14ac:dyDescent="0.2">
      <c r="A1398" s="3" t="s">
        <v>881</v>
      </c>
      <c r="B1398" s="3">
        <f t="shared" si="84"/>
        <v>2025</v>
      </c>
      <c r="C1398" s="3">
        <f t="shared" si="85"/>
        <v>7</v>
      </c>
      <c r="D1398" s="73" t="s">
        <v>893</v>
      </c>
      <c r="E1398" s="2"/>
      <c r="F1398" s="2" t="s">
        <v>304</v>
      </c>
      <c r="G1398" s="2" t="s">
        <v>936</v>
      </c>
      <c r="H1398" s="2" t="s">
        <v>937</v>
      </c>
      <c r="I1398" s="2" t="s">
        <v>316</v>
      </c>
      <c r="J1398" s="2" t="s">
        <v>22</v>
      </c>
      <c r="K1398" s="146">
        <v>428.18</v>
      </c>
      <c r="L1398" s="146"/>
      <c r="M1398" s="146">
        <f t="shared" si="86"/>
        <v>-428.18</v>
      </c>
      <c r="N1398" s="72">
        <f t="shared" si="87"/>
        <v>496710.46999999939</v>
      </c>
    </row>
    <row r="1399" spans="1:14" x14ac:dyDescent="0.2">
      <c r="A1399" s="3" t="s">
        <v>881</v>
      </c>
      <c r="B1399" s="3">
        <f t="shared" si="84"/>
        <v>2025</v>
      </c>
      <c r="C1399" s="3">
        <f t="shared" si="85"/>
        <v>7</v>
      </c>
      <c r="D1399" s="73" t="s">
        <v>893</v>
      </c>
      <c r="E1399" s="2"/>
      <c r="F1399" s="2" t="s">
        <v>304</v>
      </c>
      <c r="G1399" s="2" t="s">
        <v>936</v>
      </c>
      <c r="H1399" s="2" t="s">
        <v>937</v>
      </c>
      <c r="I1399" s="2" t="s">
        <v>316</v>
      </c>
      <c r="J1399" s="2" t="s">
        <v>22</v>
      </c>
      <c r="K1399" s="146">
        <v>279.48</v>
      </c>
      <c r="L1399" s="146"/>
      <c r="M1399" s="146">
        <f t="shared" si="86"/>
        <v>-279.48</v>
      </c>
      <c r="N1399" s="72">
        <f t="shared" si="87"/>
        <v>496430.98999999941</v>
      </c>
    </row>
    <row r="1400" spans="1:14" x14ac:dyDescent="0.2">
      <c r="A1400" s="3" t="s">
        <v>881</v>
      </c>
      <c r="B1400" s="3">
        <f t="shared" si="84"/>
        <v>2025</v>
      </c>
      <c r="C1400" s="3">
        <f t="shared" si="85"/>
        <v>7</v>
      </c>
      <c r="D1400" s="73" t="s">
        <v>893</v>
      </c>
      <c r="E1400" s="2"/>
      <c r="F1400" s="2" t="s">
        <v>304</v>
      </c>
      <c r="G1400" s="2" t="s">
        <v>936</v>
      </c>
      <c r="H1400" s="2" t="s">
        <v>937</v>
      </c>
      <c r="I1400" s="2" t="s">
        <v>316</v>
      </c>
      <c r="J1400" s="2" t="s">
        <v>22</v>
      </c>
      <c r="K1400" s="146">
        <v>59.7</v>
      </c>
      <c r="L1400" s="146"/>
      <c r="M1400" s="146">
        <f t="shared" si="86"/>
        <v>-59.7</v>
      </c>
      <c r="N1400" s="72">
        <f t="shared" si="87"/>
        <v>496371.2899999994</v>
      </c>
    </row>
    <row r="1401" spans="1:14" x14ac:dyDescent="0.2">
      <c r="A1401" s="3" t="s">
        <v>881</v>
      </c>
      <c r="B1401" s="3">
        <f t="shared" si="84"/>
        <v>2025</v>
      </c>
      <c r="C1401" s="3">
        <f t="shared" si="85"/>
        <v>7</v>
      </c>
      <c r="D1401" s="73" t="s">
        <v>893</v>
      </c>
      <c r="E1401" s="2"/>
      <c r="F1401" s="2" t="s">
        <v>304</v>
      </c>
      <c r="G1401" s="2" t="s">
        <v>941</v>
      </c>
      <c r="H1401" s="2" t="s">
        <v>937</v>
      </c>
      <c r="I1401" s="2" t="s">
        <v>316</v>
      </c>
      <c r="J1401" s="2" t="s">
        <v>22</v>
      </c>
      <c r="K1401" s="146">
        <v>388.49</v>
      </c>
      <c r="L1401" s="146"/>
      <c r="M1401" s="146">
        <f t="shared" si="86"/>
        <v>-388.49</v>
      </c>
      <c r="N1401" s="72">
        <f t="shared" si="87"/>
        <v>495982.79999999941</v>
      </c>
    </row>
    <row r="1402" spans="1:14" x14ac:dyDescent="0.2">
      <c r="A1402" s="73" t="s">
        <v>881</v>
      </c>
      <c r="B1402" s="3">
        <f t="shared" si="84"/>
        <v>2025</v>
      </c>
      <c r="C1402" s="3">
        <f t="shared" si="85"/>
        <v>7</v>
      </c>
      <c r="D1402" s="73" t="s">
        <v>300</v>
      </c>
      <c r="E1402" s="2"/>
      <c r="F1402" s="2" t="s">
        <v>309</v>
      </c>
      <c r="G1402" s="2" t="s">
        <v>12</v>
      </c>
      <c r="H1402" s="2" t="s">
        <v>346</v>
      </c>
      <c r="I1402" s="2" t="s">
        <v>315</v>
      </c>
      <c r="J1402" s="2" t="s">
        <v>23</v>
      </c>
      <c r="K1402" s="72"/>
      <c r="L1402" s="39">
        <v>1500</v>
      </c>
      <c r="M1402" s="72">
        <f t="shared" si="86"/>
        <v>1500</v>
      </c>
      <c r="N1402" s="72">
        <f t="shared" si="87"/>
        <v>497482.79999999941</v>
      </c>
    </row>
    <row r="1403" spans="1:14" x14ac:dyDescent="0.2">
      <c r="A1403" s="73" t="s">
        <v>881</v>
      </c>
      <c r="B1403" s="3">
        <f t="shared" si="84"/>
        <v>2025</v>
      </c>
      <c r="C1403" s="3">
        <f t="shared" si="85"/>
        <v>7</v>
      </c>
      <c r="D1403" s="73" t="s">
        <v>300</v>
      </c>
      <c r="E1403" s="2"/>
      <c r="F1403" s="2" t="s">
        <v>304</v>
      </c>
      <c r="G1403" s="2" t="s">
        <v>306</v>
      </c>
      <c r="H1403" s="2" t="s">
        <v>516</v>
      </c>
      <c r="I1403" s="2" t="s">
        <v>301</v>
      </c>
      <c r="J1403" s="2" t="s">
        <v>11</v>
      </c>
      <c r="K1403" s="72">
        <v>1234.75</v>
      </c>
      <c r="L1403" s="39"/>
      <c r="M1403" s="72">
        <f t="shared" si="86"/>
        <v>-1234.75</v>
      </c>
      <c r="N1403" s="72">
        <f t="shared" si="87"/>
        <v>496248.04999999941</v>
      </c>
    </row>
    <row r="1404" spans="1:14" x14ac:dyDescent="0.2">
      <c r="A1404" s="73" t="s">
        <v>881</v>
      </c>
      <c r="B1404" s="3">
        <f t="shared" si="84"/>
        <v>2025</v>
      </c>
      <c r="C1404" s="3">
        <f t="shared" si="85"/>
        <v>7</v>
      </c>
      <c r="D1404" s="73" t="s">
        <v>300</v>
      </c>
      <c r="E1404" s="2"/>
      <c r="F1404" s="2" t="s">
        <v>304</v>
      </c>
      <c r="G1404" s="2" t="s">
        <v>306</v>
      </c>
      <c r="H1404" s="2" t="s">
        <v>516</v>
      </c>
      <c r="I1404" s="2" t="s">
        <v>301</v>
      </c>
      <c r="J1404" s="2" t="s">
        <v>20</v>
      </c>
      <c r="K1404" s="72">
        <v>43355.37</v>
      </c>
      <c r="L1404" s="39"/>
      <c r="M1404" s="72">
        <f t="shared" si="86"/>
        <v>-43355.37</v>
      </c>
      <c r="N1404" s="72">
        <f t="shared" si="87"/>
        <v>452892.67999999941</v>
      </c>
    </row>
    <row r="1405" spans="1:14" x14ac:dyDescent="0.2">
      <c r="A1405" s="73" t="s">
        <v>881</v>
      </c>
      <c r="B1405" s="3">
        <f t="shared" si="84"/>
        <v>2025</v>
      </c>
      <c r="C1405" s="3">
        <f t="shared" si="85"/>
        <v>7</v>
      </c>
      <c r="D1405" s="73" t="s">
        <v>300</v>
      </c>
      <c r="E1405" s="2"/>
      <c r="F1405" s="2" t="s">
        <v>304</v>
      </c>
      <c r="G1405" s="2" t="s">
        <v>306</v>
      </c>
      <c r="H1405" s="2" t="s">
        <v>516</v>
      </c>
      <c r="I1405" s="2" t="s">
        <v>301</v>
      </c>
      <c r="J1405" s="2" t="s">
        <v>24</v>
      </c>
      <c r="K1405" s="72">
        <v>86819.45</v>
      </c>
      <c r="L1405" s="39"/>
      <c r="M1405" s="72">
        <f t="shared" si="86"/>
        <v>-86819.45</v>
      </c>
      <c r="N1405" s="72">
        <f t="shared" si="87"/>
        <v>366073.2299999994</v>
      </c>
    </row>
    <row r="1406" spans="1:14" x14ac:dyDescent="0.2">
      <c r="A1406" s="73" t="s">
        <v>881</v>
      </c>
      <c r="B1406" s="3">
        <f t="shared" si="84"/>
        <v>2025</v>
      </c>
      <c r="C1406" s="3">
        <f t="shared" si="85"/>
        <v>7</v>
      </c>
      <c r="D1406" s="73" t="s">
        <v>300</v>
      </c>
      <c r="E1406" s="2"/>
      <c r="F1406" s="2" t="s">
        <v>304</v>
      </c>
      <c r="G1406" s="2" t="s">
        <v>317</v>
      </c>
      <c r="H1406" s="2" t="s">
        <v>349</v>
      </c>
      <c r="I1406" s="2" t="s">
        <v>297</v>
      </c>
      <c r="J1406" s="2" t="s">
        <v>26</v>
      </c>
      <c r="K1406" s="72">
        <v>15</v>
      </c>
      <c r="L1406" s="39"/>
      <c r="M1406" s="72">
        <f t="shared" si="86"/>
        <v>-15</v>
      </c>
      <c r="N1406" s="72">
        <f t="shared" si="87"/>
        <v>366058.2299999994</v>
      </c>
    </row>
    <row r="1407" spans="1:14" x14ac:dyDescent="0.2">
      <c r="A1407" s="3" t="s">
        <v>881</v>
      </c>
      <c r="B1407" s="3">
        <f t="shared" si="84"/>
        <v>2025</v>
      </c>
      <c r="C1407" s="3">
        <f t="shared" si="85"/>
        <v>7</v>
      </c>
      <c r="D1407" s="73" t="s">
        <v>893</v>
      </c>
      <c r="E1407" s="2"/>
      <c r="F1407" s="2" t="s">
        <v>304</v>
      </c>
      <c r="G1407" s="2" t="s">
        <v>953</v>
      </c>
      <c r="H1407" s="2" t="s">
        <v>937</v>
      </c>
      <c r="I1407" s="2" t="s">
        <v>316</v>
      </c>
      <c r="J1407" s="2" t="s">
        <v>22</v>
      </c>
      <c r="K1407" s="146">
        <v>436.96</v>
      </c>
      <c r="L1407" s="146"/>
      <c r="M1407" s="146">
        <f t="shared" si="86"/>
        <v>-436.96</v>
      </c>
      <c r="N1407" s="72">
        <f t="shared" si="87"/>
        <v>365621.26999999938</v>
      </c>
    </row>
    <row r="1408" spans="1:14" x14ac:dyDescent="0.2">
      <c r="A1408" s="73" t="s">
        <v>881</v>
      </c>
      <c r="B1408" s="3">
        <f t="shared" si="84"/>
        <v>2025</v>
      </c>
      <c r="C1408" s="3">
        <f t="shared" si="85"/>
        <v>7</v>
      </c>
      <c r="D1408" s="73" t="s">
        <v>300</v>
      </c>
      <c r="E1408" s="2"/>
      <c r="F1408" s="2" t="s">
        <v>299</v>
      </c>
      <c r="G1408" s="2"/>
      <c r="H1408" s="2" t="s">
        <v>298</v>
      </c>
      <c r="I1408" s="2" t="s">
        <v>297</v>
      </c>
      <c r="J1408" s="2" t="s">
        <v>296</v>
      </c>
      <c r="K1408" s="72"/>
      <c r="L1408" s="39">
        <v>116930.07</v>
      </c>
      <c r="M1408" s="72">
        <f t="shared" si="86"/>
        <v>116930.07</v>
      </c>
      <c r="N1408" s="72">
        <f t="shared" si="87"/>
        <v>482551.33999999939</v>
      </c>
    </row>
    <row r="1409" spans="1:15" x14ac:dyDescent="0.2">
      <c r="A1409" s="73" t="s">
        <v>882</v>
      </c>
      <c r="B1409" s="3">
        <f t="shared" si="84"/>
        <v>2025</v>
      </c>
      <c r="C1409" s="3">
        <f t="shared" si="85"/>
        <v>7</v>
      </c>
      <c r="D1409" s="73" t="s">
        <v>300</v>
      </c>
      <c r="E1409" s="2"/>
      <c r="F1409" s="2" t="s">
        <v>304</v>
      </c>
      <c r="G1409" s="2" t="s">
        <v>890</v>
      </c>
      <c r="H1409" s="2" t="s">
        <v>518</v>
      </c>
      <c r="I1409" s="2" t="s">
        <v>316</v>
      </c>
      <c r="J1409" s="2" t="s">
        <v>21</v>
      </c>
      <c r="K1409" s="72">
        <v>112.92</v>
      </c>
      <c r="L1409" s="39"/>
      <c r="M1409" s="72">
        <f t="shared" si="86"/>
        <v>-112.92</v>
      </c>
      <c r="N1409" s="72">
        <f t="shared" si="87"/>
        <v>482438.4199999994</v>
      </c>
    </row>
    <row r="1410" spans="1:15" x14ac:dyDescent="0.2">
      <c r="A1410" s="73" t="s">
        <v>882</v>
      </c>
      <c r="B1410" s="3">
        <f t="shared" ref="B1410:B1473" si="88">YEAR(A1410)</f>
        <v>2025</v>
      </c>
      <c r="C1410" s="3">
        <f t="shared" ref="C1410:C1473" si="89">MONTH(A1410)</f>
        <v>7</v>
      </c>
      <c r="D1410" s="73" t="s">
        <v>300</v>
      </c>
      <c r="E1410" s="2"/>
      <c r="F1410" s="2" t="s">
        <v>309</v>
      </c>
      <c r="G1410" s="2" t="s">
        <v>308</v>
      </c>
      <c r="H1410" s="2" t="s">
        <v>307</v>
      </c>
      <c r="I1410" s="2" t="s">
        <v>297</v>
      </c>
      <c r="J1410" s="2" t="s">
        <v>48</v>
      </c>
      <c r="K1410" s="72"/>
      <c r="L1410" s="39">
        <v>3150.25</v>
      </c>
      <c r="M1410" s="72">
        <f t="shared" ref="M1410:M1473" si="90">IF(ISBLANK(L1410),K1410*-1,L1410)</f>
        <v>3150.25</v>
      </c>
      <c r="N1410" s="72">
        <f t="shared" si="87"/>
        <v>485588.6699999994</v>
      </c>
    </row>
    <row r="1411" spans="1:15" x14ac:dyDescent="0.2">
      <c r="A1411" s="73" t="s">
        <v>882</v>
      </c>
      <c r="B1411" s="3">
        <f t="shared" si="88"/>
        <v>2025</v>
      </c>
      <c r="C1411" s="3">
        <f t="shared" si="89"/>
        <v>7</v>
      </c>
      <c r="D1411" s="73" t="s">
        <v>300</v>
      </c>
      <c r="E1411" s="2"/>
      <c r="F1411" s="2" t="s">
        <v>304</v>
      </c>
      <c r="G1411" s="2" t="s">
        <v>306</v>
      </c>
      <c r="H1411" s="2" t="s">
        <v>305</v>
      </c>
      <c r="I1411" s="2" t="s">
        <v>301</v>
      </c>
      <c r="J1411" s="2" t="s">
        <v>19</v>
      </c>
      <c r="K1411" s="72">
        <v>366.44</v>
      </c>
      <c r="L1411" s="39"/>
      <c r="M1411" s="72">
        <f t="shared" si="90"/>
        <v>-366.44</v>
      </c>
      <c r="N1411" s="72">
        <f t="shared" ref="N1411:N1474" si="91">+N1410+M1411</f>
        <v>485222.2299999994</v>
      </c>
    </row>
    <row r="1412" spans="1:15" x14ac:dyDescent="0.2">
      <c r="A1412" s="73" t="s">
        <v>882</v>
      </c>
      <c r="B1412" s="3">
        <f t="shared" si="88"/>
        <v>2025</v>
      </c>
      <c r="C1412" s="3">
        <f t="shared" si="89"/>
        <v>7</v>
      </c>
      <c r="D1412" s="73" t="s">
        <v>300</v>
      </c>
      <c r="E1412" s="2"/>
      <c r="F1412" s="2" t="s">
        <v>304</v>
      </c>
      <c r="G1412" s="2" t="s">
        <v>728</v>
      </c>
      <c r="H1412" s="2" t="s">
        <v>839</v>
      </c>
      <c r="I1412" s="2" t="s">
        <v>316</v>
      </c>
      <c r="J1412" s="2" t="s">
        <v>17</v>
      </c>
      <c r="K1412" s="72">
        <v>5008</v>
      </c>
      <c r="L1412" s="39"/>
      <c r="M1412" s="72">
        <f t="shared" si="90"/>
        <v>-5008</v>
      </c>
      <c r="N1412" s="72">
        <f t="shared" si="91"/>
        <v>480214.2299999994</v>
      </c>
    </row>
    <row r="1413" spans="1:15" x14ac:dyDescent="0.2">
      <c r="A1413" s="73" t="s">
        <v>882</v>
      </c>
      <c r="B1413" s="3">
        <f t="shared" si="88"/>
        <v>2025</v>
      </c>
      <c r="C1413" s="3">
        <f t="shared" si="89"/>
        <v>7</v>
      </c>
      <c r="D1413" s="73" t="s">
        <v>300</v>
      </c>
      <c r="E1413" s="2"/>
      <c r="F1413" s="2" t="s">
        <v>299</v>
      </c>
      <c r="G1413" s="2"/>
      <c r="H1413" s="2" t="s">
        <v>298</v>
      </c>
      <c r="I1413" s="2" t="s">
        <v>297</v>
      </c>
      <c r="J1413" s="2" t="s">
        <v>296</v>
      </c>
      <c r="K1413" s="72"/>
      <c r="L1413" s="39">
        <v>852.11</v>
      </c>
      <c r="M1413" s="72">
        <f t="shared" si="90"/>
        <v>852.11</v>
      </c>
      <c r="N1413" s="72">
        <f t="shared" si="91"/>
        <v>481066.33999999939</v>
      </c>
      <c r="O1413" s="72">
        <v>500000</v>
      </c>
    </row>
    <row r="1414" spans="1:15" x14ac:dyDescent="0.2">
      <c r="A1414" s="73" t="s">
        <v>1052</v>
      </c>
      <c r="B1414" s="3">
        <f t="shared" si="88"/>
        <v>2025</v>
      </c>
      <c r="C1414" s="3">
        <f t="shared" si="89"/>
        <v>8</v>
      </c>
      <c r="D1414" s="73" t="s">
        <v>893</v>
      </c>
      <c r="E1414" s="2"/>
      <c r="F1414" s="2" t="s">
        <v>304</v>
      </c>
      <c r="G1414" s="2" t="s">
        <v>936</v>
      </c>
      <c r="H1414" s="2" t="s">
        <v>937</v>
      </c>
      <c r="I1414" s="2" t="s">
        <v>316</v>
      </c>
      <c r="J1414" s="2" t="s">
        <v>22</v>
      </c>
      <c r="K1414" s="72">
        <v>279.18</v>
      </c>
      <c r="L1414" s="39"/>
      <c r="M1414" s="72">
        <f t="shared" si="90"/>
        <v>-279.18</v>
      </c>
      <c r="N1414" s="72">
        <f t="shared" si="91"/>
        <v>480787.15999999939</v>
      </c>
    </row>
    <row r="1415" spans="1:15" x14ac:dyDescent="0.2">
      <c r="A1415" s="73" t="s">
        <v>1052</v>
      </c>
      <c r="B1415" s="3">
        <f t="shared" si="88"/>
        <v>2025</v>
      </c>
      <c r="C1415" s="3">
        <f t="shared" si="89"/>
        <v>8</v>
      </c>
      <c r="D1415" s="73" t="s">
        <v>893</v>
      </c>
      <c r="E1415" s="2"/>
      <c r="F1415" s="2" t="s">
        <v>304</v>
      </c>
      <c r="G1415" s="2" t="s">
        <v>1011</v>
      </c>
      <c r="H1415" s="2" t="s">
        <v>1007</v>
      </c>
      <c r="I1415" s="1" t="s">
        <v>316</v>
      </c>
      <c r="J1415" s="2" t="s">
        <v>17</v>
      </c>
      <c r="K1415" s="72">
        <v>79</v>
      </c>
      <c r="L1415" s="39"/>
      <c r="M1415" s="72">
        <f t="shared" si="90"/>
        <v>-79</v>
      </c>
      <c r="N1415" s="72">
        <f t="shared" si="91"/>
        <v>480708.15999999939</v>
      </c>
    </row>
    <row r="1416" spans="1:15" x14ac:dyDescent="0.2">
      <c r="A1416" s="73" t="s">
        <v>1052</v>
      </c>
      <c r="B1416" s="3">
        <f t="shared" si="88"/>
        <v>2025</v>
      </c>
      <c r="C1416" s="3">
        <f t="shared" si="89"/>
        <v>8</v>
      </c>
      <c r="D1416" s="73" t="s">
        <v>300</v>
      </c>
      <c r="E1416" s="2"/>
      <c r="F1416" s="2" t="s">
        <v>325</v>
      </c>
      <c r="G1416" s="2" t="s">
        <v>694</v>
      </c>
      <c r="H1416" s="2" t="s">
        <v>323</v>
      </c>
      <c r="I1416" s="2" t="s">
        <v>316</v>
      </c>
      <c r="J1416" s="2" t="s">
        <v>34</v>
      </c>
      <c r="K1416" s="72">
        <v>3545.63</v>
      </c>
      <c r="L1416" s="39"/>
      <c r="M1416" s="72">
        <f t="shared" si="90"/>
        <v>-3545.63</v>
      </c>
      <c r="N1416" s="72">
        <f t="shared" si="91"/>
        <v>477162.52999999939</v>
      </c>
    </row>
    <row r="1417" spans="1:15" x14ac:dyDescent="0.2">
      <c r="A1417" s="73" t="s">
        <v>1052</v>
      </c>
      <c r="B1417" s="3">
        <f t="shared" si="88"/>
        <v>2025</v>
      </c>
      <c r="C1417" s="3">
        <f t="shared" si="89"/>
        <v>8</v>
      </c>
      <c r="D1417" s="73" t="s">
        <v>893</v>
      </c>
      <c r="E1417" s="2"/>
      <c r="F1417" s="2" t="s">
        <v>304</v>
      </c>
      <c r="G1417" s="2" t="s">
        <v>1014</v>
      </c>
      <c r="H1417" s="2" t="s">
        <v>1007</v>
      </c>
      <c r="I1417" s="1" t="s">
        <v>316</v>
      </c>
      <c r="J1417" s="2" t="s">
        <v>17</v>
      </c>
      <c r="K1417" s="72">
        <v>53.33</v>
      </c>
      <c r="L1417" s="39"/>
      <c r="M1417" s="72">
        <f t="shared" si="90"/>
        <v>-53.33</v>
      </c>
      <c r="N1417" s="72">
        <f t="shared" si="91"/>
        <v>477109.19999999937</v>
      </c>
    </row>
    <row r="1418" spans="1:15" x14ac:dyDescent="0.2">
      <c r="A1418" s="73" t="s">
        <v>1052</v>
      </c>
      <c r="B1418" s="3">
        <f t="shared" si="88"/>
        <v>2025</v>
      </c>
      <c r="C1418" s="3">
        <f t="shared" si="89"/>
        <v>8</v>
      </c>
      <c r="D1418" s="73" t="s">
        <v>300</v>
      </c>
      <c r="E1418" s="2"/>
      <c r="F1418" s="2" t="s">
        <v>325</v>
      </c>
      <c r="G1418" s="2" t="s">
        <v>324</v>
      </c>
      <c r="H1418" s="2" t="s">
        <v>323</v>
      </c>
      <c r="I1418" s="2" t="s">
        <v>316</v>
      </c>
      <c r="J1418" s="2" t="s">
        <v>17</v>
      </c>
      <c r="K1418" s="72">
        <v>3155.42</v>
      </c>
      <c r="L1418" s="39"/>
      <c r="M1418" s="72">
        <f t="shared" si="90"/>
        <v>-3155.42</v>
      </c>
      <c r="N1418" s="72">
        <f t="shared" si="91"/>
        <v>473953.77999999939</v>
      </c>
    </row>
    <row r="1419" spans="1:15" x14ac:dyDescent="0.2">
      <c r="A1419" s="73" t="s">
        <v>1052</v>
      </c>
      <c r="B1419" s="3">
        <f t="shared" si="88"/>
        <v>2025</v>
      </c>
      <c r="C1419" s="3">
        <f t="shared" si="89"/>
        <v>8</v>
      </c>
      <c r="D1419" s="73" t="s">
        <v>300</v>
      </c>
      <c r="E1419" s="2"/>
      <c r="F1419" s="2" t="s">
        <v>325</v>
      </c>
      <c r="G1419" s="2" t="s">
        <v>324</v>
      </c>
      <c r="H1419" s="2" t="s">
        <v>323</v>
      </c>
      <c r="I1419" s="2" t="s">
        <v>316</v>
      </c>
      <c r="J1419" s="2" t="s">
        <v>17</v>
      </c>
      <c r="K1419" s="72">
        <v>179.99</v>
      </c>
      <c r="L1419" s="39"/>
      <c r="M1419" s="72">
        <f t="shared" si="90"/>
        <v>-179.99</v>
      </c>
      <c r="N1419" s="72">
        <f t="shared" si="91"/>
        <v>473773.7899999994</v>
      </c>
    </row>
    <row r="1420" spans="1:15" x14ac:dyDescent="0.2">
      <c r="A1420" s="73" t="s">
        <v>1052</v>
      </c>
      <c r="B1420" s="3">
        <f t="shared" si="88"/>
        <v>2025</v>
      </c>
      <c r="C1420" s="3">
        <f t="shared" si="89"/>
        <v>8</v>
      </c>
      <c r="D1420" s="73" t="s">
        <v>893</v>
      </c>
      <c r="E1420" s="2"/>
      <c r="F1420" s="2" t="s">
        <v>304</v>
      </c>
      <c r="G1420" s="2" t="s">
        <v>1015</v>
      </c>
      <c r="H1420" s="2" t="s">
        <v>1007</v>
      </c>
      <c r="I1420" s="1" t="s">
        <v>316</v>
      </c>
      <c r="J1420" s="2" t="s">
        <v>17</v>
      </c>
      <c r="K1420" s="72">
        <v>283.25</v>
      </c>
      <c r="L1420" s="39"/>
      <c r="M1420" s="72">
        <f t="shared" si="90"/>
        <v>-283.25</v>
      </c>
      <c r="N1420" s="72">
        <f t="shared" si="91"/>
        <v>473490.5399999994</v>
      </c>
    </row>
    <row r="1421" spans="1:15" x14ac:dyDescent="0.2">
      <c r="A1421" s="73" t="s">
        <v>1052</v>
      </c>
      <c r="B1421" s="3">
        <f t="shared" si="88"/>
        <v>2025</v>
      </c>
      <c r="C1421" s="3">
        <f t="shared" si="89"/>
        <v>8</v>
      </c>
      <c r="D1421" s="73" t="s">
        <v>893</v>
      </c>
      <c r="E1421" s="2"/>
      <c r="F1421" s="2" t="s">
        <v>304</v>
      </c>
      <c r="G1421" s="2" t="s">
        <v>932</v>
      </c>
      <c r="H1421" s="2" t="s">
        <v>933</v>
      </c>
      <c r="I1421" s="1" t="s">
        <v>316</v>
      </c>
      <c r="J1421" s="2" t="s">
        <v>17</v>
      </c>
      <c r="K1421" s="72">
        <v>150</v>
      </c>
      <c r="L1421" s="39"/>
      <c r="M1421" s="72">
        <f t="shared" si="90"/>
        <v>-150</v>
      </c>
      <c r="N1421" s="72">
        <f t="shared" si="91"/>
        <v>473340.5399999994</v>
      </c>
    </row>
    <row r="1422" spans="1:15" x14ac:dyDescent="0.2">
      <c r="A1422" s="73" t="s">
        <v>1052</v>
      </c>
      <c r="B1422" s="3">
        <f t="shared" si="88"/>
        <v>2025</v>
      </c>
      <c r="C1422" s="3">
        <f t="shared" si="89"/>
        <v>8</v>
      </c>
      <c r="D1422" s="73" t="s">
        <v>300</v>
      </c>
      <c r="E1422" s="2"/>
      <c r="F1422" s="2" t="s">
        <v>321</v>
      </c>
      <c r="G1422" s="2" t="s">
        <v>320</v>
      </c>
      <c r="H1422" s="2" t="s">
        <v>319</v>
      </c>
      <c r="I1422" s="2" t="s">
        <v>315</v>
      </c>
      <c r="J1422" s="2" t="s">
        <v>23</v>
      </c>
      <c r="K1422" s="72"/>
      <c r="L1422" s="39">
        <v>57512</v>
      </c>
      <c r="M1422" s="72">
        <f t="shared" si="90"/>
        <v>57512</v>
      </c>
      <c r="N1422" s="72">
        <f t="shared" si="91"/>
        <v>530852.53999999934</v>
      </c>
    </row>
    <row r="1423" spans="1:15" x14ac:dyDescent="0.2">
      <c r="A1423" s="73" t="s">
        <v>1052</v>
      </c>
      <c r="B1423" s="3">
        <f t="shared" si="88"/>
        <v>2025</v>
      </c>
      <c r="C1423" s="3">
        <f t="shared" si="89"/>
        <v>8</v>
      </c>
      <c r="D1423" s="73" t="s">
        <v>300</v>
      </c>
      <c r="E1423" s="2"/>
      <c r="F1423" s="2" t="s">
        <v>325</v>
      </c>
      <c r="G1423" s="2" t="s">
        <v>729</v>
      </c>
      <c r="H1423" s="2" t="s">
        <v>323</v>
      </c>
      <c r="I1423" s="2" t="s">
        <v>316</v>
      </c>
      <c r="J1423" s="2" t="s">
        <v>22</v>
      </c>
      <c r="K1423" s="72">
        <v>20</v>
      </c>
      <c r="L1423" s="39"/>
      <c r="M1423" s="72">
        <f t="shared" si="90"/>
        <v>-20</v>
      </c>
      <c r="N1423" s="72">
        <f t="shared" si="91"/>
        <v>530832.53999999934</v>
      </c>
    </row>
    <row r="1424" spans="1:15" x14ac:dyDescent="0.2">
      <c r="A1424" s="73" t="s">
        <v>1052</v>
      </c>
      <c r="B1424" s="3">
        <f t="shared" si="88"/>
        <v>2025</v>
      </c>
      <c r="C1424" s="3">
        <f t="shared" si="89"/>
        <v>8</v>
      </c>
      <c r="D1424" s="73" t="s">
        <v>300</v>
      </c>
      <c r="E1424" s="2"/>
      <c r="F1424" s="2" t="s">
        <v>304</v>
      </c>
      <c r="G1424" s="2" t="s">
        <v>344</v>
      </c>
      <c r="H1424" s="2" t="s">
        <v>343</v>
      </c>
      <c r="I1424" s="2" t="s">
        <v>301</v>
      </c>
      <c r="J1424" s="2" t="s">
        <v>11</v>
      </c>
      <c r="K1424" s="72">
        <v>15069.73</v>
      </c>
      <c r="L1424" s="39"/>
      <c r="M1424" s="72">
        <f t="shared" si="90"/>
        <v>-15069.73</v>
      </c>
      <c r="N1424" s="72">
        <f t="shared" si="91"/>
        <v>515762.80999999936</v>
      </c>
    </row>
    <row r="1425" spans="1:14" x14ac:dyDescent="0.2">
      <c r="A1425" s="73" t="s">
        <v>1052</v>
      </c>
      <c r="B1425" s="3">
        <f t="shared" si="88"/>
        <v>2025</v>
      </c>
      <c r="C1425" s="3">
        <f t="shared" si="89"/>
        <v>8</v>
      </c>
      <c r="D1425" s="73" t="s">
        <v>893</v>
      </c>
      <c r="E1425" s="2"/>
      <c r="F1425" s="2" t="s">
        <v>304</v>
      </c>
      <c r="G1425" s="2" t="s">
        <v>953</v>
      </c>
      <c r="H1425" s="2" t="s">
        <v>937</v>
      </c>
      <c r="I1425" s="2" t="s">
        <v>316</v>
      </c>
      <c r="J1425" s="2" t="s">
        <v>22</v>
      </c>
      <c r="K1425" s="72">
        <v>210</v>
      </c>
      <c r="L1425" s="39"/>
      <c r="M1425" s="72">
        <f t="shared" si="90"/>
        <v>-210</v>
      </c>
      <c r="N1425" s="72">
        <f t="shared" si="91"/>
        <v>515552.80999999936</v>
      </c>
    </row>
    <row r="1426" spans="1:14" x14ac:dyDescent="0.2">
      <c r="A1426" s="73" t="s">
        <v>1052</v>
      </c>
      <c r="B1426" s="3">
        <f t="shared" si="88"/>
        <v>2025</v>
      </c>
      <c r="C1426" s="3">
        <f t="shared" si="89"/>
        <v>8</v>
      </c>
      <c r="D1426" s="73" t="s">
        <v>300</v>
      </c>
      <c r="E1426" s="2"/>
      <c r="F1426" s="2" t="s">
        <v>304</v>
      </c>
      <c r="G1426" s="2" t="s">
        <v>303</v>
      </c>
      <c r="H1426" s="2" t="s">
        <v>302</v>
      </c>
      <c r="I1426" s="2" t="s">
        <v>301</v>
      </c>
      <c r="J1426" s="2" t="s">
        <v>11</v>
      </c>
      <c r="K1426" s="72">
        <v>208.34</v>
      </c>
      <c r="L1426" s="39"/>
      <c r="M1426" s="72">
        <f t="shared" si="90"/>
        <v>-208.34</v>
      </c>
      <c r="N1426" s="72">
        <f t="shared" si="91"/>
        <v>515344.46999999933</v>
      </c>
    </row>
    <row r="1427" spans="1:14" x14ac:dyDescent="0.2">
      <c r="A1427" s="73" t="s">
        <v>1052</v>
      </c>
      <c r="B1427" s="3">
        <f t="shared" si="88"/>
        <v>2025</v>
      </c>
      <c r="C1427" s="3">
        <f t="shared" si="89"/>
        <v>8</v>
      </c>
      <c r="D1427" s="73" t="s">
        <v>300</v>
      </c>
      <c r="E1427" s="2"/>
      <c r="F1427" s="2" t="s">
        <v>299</v>
      </c>
      <c r="G1427" s="2"/>
      <c r="H1427" s="2" t="s">
        <v>298</v>
      </c>
      <c r="I1427" s="2" t="s">
        <v>297</v>
      </c>
      <c r="J1427" s="2" t="s">
        <v>296</v>
      </c>
      <c r="K1427" s="72">
        <v>35332.89</v>
      </c>
      <c r="L1427" s="39"/>
      <c r="M1427" s="72">
        <f t="shared" si="90"/>
        <v>-35332.89</v>
      </c>
      <c r="N1427" s="72">
        <f t="shared" si="91"/>
        <v>480011.57999999932</v>
      </c>
    </row>
    <row r="1428" spans="1:14" x14ac:dyDescent="0.2">
      <c r="A1428" s="73" t="s">
        <v>1140</v>
      </c>
      <c r="B1428" s="3">
        <f t="shared" si="88"/>
        <v>2025</v>
      </c>
      <c r="C1428" s="3">
        <f t="shared" si="89"/>
        <v>8</v>
      </c>
      <c r="D1428" s="73" t="s">
        <v>893</v>
      </c>
      <c r="E1428" s="2"/>
      <c r="F1428" s="2" t="s">
        <v>304</v>
      </c>
      <c r="G1428" s="2" t="s">
        <v>1149</v>
      </c>
      <c r="H1428" s="2" t="s">
        <v>1027</v>
      </c>
      <c r="I1428" s="2" t="s">
        <v>316</v>
      </c>
      <c r="J1428" s="2" t="s">
        <v>17</v>
      </c>
      <c r="K1428" s="72">
        <v>256.69</v>
      </c>
      <c r="L1428" s="39"/>
      <c r="M1428" s="72">
        <f t="shared" si="90"/>
        <v>-256.69</v>
      </c>
      <c r="N1428" s="72">
        <f t="shared" si="91"/>
        <v>479754.88999999932</v>
      </c>
    </row>
    <row r="1429" spans="1:14" x14ac:dyDescent="0.2">
      <c r="A1429" s="73" t="s">
        <v>1140</v>
      </c>
      <c r="B1429" s="3">
        <f t="shared" si="88"/>
        <v>2025</v>
      </c>
      <c r="C1429" s="3">
        <f t="shared" si="89"/>
        <v>8</v>
      </c>
      <c r="D1429" s="73" t="s">
        <v>893</v>
      </c>
      <c r="E1429" s="2"/>
      <c r="F1429" s="2" t="s">
        <v>304</v>
      </c>
      <c r="G1429" s="2" t="s">
        <v>916</v>
      </c>
      <c r="H1429" s="2" t="s">
        <v>917</v>
      </c>
      <c r="I1429" s="2" t="s">
        <v>350</v>
      </c>
      <c r="J1429" s="1" t="s">
        <v>477</v>
      </c>
      <c r="K1429" s="72">
        <v>494.17</v>
      </c>
      <c r="L1429" s="39"/>
      <c r="M1429" s="72">
        <f t="shared" si="90"/>
        <v>-494.17</v>
      </c>
      <c r="N1429" s="72">
        <f t="shared" si="91"/>
        <v>479260.71999999933</v>
      </c>
    </row>
    <row r="1430" spans="1:14" x14ac:dyDescent="0.2">
      <c r="A1430" s="73" t="s">
        <v>1141</v>
      </c>
      <c r="B1430" s="3">
        <f t="shared" si="88"/>
        <v>2025</v>
      </c>
      <c r="C1430" s="3">
        <f t="shared" si="89"/>
        <v>8</v>
      </c>
      <c r="D1430" s="73" t="s">
        <v>893</v>
      </c>
      <c r="E1430" s="2"/>
      <c r="F1430" s="2" t="s">
        <v>304</v>
      </c>
      <c r="G1430" s="2" t="s">
        <v>1150</v>
      </c>
      <c r="H1430" s="2" t="s">
        <v>1007</v>
      </c>
      <c r="I1430" s="1" t="s">
        <v>316</v>
      </c>
      <c r="J1430" s="2" t="s">
        <v>17</v>
      </c>
      <c r="K1430" s="72">
        <v>10</v>
      </c>
      <c r="L1430" s="39"/>
      <c r="M1430" s="72">
        <f t="shared" si="90"/>
        <v>-10</v>
      </c>
      <c r="N1430" s="72">
        <f t="shared" si="91"/>
        <v>479250.71999999933</v>
      </c>
    </row>
    <row r="1431" spans="1:14" x14ac:dyDescent="0.2">
      <c r="A1431" s="73" t="s">
        <v>1053</v>
      </c>
      <c r="B1431" s="3">
        <f t="shared" si="88"/>
        <v>2025</v>
      </c>
      <c r="C1431" s="3">
        <f t="shared" si="89"/>
        <v>8</v>
      </c>
      <c r="D1431" s="73" t="s">
        <v>300</v>
      </c>
      <c r="E1431" s="2"/>
      <c r="F1431" s="2" t="s">
        <v>309</v>
      </c>
      <c r="G1431" s="2" t="s">
        <v>991</v>
      </c>
      <c r="H1431" s="2" t="s">
        <v>992</v>
      </c>
      <c r="I1431" s="2" t="s">
        <v>316</v>
      </c>
      <c r="J1431" s="2" t="s">
        <v>22</v>
      </c>
      <c r="K1431" s="72"/>
      <c r="L1431" s="39">
        <v>56.36</v>
      </c>
      <c r="M1431" s="72">
        <f t="shared" si="90"/>
        <v>56.36</v>
      </c>
      <c r="N1431" s="72">
        <f t="shared" si="91"/>
        <v>479307.07999999932</v>
      </c>
    </row>
    <row r="1432" spans="1:14" x14ac:dyDescent="0.2">
      <c r="A1432" s="73" t="s">
        <v>1053</v>
      </c>
      <c r="B1432" s="3">
        <f t="shared" si="88"/>
        <v>2025</v>
      </c>
      <c r="C1432" s="3">
        <f t="shared" si="89"/>
        <v>8</v>
      </c>
      <c r="D1432" s="73" t="s">
        <v>893</v>
      </c>
      <c r="E1432" s="2"/>
      <c r="F1432" s="2" t="s">
        <v>304</v>
      </c>
      <c r="G1432" s="2" t="s">
        <v>1006</v>
      </c>
      <c r="H1432" s="2" t="s">
        <v>1007</v>
      </c>
      <c r="I1432" s="1" t="s">
        <v>316</v>
      </c>
      <c r="J1432" s="2" t="s">
        <v>17</v>
      </c>
      <c r="K1432" s="72">
        <v>21.19</v>
      </c>
      <c r="L1432" s="39"/>
      <c r="M1432" s="72">
        <f t="shared" si="90"/>
        <v>-21.19</v>
      </c>
      <c r="N1432" s="72">
        <f t="shared" si="91"/>
        <v>479285.88999999932</v>
      </c>
    </row>
    <row r="1433" spans="1:14" x14ac:dyDescent="0.2">
      <c r="A1433" s="73" t="s">
        <v>1053</v>
      </c>
      <c r="B1433" s="3">
        <f t="shared" si="88"/>
        <v>2025</v>
      </c>
      <c r="C1433" s="3">
        <f t="shared" si="89"/>
        <v>8</v>
      </c>
      <c r="D1433" s="73" t="s">
        <v>300</v>
      </c>
      <c r="E1433" s="2"/>
      <c r="F1433" s="2" t="s">
        <v>304</v>
      </c>
      <c r="G1433" s="2" t="s">
        <v>373</v>
      </c>
      <c r="H1433" s="2" t="s">
        <v>372</v>
      </c>
      <c r="I1433" s="2" t="s">
        <v>301</v>
      </c>
      <c r="J1433" s="2" t="s">
        <v>11</v>
      </c>
      <c r="K1433" s="72">
        <v>18823.62</v>
      </c>
      <c r="L1433" s="39"/>
      <c r="M1433" s="72">
        <f t="shared" si="90"/>
        <v>-18823.62</v>
      </c>
      <c r="N1433" s="72">
        <f t="shared" si="91"/>
        <v>460462.26999999932</v>
      </c>
    </row>
    <row r="1434" spans="1:14" x14ac:dyDescent="0.2">
      <c r="A1434" s="73" t="s">
        <v>1053</v>
      </c>
      <c r="B1434" s="3">
        <f t="shared" si="88"/>
        <v>2025</v>
      </c>
      <c r="C1434" s="3">
        <f t="shared" si="89"/>
        <v>8</v>
      </c>
      <c r="D1434" s="73" t="s">
        <v>893</v>
      </c>
      <c r="E1434" s="2"/>
      <c r="F1434" s="2" t="s">
        <v>304</v>
      </c>
      <c r="G1434" s="2" t="s">
        <v>1038</v>
      </c>
      <c r="H1434" s="2" t="s">
        <v>1035</v>
      </c>
      <c r="I1434" s="2" t="s">
        <v>316</v>
      </c>
      <c r="J1434" s="2" t="s">
        <v>22</v>
      </c>
      <c r="K1434" s="72">
        <v>34.35</v>
      </c>
      <c r="L1434" s="39"/>
      <c r="M1434" s="72">
        <f t="shared" si="90"/>
        <v>-34.35</v>
      </c>
      <c r="N1434" s="72">
        <f t="shared" si="91"/>
        <v>460427.91999999934</v>
      </c>
    </row>
    <row r="1435" spans="1:14" x14ac:dyDescent="0.2">
      <c r="A1435" s="73" t="s">
        <v>1053</v>
      </c>
      <c r="B1435" s="3">
        <f t="shared" si="88"/>
        <v>2025</v>
      </c>
      <c r="C1435" s="3">
        <f t="shared" si="89"/>
        <v>8</v>
      </c>
      <c r="D1435" s="73" t="s">
        <v>893</v>
      </c>
      <c r="E1435" s="2"/>
      <c r="F1435" s="2" t="s">
        <v>304</v>
      </c>
      <c r="G1435" s="2" t="s">
        <v>1038</v>
      </c>
      <c r="H1435" s="2" t="s">
        <v>1035</v>
      </c>
      <c r="I1435" s="2" t="s">
        <v>316</v>
      </c>
      <c r="J1435" s="2" t="s">
        <v>22</v>
      </c>
      <c r="K1435" s="72">
        <v>16.690000000000001</v>
      </c>
      <c r="L1435" s="39"/>
      <c r="M1435" s="72">
        <f t="shared" si="90"/>
        <v>-16.690000000000001</v>
      </c>
      <c r="N1435" s="72">
        <f t="shared" si="91"/>
        <v>460411.22999999934</v>
      </c>
    </row>
    <row r="1436" spans="1:14" x14ac:dyDescent="0.2">
      <c r="A1436" s="73" t="s">
        <v>1053</v>
      </c>
      <c r="B1436" s="3">
        <f t="shared" si="88"/>
        <v>2025</v>
      </c>
      <c r="C1436" s="3">
        <f t="shared" si="89"/>
        <v>8</v>
      </c>
      <c r="D1436" s="73" t="s">
        <v>893</v>
      </c>
      <c r="E1436" s="2"/>
      <c r="F1436" s="2" t="s">
        <v>304</v>
      </c>
      <c r="G1436" s="2" t="s">
        <v>1038</v>
      </c>
      <c r="H1436" s="2" t="s">
        <v>1035</v>
      </c>
      <c r="I1436" s="2" t="s">
        <v>316</v>
      </c>
      <c r="J1436" s="2" t="s">
        <v>22</v>
      </c>
      <c r="K1436" s="72">
        <v>16.04</v>
      </c>
      <c r="L1436" s="39"/>
      <c r="M1436" s="72">
        <f t="shared" si="90"/>
        <v>-16.04</v>
      </c>
      <c r="N1436" s="72">
        <f t="shared" si="91"/>
        <v>460395.18999999936</v>
      </c>
    </row>
    <row r="1437" spans="1:14" x14ac:dyDescent="0.2">
      <c r="A1437" s="73" t="s">
        <v>1053</v>
      </c>
      <c r="B1437" s="3">
        <f t="shared" si="88"/>
        <v>2025</v>
      </c>
      <c r="C1437" s="3">
        <f t="shared" si="89"/>
        <v>8</v>
      </c>
      <c r="D1437" s="73" t="s">
        <v>300</v>
      </c>
      <c r="E1437" s="2"/>
      <c r="F1437" s="2" t="s">
        <v>325</v>
      </c>
      <c r="G1437" s="2" t="s">
        <v>383</v>
      </c>
      <c r="H1437" s="2" t="s">
        <v>323</v>
      </c>
      <c r="I1437" s="2" t="s">
        <v>316</v>
      </c>
      <c r="J1437" s="2" t="s">
        <v>28</v>
      </c>
      <c r="K1437" s="72">
        <v>743.86</v>
      </c>
      <c r="L1437" s="39"/>
      <c r="M1437" s="72">
        <f t="shared" si="90"/>
        <v>-743.86</v>
      </c>
      <c r="N1437" s="72">
        <f t="shared" si="91"/>
        <v>459651.32999999938</v>
      </c>
    </row>
    <row r="1438" spans="1:14" x14ac:dyDescent="0.2">
      <c r="A1438" s="73" t="s">
        <v>1053</v>
      </c>
      <c r="B1438" s="3">
        <f t="shared" si="88"/>
        <v>2025</v>
      </c>
      <c r="C1438" s="3">
        <f t="shared" si="89"/>
        <v>8</v>
      </c>
      <c r="D1438" s="73" t="s">
        <v>300</v>
      </c>
      <c r="E1438" s="2"/>
      <c r="F1438" s="2" t="s">
        <v>325</v>
      </c>
      <c r="G1438" s="2" t="s">
        <v>837</v>
      </c>
      <c r="H1438" s="2" t="s">
        <v>323</v>
      </c>
      <c r="I1438" s="2" t="s">
        <v>316</v>
      </c>
      <c r="J1438" s="2" t="s">
        <v>22</v>
      </c>
      <c r="K1438" s="72">
        <v>10.55</v>
      </c>
      <c r="L1438" s="39"/>
      <c r="M1438" s="72">
        <f t="shared" si="90"/>
        <v>-10.55</v>
      </c>
      <c r="N1438" s="72">
        <f t="shared" si="91"/>
        <v>459640.77999999939</v>
      </c>
    </row>
    <row r="1439" spans="1:14" x14ac:dyDescent="0.2">
      <c r="A1439" s="73" t="s">
        <v>1053</v>
      </c>
      <c r="B1439" s="3">
        <f t="shared" si="88"/>
        <v>2025</v>
      </c>
      <c r="C1439" s="3">
        <f t="shared" si="89"/>
        <v>8</v>
      </c>
      <c r="D1439" s="73" t="s">
        <v>893</v>
      </c>
      <c r="E1439" s="2"/>
      <c r="F1439" s="2" t="s">
        <v>304</v>
      </c>
      <c r="G1439" s="2" t="s">
        <v>932</v>
      </c>
      <c r="H1439" s="2" t="s">
        <v>1007</v>
      </c>
      <c r="I1439" s="1" t="s">
        <v>316</v>
      </c>
      <c r="J1439" s="2" t="s">
        <v>17</v>
      </c>
      <c r="K1439" s="72">
        <v>49</v>
      </c>
      <c r="L1439" s="39"/>
      <c r="M1439" s="72">
        <f t="shared" si="90"/>
        <v>-49</v>
      </c>
      <c r="N1439" s="72">
        <f t="shared" si="91"/>
        <v>459591.77999999939</v>
      </c>
    </row>
    <row r="1440" spans="1:14" x14ac:dyDescent="0.2">
      <c r="A1440" s="73" t="s">
        <v>1053</v>
      </c>
      <c r="B1440" s="3">
        <f t="shared" si="88"/>
        <v>2025</v>
      </c>
      <c r="C1440" s="3">
        <f t="shared" si="89"/>
        <v>8</v>
      </c>
      <c r="D1440" s="73" t="s">
        <v>300</v>
      </c>
      <c r="E1440" s="2"/>
      <c r="F1440" s="2" t="s">
        <v>325</v>
      </c>
      <c r="G1440" s="2" t="s">
        <v>1072</v>
      </c>
      <c r="H1440" s="2" t="s">
        <v>323</v>
      </c>
      <c r="I1440" s="1" t="s">
        <v>316</v>
      </c>
      <c r="J1440" s="2" t="s">
        <v>17</v>
      </c>
      <c r="K1440" s="72">
        <v>35820</v>
      </c>
      <c r="L1440" s="39"/>
      <c r="M1440" s="72">
        <f t="shared" si="90"/>
        <v>-35820</v>
      </c>
      <c r="N1440" s="72">
        <f t="shared" si="91"/>
        <v>423771.77999999939</v>
      </c>
    </row>
    <row r="1441" spans="1:14" x14ac:dyDescent="0.2">
      <c r="A1441" s="73" t="s">
        <v>1053</v>
      </c>
      <c r="B1441" s="3">
        <f t="shared" si="88"/>
        <v>2025</v>
      </c>
      <c r="C1441" s="3">
        <f t="shared" si="89"/>
        <v>8</v>
      </c>
      <c r="D1441" s="73" t="s">
        <v>300</v>
      </c>
      <c r="E1441" s="2"/>
      <c r="F1441" s="2" t="s">
        <v>321</v>
      </c>
      <c r="G1441" s="2" t="s">
        <v>10</v>
      </c>
      <c r="H1441" s="2" t="s">
        <v>319</v>
      </c>
      <c r="I1441" s="2" t="s">
        <v>315</v>
      </c>
      <c r="J1441" s="2" t="s">
        <v>23</v>
      </c>
      <c r="K1441" s="72"/>
      <c r="L1441" s="39">
        <v>3262.5</v>
      </c>
      <c r="M1441" s="72">
        <f t="shared" si="90"/>
        <v>3262.5</v>
      </c>
      <c r="N1441" s="72">
        <f t="shared" si="91"/>
        <v>427034.27999999939</v>
      </c>
    </row>
    <row r="1442" spans="1:14" x14ac:dyDescent="0.2">
      <c r="A1442" s="73" t="s">
        <v>1053</v>
      </c>
      <c r="B1442" s="3">
        <f t="shared" si="88"/>
        <v>2025</v>
      </c>
      <c r="C1442" s="3">
        <f t="shared" si="89"/>
        <v>8</v>
      </c>
      <c r="D1442" s="73" t="s">
        <v>300</v>
      </c>
      <c r="E1442" s="2"/>
      <c r="F1442" s="2" t="s">
        <v>321</v>
      </c>
      <c r="G1442" s="2" t="s">
        <v>889</v>
      </c>
      <c r="H1442" s="2" t="s">
        <v>319</v>
      </c>
      <c r="I1442" s="2" t="s">
        <v>315</v>
      </c>
      <c r="J1442" s="2" t="s">
        <v>23</v>
      </c>
      <c r="K1442" s="72"/>
      <c r="L1442" s="39">
        <v>5000</v>
      </c>
      <c r="M1442" s="72">
        <f t="shared" si="90"/>
        <v>5000</v>
      </c>
      <c r="N1442" s="72">
        <f t="shared" si="91"/>
        <v>432034.27999999939</v>
      </c>
    </row>
    <row r="1443" spans="1:14" x14ac:dyDescent="0.2">
      <c r="A1443" s="73" t="s">
        <v>1053</v>
      </c>
      <c r="B1443" s="3">
        <f t="shared" si="88"/>
        <v>2025</v>
      </c>
      <c r="C1443" s="3">
        <f t="shared" si="89"/>
        <v>8</v>
      </c>
      <c r="D1443" s="73" t="s">
        <v>300</v>
      </c>
      <c r="E1443" s="2"/>
      <c r="F1443" s="2" t="s">
        <v>325</v>
      </c>
      <c r="G1443" s="2" t="s">
        <v>388</v>
      </c>
      <c r="H1443" s="2" t="s">
        <v>323</v>
      </c>
      <c r="I1443" s="1" t="s">
        <v>316</v>
      </c>
      <c r="J1443" s="2" t="s">
        <v>17</v>
      </c>
      <c r="K1443" s="72">
        <v>12845</v>
      </c>
      <c r="L1443" s="39"/>
      <c r="M1443" s="72">
        <f t="shared" si="90"/>
        <v>-12845</v>
      </c>
      <c r="N1443" s="72">
        <f t="shared" si="91"/>
        <v>419189.27999999939</v>
      </c>
    </row>
    <row r="1444" spans="1:14" x14ac:dyDescent="0.2">
      <c r="A1444" s="73" t="s">
        <v>1053</v>
      </c>
      <c r="B1444" s="3">
        <f t="shared" si="88"/>
        <v>2025</v>
      </c>
      <c r="C1444" s="3">
        <f t="shared" si="89"/>
        <v>8</v>
      </c>
      <c r="D1444" s="73" t="s">
        <v>300</v>
      </c>
      <c r="E1444" s="2"/>
      <c r="F1444" s="2" t="s">
        <v>299</v>
      </c>
      <c r="G1444" s="2"/>
      <c r="H1444" s="2" t="s">
        <v>298</v>
      </c>
      <c r="I1444" s="2" t="s">
        <v>297</v>
      </c>
      <c r="J1444" s="2" t="s">
        <v>296</v>
      </c>
      <c r="K1444" s="72"/>
      <c r="L1444" s="39">
        <v>59913.62</v>
      </c>
      <c r="M1444" s="72">
        <f t="shared" si="90"/>
        <v>59913.62</v>
      </c>
      <c r="N1444" s="72">
        <f t="shared" si="91"/>
        <v>479102.89999999938</v>
      </c>
    </row>
    <row r="1445" spans="1:14" x14ac:dyDescent="0.2">
      <c r="A1445" s="73" t="s">
        <v>1054</v>
      </c>
      <c r="B1445" s="3">
        <f t="shared" si="88"/>
        <v>2025</v>
      </c>
      <c r="C1445" s="3">
        <f t="shared" si="89"/>
        <v>8</v>
      </c>
      <c r="D1445" s="73" t="s">
        <v>300</v>
      </c>
      <c r="E1445" s="2"/>
      <c r="F1445" s="2" t="s">
        <v>314</v>
      </c>
      <c r="G1445" s="2" t="s">
        <v>0</v>
      </c>
      <c r="H1445" s="2" t="s">
        <v>313</v>
      </c>
      <c r="I1445" s="2" t="s">
        <v>312</v>
      </c>
      <c r="J1445" s="2" t="s">
        <v>0</v>
      </c>
      <c r="K1445" s="72">
        <v>105.74</v>
      </c>
      <c r="L1445" s="39"/>
      <c r="M1445" s="72">
        <f t="shared" si="90"/>
        <v>-105.74</v>
      </c>
      <c r="N1445" s="72">
        <f t="shared" si="91"/>
        <v>478997.15999999939</v>
      </c>
    </row>
    <row r="1446" spans="1:14" x14ac:dyDescent="0.2">
      <c r="A1446" s="73" t="s">
        <v>1054</v>
      </c>
      <c r="B1446" s="3">
        <f t="shared" si="88"/>
        <v>2025</v>
      </c>
      <c r="C1446" s="3">
        <f t="shared" si="89"/>
        <v>8</v>
      </c>
      <c r="D1446" s="73" t="s">
        <v>893</v>
      </c>
      <c r="E1446" s="2"/>
      <c r="F1446" s="2" t="s">
        <v>304</v>
      </c>
      <c r="G1446" s="2" t="s">
        <v>914</v>
      </c>
      <c r="H1446" s="2" t="s">
        <v>956</v>
      </c>
      <c r="I1446" s="2" t="s">
        <v>316</v>
      </c>
      <c r="J1446" s="2" t="s">
        <v>22</v>
      </c>
      <c r="K1446" s="72">
        <v>13.91</v>
      </c>
      <c r="L1446" s="39"/>
      <c r="M1446" s="72">
        <f t="shared" si="90"/>
        <v>-13.91</v>
      </c>
      <c r="N1446" s="72">
        <f t="shared" si="91"/>
        <v>478983.24999999942</v>
      </c>
    </row>
    <row r="1447" spans="1:14" x14ac:dyDescent="0.2">
      <c r="A1447" s="73" t="s">
        <v>1054</v>
      </c>
      <c r="B1447" s="3">
        <f t="shared" si="88"/>
        <v>2025</v>
      </c>
      <c r="C1447" s="3">
        <f t="shared" si="89"/>
        <v>8</v>
      </c>
      <c r="D1447" s="73" t="s">
        <v>893</v>
      </c>
      <c r="E1447" s="2"/>
      <c r="F1447" s="2" t="s">
        <v>304</v>
      </c>
      <c r="G1447" s="2" t="s">
        <v>941</v>
      </c>
      <c r="H1447" s="2" t="s">
        <v>923</v>
      </c>
      <c r="I1447" s="2" t="s">
        <v>316</v>
      </c>
      <c r="J1447" s="2" t="s">
        <v>22</v>
      </c>
      <c r="K1447" s="72">
        <v>676.98</v>
      </c>
      <c r="L1447" s="39"/>
      <c r="M1447" s="72">
        <f t="shared" si="90"/>
        <v>-676.98</v>
      </c>
      <c r="N1447" s="72">
        <f t="shared" si="91"/>
        <v>478306.26999999944</v>
      </c>
    </row>
    <row r="1448" spans="1:14" x14ac:dyDescent="0.2">
      <c r="A1448" s="73" t="s">
        <v>1054</v>
      </c>
      <c r="B1448" s="3">
        <f t="shared" si="88"/>
        <v>2025</v>
      </c>
      <c r="C1448" s="3">
        <f t="shared" si="89"/>
        <v>8</v>
      </c>
      <c r="D1448" s="73" t="s">
        <v>893</v>
      </c>
      <c r="E1448" s="2"/>
      <c r="F1448" s="2" t="s">
        <v>304</v>
      </c>
      <c r="G1448" s="2" t="s">
        <v>1151</v>
      </c>
      <c r="H1448" s="2" t="s">
        <v>1007</v>
      </c>
      <c r="I1448" s="1" t="s">
        <v>316</v>
      </c>
      <c r="J1448" s="2" t="s">
        <v>17</v>
      </c>
      <c r="K1448" s="72">
        <v>46.17</v>
      </c>
      <c r="L1448" s="39"/>
      <c r="M1448" s="72">
        <f t="shared" si="90"/>
        <v>-46.17</v>
      </c>
      <c r="N1448" s="72">
        <f t="shared" si="91"/>
        <v>478260.09999999945</v>
      </c>
    </row>
    <row r="1449" spans="1:14" x14ac:dyDescent="0.2">
      <c r="A1449" s="73" t="s">
        <v>1054</v>
      </c>
      <c r="B1449" s="3">
        <f t="shared" si="88"/>
        <v>2025</v>
      </c>
      <c r="C1449" s="3">
        <f t="shared" si="89"/>
        <v>8</v>
      </c>
      <c r="D1449" s="73" t="s">
        <v>893</v>
      </c>
      <c r="E1449" s="2"/>
      <c r="F1449" s="2" t="s">
        <v>304</v>
      </c>
      <c r="G1449" s="2" t="s">
        <v>932</v>
      </c>
      <c r="H1449" s="2" t="s">
        <v>933</v>
      </c>
      <c r="I1449" s="1" t="s">
        <v>316</v>
      </c>
      <c r="J1449" s="2" t="s">
        <v>17</v>
      </c>
      <c r="K1449" s="72">
        <v>127.19</v>
      </c>
      <c r="L1449" s="39"/>
      <c r="M1449" s="72">
        <f t="shared" si="90"/>
        <v>-127.19</v>
      </c>
      <c r="N1449" s="72">
        <f t="shared" si="91"/>
        <v>478132.90999999945</v>
      </c>
    </row>
    <row r="1450" spans="1:14" x14ac:dyDescent="0.2">
      <c r="A1450" s="73" t="s">
        <v>1054</v>
      </c>
      <c r="B1450" s="3">
        <f t="shared" si="88"/>
        <v>2025</v>
      </c>
      <c r="C1450" s="3">
        <f t="shared" si="89"/>
        <v>8</v>
      </c>
      <c r="D1450" s="73" t="s">
        <v>893</v>
      </c>
      <c r="E1450" s="2"/>
      <c r="F1450" s="2" t="s">
        <v>304</v>
      </c>
      <c r="G1450" s="2" t="s">
        <v>1155</v>
      </c>
      <c r="H1450" s="2" t="s">
        <v>956</v>
      </c>
      <c r="I1450" s="2" t="s">
        <v>316</v>
      </c>
      <c r="J1450" s="2" t="s">
        <v>22</v>
      </c>
      <c r="K1450" s="72">
        <v>40.01</v>
      </c>
      <c r="L1450" s="39"/>
      <c r="M1450" s="72">
        <f t="shared" si="90"/>
        <v>-40.01</v>
      </c>
      <c r="N1450" s="72">
        <f t="shared" si="91"/>
        <v>478092.89999999944</v>
      </c>
    </row>
    <row r="1451" spans="1:14" x14ac:dyDescent="0.2">
      <c r="A1451" s="73" t="s">
        <v>1054</v>
      </c>
      <c r="B1451" s="3">
        <f t="shared" si="88"/>
        <v>2025</v>
      </c>
      <c r="C1451" s="3">
        <f t="shared" si="89"/>
        <v>8</v>
      </c>
      <c r="D1451" s="73" t="s">
        <v>893</v>
      </c>
      <c r="E1451" s="2"/>
      <c r="F1451" s="2" t="s">
        <v>304</v>
      </c>
      <c r="G1451" s="2" t="s">
        <v>1023</v>
      </c>
      <c r="H1451" s="2" t="s">
        <v>1007</v>
      </c>
      <c r="I1451" s="1" t="s">
        <v>316</v>
      </c>
      <c r="J1451" s="2" t="s">
        <v>17</v>
      </c>
      <c r="K1451" s="72">
        <v>31.8</v>
      </c>
      <c r="L1451" s="39"/>
      <c r="M1451" s="72">
        <f t="shared" si="90"/>
        <v>-31.8</v>
      </c>
      <c r="N1451" s="72">
        <f t="shared" si="91"/>
        <v>478061.09999999945</v>
      </c>
    </row>
    <row r="1452" spans="1:14" x14ac:dyDescent="0.2">
      <c r="A1452" s="73" t="s">
        <v>1054</v>
      </c>
      <c r="B1452" s="3">
        <f t="shared" si="88"/>
        <v>2025</v>
      </c>
      <c r="C1452" s="3">
        <f t="shared" si="89"/>
        <v>8</v>
      </c>
      <c r="D1452" s="73" t="s">
        <v>300</v>
      </c>
      <c r="E1452" s="2"/>
      <c r="F1452" s="2" t="s">
        <v>304</v>
      </c>
      <c r="G1452" s="2" t="s">
        <v>306</v>
      </c>
      <c r="H1452" s="2" t="s">
        <v>305</v>
      </c>
      <c r="I1452" s="2" t="s">
        <v>301</v>
      </c>
      <c r="J1452" s="2" t="s">
        <v>19</v>
      </c>
      <c r="K1452" s="72">
        <v>4</v>
      </c>
      <c r="L1452" s="39"/>
      <c r="M1452" s="72">
        <f t="shared" si="90"/>
        <v>-4</v>
      </c>
      <c r="N1452" s="72">
        <f t="shared" si="91"/>
        <v>478057.09999999945</v>
      </c>
    </row>
    <row r="1453" spans="1:14" x14ac:dyDescent="0.2">
      <c r="A1453" s="73" t="s">
        <v>1054</v>
      </c>
      <c r="B1453" s="3">
        <f t="shared" si="88"/>
        <v>2025</v>
      </c>
      <c r="C1453" s="3">
        <f t="shared" si="89"/>
        <v>8</v>
      </c>
      <c r="D1453" s="73" t="s">
        <v>893</v>
      </c>
      <c r="E1453" s="2"/>
      <c r="F1453" s="2" t="s">
        <v>304</v>
      </c>
      <c r="G1453" s="2" t="s">
        <v>1152</v>
      </c>
      <c r="H1453" s="2" t="s">
        <v>956</v>
      </c>
      <c r="I1453" s="2" t="s">
        <v>316</v>
      </c>
      <c r="J1453" s="2" t="s">
        <v>22</v>
      </c>
      <c r="K1453" s="72">
        <v>48.81</v>
      </c>
      <c r="L1453" s="39"/>
      <c r="M1453" s="72">
        <f t="shared" si="90"/>
        <v>-48.81</v>
      </c>
      <c r="N1453" s="72">
        <f t="shared" si="91"/>
        <v>478008.28999999946</v>
      </c>
    </row>
    <row r="1454" spans="1:14" x14ac:dyDescent="0.2">
      <c r="A1454" s="73" t="s">
        <v>1054</v>
      </c>
      <c r="B1454" s="3">
        <f t="shared" si="88"/>
        <v>2025</v>
      </c>
      <c r="C1454" s="3">
        <f t="shared" si="89"/>
        <v>8</v>
      </c>
      <c r="D1454" s="73" t="s">
        <v>893</v>
      </c>
      <c r="E1454" s="2"/>
      <c r="F1454" s="2" t="s">
        <v>304</v>
      </c>
      <c r="G1454" s="2" t="s">
        <v>1153</v>
      </c>
      <c r="H1454" s="2" t="s">
        <v>937</v>
      </c>
      <c r="I1454" s="2" t="s">
        <v>316</v>
      </c>
      <c r="J1454" s="2" t="s">
        <v>22</v>
      </c>
      <c r="K1454" s="72">
        <v>358.09</v>
      </c>
      <c r="L1454" s="39"/>
      <c r="M1454" s="72">
        <f t="shared" si="90"/>
        <v>-358.09</v>
      </c>
      <c r="N1454" s="72">
        <f t="shared" si="91"/>
        <v>477650.19999999943</v>
      </c>
    </row>
    <row r="1455" spans="1:14" x14ac:dyDescent="0.2">
      <c r="A1455" s="73" t="s">
        <v>1054</v>
      </c>
      <c r="B1455" s="3">
        <f t="shared" si="88"/>
        <v>2025</v>
      </c>
      <c r="C1455" s="3">
        <f t="shared" si="89"/>
        <v>8</v>
      </c>
      <c r="D1455" s="73" t="s">
        <v>893</v>
      </c>
      <c r="E1455" s="2"/>
      <c r="F1455" s="2" t="s">
        <v>304</v>
      </c>
      <c r="G1455" s="2" t="s">
        <v>1154</v>
      </c>
      <c r="H1455" s="2" t="s">
        <v>956</v>
      </c>
      <c r="I1455" s="2" t="s">
        <v>316</v>
      </c>
      <c r="J1455" s="2" t="s">
        <v>22</v>
      </c>
      <c r="K1455" s="72">
        <v>53.05</v>
      </c>
      <c r="L1455" s="39"/>
      <c r="M1455" s="72">
        <f t="shared" si="90"/>
        <v>-53.05</v>
      </c>
      <c r="N1455" s="72">
        <f t="shared" si="91"/>
        <v>477597.14999999944</v>
      </c>
    </row>
    <row r="1456" spans="1:14" x14ac:dyDescent="0.2">
      <c r="A1456" s="73" t="s">
        <v>1054</v>
      </c>
      <c r="B1456" s="3">
        <f t="shared" si="88"/>
        <v>2025</v>
      </c>
      <c r="C1456" s="3">
        <f t="shared" si="89"/>
        <v>8</v>
      </c>
      <c r="D1456" s="73" t="s">
        <v>893</v>
      </c>
      <c r="E1456" s="2"/>
      <c r="F1456" s="2" t="s">
        <v>304</v>
      </c>
      <c r="G1456" s="2" t="s">
        <v>913</v>
      </c>
      <c r="H1456" s="2" t="s">
        <v>937</v>
      </c>
      <c r="I1456" s="2" t="s">
        <v>316</v>
      </c>
      <c r="J1456" s="2" t="s">
        <v>22</v>
      </c>
      <c r="K1456" s="72">
        <v>6.97</v>
      </c>
      <c r="L1456" s="39"/>
      <c r="M1456" s="72">
        <f t="shared" si="90"/>
        <v>-6.97</v>
      </c>
      <c r="N1456" s="72">
        <f t="shared" si="91"/>
        <v>477590.17999999947</v>
      </c>
    </row>
    <row r="1457" spans="1:14" x14ac:dyDescent="0.2">
      <c r="A1457" s="73" t="s">
        <v>1054</v>
      </c>
      <c r="B1457" s="3">
        <f t="shared" si="88"/>
        <v>2025</v>
      </c>
      <c r="C1457" s="3">
        <f t="shared" si="89"/>
        <v>8</v>
      </c>
      <c r="D1457" s="73" t="s">
        <v>893</v>
      </c>
      <c r="E1457" s="2"/>
      <c r="F1457" s="2" t="s">
        <v>304</v>
      </c>
      <c r="G1457" s="2" t="s">
        <v>913</v>
      </c>
      <c r="H1457" s="2" t="s">
        <v>937</v>
      </c>
      <c r="I1457" s="2" t="s">
        <v>316</v>
      </c>
      <c r="J1457" s="2" t="s">
        <v>22</v>
      </c>
      <c r="K1457" s="72">
        <v>7.91</v>
      </c>
      <c r="L1457" s="39"/>
      <c r="M1457" s="72">
        <f t="shared" si="90"/>
        <v>-7.91</v>
      </c>
      <c r="N1457" s="72">
        <f t="shared" si="91"/>
        <v>477582.26999999949</v>
      </c>
    </row>
    <row r="1458" spans="1:14" x14ac:dyDescent="0.2">
      <c r="A1458" s="73" t="s">
        <v>1054</v>
      </c>
      <c r="B1458" s="3">
        <f t="shared" si="88"/>
        <v>2025</v>
      </c>
      <c r="C1458" s="3">
        <f t="shared" si="89"/>
        <v>8</v>
      </c>
      <c r="D1458" s="73" t="s">
        <v>893</v>
      </c>
      <c r="E1458" s="2"/>
      <c r="F1458" s="2" t="s">
        <v>304</v>
      </c>
      <c r="G1458" s="2" t="s">
        <v>913</v>
      </c>
      <c r="H1458" s="2" t="s">
        <v>937</v>
      </c>
      <c r="I1458" s="2" t="s">
        <v>316</v>
      </c>
      <c r="J1458" s="2" t="s">
        <v>22</v>
      </c>
      <c r="K1458" s="72">
        <v>34.200000000000003</v>
      </c>
      <c r="L1458" s="39"/>
      <c r="M1458" s="72">
        <f t="shared" si="90"/>
        <v>-34.200000000000003</v>
      </c>
      <c r="N1458" s="72">
        <f t="shared" si="91"/>
        <v>477548.06999999948</v>
      </c>
    </row>
    <row r="1459" spans="1:14" x14ac:dyDescent="0.2">
      <c r="A1459" s="73" t="s">
        <v>1054</v>
      </c>
      <c r="B1459" s="3">
        <f t="shared" si="88"/>
        <v>2025</v>
      </c>
      <c r="C1459" s="3">
        <f t="shared" si="89"/>
        <v>8</v>
      </c>
      <c r="D1459" s="73" t="s">
        <v>893</v>
      </c>
      <c r="E1459" s="2"/>
      <c r="F1459" s="2" t="s">
        <v>304</v>
      </c>
      <c r="G1459" s="2" t="s">
        <v>913</v>
      </c>
      <c r="H1459" s="2" t="s">
        <v>937</v>
      </c>
      <c r="I1459" s="2" t="s">
        <v>316</v>
      </c>
      <c r="J1459" s="2" t="s">
        <v>22</v>
      </c>
      <c r="K1459" s="72">
        <v>59.93</v>
      </c>
      <c r="L1459" s="39"/>
      <c r="M1459" s="72">
        <f t="shared" si="90"/>
        <v>-59.93</v>
      </c>
      <c r="N1459" s="72">
        <f t="shared" si="91"/>
        <v>477488.13999999949</v>
      </c>
    </row>
    <row r="1460" spans="1:14" x14ac:dyDescent="0.2">
      <c r="A1460" s="73" t="s">
        <v>1054</v>
      </c>
      <c r="B1460" s="3">
        <f t="shared" si="88"/>
        <v>2025</v>
      </c>
      <c r="C1460" s="3">
        <f t="shared" si="89"/>
        <v>8</v>
      </c>
      <c r="D1460" s="73" t="s">
        <v>893</v>
      </c>
      <c r="E1460" s="2"/>
      <c r="F1460" s="2" t="s">
        <v>304</v>
      </c>
      <c r="G1460" s="2" t="s">
        <v>913</v>
      </c>
      <c r="H1460" s="2" t="s">
        <v>937</v>
      </c>
      <c r="I1460" s="2" t="s">
        <v>316</v>
      </c>
      <c r="J1460" s="2" t="s">
        <v>22</v>
      </c>
      <c r="K1460" s="72">
        <v>41.97</v>
      </c>
      <c r="L1460" s="39"/>
      <c r="M1460" s="72">
        <f t="shared" si="90"/>
        <v>-41.97</v>
      </c>
      <c r="N1460" s="72">
        <f t="shared" si="91"/>
        <v>477446.16999999952</v>
      </c>
    </row>
    <row r="1461" spans="1:14" x14ac:dyDescent="0.2">
      <c r="A1461" s="73" t="s">
        <v>1054</v>
      </c>
      <c r="B1461" s="3">
        <f t="shared" si="88"/>
        <v>2025</v>
      </c>
      <c r="C1461" s="3">
        <f t="shared" si="89"/>
        <v>8</v>
      </c>
      <c r="D1461" s="73" t="s">
        <v>893</v>
      </c>
      <c r="E1461" s="2"/>
      <c r="F1461" s="2" t="s">
        <v>304</v>
      </c>
      <c r="G1461" s="2" t="s">
        <v>989</v>
      </c>
      <c r="H1461" s="2" t="s">
        <v>987</v>
      </c>
      <c r="I1461" s="2" t="s">
        <v>316</v>
      </c>
      <c r="J1461" s="2" t="s">
        <v>28</v>
      </c>
      <c r="K1461" s="72">
        <v>46.31</v>
      </c>
      <c r="L1461" s="39"/>
      <c r="M1461" s="72">
        <f t="shared" si="90"/>
        <v>-46.31</v>
      </c>
      <c r="N1461" s="72">
        <f t="shared" si="91"/>
        <v>477399.85999999952</v>
      </c>
    </row>
    <row r="1462" spans="1:14" x14ac:dyDescent="0.2">
      <c r="A1462" s="73" t="s">
        <v>1054</v>
      </c>
      <c r="B1462" s="3">
        <f t="shared" si="88"/>
        <v>2025</v>
      </c>
      <c r="C1462" s="3">
        <f t="shared" si="89"/>
        <v>8</v>
      </c>
      <c r="D1462" s="73" t="s">
        <v>300</v>
      </c>
      <c r="E1462" s="2"/>
      <c r="F1462" s="2" t="s">
        <v>299</v>
      </c>
      <c r="G1462" s="2"/>
      <c r="H1462" s="2" t="s">
        <v>298</v>
      </c>
      <c r="I1462" s="2" t="s">
        <v>297</v>
      </c>
      <c r="J1462" s="2" t="s">
        <v>296</v>
      </c>
      <c r="K1462" s="72"/>
      <c r="L1462" s="39">
        <v>14.55</v>
      </c>
      <c r="M1462" s="72">
        <f t="shared" si="90"/>
        <v>14.55</v>
      </c>
      <c r="N1462" s="72">
        <f t="shared" si="91"/>
        <v>477414.40999999951</v>
      </c>
    </row>
    <row r="1463" spans="1:14" x14ac:dyDescent="0.2">
      <c r="A1463" s="73" t="s">
        <v>1142</v>
      </c>
      <c r="B1463" s="3">
        <f t="shared" si="88"/>
        <v>2025</v>
      </c>
      <c r="C1463" s="3">
        <f t="shared" si="89"/>
        <v>8</v>
      </c>
      <c r="D1463" s="73" t="s">
        <v>893</v>
      </c>
      <c r="E1463" s="2"/>
      <c r="F1463" s="2" t="s">
        <v>304</v>
      </c>
      <c r="G1463" s="2" t="s">
        <v>1008</v>
      </c>
      <c r="H1463" s="2" t="s">
        <v>901</v>
      </c>
      <c r="I1463" s="1" t="s">
        <v>316</v>
      </c>
      <c r="J1463" s="2" t="s">
        <v>17</v>
      </c>
      <c r="K1463" s="72">
        <v>20.6</v>
      </c>
      <c r="L1463" s="39"/>
      <c r="M1463" s="72">
        <f t="shared" si="90"/>
        <v>-20.6</v>
      </c>
      <c r="N1463" s="72">
        <f t="shared" si="91"/>
        <v>477393.80999999953</v>
      </c>
    </row>
    <row r="1464" spans="1:14" x14ac:dyDescent="0.2">
      <c r="A1464" s="73" t="s">
        <v>1142</v>
      </c>
      <c r="B1464" s="3">
        <f t="shared" si="88"/>
        <v>2025</v>
      </c>
      <c r="C1464" s="3">
        <f t="shared" si="89"/>
        <v>8</v>
      </c>
      <c r="D1464" s="73" t="s">
        <v>893</v>
      </c>
      <c r="E1464" s="2"/>
      <c r="F1464" s="2" t="s">
        <v>304</v>
      </c>
      <c r="G1464" s="2" t="s">
        <v>1158</v>
      </c>
      <c r="H1464" s="2" t="s">
        <v>956</v>
      </c>
      <c r="I1464" s="2" t="s">
        <v>316</v>
      </c>
      <c r="J1464" s="2" t="s">
        <v>22</v>
      </c>
      <c r="K1464" s="72">
        <v>132.44999999999999</v>
      </c>
      <c r="L1464" s="39"/>
      <c r="M1464" s="72">
        <f t="shared" si="90"/>
        <v>-132.44999999999999</v>
      </c>
      <c r="N1464" s="72">
        <f t="shared" si="91"/>
        <v>477261.35999999952</v>
      </c>
    </row>
    <row r="1465" spans="1:14" x14ac:dyDescent="0.2">
      <c r="A1465" s="73" t="s">
        <v>1142</v>
      </c>
      <c r="B1465" s="3">
        <f t="shared" si="88"/>
        <v>2025</v>
      </c>
      <c r="C1465" s="3">
        <f t="shared" si="89"/>
        <v>8</v>
      </c>
      <c r="D1465" s="73" t="s">
        <v>893</v>
      </c>
      <c r="E1465" s="2"/>
      <c r="F1465" s="2" t="s">
        <v>304</v>
      </c>
      <c r="G1465" s="2" t="s">
        <v>1162</v>
      </c>
      <c r="H1465" s="2" t="s">
        <v>956</v>
      </c>
      <c r="I1465" s="2" t="s">
        <v>316</v>
      </c>
      <c r="J1465" s="2" t="s">
        <v>22</v>
      </c>
      <c r="K1465" s="72">
        <v>126.05</v>
      </c>
      <c r="L1465" s="39"/>
      <c r="M1465" s="72">
        <f t="shared" si="90"/>
        <v>-126.05</v>
      </c>
      <c r="N1465" s="72">
        <f t="shared" si="91"/>
        <v>477135.30999999953</v>
      </c>
    </row>
    <row r="1466" spans="1:14" x14ac:dyDescent="0.2">
      <c r="A1466" s="73" t="s">
        <v>1142</v>
      </c>
      <c r="B1466" s="3">
        <f t="shared" si="88"/>
        <v>2025</v>
      </c>
      <c r="C1466" s="3">
        <f t="shared" si="89"/>
        <v>8</v>
      </c>
      <c r="D1466" s="73" t="s">
        <v>893</v>
      </c>
      <c r="E1466" s="2"/>
      <c r="F1466" s="2" t="s">
        <v>304</v>
      </c>
      <c r="G1466" s="2" t="s">
        <v>1151</v>
      </c>
      <c r="H1466" s="2" t="s">
        <v>1007</v>
      </c>
      <c r="I1466" s="1" t="s">
        <v>316</v>
      </c>
      <c r="J1466" s="2" t="s">
        <v>17</v>
      </c>
      <c r="K1466" s="72">
        <v>221.42</v>
      </c>
      <c r="L1466" s="39"/>
      <c r="M1466" s="72">
        <f t="shared" si="90"/>
        <v>-221.42</v>
      </c>
      <c r="N1466" s="72">
        <f t="shared" si="91"/>
        <v>476913.88999999955</v>
      </c>
    </row>
    <row r="1467" spans="1:14" x14ac:dyDescent="0.2">
      <c r="A1467" s="73" t="s">
        <v>1142</v>
      </c>
      <c r="B1467" s="3">
        <f t="shared" si="88"/>
        <v>2025</v>
      </c>
      <c r="C1467" s="3">
        <f t="shared" si="89"/>
        <v>8</v>
      </c>
      <c r="D1467" s="73" t="s">
        <v>893</v>
      </c>
      <c r="E1467" s="2"/>
      <c r="F1467" s="2" t="s">
        <v>304</v>
      </c>
      <c r="G1467" s="2" t="s">
        <v>1151</v>
      </c>
      <c r="H1467" s="2" t="s">
        <v>1007</v>
      </c>
      <c r="I1467" s="1" t="s">
        <v>316</v>
      </c>
      <c r="J1467" s="2" t="s">
        <v>17</v>
      </c>
      <c r="K1467" s="72">
        <v>40.56</v>
      </c>
      <c r="L1467" s="39"/>
      <c r="M1467" s="72">
        <f t="shared" si="90"/>
        <v>-40.56</v>
      </c>
      <c r="N1467" s="72">
        <f t="shared" si="91"/>
        <v>476873.32999999955</v>
      </c>
    </row>
    <row r="1468" spans="1:14" x14ac:dyDescent="0.2">
      <c r="A1468" s="73" t="s">
        <v>1142</v>
      </c>
      <c r="B1468" s="3">
        <f t="shared" si="88"/>
        <v>2025</v>
      </c>
      <c r="C1468" s="3">
        <f t="shared" si="89"/>
        <v>8</v>
      </c>
      <c r="D1468" s="73" t="s">
        <v>893</v>
      </c>
      <c r="E1468" s="2"/>
      <c r="F1468" s="2" t="s">
        <v>304</v>
      </c>
      <c r="G1468" s="2" t="s">
        <v>1159</v>
      </c>
      <c r="H1468" s="2" t="s">
        <v>956</v>
      </c>
      <c r="I1468" s="2" t="s">
        <v>316</v>
      </c>
      <c r="J1468" s="2" t="s">
        <v>22</v>
      </c>
      <c r="K1468" s="72">
        <v>50.23</v>
      </c>
      <c r="L1468" s="39"/>
      <c r="M1468" s="72">
        <f t="shared" si="90"/>
        <v>-50.23</v>
      </c>
      <c r="N1468" s="72">
        <f t="shared" si="91"/>
        <v>476823.09999999957</v>
      </c>
    </row>
    <row r="1469" spans="1:14" x14ac:dyDescent="0.2">
      <c r="A1469" s="73" t="s">
        <v>1142</v>
      </c>
      <c r="B1469" s="3">
        <f t="shared" si="88"/>
        <v>2025</v>
      </c>
      <c r="C1469" s="3">
        <f t="shared" si="89"/>
        <v>8</v>
      </c>
      <c r="D1469" s="73" t="s">
        <v>893</v>
      </c>
      <c r="E1469" s="2"/>
      <c r="F1469" s="2" t="s">
        <v>304</v>
      </c>
      <c r="G1469" s="2" t="s">
        <v>973</v>
      </c>
      <c r="H1469" s="2" t="s">
        <v>956</v>
      </c>
      <c r="I1469" s="2" t="s">
        <v>316</v>
      </c>
      <c r="J1469" s="2" t="s">
        <v>22</v>
      </c>
      <c r="K1469" s="72">
        <v>14.31</v>
      </c>
      <c r="L1469" s="39"/>
      <c r="M1469" s="72">
        <f t="shared" si="90"/>
        <v>-14.31</v>
      </c>
      <c r="N1469" s="72">
        <f t="shared" si="91"/>
        <v>476808.78999999957</v>
      </c>
    </row>
    <row r="1470" spans="1:14" x14ac:dyDescent="0.2">
      <c r="A1470" s="73" t="s">
        <v>1142</v>
      </c>
      <c r="B1470" s="3">
        <f t="shared" si="88"/>
        <v>2025</v>
      </c>
      <c r="C1470" s="3">
        <f t="shared" si="89"/>
        <v>8</v>
      </c>
      <c r="D1470" s="73" t="s">
        <v>893</v>
      </c>
      <c r="E1470" s="2"/>
      <c r="F1470" s="2" t="s">
        <v>304</v>
      </c>
      <c r="G1470" s="2" t="s">
        <v>908</v>
      </c>
      <c r="H1470" s="2" t="s">
        <v>901</v>
      </c>
      <c r="I1470" s="1" t="s">
        <v>316</v>
      </c>
      <c r="J1470" s="2" t="s">
        <v>17</v>
      </c>
      <c r="K1470" s="72">
        <v>21.2</v>
      </c>
      <c r="L1470" s="39"/>
      <c r="M1470" s="72">
        <f t="shared" si="90"/>
        <v>-21.2</v>
      </c>
      <c r="N1470" s="72">
        <f t="shared" si="91"/>
        <v>476787.58999999956</v>
      </c>
    </row>
    <row r="1471" spans="1:14" x14ac:dyDescent="0.2">
      <c r="A1471" s="73" t="s">
        <v>1142</v>
      </c>
      <c r="B1471" s="3">
        <f t="shared" si="88"/>
        <v>2025</v>
      </c>
      <c r="C1471" s="3">
        <f t="shared" si="89"/>
        <v>8</v>
      </c>
      <c r="D1471" s="73" t="s">
        <v>893</v>
      </c>
      <c r="E1471" s="2"/>
      <c r="F1471" s="2" t="s">
        <v>304</v>
      </c>
      <c r="G1471" s="2" t="s">
        <v>1156</v>
      </c>
      <c r="H1471" s="2" t="s">
        <v>937</v>
      </c>
      <c r="I1471" s="2" t="s">
        <v>316</v>
      </c>
      <c r="J1471" s="2" t="s">
        <v>22</v>
      </c>
      <c r="K1471" s="72">
        <v>614.94000000000005</v>
      </c>
      <c r="L1471" s="39"/>
      <c r="M1471" s="72">
        <f t="shared" si="90"/>
        <v>-614.94000000000005</v>
      </c>
      <c r="N1471" s="72">
        <f t="shared" si="91"/>
        <v>476172.64999999956</v>
      </c>
    </row>
    <row r="1472" spans="1:14" x14ac:dyDescent="0.2">
      <c r="A1472" s="73" t="s">
        <v>1142</v>
      </c>
      <c r="B1472" s="3">
        <f t="shared" si="88"/>
        <v>2025</v>
      </c>
      <c r="C1472" s="3">
        <f t="shared" si="89"/>
        <v>8</v>
      </c>
      <c r="D1472" s="73" t="s">
        <v>893</v>
      </c>
      <c r="E1472" s="2"/>
      <c r="F1472" s="2" t="s">
        <v>304</v>
      </c>
      <c r="G1472" s="2" t="s">
        <v>1153</v>
      </c>
      <c r="H1472" s="2" t="s">
        <v>937</v>
      </c>
      <c r="I1472" s="2" t="s">
        <v>316</v>
      </c>
      <c r="J1472" s="2" t="s">
        <v>22</v>
      </c>
      <c r="K1472" s="72">
        <v>342.03</v>
      </c>
      <c r="L1472" s="39"/>
      <c r="M1472" s="72">
        <f t="shared" si="90"/>
        <v>-342.03</v>
      </c>
      <c r="N1472" s="72">
        <f t="shared" si="91"/>
        <v>475830.61999999953</v>
      </c>
    </row>
    <row r="1473" spans="1:14" x14ac:dyDescent="0.2">
      <c r="A1473" s="73" t="s">
        <v>1142</v>
      </c>
      <c r="B1473" s="3">
        <f t="shared" si="88"/>
        <v>2025</v>
      </c>
      <c r="C1473" s="3">
        <f t="shared" si="89"/>
        <v>8</v>
      </c>
      <c r="D1473" s="73" t="s">
        <v>893</v>
      </c>
      <c r="E1473" s="2"/>
      <c r="F1473" s="2" t="s">
        <v>304</v>
      </c>
      <c r="G1473" s="2" t="s">
        <v>1154</v>
      </c>
      <c r="H1473" s="2" t="s">
        <v>956</v>
      </c>
      <c r="I1473" s="2" t="s">
        <v>316</v>
      </c>
      <c r="J1473" s="2" t="s">
        <v>22</v>
      </c>
      <c r="K1473" s="72">
        <v>12.18</v>
      </c>
      <c r="L1473" s="39"/>
      <c r="M1473" s="72">
        <f t="shared" si="90"/>
        <v>-12.18</v>
      </c>
      <c r="N1473" s="72">
        <f t="shared" si="91"/>
        <v>475818.43999999954</v>
      </c>
    </row>
    <row r="1474" spans="1:14" x14ac:dyDescent="0.2">
      <c r="A1474" s="73" t="s">
        <v>1142</v>
      </c>
      <c r="B1474" s="3">
        <f t="shared" ref="B1474:B1537" si="92">YEAR(A1474)</f>
        <v>2025</v>
      </c>
      <c r="C1474" s="3">
        <f t="shared" ref="C1474:C1537" si="93">MONTH(A1474)</f>
        <v>8</v>
      </c>
      <c r="D1474" s="73" t="s">
        <v>893</v>
      </c>
      <c r="E1474" s="2"/>
      <c r="F1474" s="2" t="s">
        <v>304</v>
      </c>
      <c r="G1474" s="2" t="s">
        <v>1154</v>
      </c>
      <c r="H1474" s="2" t="s">
        <v>956</v>
      </c>
      <c r="I1474" s="2" t="s">
        <v>316</v>
      </c>
      <c r="J1474" s="2" t="s">
        <v>22</v>
      </c>
      <c r="K1474" s="72">
        <v>39.72</v>
      </c>
      <c r="L1474" s="39"/>
      <c r="M1474" s="72">
        <f t="shared" ref="M1474:M1537" si="94">IF(ISBLANK(L1474),K1474*-1,L1474)</f>
        <v>-39.72</v>
      </c>
      <c r="N1474" s="72">
        <f t="shared" si="91"/>
        <v>475778.71999999956</v>
      </c>
    </row>
    <row r="1475" spans="1:14" x14ac:dyDescent="0.2">
      <c r="A1475" s="73" t="s">
        <v>1142</v>
      </c>
      <c r="B1475" s="3">
        <f t="shared" si="92"/>
        <v>2025</v>
      </c>
      <c r="C1475" s="3">
        <f t="shared" si="93"/>
        <v>8</v>
      </c>
      <c r="D1475" s="73" t="s">
        <v>893</v>
      </c>
      <c r="E1475" s="2"/>
      <c r="F1475" s="2" t="s">
        <v>304</v>
      </c>
      <c r="G1475" s="2" t="s">
        <v>1157</v>
      </c>
      <c r="H1475" s="2" t="s">
        <v>956</v>
      </c>
      <c r="I1475" s="2" t="s">
        <v>316</v>
      </c>
      <c r="J1475" s="2" t="s">
        <v>22</v>
      </c>
      <c r="K1475" s="72">
        <v>50.25</v>
      </c>
      <c r="L1475" s="39"/>
      <c r="M1475" s="72">
        <f t="shared" si="94"/>
        <v>-50.25</v>
      </c>
      <c r="N1475" s="72">
        <f t="shared" ref="N1475:N1538" si="95">+N1474+M1475</f>
        <v>475728.46999999956</v>
      </c>
    </row>
    <row r="1476" spans="1:14" x14ac:dyDescent="0.2">
      <c r="A1476" s="73" t="s">
        <v>1142</v>
      </c>
      <c r="B1476" s="3">
        <f t="shared" si="92"/>
        <v>2025</v>
      </c>
      <c r="C1476" s="3">
        <f t="shared" si="93"/>
        <v>8</v>
      </c>
      <c r="D1476" s="73" t="s">
        <v>893</v>
      </c>
      <c r="E1476" s="2"/>
      <c r="F1476" s="2" t="s">
        <v>304</v>
      </c>
      <c r="G1476" s="2" t="s">
        <v>1160</v>
      </c>
      <c r="H1476" s="2" t="s">
        <v>956</v>
      </c>
      <c r="I1476" s="2" t="s">
        <v>316</v>
      </c>
      <c r="J1476" s="2" t="s">
        <v>22</v>
      </c>
      <c r="K1476" s="72">
        <v>5.24</v>
      </c>
      <c r="L1476" s="39"/>
      <c r="M1476" s="72">
        <f t="shared" si="94"/>
        <v>-5.24</v>
      </c>
      <c r="N1476" s="72">
        <f t="shared" si="95"/>
        <v>475723.22999999957</v>
      </c>
    </row>
    <row r="1477" spans="1:14" x14ac:dyDescent="0.2">
      <c r="A1477" s="73" t="s">
        <v>1142</v>
      </c>
      <c r="B1477" s="3">
        <f t="shared" si="92"/>
        <v>2025</v>
      </c>
      <c r="C1477" s="3">
        <f t="shared" si="93"/>
        <v>8</v>
      </c>
      <c r="D1477" s="73" t="s">
        <v>893</v>
      </c>
      <c r="E1477" s="2"/>
      <c r="F1477" s="2" t="s">
        <v>304</v>
      </c>
      <c r="G1477" s="2" t="s">
        <v>913</v>
      </c>
      <c r="H1477" s="2" t="s">
        <v>937</v>
      </c>
      <c r="I1477" s="2" t="s">
        <v>316</v>
      </c>
      <c r="J1477" s="2" t="s">
        <v>22</v>
      </c>
      <c r="K1477" s="72">
        <v>11.94</v>
      </c>
      <c r="L1477" s="39"/>
      <c r="M1477" s="72">
        <f t="shared" si="94"/>
        <v>-11.94</v>
      </c>
      <c r="N1477" s="72">
        <f t="shared" si="95"/>
        <v>475711.28999999957</v>
      </c>
    </row>
    <row r="1478" spans="1:14" x14ac:dyDescent="0.2">
      <c r="A1478" s="73" t="s">
        <v>1142</v>
      </c>
      <c r="B1478" s="3">
        <f t="shared" si="92"/>
        <v>2025</v>
      </c>
      <c r="C1478" s="3">
        <f t="shared" si="93"/>
        <v>8</v>
      </c>
      <c r="D1478" s="73" t="s">
        <v>893</v>
      </c>
      <c r="E1478" s="2"/>
      <c r="F1478" s="2" t="s">
        <v>304</v>
      </c>
      <c r="G1478" s="2" t="s">
        <v>913</v>
      </c>
      <c r="H1478" s="2" t="s">
        <v>937</v>
      </c>
      <c r="I1478" s="2" t="s">
        <v>316</v>
      </c>
      <c r="J1478" s="2" t="s">
        <v>22</v>
      </c>
      <c r="K1478" s="72">
        <v>10.95</v>
      </c>
      <c r="L1478" s="39"/>
      <c r="M1478" s="72">
        <f t="shared" si="94"/>
        <v>-10.95</v>
      </c>
      <c r="N1478" s="72">
        <f t="shared" si="95"/>
        <v>475700.33999999956</v>
      </c>
    </row>
    <row r="1479" spans="1:14" x14ac:dyDescent="0.2">
      <c r="A1479" s="73" t="s">
        <v>1142</v>
      </c>
      <c r="B1479" s="3">
        <f t="shared" si="92"/>
        <v>2025</v>
      </c>
      <c r="C1479" s="3">
        <f t="shared" si="93"/>
        <v>8</v>
      </c>
      <c r="D1479" s="73" t="s">
        <v>893</v>
      </c>
      <c r="E1479" s="2"/>
      <c r="F1479" s="2" t="s">
        <v>304</v>
      </c>
      <c r="G1479" s="2" t="s">
        <v>1161</v>
      </c>
      <c r="H1479" s="2" t="s">
        <v>956</v>
      </c>
      <c r="I1479" s="1" t="s">
        <v>316</v>
      </c>
      <c r="J1479" s="2" t="s">
        <v>17</v>
      </c>
      <c r="K1479" s="72">
        <v>41.43</v>
      </c>
      <c r="L1479" s="39"/>
      <c r="M1479" s="72">
        <f t="shared" si="94"/>
        <v>-41.43</v>
      </c>
      <c r="N1479" s="72">
        <f t="shared" si="95"/>
        <v>475658.90999999957</v>
      </c>
    </row>
    <row r="1480" spans="1:14" x14ac:dyDescent="0.2">
      <c r="A1480" s="73" t="s">
        <v>1055</v>
      </c>
      <c r="B1480" s="3">
        <f t="shared" si="92"/>
        <v>2025</v>
      </c>
      <c r="C1480" s="3">
        <f t="shared" si="93"/>
        <v>8</v>
      </c>
      <c r="D1480" s="73" t="s">
        <v>893</v>
      </c>
      <c r="E1480" s="2"/>
      <c r="F1480" s="2" t="s">
        <v>304</v>
      </c>
      <c r="G1480" s="2" t="s">
        <v>1165</v>
      </c>
      <c r="H1480" s="2" t="s">
        <v>956</v>
      </c>
      <c r="I1480" s="2" t="s">
        <v>316</v>
      </c>
      <c r="J1480" s="2" t="s">
        <v>22</v>
      </c>
      <c r="K1480" s="72">
        <v>4.0999999999999996</v>
      </c>
      <c r="L1480" s="39"/>
      <c r="M1480" s="72">
        <f t="shared" si="94"/>
        <v>-4.0999999999999996</v>
      </c>
      <c r="N1480" s="72">
        <f t="shared" si="95"/>
        <v>475654.80999999959</v>
      </c>
    </row>
    <row r="1481" spans="1:14" x14ac:dyDescent="0.2">
      <c r="A1481" s="73" t="s">
        <v>1055</v>
      </c>
      <c r="B1481" s="3">
        <f t="shared" si="92"/>
        <v>2025</v>
      </c>
      <c r="C1481" s="3">
        <f t="shared" si="93"/>
        <v>8</v>
      </c>
      <c r="D1481" s="73" t="s">
        <v>893</v>
      </c>
      <c r="E1481" s="2"/>
      <c r="F1481" s="2" t="s">
        <v>304</v>
      </c>
      <c r="G1481" s="2" t="s">
        <v>1163</v>
      </c>
      <c r="H1481" s="2" t="s">
        <v>937</v>
      </c>
      <c r="I1481" s="2" t="s">
        <v>316</v>
      </c>
      <c r="J1481" s="2" t="s">
        <v>22</v>
      </c>
      <c r="K1481" s="72">
        <v>27</v>
      </c>
      <c r="L1481" s="39"/>
      <c r="M1481" s="72">
        <f t="shared" si="94"/>
        <v>-27</v>
      </c>
      <c r="N1481" s="72">
        <f t="shared" si="95"/>
        <v>475627.80999999959</v>
      </c>
    </row>
    <row r="1482" spans="1:14" x14ac:dyDescent="0.2">
      <c r="A1482" s="73" t="s">
        <v>1055</v>
      </c>
      <c r="B1482" s="3">
        <f t="shared" si="92"/>
        <v>2025</v>
      </c>
      <c r="C1482" s="3">
        <f t="shared" si="93"/>
        <v>8</v>
      </c>
      <c r="D1482" s="73" t="s">
        <v>300</v>
      </c>
      <c r="E1482" s="2"/>
      <c r="F1482" s="2" t="s">
        <v>304</v>
      </c>
      <c r="G1482" s="2" t="s">
        <v>336</v>
      </c>
      <c r="H1482" s="2" t="s">
        <v>766</v>
      </c>
      <c r="I1482" s="2" t="s">
        <v>301</v>
      </c>
      <c r="J1482" s="2" t="s">
        <v>11</v>
      </c>
      <c r="K1482" s="72">
        <v>15</v>
      </c>
      <c r="L1482" s="39"/>
      <c r="M1482" s="72">
        <f t="shared" si="94"/>
        <v>-15</v>
      </c>
      <c r="N1482" s="72">
        <f t="shared" si="95"/>
        <v>475612.80999999959</v>
      </c>
    </row>
    <row r="1483" spans="1:14" x14ac:dyDescent="0.2">
      <c r="A1483" s="73" t="s">
        <v>1055</v>
      </c>
      <c r="B1483" s="3">
        <f t="shared" si="92"/>
        <v>2025</v>
      </c>
      <c r="C1483" s="3">
        <f t="shared" si="93"/>
        <v>8</v>
      </c>
      <c r="D1483" s="73" t="s">
        <v>893</v>
      </c>
      <c r="E1483" s="2"/>
      <c r="F1483" s="2" t="s">
        <v>304</v>
      </c>
      <c r="G1483" s="2" t="s">
        <v>1038</v>
      </c>
      <c r="H1483" s="2" t="s">
        <v>1035</v>
      </c>
      <c r="I1483" s="2" t="s">
        <v>316</v>
      </c>
      <c r="J1483" s="2" t="s">
        <v>22</v>
      </c>
      <c r="K1483" s="72">
        <v>22.94</v>
      </c>
      <c r="L1483" s="39"/>
      <c r="M1483" s="72">
        <f t="shared" si="94"/>
        <v>-22.94</v>
      </c>
      <c r="N1483" s="72">
        <f t="shared" si="95"/>
        <v>475589.86999999959</v>
      </c>
    </row>
    <row r="1484" spans="1:14" x14ac:dyDescent="0.2">
      <c r="A1484" s="73" t="s">
        <v>1055</v>
      </c>
      <c r="B1484" s="3">
        <f t="shared" si="92"/>
        <v>2025</v>
      </c>
      <c r="C1484" s="3">
        <f t="shared" si="93"/>
        <v>8</v>
      </c>
      <c r="D1484" s="73" t="s">
        <v>893</v>
      </c>
      <c r="E1484" s="2"/>
      <c r="F1484" s="2" t="s">
        <v>304</v>
      </c>
      <c r="G1484" s="2" t="s">
        <v>1038</v>
      </c>
      <c r="H1484" s="2" t="s">
        <v>1035</v>
      </c>
      <c r="I1484" s="2" t="s">
        <v>316</v>
      </c>
      <c r="J1484" s="2" t="s">
        <v>22</v>
      </c>
      <c r="K1484" s="72">
        <v>71.22</v>
      </c>
      <c r="L1484" s="39"/>
      <c r="M1484" s="72">
        <f t="shared" si="94"/>
        <v>-71.22</v>
      </c>
      <c r="N1484" s="72">
        <f t="shared" si="95"/>
        <v>475518.64999999962</v>
      </c>
    </row>
    <row r="1485" spans="1:14" x14ac:dyDescent="0.2">
      <c r="A1485" s="73" t="s">
        <v>1055</v>
      </c>
      <c r="B1485" s="3">
        <f t="shared" si="92"/>
        <v>2025</v>
      </c>
      <c r="C1485" s="3">
        <f t="shared" si="93"/>
        <v>8</v>
      </c>
      <c r="D1485" s="73" t="s">
        <v>893</v>
      </c>
      <c r="E1485" s="2"/>
      <c r="F1485" s="2" t="s">
        <v>304</v>
      </c>
      <c r="G1485" s="2" t="s">
        <v>1038</v>
      </c>
      <c r="H1485" s="2" t="s">
        <v>1035</v>
      </c>
      <c r="I1485" s="2" t="s">
        <v>316</v>
      </c>
      <c r="J1485" s="2" t="s">
        <v>22</v>
      </c>
      <c r="K1485" s="72">
        <v>16.690000000000001</v>
      </c>
      <c r="L1485" s="39"/>
      <c r="M1485" s="72">
        <f t="shared" si="94"/>
        <v>-16.690000000000001</v>
      </c>
      <c r="N1485" s="72">
        <f t="shared" si="95"/>
        <v>475501.95999999961</v>
      </c>
    </row>
    <row r="1486" spans="1:14" x14ac:dyDescent="0.2">
      <c r="A1486" s="73" t="s">
        <v>1055</v>
      </c>
      <c r="B1486" s="3">
        <f t="shared" si="92"/>
        <v>2025</v>
      </c>
      <c r="C1486" s="3">
        <f t="shared" si="93"/>
        <v>8</v>
      </c>
      <c r="D1486" s="73" t="s">
        <v>893</v>
      </c>
      <c r="E1486" s="2"/>
      <c r="F1486" s="2" t="s">
        <v>304</v>
      </c>
      <c r="G1486" s="2" t="s">
        <v>1166</v>
      </c>
      <c r="H1486" s="2" t="s">
        <v>956</v>
      </c>
      <c r="I1486" s="2" t="s">
        <v>316</v>
      </c>
      <c r="J1486" s="2" t="s">
        <v>22</v>
      </c>
      <c r="K1486" s="72">
        <v>18.62</v>
      </c>
      <c r="L1486" s="39"/>
      <c r="M1486" s="72">
        <f t="shared" si="94"/>
        <v>-18.62</v>
      </c>
      <c r="N1486" s="72">
        <f t="shared" si="95"/>
        <v>475483.33999999962</v>
      </c>
    </row>
    <row r="1487" spans="1:14" x14ac:dyDescent="0.2">
      <c r="A1487" s="73" t="s">
        <v>1055</v>
      </c>
      <c r="B1487" s="3">
        <f t="shared" si="92"/>
        <v>2025</v>
      </c>
      <c r="C1487" s="3">
        <f t="shared" si="93"/>
        <v>8</v>
      </c>
      <c r="D1487" s="73" t="s">
        <v>893</v>
      </c>
      <c r="E1487" s="2"/>
      <c r="F1487" s="2" t="s">
        <v>304</v>
      </c>
      <c r="G1487" s="2" t="s">
        <v>1151</v>
      </c>
      <c r="H1487" s="2" t="s">
        <v>1007</v>
      </c>
      <c r="I1487" s="1" t="s">
        <v>316</v>
      </c>
      <c r="J1487" s="2" t="s">
        <v>17</v>
      </c>
      <c r="K1487" s="72">
        <v>493.26</v>
      </c>
      <c r="L1487" s="39"/>
      <c r="M1487" s="72">
        <f t="shared" si="94"/>
        <v>-493.26</v>
      </c>
      <c r="N1487" s="72">
        <f t="shared" si="95"/>
        <v>474990.07999999961</v>
      </c>
    </row>
    <row r="1488" spans="1:14" x14ac:dyDescent="0.2">
      <c r="A1488" s="73" t="s">
        <v>1055</v>
      </c>
      <c r="B1488" s="3">
        <f t="shared" si="92"/>
        <v>2025</v>
      </c>
      <c r="C1488" s="3">
        <f t="shared" si="93"/>
        <v>8</v>
      </c>
      <c r="D1488" s="73" t="s">
        <v>893</v>
      </c>
      <c r="E1488" s="2"/>
      <c r="F1488" s="2" t="s">
        <v>304</v>
      </c>
      <c r="G1488" s="2" t="s">
        <v>1164</v>
      </c>
      <c r="H1488" s="2" t="s">
        <v>956</v>
      </c>
      <c r="I1488" s="2" t="s">
        <v>316</v>
      </c>
      <c r="J1488" s="2" t="s">
        <v>22</v>
      </c>
      <c r="K1488" s="72">
        <v>37.93</v>
      </c>
      <c r="L1488" s="39"/>
      <c r="M1488" s="72">
        <f t="shared" si="94"/>
        <v>-37.93</v>
      </c>
      <c r="N1488" s="72">
        <f t="shared" si="95"/>
        <v>474952.14999999962</v>
      </c>
    </row>
    <row r="1489" spans="1:14" x14ac:dyDescent="0.2">
      <c r="A1489" s="73" t="s">
        <v>1055</v>
      </c>
      <c r="B1489" s="3">
        <f t="shared" si="92"/>
        <v>2025</v>
      </c>
      <c r="C1489" s="3">
        <f t="shared" si="93"/>
        <v>8</v>
      </c>
      <c r="D1489" s="73" t="s">
        <v>893</v>
      </c>
      <c r="E1489" s="2"/>
      <c r="F1489" s="2" t="s">
        <v>304</v>
      </c>
      <c r="G1489" s="2" t="s">
        <v>975</v>
      </c>
      <c r="H1489" s="2" t="s">
        <v>956</v>
      </c>
      <c r="I1489" s="2" t="s">
        <v>316</v>
      </c>
      <c r="J1489" s="2" t="s">
        <v>22</v>
      </c>
      <c r="K1489" s="72">
        <v>19.32</v>
      </c>
      <c r="L1489" s="39"/>
      <c r="M1489" s="72">
        <f t="shared" si="94"/>
        <v>-19.32</v>
      </c>
      <c r="N1489" s="72">
        <f t="shared" si="95"/>
        <v>474932.82999999961</v>
      </c>
    </row>
    <row r="1490" spans="1:14" x14ac:dyDescent="0.2">
      <c r="A1490" s="73" t="s">
        <v>1055</v>
      </c>
      <c r="B1490" s="3">
        <f t="shared" si="92"/>
        <v>2025</v>
      </c>
      <c r="C1490" s="3">
        <f t="shared" si="93"/>
        <v>8</v>
      </c>
      <c r="D1490" s="73" t="s">
        <v>300</v>
      </c>
      <c r="E1490" s="2"/>
      <c r="F1490" s="2" t="s">
        <v>304</v>
      </c>
      <c r="G1490" s="2" t="s">
        <v>377</v>
      </c>
      <c r="H1490" s="2" t="s">
        <v>376</v>
      </c>
      <c r="I1490" s="2" t="s">
        <v>301</v>
      </c>
      <c r="J1490" s="2" t="s">
        <v>11</v>
      </c>
      <c r="K1490" s="72">
        <v>1145.18</v>
      </c>
      <c r="L1490" s="39"/>
      <c r="M1490" s="72">
        <f t="shared" si="94"/>
        <v>-1145.18</v>
      </c>
      <c r="N1490" s="72">
        <f t="shared" si="95"/>
        <v>473787.64999999962</v>
      </c>
    </row>
    <row r="1491" spans="1:14" x14ac:dyDescent="0.2">
      <c r="A1491" s="73" t="s">
        <v>1055</v>
      </c>
      <c r="B1491" s="3">
        <f t="shared" si="92"/>
        <v>2025</v>
      </c>
      <c r="C1491" s="3">
        <f t="shared" si="93"/>
        <v>8</v>
      </c>
      <c r="D1491" s="73" t="s">
        <v>893</v>
      </c>
      <c r="E1491" s="2"/>
      <c r="F1491" s="2" t="s">
        <v>304</v>
      </c>
      <c r="G1491" s="2" t="s">
        <v>900</v>
      </c>
      <c r="H1491" s="2" t="s">
        <v>901</v>
      </c>
      <c r="I1491" s="1" t="s">
        <v>316</v>
      </c>
      <c r="J1491" s="2" t="s">
        <v>17</v>
      </c>
      <c r="K1491" s="72">
        <v>20</v>
      </c>
      <c r="L1491" s="39"/>
      <c r="M1491" s="72">
        <f t="shared" si="94"/>
        <v>-20</v>
      </c>
      <c r="N1491" s="72">
        <f t="shared" si="95"/>
        <v>473767.64999999962</v>
      </c>
    </row>
    <row r="1492" spans="1:14" x14ac:dyDescent="0.2">
      <c r="A1492" s="73" t="s">
        <v>1055</v>
      </c>
      <c r="B1492" s="3">
        <f t="shared" si="92"/>
        <v>2025</v>
      </c>
      <c r="C1492" s="3">
        <f t="shared" si="93"/>
        <v>8</v>
      </c>
      <c r="D1492" s="73" t="s">
        <v>893</v>
      </c>
      <c r="E1492" s="2"/>
      <c r="F1492" s="2" t="s">
        <v>304</v>
      </c>
      <c r="G1492" s="2" t="s">
        <v>1154</v>
      </c>
      <c r="H1492" s="2" t="s">
        <v>956</v>
      </c>
      <c r="I1492" s="2" t="s">
        <v>316</v>
      </c>
      <c r="J1492" s="2" t="s">
        <v>22</v>
      </c>
      <c r="K1492" s="72">
        <v>322.95</v>
      </c>
      <c r="L1492" s="39"/>
      <c r="M1492" s="72">
        <f t="shared" si="94"/>
        <v>-322.95</v>
      </c>
      <c r="N1492" s="72">
        <f t="shared" si="95"/>
        <v>473444.6999999996</v>
      </c>
    </row>
    <row r="1493" spans="1:14" x14ac:dyDescent="0.2">
      <c r="A1493" s="73" t="s">
        <v>1055</v>
      </c>
      <c r="B1493" s="3">
        <f t="shared" si="92"/>
        <v>2025</v>
      </c>
      <c r="C1493" s="3">
        <f t="shared" si="93"/>
        <v>8</v>
      </c>
      <c r="D1493" s="73" t="s">
        <v>893</v>
      </c>
      <c r="E1493" s="2"/>
      <c r="F1493" s="2" t="s">
        <v>304</v>
      </c>
      <c r="G1493" s="2" t="s">
        <v>913</v>
      </c>
      <c r="H1493" s="2" t="s">
        <v>937</v>
      </c>
      <c r="I1493" s="2" t="s">
        <v>316</v>
      </c>
      <c r="J1493" s="2" t="s">
        <v>22</v>
      </c>
      <c r="K1493" s="72">
        <v>11.82</v>
      </c>
      <c r="L1493" s="39"/>
      <c r="M1493" s="72">
        <f t="shared" si="94"/>
        <v>-11.82</v>
      </c>
      <c r="N1493" s="72">
        <f t="shared" si="95"/>
        <v>473432.8799999996</v>
      </c>
    </row>
    <row r="1494" spans="1:14" x14ac:dyDescent="0.2">
      <c r="A1494" s="73" t="s">
        <v>1055</v>
      </c>
      <c r="B1494" s="3">
        <f t="shared" si="92"/>
        <v>2025</v>
      </c>
      <c r="C1494" s="3">
        <f t="shared" si="93"/>
        <v>8</v>
      </c>
      <c r="D1494" s="73" t="s">
        <v>893</v>
      </c>
      <c r="E1494" s="2"/>
      <c r="F1494" s="2" t="s">
        <v>304</v>
      </c>
      <c r="G1494" s="2" t="s">
        <v>913</v>
      </c>
      <c r="H1494" s="2" t="s">
        <v>937</v>
      </c>
      <c r="I1494" s="2" t="s">
        <v>316</v>
      </c>
      <c r="J1494" s="2" t="s">
        <v>22</v>
      </c>
      <c r="K1494" s="72">
        <v>39.159999999999997</v>
      </c>
      <c r="L1494" s="39"/>
      <c r="M1494" s="72">
        <f t="shared" si="94"/>
        <v>-39.159999999999997</v>
      </c>
      <c r="N1494" s="72">
        <f t="shared" si="95"/>
        <v>473393.71999999962</v>
      </c>
    </row>
    <row r="1495" spans="1:14" x14ac:dyDescent="0.2">
      <c r="A1495" s="73" t="s">
        <v>1055</v>
      </c>
      <c r="B1495" s="3">
        <f t="shared" si="92"/>
        <v>2025</v>
      </c>
      <c r="C1495" s="3">
        <f t="shared" si="93"/>
        <v>8</v>
      </c>
      <c r="D1495" s="73" t="s">
        <v>893</v>
      </c>
      <c r="E1495" s="2"/>
      <c r="F1495" s="2" t="s">
        <v>304</v>
      </c>
      <c r="G1495" s="2" t="s">
        <v>913</v>
      </c>
      <c r="H1495" s="2" t="s">
        <v>937</v>
      </c>
      <c r="I1495" s="2" t="s">
        <v>316</v>
      </c>
      <c r="J1495" s="2" t="s">
        <v>22</v>
      </c>
      <c r="K1495" s="72">
        <v>7.98</v>
      </c>
      <c r="L1495" s="39"/>
      <c r="M1495" s="72">
        <f t="shared" si="94"/>
        <v>-7.98</v>
      </c>
      <c r="N1495" s="72">
        <f t="shared" si="95"/>
        <v>473385.73999999964</v>
      </c>
    </row>
    <row r="1496" spans="1:14" x14ac:dyDescent="0.2">
      <c r="A1496" s="73" t="s">
        <v>1055</v>
      </c>
      <c r="B1496" s="3">
        <f t="shared" si="92"/>
        <v>2025</v>
      </c>
      <c r="C1496" s="3">
        <f t="shared" si="93"/>
        <v>8</v>
      </c>
      <c r="D1496" s="73" t="s">
        <v>893</v>
      </c>
      <c r="E1496" s="2"/>
      <c r="F1496" s="2" t="s">
        <v>304</v>
      </c>
      <c r="G1496" s="2" t="s">
        <v>913</v>
      </c>
      <c r="H1496" s="2" t="s">
        <v>937</v>
      </c>
      <c r="I1496" s="2" t="s">
        <v>316</v>
      </c>
      <c r="J1496" s="2" t="s">
        <v>22</v>
      </c>
      <c r="K1496" s="72">
        <v>13.28</v>
      </c>
      <c r="L1496" s="39"/>
      <c r="M1496" s="72">
        <f t="shared" si="94"/>
        <v>-13.28</v>
      </c>
      <c r="N1496" s="72">
        <f t="shared" si="95"/>
        <v>473372.45999999961</v>
      </c>
    </row>
    <row r="1497" spans="1:14" x14ac:dyDescent="0.2">
      <c r="A1497" s="73" t="s">
        <v>1055</v>
      </c>
      <c r="B1497" s="3">
        <f t="shared" si="92"/>
        <v>2025</v>
      </c>
      <c r="C1497" s="3">
        <f t="shared" si="93"/>
        <v>8</v>
      </c>
      <c r="D1497" s="73" t="s">
        <v>893</v>
      </c>
      <c r="E1497" s="2"/>
      <c r="F1497" s="2" t="s">
        <v>304</v>
      </c>
      <c r="G1497" s="2" t="s">
        <v>913</v>
      </c>
      <c r="H1497" s="2" t="s">
        <v>937</v>
      </c>
      <c r="I1497" s="2" t="s">
        <v>316</v>
      </c>
      <c r="J1497" s="2" t="s">
        <v>22</v>
      </c>
      <c r="K1497" s="72">
        <v>15.29</v>
      </c>
      <c r="L1497" s="39"/>
      <c r="M1497" s="72">
        <f t="shared" si="94"/>
        <v>-15.29</v>
      </c>
      <c r="N1497" s="72">
        <f t="shared" si="95"/>
        <v>473357.16999999963</v>
      </c>
    </row>
    <row r="1498" spans="1:14" x14ac:dyDescent="0.2">
      <c r="A1498" s="73" t="s">
        <v>1055</v>
      </c>
      <c r="B1498" s="3">
        <f t="shared" si="92"/>
        <v>2025</v>
      </c>
      <c r="C1498" s="3">
        <f t="shared" si="93"/>
        <v>8</v>
      </c>
      <c r="D1498" s="73" t="s">
        <v>893</v>
      </c>
      <c r="E1498" s="2"/>
      <c r="F1498" s="2" t="s">
        <v>304</v>
      </c>
      <c r="G1498" s="2" t="s">
        <v>913</v>
      </c>
      <c r="H1498" s="2" t="s">
        <v>937</v>
      </c>
      <c r="I1498" s="2" t="s">
        <v>316</v>
      </c>
      <c r="J1498" s="2" t="s">
        <v>22</v>
      </c>
      <c r="K1498" s="72">
        <v>4</v>
      </c>
      <c r="L1498" s="39"/>
      <c r="M1498" s="72">
        <f t="shared" si="94"/>
        <v>-4</v>
      </c>
      <c r="N1498" s="72">
        <f t="shared" si="95"/>
        <v>473353.16999999963</v>
      </c>
    </row>
    <row r="1499" spans="1:14" x14ac:dyDescent="0.2">
      <c r="A1499" s="73" t="s">
        <v>1055</v>
      </c>
      <c r="B1499" s="3">
        <f t="shared" si="92"/>
        <v>2025</v>
      </c>
      <c r="C1499" s="3">
        <f t="shared" si="93"/>
        <v>8</v>
      </c>
      <c r="D1499" s="73" t="s">
        <v>893</v>
      </c>
      <c r="E1499" s="2"/>
      <c r="F1499" s="2" t="s">
        <v>304</v>
      </c>
      <c r="G1499" s="2" t="s">
        <v>913</v>
      </c>
      <c r="H1499" s="2" t="s">
        <v>937</v>
      </c>
      <c r="I1499" s="2" t="s">
        <v>316</v>
      </c>
      <c r="J1499" s="2" t="s">
        <v>22</v>
      </c>
      <c r="K1499" s="72">
        <v>38.950000000000003</v>
      </c>
      <c r="L1499" s="39"/>
      <c r="M1499" s="72">
        <f t="shared" si="94"/>
        <v>-38.950000000000003</v>
      </c>
      <c r="N1499" s="72">
        <f t="shared" si="95"/>
        <v>473314.21999999962</v>
      </c>
    </row>
    <row r="1500" spans="1:14" x14ac:dyDescent="0.2">
      <c r="A1500" s="73" t="s">
        <v>1055</v>
      </c>
      <c r="B1500" s="3">
        <f t="shared" si="92"/>
        <v>2025</v>
      </c>
      <c r="C1500" s="3">
        <f t="shared" si="93"/>
        <v>8</v>
      </c>
      <c r="D1500" s="73" t="s">
        <v>893</v>
      </c>
      <c r="E1500" s="2"/>
      <c r="F1500" s="2" t="s">
        <v>304</v>
      </c>
      <c r="G1500" s="2" t="s">
        <v>913</v>
      </c>
      <c r="H1500" s="2" t="s">
        <v>937</v>
      </c>
      <c r="I1500" s="2" t="s">
        <v>316</v>
      </c>
      <c r="J1500" s="2" t="s">
        <v>22</v>
      </c>
      <c r="K1500" s="72">
        <v>46.94</v>
      </c>
      <c r="L1500" s="39"/>
      <c r="M1500" s="72">
        <f t="shared" si="94"/>
        <v>-46.94</v>
      </c>
      <c r="N1500" s="72">
        <f t="shared" si="95"/>
        <v>473267.27999999962</v>
      </c>
    </row>
    <row r="1501" spans="1:14" x14ac:dyDescent="0.2">
      <c r="A1501" s="73" t="s">
        <v>1055</v>
      </c>
      <c r="B1501" s="3">
        <f t="shared" si="92"/>
        <v>2025</v>
      </c>
      <c r="C1501" s="3">
        <f t="shared" si="93"/>
        <v>8</v>
      </c>
      <c r="D1501" s="73" t="s">
        <v>300</v>
      </c>
      <c r="E1501" s="2"/>
      <c r="F1501" s="2" t="s">
        <v>304</v>
      </c>
      <c r="G1501" s="2" t="s">
        <v>303</v>
      </c>
      <c r="H1501" s="2" t="s">
        <v>302</v>
      </c>
      <c r="I1501" s="2" t="s">
        <v>301</v>
      </c>
      <c r="J1501" s="2" t="s">
        <v>11</v>
      </c>
      <c r="K1501" s="72">
        <v>416.8</v>
      </c>
      <c r="L1501" s="39"/>
      <c r="M1501" s="72">
        <f t="shared" si="94"/>
        <v>-416.8</v>
      </c>
      <c r="N1501" s="72">
        <f t="shared" si="95"/>
        <v>472850.47999999963</v>
      </c>
    </row>
    <row r="1502" spans="1:14" x14ac:dyDescent="0.2">
      <c r="A1502" s="73" t="s">
        <v>1055</v>
      </c>
      <c r="B1502" s="3">
        <f t="shared" si="92"/>
        <v>2025</v>
      </c>
      <c r="C1502" s="3">
        <f t="shared" si="93"/>
        <v>8</v>
      </c>
      <c r="D1502" s="73" t="s">
        <v>300</v>
      </c>
      <c r="E1502" s="2"/>
      <c r="F1502" s="2" t="s">
        <v>299</v>
      </c>
      <c r="G1502" s="2"/>
      <c r="H1502" s="2" t="s">
        <v>298</v>
      </c>
      <c r="I1502" s="2" t="s">
        <v>297</v>
      </c>
      <c r="J1502" s="2" t="s">
        <v>296</v>
      </c>
      <c r="K1502" s="72"/>
      <c r="L1502" s="39">
        <v>1682.72</v>
      </c>
      <c r="M1502" s="72">
        <f t="shared" si="94"/>
        <v>1682.72</v>
      </c>
      <c r="N1502" s="72">
        <f t="shared" si="95"/>
        <v>474533.1999999996</v>
      </c>
    </row>
    <row r="1503" spans="1:14" x14ac:dyDescent="0.2">
      <c r="A1503" s="73" t="s">
        <v>1056</v>
      </c>
      <c r="B1503" s="3">
        <f t="shared" si="92"/>
        <v>2025</v>
      </c>
      <c r="C1503" s="3">
        <f t="shared" si="93"/>
        <v>8</v>
      </c>
      <c r="D1503" s="73" t="s">
        <v>300</v>
      </c>
      <c r="E1503" s="2"/>
      <c r="F1503" s="2" t="s">
        <v>325</v>
      </c>
      <c r="G1503" s="2" t="s">
        <v>693</v>
      </c>
      <c r="H1503" s="2" t="s">
        <v>323</v>
      </c>
      <c r="I1503" s="2" t="s">
        <v>316</v>
      </c>
      <c r="J1503" s="2" t="s">
        <v>22</v>
      </c>
      <c r="K1503" s="72">
        <v>30</v>
      </c>
      <c r="L1503" s="39"/>
      <c r="M1503" s="72">
        <f t="shared" si="94"/>
        <v>-30</v>
      </c>
      <c r="N1503" s="72">
        <f t="shared" si="95"/>
        <v>474503.1999999996</v>
      </c>
    </row>
    <row r="1504" spans="1:14" x14ac:dyDescent="0.2">
      <c r="A1504" s="73" t="s">
        <v>1056</v>
      </c>
      <c r="B1504" s="3">
        <f t="shared" si="92"/>
        <v>2025</v>
      </c>
      <c r="C1504" s="3">
        <f t="shared" si="93"/>
        <v>8</v>
      </c>
      <c r="D1504" s="73" t="s">
        <v>893</v>
      </c>
      <c r="E1504" s="2"/>
      <c r="F1504" s="2" t="s">
        <v>304</v>
      </c>
      <c r="G1504" s="2" t="s">
        <v>1038</v>
      </c>
      <c r="H1504" s="2" t="s">
        <v>1035</v>
      </c>
      <c r="I1504" s="2" t="s">
        <v>316</v>
      </c>
      <c r="J1504" s="2" t="s">
        <v>22</v>
      </c>
      <c r="K1504" s="72">
        <v>22.94</v>
      </c>
      <c r="L1504" s="39"/>
      <c r="M1504" s="72">
        <f t="shared" si="94"/>
        <v>-22.94</v>
      </c>
      <c r="N1504" s="72">
        <f t="shared" si="95"/>
        <v>474480.2599999996</v>
      </c>
    </row>
    <row r="1505" spans="1:14" x14ac:dyDescent="0.2">
      <c r="A1505" s="73" t="s">
        <v>1056</v>
      </c>
      <c r="B1505" s="3">
        <f t="shared" si="92"/>
        <v>2025</v>
      </c>
      <c r="C1505" s="3">
        <f t="shared" si="93"/>
        <v>8</v>
      </c>
      <c r="D1505" s="73" t="s">
        <v>893</v>
      </c>
      <c r="E1505" s="2"/>
      <c r="F1505" s="2" t="s">
        <v>304</v>
      </c>
      <c r="G1505" s="2" t="s">
        <v>1167</v>
      </c>
      <c r="H1505" s="2" t="s">
        <v>1007</v>
      </c>
      <c r="I1505" s="1" t="s">
        <v>316</v>
      </c>
      <c r="J1505" s="2" t="s">
        <v>17</v>
      </c>
      <c r="K1505" s="72">
        <v>99</v>
      </c>
      <c r="L1505" s="39"/>
      <c r="M1505" s="72">
        <f t="shared" si="94"/>
        <v>-99</v>
      </c>
      <c r="N1505" s="72">
        <f t="shared" si="95"/>
        <v>474381.2599999996</v>
      </c>
    </row>
    <row r="1506" spans="1:14" x14ac:dyDescent="0.2">
      <c r="A1506" s="73" t="s">
        <v>1056</v>
      </c>
      <c r="B1506" s="3">
        <f t="shared" si="92"/>
        <v>2025</v>
      </c>
      <c r="C1506" s="3">
        <f t="shared" si="93"/>
        <v>8</v>
      </c>
      <c r="D1506" s="73" t="s">
        <v>300</v>
      </c>
      <c r="E1506" s="2"/>
      <c r="F1506" s="2" t="s">
        <v>325</v>
      </c>
      <c r="G1506" s="2" t="s">
        <v>473</v>
      </c>
      <c r="H1506" s="2" t="s">
        <v>323</v>
      </c>
      <c r="I1506" s="2" t="s">
        <v>350</v>
      </c>
      <c r="J1506" s="2" t="s">
        <v>353</v>
      </c>
      <c r="K1506" s="72">
        <v>880.75</v>
      </c>
      <c r="L1506" s="39"/>
      <c r="M1506" s="72">
        <f t="shared" si="94"/>
        <v>-880.75</v>
      </c>
      <c r="N1506" s="72">
        <f t="shared" si="95"/>
        <v>473500.5099999996</v>
      </c>
    </row>
    <row r="1507" spans="1:14" x14ac:dyDescent="0.2">
      <c r="A1507" s="73" t="s">
        <v>1056</v>
      </c>
      <c r="B1507" s="3">
        <f t="shared" si="92"/>
        <v>2025</v>
      </c>
      <c r="C1507" s="3">
        <f t="shared" si="93"/>
        <v>8</v>
      </c>
      <c r="D1507" s="73" t="s">
        <v>300</v>
      </c>
      <c r="E1507" s="2"/>
      <c r="F1507" s="2" t="s">
        <v>325</v>
      </c>
      <c r="G1507" s="2" t="s">
        <v>473</v>
      </c>
      <c r="H1507" s="2" t="s">
        <v>323</v>
      </c>
      <c r="I1507" s="2" t="s">
        <v>350</v>
      </c>
      <c r="J1507" s="2" t="s">
        <v>353</v>
      </c>
      <c r="K1507" s="72">
        <v>1084</v>
      </c>
      <c r="L1507" s="39"/>
      <c r="M1507" s="72">
        <f t="shared" si="94"/>
        <v>-1084</v>
      </c>
      <c r="N1507" s="72">
        <f t="shared" si="95"/>
        <v>472416.5099999996</v>
      </c>
    </row>
    <row r="1508" spans="1:14" x14ac:dyDescent="0.2">
      <c r="A1508" s="73" t="s">
        <v>1056</v>
      </c>
      <c r="B1508" s="3">
        <f t="shared" si="92"/>
        <v>2025</v>
      </c>
      <c r="C1508" s="3">
        <f t="shared" si="93"/>
        <v>8</v>
      </c>
      <c r="D1508" s="73" t="s">
        <v>300</v>
      </c>
      <c r="E1508" s="2"/>
      <c r="F1508" s="2" t="s">
        <v>325</v>
      </c>
      <c r="G1508" s="2" t="s">
        <v>837</v>
      </c>
      <c r="H1508" s="2" t="s">
        <v>323</v>
      </c>
      <c r="I1508" s="2" t="s">
        <v>316</v>
      </c>
      <c r="J1508" s="2" t="s">
        <v>22</v>
      </c>
      <c r="K1508" s="72">
        <v>16.95</v>
      </c>
      <c r="L1508" s="39"/>
      <c r="M1508" s="72">
        <f t="shared" si="94"/>
        <v>-16.95</v>
      </c>
      <c r="N1508" s="72">
        <f t="shared" si="95"/>
        <v>472399.55999999959</v>
      </c>
    </row>
    <row r="1509" spans="1:14" x14ac:dyDescent="0.2">
      <c r="A1509" s="73" t="s">
        <v>1056</v>
      </c>
      <c r="B1509" s="3">
        <f t="shared" si="92"/>
        <v>2025</v>
      </c>
      <c r="C1509" s="3">
        <f t="shared" si="93"/>
        <v>8</v>
      </c>
      <c r="D1509" s="73" t="s">
        <v>893</v>
      </c>
      <c r="E1509" s="2"/>
      <c r="F1509" s="2" t="s">
        <v>304</v>
      </c>
      <c r="G1509" s="2" t="s">
        <v>932</v>
      </c>
      <c r="H1509" s="2" t="s">
        <v>1007</v>
      </c>
      <c r="I1509" s="1" t="s">
        <v>316</v>
      </c>
      <c r="J1509" s="2" t="s">
        <v>17</v>
      </c>
      <c r="K1509" s="72">
        <v>63.59</v>
      </c>
      <c r="L1509" s="39"/>
      <c r="M1509" s="72">
        <f t="shared" si="94"/>
        <v>-63.59</v>
      </c>
      <c r="N1509" s="72">
        <f t="shared" si="95"/>
        <v>472335.96999999956</v>
      </c>
    </row>
    <row r="1510" spans="1:14" x14ac:dyDescent="0.2">
      <c r="A1510" s="73" t="s">
        <v>1056</v>
      </c>
      <c r="B1510" s="3">
        <f t="shared" si="92"/>
        <v>2025</v>
      </c>
      <c r="C1510" s="3">
        <f t="shared" si="93"/>
        <v>8</v>
      </c>
      <c r="D1510" s="73" t="s">
        <v>300</v>
      </c>
      <c r="E1510" s="2"/>
      <c r="F1510" s="2" t="s">
        <v>304</v>
      </c>
      <c r="G1510" s="2" t="s">
        <v>308</v>
      </c>
      <c r="H1510" s="2" t="s">
        <v>349</v>
      </c>
      <c r="I1510" s="2" t="s">
        <v>297</v>
      </c>
      <c r="J1510" s="2" t="s">
        <v>26</v>
      </c>
      <c r="K1510" s="72">
        <v>315.20999999999998</v>
      </c>
      <c r="L1510" s="39"/>
      <c r="M1510" s="72">
        <f t="shared" si="94"/>
        <v>-315.20999999999998</v>
      </c>
      <c r="N1510" s="72">
        <f t="shared" si="95"/>
        <v>472020.75999999954</v>
      </c>
    </row>
    <row r="1511" spans="1:14" x14ac:dyDescent="0.2">
      <c r="A1511" s="73" t="s">
        <v>1056</v>
      </c>
      <c r="B1511" s="3">
        <f t="shared" si="92"/>
        <v>2025</v>
      </c>
      <c r="C1511" s="3">
        <f t="shared" si="93"/>
        <v>8</v>
      </c>
      <c r="D1511" s="73" t="s">
        <v>893</v>
      </c>
      <c r="E1511" s="2"/>
      <c r="F1511" s="2" t="s">
        <v>304</v>
      </c>
      <c r="G1511" s="2" t="s">
        <v>908</v>
      </c>
      <c r="H1511" s="2" t="s">
        <v>919</v>
      </c>
      <c r="I1511" s="1" t="s">
        <v>316</v>
      </c>
      <c r="J1511" s="2" t="s">
        <v>17</v>
      </c>
      <c r="K1511" s="72">
        <v>21.2</v>
      </c>
      <c r="L1511" s="39"/>
      <c r="M1511" s="72">
        <f t="shared" si="94"/>
        <v>-21.2</v>
      </c>
      <c r="N1511" s="72">
        <f t="shared" si="95"/>
        <v>471999.55999999953</v>
      </c>
    </row>
    <row r="1512" spans="1:14" x14ac:dyDescent="0.2">
      <c r="A1512" s="73" t="s">
        <v>1056</v>
      </c>
      <c r="B1512" s="3">
        <f t="shared" si="92"/>
        <v>2025</v>
      </c>
      <c r="C1512" s="3">
        <f t="shared" si="93"/>
        <v>8</v>
      </c>
      <c r="D1512" s="73" t="s">
        <v>300</v>
      </c>
      <c r="E1512" s="2"/>
      <c r="F1512" s="2" t="s">
        <v>325</v>
      </c>
      <c r="G1512" s="2" t="s">
        <v>378</v>
      </c>
      <c r="H1512" s="2" t="s">
        <v>323</v>
      </c>
      <c r="I1512" s="2" t="s">
        <v>316</v>
      </c>
      <c r="J1512" s="2" t="s">
        <v>17</v>
      </c>
      <c r="K1512" s="72">
        <v>20045.099999999999</v>
      </c>
      <c r="L1512" s="39"/>
      <c r="M1512" s="72">
        <f t="shared" si="94"/>
        <v>-20045.099999999999</v>
      </c>
      <c r="N1512" s="72">
        <f t="shared" si="95"/>
        <v>451954.45999999956</v>
      </c>
    </row>
    <row r="1513" spans="1:14" x14ac:dyDescent="0.2">
      <c r="A1513" s="73" t="s">
        <v>1056</v>
      </c>
      <c r="B1513" s="3">
        <f t="shared" si="92"/>
        <v>2025</v>
      </c>
      <c r="C1513" s="3">
        <f t="shared" si="93"/>
        <v>8</v>
      </c>
      <c r="D1513" s="73" t="s">
        <v>893</v>
      </c>
      <c r="E1513" s="2"/>
      <c r="F1513" s="2" t="s">
        <v>304</v>
      </c>
      <c r="G1513" s="2" t="s">
        <v>1153</v>
      </c>
      <c r="H1513" s="2" t="s">
        <v>956</v>
      </c>
      <c r="I1513" s="2" t="s">
        <v>316</v>
      </c>
      <c r="J1513" s="2" t="s">
        <v>22</v>
      </c>
      <c r="K1513" s="72">
        <v>7.58</v>
      </c>
      <c r="L1513" s="39"/>
      <c r="M1513" s="72">
        <f t="shared" si="94"/>
        <v>-7.58</v>
      </c>
      <c r="N1513" s="72">
        <f t="shared" si="95"/>
        <v>451946.87999999954</v>
      </c>
    </row>
    <row r="1514" spans="1:14" x14ac:dyDescent="0.2">
      <c r="A1514" s="73" t="s">
        <v>1056</v>
      </c>
      <c r="B1514" s="3">
        <f t="shared" si="92"/>
        <v>2025</v>
      </c>
      <c r="C1514" s="3">
        <f t="shared" si="93"/>
        <v>8</v>
      </c>
      <c r="D1514" s="73" t="s">
        <v>300</v>
      </c>
      <c r="E1514" s="2"/>
      <c r="F1514" s="2" t="s">
        <v>299</v>
      </c>
      <c r="G1514" s="2"/>
      <c r="H1514" s="2" t="s">
        <v>298</v>
      </c>
      <c r="I1514" s="2" t="s">
        <v>297</v>
      </c>
      <c r="J1514" s="2" t="s">
        <v>296</v>
      </c>
      <c r="K1514" s="72"/>
      <c r="L1514" s="39">
        <v>22325.06</v>
      </c>
      <c r="M1514" s="72">
        <f t="shared" si="94"/>
        <v>22325.06</v>
      </c>
      <c r="N1514" s="72">
        <f t="shared" si="95"/>
        <v>474271.93999999954</v>
      </c>
    </row>
    <row r="1515" spans="1:14" x14ac:dyDescent="0.2">
      <c r="A1515" s="73" t="s">
        <v>1143</v>
      </c>
      <c r="B1515" s="3">
        <f t="shared" si="92"/>
        <v>2025</v>
      </c>
      <c r="C1515" s="3">
        <f t="shared" si="93"/>
        <v>8</v>
      </c>
      <c r="D1515" s="73" t="s">
        <v>893</v>
      </c>
      <c r="E1515" s="2"/>
      <c r="F1515" s="2" t="s">
        <v>304</v>
      </c>
      <c r="G1515" s="2" t="s">
        <v>918</v>
      </c>
      <c r="H1515" s="2" t="s">
        <v>919</v>
      </c>
      <c r="I1515" s="2" t="s">
        <v>350</v>
      </c>
      <c r="J1515" s="1" t="s">
        <v>477</v>
      </c>
      <c r="K1515" s="72">
        <v>99</v>
      </c>
      <c r="L1515" s="39"/>
      <c r="M1515" s="72">
        <f t="shared" si="94"/>
        <v>-99</v>
      </c>
      <c r="N1515" s="72">
        <f t="shared" si="95"/>
        <v>474172.93999999954</v>
      </c>
    </row>
    <row r="1516" spans="1:14" x14ac:dyDescent="0.2">
      <c r="A1516" s="73" t="s">
        <v>1143</v>
      </c>
      <c r="B1516" s="3">
        <f t="shared" si="92"/>
        <v>2025</v>
      </c>
      <c r="C1516" s="3">
        <f t="shared" si="93"/>
        <v>8</v>
      </c>
      <c r="D1516" s="73" t="s">
        <v>893</v>
      </c>
      <c r="E1516" s="2"/>
      <c r="F1516" s="2" t="s">
        <v>304</v>
      </c>
      <c r="G1516" s="2" t="s">
        <v>1168</v>
      </c>
      <c r="H1516" s="2" t="s">
        <v>1035</v>
      </c>
      <c r="I1516" s="2" t="s">
        <v>316</v>
      </c>
      <c r="J1516" s="2" t="s">
        <v>22</v>
      </c>
      <c r="K1516" s="72">
        <v>75.540000000000006</v>
      </c>
      <c r="L1516" s="39"/>
      <c r="M1516" s="72">
        <f t="shared" si="94"/>
        <v>-75.540000000000006</v>
      </c>
      <c r="N1516" s="72">
        <f t="shared" si="95"/>
        <v>474097.39999999956</v>
      </c>
    </row>
    <row r="1517" spans="1:14" x14ac:dyDescent="0.2">
      <c r="A1517" s="73" t="s">
        <v>1143</v>
      </c>
      <c r="B1517" s="3">
        <f t="shared" si="92"/>
        <v>2025</v>
      </c>
      <c r="C1517" s="3">
        <f t="shared" si="93"/>
        <v>8</v>
      </c>
      <c r="D1517" s="73" t="s">
        <v>893</v>
      </c>
      <c r="E1517" s="2"/>
      <c r="F1517" s="2" t="s">
        <v>304</v>
      </c>
      <c r="G1517" s="2" t="s">
        <v>935</v>
      </c>
      <c r="H1517" s="2" t="s">
        <v>933</v>
      </c>
      <c r="I1517" s="1" t="s">
        <v>316</v>
      </c>
      <c r="J1517" s="2" t="s">
        <v>17</v>
      </c>
      <c r="K1517" s="72">
        <v>24</v>
      </c>
      <c r="L1517" s="39"/>
      <c r="M1517" s="72">
        <f t="shared" si="94"/>
        <v>-24</v>
      </c>
      <c r="N1517" s="72">
        <f t="shared" si="95"/>
        <v>474073.39999999956</v>
      </c>
    </row>
    <row r="1518" spans="1:14" x14ac:dyDescent="0.2">
      <c r="A1518" s="73" t="s">
        <v>1144</v>
      </c>
      <c r="B1518" s="3">
        <f t="shared" si="92"/>
        <v>2025</v>
      </c>
      <c r="C1518" s="3">
        <f t="shared" si="93"/>
        <v>8</v>
      </c>
      <c r="D1518" s="73" t="s">
        <v>893</v>
      </c>
      <c r="E1518" s="2"/>
      <c r="F1518" s="2" t="s">
        <v>304</v>
      </c>
      <c r="G1518" s="2" t="s">
        <v>898</v>
      </c>
      <c r="H1518" s="2" t="s">
        <v>1031</v>
      </c>
      <c r="I1518" s="1" t="s">
        <v>316</v>
      </c>
      <c r="J1518" s="1" t="s">
        <v>28</v>
      </c>
      <c r="K1518" s="72">
        <v>191.62</v>
      </c>
      <c r="L1518" s="39"/>
      <c r="M1518" s="72">
        <f t="shared" si="94"/>
        <v>-191.62</v>
      </c>
      <c r="N1518" s="72">
        <f t="shared" si="95"/>
        <v>473881.77999999956</v>
      </c>
    </row>
    <row r="1519" spans="1:14" x14ac:dyDescent="0.2">
      <c r="A1519" s="73" t="s">
        <v>1144</v>
      </c>
      <c r="B1519" s="3">
        <f t="shared" si="92"/>
        <v>2025</v>
      </c>
      <c r="C1519" s="3">
        <f t="shared" si="93"/>
        <v>8</v>
      </c>
      <c r="D1519" s="73" t="s">
        <v>893</v>
      </c>
      <c r="E1519" s="2"/>
      <c r="F1519" s="2" t="s">
        <v>304</v>
      </c>
      <c r="G1519" s="2" t="s">
        <v>1151</v>
      </c>
      <c r="H1519" s="2" t="s">
        <v>1007</v>
      </c>
      <c r="I1519" s="1" t="s">
        <v>316</v>
      </c>
      <c r="J1519" s="2" t="s">
        <v>17</v>
      </c>
      <c r="K1519" s="72">
        <v>12.56</v>
      </c>
      <c r="L1519" s="39"/>
      <c r="M1519" s="72">
        <f t="shared" si="94"/>
        <v>-12.56</v>
      </c>
      <c r="N1519" s="72">
        <f t="shared" si="95"/>
        <v>473869.21999999956</v>
      </c>
    </row>
    <row r="1520" spans="1:14" x14ac:dyDescent="0.2">
      <c r="A1520" s="73" t="s">
        <v>1144</v>
      </c>
      <c r="B1520" s="3">
        <f t="shared" si="92"/>
        <v>2025</v>
      </c>
      <c r="C1520" s="3">
        <f t="shared" si="93"/>
        <v>8</v>
      </c>
      <c r="D1520" s="73" t="s">
        <v>893</v>
      </c>
      <c r="E1520" s="2"/>
      <c r="F1520" s="2" t="s">
        <v>304</v>
      </c>
      <c r="G1520" s="2" t="s">
        <v>900</v>
      </c>
      <c r="H1520" s="2" t="s">
        <v>1007</v>
      </c>
      <c r="I1520" s="1" t="s">
        <v>316</v>
      </c>
      <c r="J1520" s="2" t="s">
        <v>17</v>
      </c>
      <c r="K1520" s="72">
        <v>206</v>
      </c>
      <c r="L1520" s="39"/>
      <c r="M1520" s="72">
        <f t="shared" si="94"/>
        <v>-206</v>
      </c>
      <c r="N1520" s="72">
        <f t="shared" si="95"/>
        <v>473663.21999999956</v>
      </c>
    </row>
    <row r="1521" spans="1:14" x14ac:dyDescent="0.2">
      <c r="A1521" s="73" t="s">
        <v>1057</v>
      </c>
      <c r="B1521" s="3">
        <f t="shared" si="92"/>
        <v>2025</v>
      </c>
      <c r="C1521" s="3">
        <f t="shared" si="93"/>
        <v>8</v>
      </c>
      <c r="D1521" s="73" t="s">
        <v>893</v>
      </c>
      <c r="E1521" s="2"/>
      <c r="F1521" s="2" t="s">
        <v>304</v>
      </c>
      <c r="G1521" s="2" t="s">
        <v>936</v>
      </c>
      <c r="H1521" s="2" t="s">
        <v>937</v>
      </c>
      <c r="I1521" s="2" t="s">
        <v>316</v>
      </c>
      <c r="J1521" s="2" t="s">
        <v>22</v>
      </c>
      <c r="K1521" s="72">
        <v>135.01</v>
      </c>
      <c r="L1521" s="39"/>
      <c r="M1521" s="72">
        <f t="shared" si="94"/>
        <v>-135.01</v>
      </c>
      <c r="N1521" s="72">
        <f t="shared" si="95"/>
        <v>473528.20999999956</v>
      </c>
    </row>
    <row r="1522" spans="1:14" x14ac:dyDescent="0.2">
      <c r="A1522" s="73" t="s">
        <v>1057</v>
      </c>
      <c r="B1522" s="3">
        <f t="shared" si="92"/>
        <v>2025</v>
      </c>
      <c r="C1522" s="3">
        <f t="shared" si="93"/>
        <v>8</v>
      </c>
      <c r="D1522" s="73" t="s">
        <v>893</v>
      </c>
      <c r="E1522" s="2"/>
      <c r="F1522" s="2" t="s">
        <v>304</v>
      </c>
      <c r="G1522" s="2" t="s">
        <v>1008</v>
      </c>
      <c r="H1522" s="2" t="s">
        <v>1007</v>
      </c>
      <c r="I1522" s="1" t="s">
        <v>316</v>
      </c>
      <c r="J1522" s="2" t="s">
        <v>17</v>
      </c>
      <c r="K1522" s="72">
        <v>20.6</v>
      </c>
      <c r="L1522" s="39"/>
      <c r="M1522" s="72">
        <f t="shared" si="94"/>
        <v>-20.6</v>
      </c>
      <c r="N1522" s="72">
        <f t="shared" si="95"/>
        <v>473507.60999999958</v>
      </c>
    </row>
    <row r="1523" spans="1:14" x14ac:dyDescent="0.2">
      <c r="A1523" s="73" t="s">
        <v>1057</v>
      </c>
      <c r="B1523" s="3">
        <f t="shared" si="92"/>
        <v>2025</v>
      </c>
      <c r="C1523" s="3">
        <f t="shared" si="93"/>
        <v>8</v>
      </c>
      <c r="D1523" s="73" t="s">
        <v>300</v>
      </c>
      <c r="E1523" s="2" t="s">
        <v>1099</v>
      </c>
      <c r="F1523" s="2" t="s">
        <v>325</v>
      </c>
      <c r="G1523" s="2" t="s">
        <v>369</v>
      </c>
      <c r="H1523" s="2" t="s">
        <v>323</v>
      </c>
      <c r="I1523" s="2" t="s">
        <v>316</v>
      </c>
      <c r="J1523" s="2" t="s">
        <v>360</v>
      </c>
      <c r="K1523" s="72">
        <v>850</v>
      </c>
      <c r="L1523" s="39"/>
      <c r="M1523" s="72">
        <f t="shared" si="94"/>
        <v>-850</v>
      </c>
      <c r="N1523" s="72">
        <f t="shared" si="95"/>
        <v>472657.60999999958</v>
      </c>
    </row>
    <row r="1524" spans="1:14" x14ac:dyDescent="0.2">
      <c r="A1524" s="73" t="s">
        <v>1057</v>
      </c>
      <c r="B1524" s="3">
        <f t="shared" si="92"/>
        <v>2025</v>
      </c>
      <c r="C1524" s="3">
        <f t="shared" si="93"/>
        <v>8</v>
      </c>
      <c r="D1524" s="73" t="s">
        <v>300</v>
      </c>
      <c r="E1524" s="2" t="s">
        <v>1101</v>
      </c>
      <c r="F1524" s="2" t="s">
        <v>325</v>
      </c>
      <c r="G1524" s="2" t="s">
        <v>369</v>
      </c>
      <c r="H1524" s="2" t="s">
        <v>323</v>
      </c>
      <c r="I1524" s="2" t="s">
        <v>316</v>
      </c>
      <c r="J1524" s="2" t="s">
        <v>360</v>
      </c>
      <c r="K1524" s="72">
        <v>607.5</v>
      </c>
      <c r="L1524" s="39"/>
      <c r="M1524" s="72">
        <f t="shared" si="94"/>
        <v>-607.5</v>
      </c>
      <c r="N1524" s="72">
        <f t="shared" si="95"/>
        <v>472050.10999999958</v>
      </c>
    </row>
    <row r="1525" spans="1:14" x14ac:dyDescent="0.2">
      <c r="A1525" s="73" t="s">
        <v>1057</v>
      </c>
      <c r="B1525" s="3">
        <f t="shared" si="92"/>
        <v>2025</v>
      </c>
      <c r="C1525" s="3">
        <f t="shared" si="93"/>
        <v>8</v>
      </c>
      <c r="D1525" s="73" t="s">
        <v>300</v>
      </c>
      <c r="E1525" s="2" t="s">
        <v>1106</v>
      </c>
      <c r="F1525" s="2" t="s">
        <v>325</v>
      </c>
      <c r="G1525" s="2" t="s">
        <v>369</v>
      </c>
      <c r="H1525" s="2" t="s">
        <v>323</v>
      </c>
      <c r="I1525" s="2" t="s">
        <v>316</v>
      </c>
      <c r="J1525" s="2" t="s">
        <v>360</v>
      </c>
      <c r="K1525" s="72">
        <v>720</v>
      </c>
      <c r="L1525" s="39"/>
      <c r="M1525" s="72">
        <f t="shared" si="94"/>
        <v>-720</v>
      </c>
      <c r="N1525" s="72">
        <f t="shared" si="95"/>
        <v>471330.10999999958</v>
      </c>
    </row>
    <row r="1526" spans="1:14" x14ac:dyDescent="0.2">
      <c r="A1526" s="73" t="s">
        <v>1057</v>
      </c>
      <c r="B1526" s="3">
        <f t="shared" si="92"/>
        <v>2025</v>
      </c>
      <c r="C1526" s="3">
        <f t="shared" si="93"/>
        <v>8</v>
      </c>
      <c r="D1526" s="73" t="s">
        <v>300</v>
      </c>
      <c r="E1526" s="2" t="s">
        <v>1107</v>
      </c>
      <c r="F1526" s="2" t="s">
        <v>325</v>
      </c>
      <c r="G1526" s="2" t="s">
        <v>369</v>
      </c>
      <c r="H1526" s="2" t="s">
        <v>323</v>
      </c>
      <c r="I1526" s="2" t="s">
        <v>316</v>
      </c>
      <c r="J1526" s="2" t="s">
        <v>360</v>
      </c>
      <c r="K1526" s="72">
        <v>2010</v>
      </c>
      <c r="L1526" s="39"/>
      <c r="M1526" s="72">
        <f t="shared" si="94"/>
        <v>-2010</v>
      </c>
      <c r="N1526" s="72">
        <f t="shared" si="95"/>
        <v>469320.10999999958</v>
      </c>
    </row>
    <row r="1527" spans="1:14" x14ac:dyDescent="0.2">
      <c r="A1527" s="73" t="s">
        <v>1057</v>
      </c>
      <c r="B1527" s="3">
        <f t="shared" si="92"/>
        <v>2025</v>
      </c>
      <c r="C1527" s="3">
        <f t="shared" si="93"/>
        <v>8</v>
      </c>
      <c r="D1527" s="73" t="s">
        <v>300</v>
      </c>
      <c r="E1527" s="2" t="s">
        <v>1091</v>
      </c>
      <c r="F1527" s="2" t="s">
        <v>325</v>
      </c>
      <c r="G1527" s="2" t="s">
        <v>368</v>
      </c>
      <c r="H1527" s="2" t="s">
        <v>323</v>
      </c>
      <c r="I1527" s="2" t="s">
        <v>350</v>
      </c>
      <c r="J1527" s="2" t="s">
        <v>27</v>
      </c>
      <c r="K1527" s="72">
        <v>8470</v>
      </c>
      <c r="L1527" s="39"/>
      <c r="M1527" s="72">
        <f t="shared" si="94"/>
        <v>-8470</v>
      </c>
      <c r="N1527" s="72">
        <f t="shared" si="95"/>
        <v>460850.10999999958</v>
      </c>
    </row>
    <row r="1528" spans="1:14" x14ac:dyDescent="0.2">
      <c r="A1528" s="73" t="s">
        <v>1057</v>
      </c>
      <c r="B1528" s="3">
        <f t="shared" si="92"/>
        <v>2025</v>
      </c>
      <c r="C1528" s="3">
        <f t="shared" si="93"/>
        <v>8</v>
      </c>
      <c r="D1528" s="73" t="s">
        <v>300</v>
      </c>
      <c r="E1528" s="2" t="s">
        <v>1090</v>
      </c>
      <c r="F1528" s="2" t="s">
        <v>325</v>
      </c>
      <c r="G1528" s="2" t="s">
        <v>365</v>
      </c>
      <c r="H1528" s="2" t="s">
        <v>323</v>
      </c>
      <c r="I1528" s="2" t="s">
        <v>350</v>
      </c>
      <c r="J1528" s="2" t="s">
        <v>353</v>
      </c>
      <c r="K1528" s="72">
        <v>25000</v>
      </c>
      <c r="L1528" s="39"/>
      <c r="M1528" s="72">
        <f t="shared" si="94"/>
        <v>-25000</v>
      </c>
      <c r="N1528" s="72">
        <f t="shared" si="95"/>
        <v>435850.10999999958</v>
      </c>
    </row>
    <row r="1529" spans="1:14" x14ac:dyDescent="0.2">
      <c r="A1529" s="73" t="s">
        <v>1057</v>
      </c>
      <c r="B1529" s="3">
        <f t="shared" si="92"/>
        <v>2025</v>
      </c>
      <c r="C1529" s="3">
        <f t="shared" si="93"/>
        <v>8</v>
      </c>
      <c r="D1529" s="73" t="s">
        <v>300</v>
      </c>
      <c r="E1529" s="2" t="s">
        <v>1074</v>
      </c>
      <c r="F1529" s="2" t="s">
        <v>325</v>
      </c>
      <c r="G1529" s="2" t="s">
        <v>364</v>
      </c>
      <c r="H1529" s="2" t="s">
        <v>323</v>
      </c>
      <c r="I1529" s="2" t="s">
        <v>350</v>
      </c>
      <c r="J1529" s="2" t="s">
        <v>27</v>
      </c>
      <c r="K1529" s="72">
        <v>2843.75</v>
      </c>
      <c r="L1529" s="39"/>
      <c r="M1529" s="72">
        <f t="shared" si="94"/>
        <v>-2843.75</v>
      </c>
      <c r="N1529" s="72">
        <f t="shared" si="95"/>
        <v>433006.35999999958</v>
      </c>
    </row>
    <row r="1530" spans="1:14" x14ac:dyDescent="0.2">
      <c r="A1530" s="73" t="s">
        <v>1057</v>
      </c>
      <c r="B1530" s="3">
        <f t="shared" si="92"/>
        <v>2025</v>
      </c>
      <c r="C1530" s="3">
        <f t="shared" si="93"/>
        <v>8</v>
      </c>
      <c r="D1530" s="73" t="s">
        <v>300</v>
      </c>
      <c r="E1530" s="2" t="s">
        <v>1073</v>
      </c>
      <c r="F1530" s="2" t="s">
        <v>325</v>
      </c>
      <c r="G1530" s="2" t="s">
        <v>363</v>
      </c>
      <c r="H1530" s="2" t="s">
        <v>323</v>
      </c>
      <c r="I1530" s="2" t="s">
        <v>316</v>
      </c>
      <c r="J1530" s="2" t="s">
        <v>17</v>
      </c>
      <c r="K1530" s="72">
        <v>5</v>
      </c>
      <c r="L1530" s="39"/>
      <c r="M1530" s="72">
        <f t="shared" si="94"/>
        <v>-5</v>
      </c>
      <c r="N1530" s="72">
        <f t="shared" si="95"/>
        <v>433001.35999999958</v>
      </c>
    </row>
    <row r="1531" spans="1:14" x14ac:dyDescent="0.2">
      <c r="A1531" s="73" t="s">
        <v>1057</v>
      </c>
      <c r="B1531" s="3">
        <f t="shared" si="92"/>
        <v>2025</v>
      </c>
      <c r="C1531" s="3">
        <f t="shared" si="93"/>
        <v>8</v>
      </c>
      <c r="D1531" s="73" t="s">
        <v>300</v>
      </c>
      <c r="E1531" s="2" t="s">
        <v>1075</v>
      </c>
      <c r="F1531" s="2" t="s">
        <v>325</v>
      </c>
      <c r="G1531" s="2" t="s">
        <v>363</v>
      </c>
      <c r="H1531" s="2" t="s">
        <v>323</v>
      </c>
      <c r="I1531" s="2" t="s">
        <v>316</v>
      </c>
      <c r="J1531" s="2" t="s">
        <v>17</v>
      </c>
      <c r="K1531" s="72">
        <v>49</v>
      </c>
      <c r="L1531" s="39"/>
      <c r="M1531" s="72">
        <f t="shared" si="94"/>
        <v>-49</v>
      </c>
      <c r="N1531" s="72">
        <f t="shared" si="95"/>
        <v>432952.35999999958</v>
      </c>
    </row>
    <row r="1532" spans="1:14" x14ac:dyDescent="0.2">
      <c r="A1532" s="73" t="s">
        <v>1057</v>
      </c>
      <c r="B1532" s="3">
        <f t="shared" si="92"/>
        <v>2025</v>
      </c>
      <c r="C1532" s="3">
        <f t="shared" si="93"/>
        <v>8</v>
      </c>
      <c r="D1532" s="73" t="s">
        <v>300</v>
      </c>
      <c r="E1532" s="2" t="s">
        <v>1076</v>
      </c>
      <c r="F1532" s="2" t="s">
        <v>325</v>
      </c>
      <c r="G1532" s="2" t="s">
        <v>363</v>
      </c>
      <c r="H1532" s="2" t="s">
        <v>323</v>
      </c>
      <c r="I1532" s="2" t="s">
        <v>316</v>
      </c>
      <c r="J1532" s="2" t="s">
        <v>17</v>
      </c>
      <c r="K1532" s="72">
        <v>5</v>
      </c>
      <c r="L1532" s="39"/>
      <c r="M1532" s="72">
        <f t="shared" si="94"/>
        <v>-5</v>
      </c>
      <c r="N1532" s="72">
        <f t="shared" si="95"/>
        <v>432947.35999999958</v>
      </c>
    </row>
    <row r="1533" spans="1:14" x14ac:dyDescent="0.2">
      <c r="A1533" s="73" t="s">
        <v>1057</v>
      </c>
      <c r="B1533" s="3">
        <f t="shared" si="92"/>
        <v>2025</v>
      </c>
      <c r="C1533" s="3">
        <f t="shared" si="93"/>
        <v>8</v>
      </c>
      <c r="D1533" s="73" t="s">
        <v>300</v>
      </c>
      <c r="E1533" s="2" t="s">
        <v>1098</v>
      </c>
      <c r="F1533" s="2" t="s">
        <v>325</v>
      </c>
      <c r="G1533" s="2" t="s">
        <v>363</v>
      </c>
      <c r="H1533" s="2" t="s">
        <v>323</v>
      </c>
      <c r="I1533" s="2" t="s">
        <v>316</v>
      </c>
      <c r="J1533" s="2" t="s">
        <v>17</v>
      </c>
      <c r="K1533" s="72">
        <v>49</v>
      </c>
      <c r="L1533" s="39"/>
      <c r="M1533" s="72">
        <f t="shared" si="94"/>
        <v>-49</v>
      </c>
      <c r="N1533" s="72">
        <f t="shared" si="95"/>
        <v>432898.35999999958</v>
      </c>
    </row>
    <row r="1534" spans="1:14" x14ac:dyDescent="0.2">
      <c r="A1534" s="73" t="s">
        <v>1057</v>
      </c>
      <c r="B1534" s="3">
        <f t="shared" si="92"/>
        <v>2025</v>
      </c>
      <c r="C1534" s="3">
        <f t="shared" si="93"/>
        <v>8</v>
      </c>
      <c r="D1534" s="73" t="s">
        <v>300</v>
      </c>
      <c r="E1534" s="2" t="s">
        <v>1100</v>
      </c>
      <c r="F1534" s="2" t="s">
        <v>325</v>
      </c>
      <c r="G1534" s="2" t="s">
        <v>363</v>
      </c>
      <c r="H1534" s="2" t="s">
        <v>323</v>
      </c>
      <c r="I1534" s="2" t="s">
        <v>316</v>
      </c>
      <c r="J1534" s="2" t="s">
        <v>17</v>
      </c>
      <c r="K1534" s="72">
        <v>49</v>
      </c>
      <c r="L1534" s="39"/>
      <c r="M1534" s="72">
        <f t="shared" si="94"/>
        <v>-49</v>
      </c>
      <c r="N1534" s="72">
        <f t="shared" si="95"/>
        <v>432849.35999999958</v>
      </c>
    </row>
    <row r="1535" spans="1:14" x14ac:dyDescent="0.2">
      <c r="A1535" s="73" t="s">
        <v>1057</v>
      </c>
      <c r="B1535" s="3">
        <f t="shared" si="92"/>
        <v>2025</v>
      </c>
      <c r="C1535" s="3">
        <f t="shared" si="93"/>
        <v>8</v>
      </c>
      <c r="D1535" s="73" t="s">
        <v>300</v>
      </c>
      <c r="E1535" s="2" t="s">
        <v>1103</v>
      </c>
      <c r="F1535" s="2" t="s">
        <v>325</v>
      </c>
      <c r="G1535" s="2" t="s">
        <v>363</v>
      </c>
      <c r="H1535" s="2" t="s">
        <v>323</v>
      </c>
      <c r="I1535" s="2" t="s">
        <v>316</v>
      </c>
      <c r="J1535" s="2" t="s">
        <v>17</v>
      </c>
      <c r="K1535" s="72">
        <v>49</v>
      </c>
      <c r="L1535" s="39"/>
      <c r="M1535" s="72">
        <f t="shared" si="94"/>
        <v>-49</v>
      </c>
      <c r="N1535" s="72">
        <f t="shared" si="95"/>
        <v>432800.35999999958</v>
      </c>
    </row>
    <row r="1536" spans="1:14" x14ac:dyDescent="0.2">
      <c r="A1536" s="73" t="s">
        <v>1057</v>
      </c>
      <c r="B1536" s="3">
        <f t="shared" si="92"/>
        <v>2025</v>
      </c>
      <c r="C1536" s="3">
        <f t="shared" si="93"/>
        <v>8</v>
      </c>
      <c r="D1536" s="73" t="s">
        <v>300</v>
      </c>
      <c r="E1536" s="2" t="s">
        <v>1110</v>
      </c>
      <c r="F1536" s="2" t="s">
        <v>325</v>
      </c>
      <c r="G1536" s="2" t="s">
        <v>363</v>
      </c>
      <c r="H1536" s="2" t="s">
        <v>323</v>
      </c>
      <c r="I1536" s="2" t="s">
        <v>316</v>
      </c>
      <c r="J1536" s="2" t="s">
        <v>17</v>
      </c>
      <c r="K1536" s="72">
        <v>49</v>
      </c>
      <c r="L1536" s="39"/>
      <c r="M1536" s="72">
        <f t="shared" si="94"/>
        <v>-49</v>
      </c>
      <c r="N1536" s="72">
        <f t="shared" si="95"/>
        <v>432751.35999999958</v>
      </c>
    </row>
    <row r="1537" spans="1:14" x14ac:dyDescent="0.2">
      <c r="A1537" s="73" t="s">
        <v>1057</v>
      </c>
      <c r="B1537" s="3">
        <f t="shared" si="92"/>
        <v>2025</v>
      </c>
      <c r="C1537" s="3">
        <f t="shared" si="93"/>
        <v>8</v>
      </c>
      <c r="D1537" s="73" t="s">
        <v>300</v>
      </c>
      <c r="E1537" s="2" t="s">
        <v>1111</v>
      </c>
      <c r="F1537" s="2" t="s">
        <v>325</v>
      </c>
      <c r="G1537" s="2" t="s">
        <v>363</v>
      </c>
      <c r="H1537" s="2" t="s">
        <v>323</v>
      </c>
      <c r="I1537" s="2" t="s">
        <v>316</v>
      </c>
      <c r="J1537" s="2" t="s">
        <v>17</v>
      </c>
      <c r="K1537" s="72">
        <v>49</v>
      </c>
      <c r="L1537" s="39"/>
      <c r="M1537" s="72">
        <f t="shared" si="94"/>
        <v>-49</v>
      </c>
      <c r="N1537" s="72">
        <f t="shared" si="95"/>
        <v>432702.35999999958</v>
      </c>
    </row>
    <row r="1538" spans="1:14" x14ac:dyDescent="0.2">
      <c r="A1538" s="73" t="s">
        <v>1057</v>
      </c>
      <c r="B1538" s="3">
        <f t="shared" ref="B1538:B1601" si="96">YEAR(A1538)</f>
        <v>2025</v>
      </c>
      <c r="C1538" s="3">
        <f t="shared" ref="C1538:C1601" si="97">MONTH(A1538)</f>
        <v>8</v>
      </c>
      <c r="D1538" s="73" t="s">
        <v>300</v>
      </c>
      <c r="E1538" s="2" t="s">
        <v>1112</v>
      </c>
      <c r="F1538" s="2" t="s">
        <v>325</v>
      </c>
      <c r="G1538" s="2" t="s">
        <v>363</v>
      </c>
      <c r="H1538" s="2" t="s">
        <v>323</v>
      </c>
      <c r="I1538" s="2" t="s">
        <v>316</v>
      </c>
      <c r="J1538" s="2" t="s">
        <v>17</v>
      </c>
      <c r="K1538" s="72">
        <v>49</v>
      </c>
      <c r="L1538" s="39"/>
      <c r="M1538" s="72">
        <f t="shared" ref="M1538:M1601" si="98">IF(ISBLANK(L1538),K1538*-1,L1538)</f>
        <v>-49</v>
      </c>
      <c r="N1538" s="72">
        <f t="shared" si="95"/>
        <v>432653.35999999958</v>
      </c>
    </row>
    <row r="1539" spans="1:14" x14ac:dyDescent="0.2">
      <c r="A1539" s="73" t="s">
        <v>1057</v>
      </c>
      <c r="B1539" s="3">
        <f t="shared" si="96"/>
        <v>2025</v>
      </c>
      <c r="C1539" s="3">
        <f t="shared" si="97"/>
        <v>8</v>
      </c>
      <c r="D1539" s="73" t="s">
        <v>300</v>
      </c>
      <c r="E1539" s="2" t="s">
        <v>1113</v>
      </c>
      <c r="F1539" s="2" t="s">
        <v>325</v>
      </c>
      <c r="G1539" s="2" t="s">
        <v>363</v>
      </c>
      <c r="H1539" s="2" t="s">
        <v>323</v>
      </c>
      <c r="I1539" s="2" t="s">
        <v>316</v>
      </c>
      <c r="J1539" s="2" t="s">
        <v>17</v>
      </c>
      <c r="K1539" s="72">
        <v>49</v>
      </c>
      <c r="L1539" s="39"/>
      <c r="M1539" s="72">
        <f t="shared" si="98"/>
        <v>-49</v>
      </c>
      <c r="N1539" s="72">
        <f t="shared" ref="N1539:N1602" si="99">+N1538+M1539</f>
        <v>432604.35999999958</v>
      </c>
    </row>
    <row r="1540" spans="1:14" x14ac:dyDescent="0.2">
      <c r="A1540" s="73" t="s">
        <v>1057</v>
      </c>
      <c r="B1540" s="3">
        <f t="shared" si="96"/>
        <v>2025</v>
      </c>
      <c r="C1540" s="3">
        <f t="shared" si="97"/>
        <v>8</v>
      </c>
      <c r="D1540" s="73" t="s">
        <v>300</v>
      </c>
      <c r="E1540" s="2" t="s">
        <v>1114</v>
      </c>
      <c r="F1540" s="2" t="s">
        <v>325</v>
      </c>
      <c r="G1540" s="2" t="s">
        <v>363</v>
      </c>
      <c r="H1540" s="2" t="s">
        <v>323</v>
      </c>
      <c r="I1540" s="2" t="s">
        <v>316</v>
      </c>
      <c r="J1540" s="2" t="s">
        <v>17</v>
      </c>
      <c r="K1540" s="72">
        <v>49</v>
      </c>
      <c r="L1540" s="39"/>
      <c r="M1540" s="72">
        <f t="shared" si="98"/>
        <v>-49</v>
      </c>
      <c r="N1540" s="72">
        <f t="shared" si="99"/>
        <v>432555.35999999958</v>
      </c>
    </row>
    <row r="1541" spans="1:14" x14ac:dyDescent="0.2">
      <c r="A1541" s="73" t="s">
        <v>1057</v>
      </c>
      <c r="B1541" s="3">
        <f t="shared" si="96"/>
        <v>2025</v>
      </c>
      <c r="C1541" s="3">
        <f t="shared" si="97"/>
        <v>8</v>
      </c>
      <c r="D1541" s="73" t="s">
        <v>300</v>
      </c>
      <c r="E1541" s="2" t="s">
        <v>1115</v>
      </c>
      <c r="F1541" s="2" t="s">
        <v>325</v>
      </c>
      <c r="G1541" s="2" t="s">
        <v>363</v>
      </c>
      <c r="H1541" s="2" t="s">
        <v>323</v>
      </c>
      <c r="I1541" s="2" t="s">
        <v>316</v>
      </c>
      <c r="J1541" s="2" t="s">
        <v>17</v>
      </c>
      <c r="K1541" s="72">
        <v>49</v>
      </c>
      <c r="L1541" s="39"/>
      <c r="M1541" s="72">
        <f t="shared" si="98"/>
        <v>-49</v>
      </c>
      <c r="N1541" s="72">
        <f t="shared" si="99"/>
        <v>432506.35999999958</v>
      </c>
    </row>
    <row r="1542" spans="1:14" x14ac:dyDescent="0.2">
      <c r="A1542" s="73" t="s">
        <v>1057</v>
      </c>
      <c r="B1542" s="3">
        <f t="shared" si="96"/>
        <v>2025</v>
      </c>
      <c r="C1542" s="3">
        <f t="shared" si="97"/>
        <v>8</v>
      </c>
      <c r="D1542" s="73" t="s">
        <v>300</v>
      </c>
      <c r="E1542" s="2" t="s">
        <v>1116</v>
      </c>
      <c r="F1542" s="2" t="s">
        <v>325</v>
      </c>
      <c r="G1542" s="2" t="s">
        <v>363</v>
      </c>
      <c r="H1542" s="2" t="s">
        <v>323</v>
      </c>
      <c r="I1542" s="2" t="s">
        <v>316</v>
      </c>
      <c r="J1542" s="2" t="s">
        <v>17</v>
      </c>
      <c r="K1542" s="72">
        <v>49</v>
      </c>
      <c r="L1542" s="39"/>
      <c r="M1542" s="72">
        <f t="shared" si="98"/>
        <v>-49</v>
      </c>
      <c r="N1542" s="72">
        <f t="shared" si="99"/>
        <v>432457.35999999958</v>
      </c>
    </row>
    <row r="1543" spans="1:14" x14ac:dyDescent="0.2">
      <c r="A1543" s="73" t="s">
        <v>1057</v>
      </c>
      <c r="B1543" s="3">
        <f t="shared" si="96"/>
        <v>2025</v>
      </c>
      <c r="C1543" s="3">
        <f t="shared" si="97"/>
        <v>8</v>
      </c>
      <c r="D1543" s="73" t="s">
        <v>300</v>
      </c>
      <c r="E1543" s="2" t="s">
        <v>1117</v>
      </c>
      <c r="F1543" s="2" t="s">
        <v>325</v>
      </c>
      <c r="G1543" s="2" t="s">
        <v>363</v>
      </c>
      <c r="H1543" s="2" t="s">
        <v>323</v>
      </c>
      <c r="I1543" s="2" t="s">
        <v>316</v>
      </c>
      <c r="J1543" s="2" t="s">
        <v>17</v>
      </c>
      <c r="K1543" s="72">
        <v>49</v>
      </c>
      <c r="L1543" s="39"/>
      <c r="M1543" s="72">
        <f t="shared" si="98"/>
        <v>-49</v>
      </c>
      <c r="N1543" s="72">
        <f t="shared" si="99"/>
        <v>432408.35999999958</v>
      </c>
    </row>
    <row r="1544" spans="1:14" x14ac:dyDescent="0.2">
      <c r="A1544" s="73" t="s">
        <v>1057</v>
      </c>
      <c r="B1544" s="3">
        <f t="shared" si="96"/>
        <v>2025</v>
      </c>
      <c r="C1544" s="3">
        <f t="shared" si="97"/>
        <v>8</v>
      </c>
      <c r="D1544" s="73" t="s">
        <v>300</v>
      </c>
      <c r="E1544" s="2" t="s">
        <v>1118</v>
      </c>
      <c r="F1544" s="2" t="s">
        <v>325</v>
      </c>
      <c r="G1544" s="2" t="s">
        <v>363</v>
      </c>
      <c r="H1544" s="2" t="s">
        <v>323</v>
      </c>
      <c r="I1544" s="2" t="s">
        <v>316</v>
      </c>
      <c r="J1544" s="2" t="s">
        <v>17</v>
      </c>
      <c r="K1544" s="72">
        <v>49</v>
      </c>
      <c r="L1544" s="39"/>
      <c r="M1544" s="72">
        <f t="shared" si="98"/>
        <v>-49</v>
      </c>
      <c r="N1544" s="72">
        <f t="shared" si="99"/>
        <v>432359.35999999958</v>
      </c>
    </row>
    <row r="1545" spans="1:14" x14ac:dyDescent="0.2">
      <c r="A1545" s="73" t="s">
        <v>1057</v>
      </c>
      <c r="B1545" s="3">
        <f t="shared" si="96"/>
        <v>2025</v>
      </c>
      <c r="C1545" s="3">
        <f t="shared" si="97"/>
        <v>8</v>
      </c>
      <c r="D1545" s="73" t="s">
        <v>300</v>
      </c>
      <c r="E1545" s="2" t="s">
        <v>1119</v>
      </c>
      <c r="F1545" s="2" t="s">
        <v>325</v>
      </c>
      <c r="G1545" s="2" t="s">
        <v>363</v>
      </c>
      <c r="H1545" s="2" t="s">
        <v>323</v>
      </c>
      <c r="I1545" s="2" t="s">
        <v>316</v>
      </c>
      <c r="J1545" s="2" t="s">
        <v>17</v>
      </c>
      <c r="K1545" s="72">
        <v>49</v>
      </c>
      <c r="L1545" s="39"/>
      <c r="M1545" s="72">
        <f t="shared" si="98"/>
        <v>-49</v>
      </c>
      <c r="N1545" s="72">
        <f t="shared" si="99"/>
        <v>432310.35999999958</v>
      </c>
    </row>
    <row r="1546" spans="1:14" x14ac:dyDescent="0.2">
      <c r="A1546" s="73" t="s">
        <v>1057</v>
      </c>
      <c r="B1546" s="3">
        <f t="shared" si="96"/>
        <v>2025</v>
      </c>
      <c r="C1546" s="3">
        <f t="shared" si="97"/>
        <v>8</v>
      </c>
      <c r="D1546" s="73" t="s">
        <v>300</v>
      </c>
      <c r="E1546" s="2" t="s">
        <v>1120</v>
      </c>
      <c r="F1546" s="2" t="s">
        <v>325</v>
      </c>
      <c r="G1546" s="2" t="s">
        <v>363</v>
      </c>
      <c r="H1546" s="2" t="s">
        <v>323</v>
      </c>
      <c r="I1546" s="2" t="s">
        <v>316</v>
      </c>
      <c r="J1546" s="2" t="s">
        <v>17</v>
      </c>
      <c r="K1546" s="72">
        <v>49</v>
      </c>
      <c r="L1546" s="39"/>
      <c r="M1546" s="72">
        <f t="shared" si="98"/>
        <v>-49</v>
      </c>
      <c r="N1546" s="72">
        <f t="shared" si="99"/>
        <v>432261.35999999958</v>
      </c>
    </row>
    <row r="1547" spans="1:14" x14ac:dyDescent="0.2">
      <c r="A1547" s="73" t="s">
        <v>1057</v>
      </c>
      <c r="B1547" s="3">
        <f t="shared" si="96"/>
        <v>2025</v>
      </c>
      <c r="C1547" s="3">
        <f t="shared" si="97"/>
        <v>8</v>
      </c>
      <c r="D1547" s="73" t="s">
        <v>300</v>
      </c>
      <c r="E1547" s="2" t="s">
        <v>1121</v>
      </c>
      <c r="F1547" s="2" t="s">
        <v>325</v>
      </c>
      <c r="G1547" s="2" t="s">
        <v>363</v>
      </c>
      <c r="H1547" s="2" t="s">
        <v>323</v>
      </c>
      <c r="I1547" s="2" t="s">
        <v>316</v>
      </c>
      <c r="J1547" s="2" t="s">
        <v>17</v>
      </c>
      <c r="K1547" s="72">
        <v>49</v>
      </c>
      <c r="L1547" s="39"/>
      <c r="M1547" s="72">
        <f t="shared" si="98"/>
        <v>-49</v>
      </c>
      <c r="N1547" s="72">
        <f t="shared" si="99"/>
        <v>432212.35999999958</v>
      </c>
    </row>
    <row r="1548" spans="1:14" x14ac:dyDescent="0.2">
      <c r="A1548" s="73" t="s">
        <v>1057</v>
      </c>
      <c r="B1548" s="3">
        <f t="shared" si="96"/>
        <v>2025</v>
      </c>
      <c r="C1548" s="3">
        <f t="shared" si="97"/>
        <v>8</v>
      </c>
      <c r="D1548" s="73" t="s">
        <v>300</v>
      </c>
      <c r="E1548" s="2" t="s">
        <v>1122</v>
      </c>
      <c r="F1548" s="2" t="s">
        <v>325</v>
      </c>
      <c r="G1548" s="2" t="s">
        <v>363</v>
      </c>
      <c r="H1548" s="2" t="s">
        <v>323</v>
      </c>
      <c r="I1548" s="2" t="s">
        <v>316</v>
      </c>
      <c r="J1548" s="2" t="s">
        <v>17</v>
      </c>
      <c r="K1548" s="72">
        <v>49</v>
      </c>
      <c r="L1548" s="39"/>
      <c r="M1548" s="72">
        <f t="shared" si="98"/>
        <v>-49</v>
      </c>
      <c r="N1548" s="72">
        <f t="shared" si="99"/>
        <v>432163.35999999958</v>
      </c>
    </row>
    <row r="1549" spans="1:14" x14ac:dyDescent="0.2">
      <c r="A1549" s="73" t="s">
        <v>1057</v>
      </c>
      <c r="B1549" s="3">
        <f t="shared" si="96"/>
        <v>2025</v>
      </c>
      <c r="C1549" s="3">
        <f t="shared" si="97"/>
        <v>8</v>
      </c>
      <c r="D1549" s="73" t="s">
        <v>300</v>
      </c>
      <c r="E1549" s="2" t="s">
        <v>1123</v>
      </c>
      <c r="F1549" s="2" t="s">
        <v>325</v>
      </c>
      <c r="G1549" s="2" t="s">
        <v>363</v>
      </c>
      <c r="H1549" s="2" t="s">
        <v>323</v>
      </c>
      <c r="I1549" s="2" t="s">
        <v>316</v>
      </c>
      <c r="J1549" s="2" t="s">
        <v>17</v>
      </c>
      <c r="K1549" s="72">
        <v>49</v>
      </c>
      <c r="L1549" s="39"/>
      <c r="M1549" s="72">
        <f t="shared" si="98"/>
        <v>-49</v>
      </c>
      <c r="N1549" s="72">
        <f t="shared" si="99"/>
        <v>432114.35999999958</v>
      </c>
    </row>
    <row r="1550" spans="1:14" x14ac:dyDescent="0.2">
      <c r="A1550" s="73" t="s">
        <v>1057</v>
      </c>
      <c r="B1550" s="3">
        <f t="shared" si="96"/>
        <v>2025</v>
      </c>
      <c r="C1550" s="3">
        <f t="shared" si="97"/>
        <v>8</v>
      </c>
      <c r="D1550" s="73" t="s">
        <v>300</v>
      </c>
      <c r="E1550" s="2" t="s">
        <v>1124</v>
      </c>
      <c r="F1550" s="2" t="s">
        <v>325</v>
      </c>
      <c r="G1550" s="2" t="s">
        <v>363</v>
      </c>
      <c r="H1550" s="2" t="s">
        <v>323</v>
      </c>
      <c r="I1550" s="2" t="s">
        <v>316</v>
      </c>
      <c r="J1550" s="2" t="s">
        <v>17</v>
      </c>
      <c r="K1550" s="72">
        <v>49</v>
      </c>
      <c r="L1550" s="39"/>
      <c r="M1550" s="72">
        <f t="shared" si="98"/>
        <v>-49</v>
      </c>
      <c r="N1550" s="72">
        <f t="shared" si="99"/>
        <v>432065.35999999958</v>
      </c>
    </row>
    <row r="1551" spans="1:14" x14ac:dyDescent="0.2">
      <c r="A1551" s="73" t="s">
        <v>1057</v>
      </c>
      <c r="B1551" s="3">
        <f t="shared" si="96"/>
        <v>2025</v>
      </c>
      <c r="C1551" s="3">
        <f t="shared" si="97"/>
        <v>8</v>
      </c>
      <c r="D1551" s="73" t="s">
        <v>300</v>
      </c>
      <c r="E1551" s="2" t="s">
        <v>1125</v>
      </c>
      <c r="F1551" s="2" t="s">
        <v>325</v>
      </c>
      <c r="G1551" s="2" t="s">
        <v>363</v>
      </c>
      <c r="H1551" s="2" t="s">
        <v>323</v>
      </c>
      <c r="I1551" s="2" t="s">
        <v>316</v>
      </c>
      <c r="J1551" s="2" t="s">
        <v>17</v>
      </c>
      <c r="K1551" s="72">
        <v>49</v>
      </c>
      <c r="L1551" s="39"/>
      <c r="M1551" s="72">
        <f t="shared" si="98"/>
        <v>-49</v>
      </c>
      <c r="N1551" s="72">
        <f t="shared" si="99"/>
        <v>432016.35999999958</v>
      </c>
    </row>
    <row r="1552" spans="1:14" x14ac:dyDescent="0.2">
      <c r="A1552" s="73" t="s">
        <v>1057</v>
      </c>
      <c r="B1552" s="3">
        <f t="shared" si="96"/>
        <v>2025</v>
      </c>
      <c r="C1552" s="3">
        <f t="shared" si="97"/>
        <v>8</v>
      </c>
      <c r="D1552" s="73" t="s">
        <v>300</v>
      </c>
      <c r="E1552" s="2" t="s">
        <v>1126</v>
      </c>
      <c r="F1552" s="2" t="s">
        <v>325</v>
      </c>
      <c r="G1552" s="2" t="s">
        <v>363</v>
      </c>
      <c r="H1552" s="2" t="s">
        <v>323</v>
      </c>
      <c r="I1552" s="2" t="s">
        <v>316</v>
      </c>
      <c r="J1552" s="2" t="s">
        <v>17</v>
      </c>
      <c r="K1552" s="72">
        <v>49</v>
      </c>
      <c r="L1552" s="39"/>
      <c r="M1552" s="72">
        <f t="shared" si="98"/>
        <v>-49</v>
      </c>
      <c r="N1552" s="72">
        <f t="shared" si="99"/>
        <v>431967.35999999958</v>
      </c>
    </row>
    <row r="1553" spans="1:14" x14ac:dyDescent="0.2">
      <c r="A1553" s="73" t="s">
        <v>1057</v>
      </c>
      <c r="B1553" s="3">
        <f t="shared" si="96"/>
        <v>2025</v>
      </c>
      <c r="C1553" s="3">
        <f t="shared" si="97"/>
        <v>8</v>
      </c>
      <c r="D1553" s="73" t="s">
        <v>300</v>
      </c>
      <c r="E1553" s="2" t="s">
        <v>1127</v>
      </c>
      <c r="F1553" s="2" t="s">
        <v>325</v>
      </c>
      <c r="G1553" s="2" t="s">
        <v>363</v>
      </c>
      <c r="H1553" s="2" t="s">
        <v>323</v>
      </c>
      <c r="I1553" s="2" t="s">
        <v>316</v>
      </c>
      <c r="J1553" s="2" t="s">
        <v>17</v>
      </c>
      <c r="K1553" s="72">
        <v>49</v>
      </c>
      <c r="L1553" s="39"/>
      <c r="M1553" s="72">
        <f t="shared" si="98"/>
        <v>-49</v>
      </c>
      <c r="N1553" s="72">
        <f t="shared" si="99"/>
        <v>431918.35999999958</v>
      </c>
    </row>
    <row r="1554" spans="1:14" x14ac:dyDescent="0.2">
      <c r="A1554" s="73" t="s">
        <v>1057</v>
      </c>
      <c r="B1554" s="3">
        <f t="shared" si="96"/>
        <v>2025</v>
      </c>
      <c r="C1554" s="3">
        <f t="shared" si="97"/>
        <v>8</v>
      </c>
      <c r="D1554" s="73" t="s">
        <v>300</v>
      </c>
      <c r="E1554" s="2" t="s">
        <v>1128</v>
      </c>
      <c r="F1554" s="2" t="s">
        <v>325</v>
      </c>
      <c r="G1554" s="2" t="s">
        <v>363</v>
      </c>
      <c r="H1554" s="2" t="s">
        <v>323</v>
      </c>
      <c r="I1554" s="2" t="s">
        <v>316</v>
      </c>
      <c r="J1554" s="2" t="s">
        <v>17</v>
      </c>
      <c r="K1554" s="72">
        <v>49</v>
      </c>
      <c r="L1554" s="39"/>
      <c r="M1554" s="72">
        <f t="shared" si="98"/>
        <v>-49</v>
      </c>
      <c r="N1554" s="72">
        <f t="shared" si="99"/>
        <v>431869.35999999958</v>
      </c>
    </row>
    <row r="1555" spans="1:14" x14ac:dyDescent="0.2">
      <c r="A1555" s="73" t="s">
        <v>1057</v>
      </c>
      <c r="B1555" s="3">
        <f t="shared" si="96"/>
        <v>2025</v>
      </c>
      <c r="C1555" s="3">
        <f t="shared" si="97"/>
        <v>8</v>
      </c>
      <c r="D1555" s="73" t="s">
        <v>300</v>
      </c>
      <c r="E1555" s="2" t="s">
        <v>1129</v>
      </c>
      <c r="F1555" s="2" t="s">
        <v>325</v>
      </c>
      <c r="G1555" s="2" t="s">
        <v>363</v>
      </c>
      <c r="H1555" s="2" t="s">
        <v>323</v>
      </c>
      <c r="I1555" s="2" t="s">
        <v>316</v>
      </c>
      <c r="J1555" s="2" t="s">
        <v>17</v>
      </c>
      <c r="K1555" s="72">
        <v>49</v>
      </c>
      <c r="L1555" s="39"/>
      <c r="M1555" s="72">
        <f t="shared" si="98"/>
        <v>-49</v>
      </c>
      <c r="N1555" s="72">
        <f t="shared" si="99"/>
        <v>431820.35999999958</v>
      </c>
    </row>
    <row r="1556" spans="1:14" x14ac:dyDescent="0.2">
      <c r="A1556" s="73" t="s">
        <v>1057</v>
      </c>
      <c r="B1556" s="3">
        <f t="shared" si="96"/>
        <v>2025</v>
      </c>
      <c r="C1556" s="3">
        <f t="shared" si="97"/>
        <v>8</v>
      </c>
      <c r="D1556" s="73" t="s">
        <v>300</v>
      </c>
      <c r="E1556" s="2" t="s">
        <v>1130</v>
      </c>
      <c r="F1556" s="2" t="s">
        <v>325</v>
      </c>
      <c r="G1556" s="2" t="s">
        <v>363</v>
      </c>
      <c r="H1556" s="2" t="s">
        <v>323</v>
      </c>
      <c r="I1556" s="2" t="s">
        <v>316</v>
      </c>
      <c r="J1556" s="2" t="s">
        <v>17</v>
      </c>
      <c r="K1556" s="72">
        <v>49</v>
      </c>
      <c r="L1556" s="39"/>
      <c r="M1556" s="72">
        <f t="shared" si="98"/>
        <v>-49</v>
      </c>
      <c r="N1556" s="72">
        <f t="shared" si="99"/>
        <v>431771.35999999958</v>
      </c>
    </row>
    <row r="1557" spans="1:14" x14ac:dyDescent="0.2">
      <c r="A1557" s="73" t="s">
        <v>1057</v>
      </c>
      <c r="B1557" s="3">
        <f t="shared" si="96"/>
        <v>2025</v>
      </c>
      <c r="C1557" s="3">
        <f t="shared" si="97"/>
        <v>8</v>
      </c>
      <c r="D1557" s="73" t="s">
        <v>300</v>
      </c>
      <c r="E1557" s="2" t="s">
        <v>1131</v>
      </c>
      <c r="F1557" s="2" t="s">
        <v>325</v>
      </c>
      <c r="G1557" s="2" t="s">
        <v>363</v>
      </c>
      <c r="H1557" s="2" t="s">
        <v>323</v>
      </c>
      <c r="I1557" s="2" t="s">
        <v>316</v>
      </c>
      <c r="J1557" s="2" t="s">
        <v>17</v>
      </c>
      <c r="K1557" s="72">
        <v>49</v>
      </c>
      <c r="L1557" s="39"/>
      <c r="M1557" s="72">
        <f t="shared" si="98"/>
        <v>-49</v>
      </c>
      <c r="N1557" s="72">
        <f t="shared" si="99"/>
        <v>431722.35999999958</v>
      </c>
    </row>
    <row r="1558" spans="1:14" x14ac:dyDescent="0.2">
      <c r="A1558" s="73" t="s">
        <v>1057</v>
      </c>
      <c r="B1558" s="3">
        <f t="shared" si="96"/>
        <v>2025</v>
      </c>
      <c r="C1558" s="3">
        <f t="shared" si="97"/>
        <v>8</v>
      </c>
      <c r="D1558" s="73" t="s">
        <v>300</v>
      </c>
      <c r="E1558" s="2" t="s">
        <v>1132</v>
      </c>
      <c r="F1558" s="2" t="s">
        <v>325</v>
      </c>
      <c r="G1558" s="2" t="s">
        <v>363</v>
      </c>
      <c r="H1558" s="2" t="s">
        <v>323</v>
      </c>
      <c r="I1558" s="2" t="s">
        <v>316</v>
      </c>
      <c r="J1558" s="2" t="s">
        <v>17</v>
      </c>
      <c r="K1558" s="72">
        <v>49</v>
      </c>
      <c r="L1558" s="39"/>
      <c r="M1558" s="72">
        <f t="shared" si="98"/>
        <v>-49</v>
      </c>
      <c r="N1558" s="72">
        <f t="shared" si="99"/>
        <v>431673.35999999958</v>
      </c>
    </row>
    <row r="1559" spans="1:14" x14ac:dyDescent="0.2">
      <c r="A1559" s="73" t="s">
        <v>1057</v>
      </c>
      <c r="B1559" s="3">
        <f t="shared" si="96"/>
        <v>2025</v>
      </c>
      <c r="C1559" s="3">
        <f t="shared" si="97"/>
        <v>8</v>
      </c>
      <c r="D1559" s="73" t="s">
        <v>300</v>
      </c>
      <c r="E1559" s="2" t="s">
        <v>1133</v>
      </c>
      <c r="F1559" s="2" t="s">
        <v>325</v>
      </c>
      <c r="G1559" s="2" t="s">
        <v>363</v>
      </c>
      <c r="H1559" s="2" t="s">
        <v>323</v>
      </c>
      <c r="I1559" s="2" t="s">
        <v>316</v>
      </c>
      <c r="J1559" s="2" t="s">
        <v>17</v>
      </c>
      <c r="K1559" s="72">
        <v>49</v>
      </c>
      <c r="L1559" s="39"/>
      <c r="M1559" s="72">
        <f t="shared" si="98"/>
        <v>-49</v>
      </c>
      <c r="N1559" s="72">
        <f t="shared" si="99"/>
        <v>431624.35999999958</v>
      </c>
    </row>
    <row r="1560" spans="1:14" x14ac:dyDescent="0.2">
      <c r="A1560" s="73" t="s">
        <v>1057</v>
      </c>
      <c r="B1560" s="3">
        <f t="shared" si="96"/>
        <v>2025</v>
      </c>
      <c r="C1560" s="3">
        <f t="shared" si="97"/>
        <v>8</v>
      </c>
      <c r="D1560" s="73" t="s">
        <v>300</v>
      </c>
      <c r="E1560" s="2" t="s">
        <v>1095</v>
      </c>
      <c r="F1560" s="2" t="s">
        <v>325</v>
      </c>
      <c r="G1560" s="2" t="s">
        <v>362</v>
      </c>
      <c r="H1560" s="2" t="s">
        <v>323</v>
      </c>
      <c r="I1560" s="2" t="s">
        <v>350</v>
      </c>
      <c r="J1560" s="2" t="s">
        <v>353</v>
      </c>
      <c r="K1560" s="72">
        <v>481.25</v>
      </c>
      <c r="L1560" s="39"/>
      <c r="M1560" s="72">
        <f t="shared" si="98"/>
        <v>-481.25</v>
      </c>
      <c r="N1560" s="72">
        <f t="shared" si="99"/>
        <v>431143.10999999958</v>
      </c>
    </row>
    <row r="1561" spans="1:14" x14ac:dyDescent="0.2">
      <c r="A1561" s="73" t="s">
        <v>1057</v>
      </c>
      <c r="B1561" s="3">
        <f t="shared" si="96"/>
        <v>2025</v>
      </c>
      <c r="C1561" s="3">
        <f t="shared" si="97"/>
        <v>8</v>
      </c>
      <c r="D1561" s="73" t="s">
        <v>300</v>
      </c>
      <c r="E1561" s="2" t="s">
        <v>1096</v>
      </c>
      <c r="F1561" s="2" t="s">
        <v>325</v>
      </c>
      <c r="G1561" s="2" t="s">
        <v>362</v>
      </c>
      <c r="H1561" s="2" t="s">
        <v>323</v>
      </c>
      <c r="I1561" s="2" t="s">
        <v>350</v>
      </c>
      <c r="J1561" s="2" t="s">
        <v>353</v>
      </c>
      <c r="K1561" s="72">
        <v>22.6</v>
      </c>
      <c r="L1561" s="39"/>
      <c r="M1561" s="72">
        <f t="shared" si="98"/>
        <v>-22.6</v>
      </c>
      <c r="N1561" s="72">
        <f t="shared" si="99"/>
        <v>431120.5099999996</v>
      </c>
    </row>
    <row r="1562" spans="1:14" x14ac:dyDescent="0.2">
      <c r="A1562" s="73" t="s">
        <v>1057</v>
      </c>
      <c r="B1562" s="3">
        <f t="shared" si="96"/>
        <v>2025</v>
      </c>
      <c r="C1562" s="3">
        <f t="shared" si="97"/>
        <v>8</v>
      </c>
      <c r="D1562" s="73" t="s">
        <v>300</v>
      </c>
      <c r="E1562" s="2" t="s">
        <v>1097</v>
      </c>
      <c r="F1562" s="2" t="s">
        <v>325</v>
      </c>
      <c r="G1562" s="2" t="s">
        <v>362</v>
      </c>
      <c r="H1562" s="2" t="s">
        <v>323</v>
      </c>
      <c r="I1562" s="2" t="s">
        <v>350</v>
      </c>
      <c r="J1562" s="2" t="s">
        <v>353</v>
      </c>
      <c r="K1562" s="72">
        <v>22.6</v>
      </c>
      <c r="L1562" s="39"/>
      <c r="M1562" s="72">
        <f t="shared" si="98"/>
        <v>-22.6</v>
      </c>
      <c r="N1562" s="72">
        <f t="shared" si="99"/>
        <v>431097.90999999963</v>
      </c>
    </row>
    <row r="1563" spans="1:14" x14ac:dyDescent="0.2">
      <c r="A1563" s="73" t="s">
        <v>1057</v>
      </c>
      <c r="B1563" s="3">
        <f t="shared" si="96"/>
        <v>2025</v>
      </c>
      <c r="C1563" s="3">
        <f t="shared" si="97"/>
        <v>8</v>
      </c>
      <c r="D1563" s="73" t="s">
        <v>300</v>
      </c>
      <c r="E1563" s="2" t="s">
        <v>1104</v>
      </c>
      <c r="F1563" s="2" t="s">
        <v>325</v>
      </c>
      <c r="G1563" s="2" t="s">
        <v>362</v>
      </c>
      <c r="H1563" s="2" t="s">
        <v>323</v>
      </c>
      <c r="I1563" s="2" t="s">
        <v>350</v>
      </c>
      <c r="J1563" s="2" t="s">
        <v>353</v>
      </c>
      <c r="K1563" s="72">
        <v>9322.6</v>
      </c>
      <c r="L1563" s="39"/>
      <c r="M1563" s="72">
        <f t="shared" si="98"/>
        <v>-9322.6</v>
      </c>
      <c r="N1563" s="72">
        <f t="shared" si="99"/>
        <v>421775.30999999965</v>
      </c>
    </row>
    <row r="1564" spans="1:14" x14ac:dyDescent="0.2">
      <c r="A1564" s="73" t="s">
        <v>1057</v>
      </c>
      <c r="B1564" s="3">
        <f t="shared" si="96"/>
        <v>2025</v>
      </c>
      <c r="C1564" s="3">
        <f t="shared" si="97"/>
        <v>8</v>
      </c>
      <c r="D1564" s="73" t="s">
        <v>300</v>
      </c>
      <c r="E1564" s="2" t="s">
        <v>1094</v>
      </c>
      <c r="F1564" s="2" t="s">
        <v>325</v>
      </c>
      <c r="G1564" s="2" t="s">
        <v>361</v>
      </c>
      <c r="H1564" s="2" t="s">
        <v>323</v>
      </c>
      <c r="I1564" s="2" t="s">
        <v>316</v>
      </c>
      <c r="J1564" s="2" t="s">
        <v>360</v>
      </c>
      <c r="K1564" s="72">
        <v>20583.330000000002</v>
      </c>
      <c r="L1564" s="39"/>
      <c r="M1564" s="72">
        <f t="shared" si="98"/>
        <v>-20583.330000000002</v>
      </c>
      <c r="N1564" s="72">
        <f t="shared" si="99"/>
        <v>401191.97999999963</v>
      </c>
    </row>
    <row r="1565" spans="1:14" x14ac:dyDescent="0.2">
      <c r="A1565" s="73" t="s">
        <v>1057</v>
      </c>
      <c r="B1565" s="3">
        <f t="shared" si="96"/>
        <v>2025</v>
      </c>
      <c r="C1565" s="3">
        <f t="shared" si="97"/>
        <v>8</v>
      </c>
      <c r="D1565" s="73" t="s">
        <v>300</v>
      </c>
      <c r="E1565" s="2" t="s">
        <v>1108</v>
      </c>
      <c r="F1565" s="2" t="s">
        <v>325</v>
      </c>
      <c r="G1565" s="2" t="s">
        <v>361</v>
      </c>
      <c r="H1565" s="2" t="s">
        <v>323</v>
      </c>
      <c r="I1565" s="2" t="s">
        <v>316</v>
      </c>
      <c r="J1565" s="2" t="s">
        <v>360</v>
      </c>
      <c r="K1565" s="72">
        <v>1700</v>
      </c>
      <c r="L1565" s="39"/>
      <c r="M1565" s="72">
        <f t="shared" si="98"/>
        <v>-1700</v>
      </c>
      <c r="N1565" s="72">
        <f t="shared" si="99"/>
        <v>399491.97999999963</v>
      </c>
    </row>
    <row r="1566" spans="1:14" x14ac:dyDescent="0.2">
      <c r="A1566" s="73" t="s">
        <v>1057</v>
      </c>
      <c r="B1566" s="3">
        <f t="shared" si="96"/>
        <v>2025</v>
      </c>
      <c r="C1566" s="3">
        <f t="shared" si="97"/>
        <v>8</v>
      </c>
      <c r="D1566" s="73" t="s">
        <v>893</v>
      </c>
      <c r="E1566" s="2"/>
      <c r="F1566" s="2" t="s">
        <v>304</v>
      </c>
      <c r="G1566" s="2" t="s">
        <v>1151</v>
      </c>
      <c r="H1566" s="2" t="s">
        <v>1007</v>
      </c>
      <c r="I1566" s="1" t="s">
        <v>316</v>
      </c>
      <c r="J1566" s="2" t="s">
        <v>17</v>
      </c>
      <c r="K1566" s="72">
        <v>463.43</v>
      </c>
      <c r="L1566" s="39"/>
      <c r="M1566" s="72">
        <f t="shared" si="98"/>
        <v>-463.43</v>
      </c>
      <c r="N1566" s="72">
        <f t="shared" si="99"/>
        <v>399028.54999999964</v>
      </c>
    </row>
    <row r="1567" spans="1:14" x14ac:dyDescent="0.2">
      <c r="A1567" s="73" t="s">
        <v>1057</v>
      </c>
      <c r="B1567" s="3">
        <f t="shared" si="96"/>
        <v>2025</v>
      </c>
      <c r="C1567" s="3">
        <f t="shared" si="97"/>
        <v>8</v>
      </c>
      <c r="D1567" s="73" t="s">
        <v>300</v>
      </c>
      <c r="E1567" s="2" t="s">
        <v>1092</v>
      </c>
      <c r="F1567" s="2" t="s">
        <v>325</v>
      </c>
      <c r="G1567" s="2" t="s">
        <v>359</v>
      </c>
      <c r="H1567" s="2" t="s">
        <v>323</v>
      </c>
      <c r="I1567" s="2" t="s">
        <v>350</v>
      </c>
      <c r="J1567" s="2" t="s">
        <v>27</v>
      </c>
      <c r="K1567" s="72">
        <v>8362.5</v>
      </c>
      <c r="L1567" s="39"/>
      <c r="M1567" s="72">
        <f t="shared" si="98"/>
        <v>-8362.5</v>
      </c>
      <c r="N1567" s="72">
        <f t="shared" si="99"/>
        <v>390666.04999999964</v>
      </c>
    </row>
    <row r="1568" spans="1:14" x14ac:dyDescent="0.2">
      <c r="A1568" s="73" t="s">
        <v>1057</v>
      </c>
      <c r="B1568" s="3">
        <f t="shared" si="96"/>
        <v>2025</v>
      </c>
      <c r="C1568" s="3">
        <f t="shared" si="97"/>
        <v>8</v>
      </c>
      <c r="D1568" s="73" t="s">
        <v>300</v>
      </c>
      <c r="E1568" s="2" t="s">
        <v>1077</v>
      </c>
      <c r="F1568" s="2" t="s">
        <v>325</v>
      </c>
      <c r="G1568" s="2" t="s">
        <v>357</v>
      </c>
      <c r="H1568" s="2" t="s">
        <v>323</v>
      </c>
      <c r="I1568" s="2" t="s">
        <v>350</v>
      </c>
      <c r="J1568" s="2" t="s">
        <v>353</v>
      </c>
      <c r="K1568" s="72">
        <v>15000</v>
      </c>
      <c r="L1568" s="39"/>
      <c r="M1568" s="72">
        <f t="shared" si="98"/>
        <v>-15000</v>
      </c>
      <c r="N1568" s="72">
        <f t="shared" si="99"/>
        <v>375666.04999999964</v>
      </c>
    </row>
    <row r="1569" spans="1:14" x14ac:dyDescent="0.2">
      <c r="A1569" s="73" t="s">
        <v>1057</v>
      </c>
      <c r="B1569" s="3">
        <f t="shared" si="96"/>
        <v>2025</v>
      </c>
      <c r="C1569" s="3">
        <f t="shared" si="97"/>
        <v>8</v>
      </c>
      <c r="D1569" s="73" t="s">
        <v>300</v>
      </c>
      <c r="E1569" s="2" t="s">
        <v>1093</v>
      </c>
      <c r="F1569" s="2" t="s">
        <v>325</v>
      </c>
      <c r="G1569" s="2" t="s">
        <v>7</v>
      </c>
      <c r="H1569" s="2" t="s">
        <v>323</v>
      </c>
      <c r="I1569" s="2" t="s">
        <v>350</v>
      </c>
      <c r="J1569" s="2" t="s">
        <v>27</v>
      </c>
      <c r="K1569" s="72">
        <v>3822.5</v>
      </c>
      <c r="L1569" s="39"/>
      <c r="M1569" s="72">
        <f t="shared" si="98"/>
        <v>-3822.5</v>
      </c>
      <c r="N1569" s="72">
        <f t="shared" si="99"/>
        <v>371843.54999999964</v>
      </c>
    </row>
    <row r="1570" spans="1:14" x14ac:dyDescent="0.2">
      <c r="A1570" s="73" t="s">
        <v>1057</v>
      </c>
      <c r="B1570" s="3">
        <f t="shared" si="96"/>
        <v>2025</v>
      </c>
      <c r="C1570" s="3">
        <f t="shared" si="97"/>
        <v>8</v>
      </c>
      <c r="D1570" s="73" t="s">
        <v>893</v>
      </c>
      <c r="E1570" s="2"/>
      <c r="F1570" s="2" t="s">
        <v>304</v>
      </c>
      <c r="G1570" s="2" t="s">
        <v>900</v>
      </c>
      <c r="H1570" s="2" t="s">
        <v>901</v>
      </c>
      <c r="I1570" s="1" t="s">
        <v>316</v>
      </c>
      <c r="J1570" s="2" t="s">
        <v>17</v>
      </c>
      <c r="K1570" s="72">
        <v>20.6</v>
      </c>
      <c r="L1570" s="39"/>
      <c r="M1570" s="72">
        <f t="shared" si="98"/>
        <v>-20.6</v>
      </c>
      <c r="N1570" s="72">
        <f t="shared" si="99"/>
        <v>371822.94999999966</v>
      </c>
    </row>
    <row r="1571" spans="1:14" x14ac:dyDescent="0.2">
      <c r="A1571" s="73" t="s">
        <v>1057</v>
      </c>
      <c r="B1571" s="3">
        <f t="shared" si="96"/>
        <v>2025</v>
      </c>
      <c r="C1571" s="3">
        <f t="shared" si="97"/>
        <v>8</v>
      </c>
      <c r="D1571" s="73" t="s">
        <v>300</v>
      </c>
      <c r="E1571" s="2" t="s">
        <v>1109</v>
      </c>
      <c r="F1571" s="2" t="s">
        <v>325</v>
      </c>
      <c r="G1571" s="2" t="s">
        <v>428</v>
      </c>
      <c r="H1571" s="2" t="s">
        <v>323</v>
      </c>
      <c r="I1571" s="2" t="s">
        <v>350</v>
      </c>
      <c r="J1571" s="2" t="s">
        <v>353</v>
      </c>
      <c r="K1571" s="72">
        <v>199</v>
      </c>
      <c r="L1571" s="39"/>
      <c r="M1571" s="72">
        <f t="shared" si="98"/>
        <v>-199</v>
      </c>
      <c r="N1571" s="72">
        <f t="shared" si="99"/>
        <v>371623.94999999966</v>
      </c>
    </row>
    <row r="1572" spans="1:14" x14ac:dyDescent="0.2">
      <c r="A1572" s="73" t="s">
        <v>1057</v>
      </c>
      <c r="B1572" s="3">
        <f t="shared" si="96"/>
        <v>2025</v>
      </c>
      <c r="C1572" s="3">
        <f t="shared" si="97"/>
        <v>8</v>
      </c>
      <c r="D1572" s="73" t="s">
        <v>300</v>
      </c>
      <c r="E1572" s="2" t="s">
        <v>1105</v>
      </c>
      <c r="F1572" s="2" t="s">
        <v>325</v>
      </c>
      <c r="G1572" s="2" t="s">
        <v>885</v>
      </c>
      <c r="H1572" s="2" t="s">
        <v>323</v>
      </c>
      <c r="I1572" s="2" t="s">
        <v>350</v>
      </c>
      <c r="J1572" s="2" t="s">
        <v>353</v>
      </c>
      <c r="K1572" s="72">
        <v>2470</v>
      </c>
      <c r="L1572" s="39"/>
      <c r="M1572" s="72">
        <f t="shared" si="98"/>
        <v>-2470</v>
      </c>
      <c r="N1572" s="72">
        <f t="shared" si="99"/>
        <v>369153.94999999966</v>
      </c>
    </row>
    <row r="1573" spans="1:14" x14ac:dyDescent="0.2">
      <c r="A1573" s="73" t="s">
        <v>1057</v>
      </c>
      <c r="B1573" s="3">
        <f t="shared" si="96"/>
        <v>2025</v>
      </c>
      <c r="C1573" s="3">
        <f t="shared" si="97"/>
        <v>8</v>
      </c>
      <c r="D1573" s="73" t="s">
        <v>300</v>
      </c>
      <c r="E1573" s="2" t="s">
        <v>1079</v>
      </c>
      <c r="F1573" s="2" t="s">
        <v>325</v>
      </c>
      <c r="G1573" s="2" t="s">
        <v>354</v>
      </c>
      <c r="H1573" s="2" t="s">
        <v>323</v>
      </c>
      <c r="I1573" s="2" t="s">
        <v>350</v>
      </c>
      <c r="J1573" s="2" t="s">
        <v>353</v>
      </c>
      <c r="K1573" s="72">
        <v>3680</v>
      </c>
      <c r="L1573" s="39"/>
      <c r="M1573" s="72">
        <f t="shared" si="98"/>
        <v>-3680</v>
      </c>
      <c r="N1573" s="72">
        <f t="shared" si="99"/>
        <v>365473.94999999966</v>
      </c>
    </row>
    <row r="1574" spans="1:14" x14ac:dyDescent="0.2">
      <c r="A1574" s="73" t="s">
        <v>1057</v>
      </c>
      <c r="B1574" s="3">
        <f t="shared" si="96"/>
        <v>2025</v>
      </c>
      <c r="C1574" s="3">
        <f t="shared" si="97"/>
        <v>8</v>
      </c>
      <c r="D1574" s="73" t="s">
        <v>300</v>
      </c>
      <c r="E1574" s="2" t="s">
        <v>1080</v>
      </c>
      <c r="F1574" s="2" t="s">
        <v>325</v>
      </c>
      <c r="G1574" s="2" t="s">
        <v>354</v>
      </c>
      <c r="H1574" s="2" t="s">
        <v>323</v>
      </c>
      <c r="I1574" s="2" t="s">
        <v>350</v>
      </c>
      <c r="J1574" s="2" t="s">
        <v>353</v>
      </c>
      <c r="K1574" s="72">
        <v>6440</v>
      </c>
      <c r="L1574" s="39"/>
      <c r="M1574" s="72">
        <f t="shared" si="98"/>
        <v>-6440</v>
      </c>
      <c r="N1574" s="72">
        <f t="shared" si="99"/>
        <v>359033.94999999966</v>
      </c>
    </row>
    <row r="1575" spans="1:14" x14ac:dyDescent="0.2">
      <c r="A1575" s="73" t="s">
        <v>1057</v>
      </c>
      <c r="B1575" s="3">
        <f t="shared" si="96"/>
        <v>2025</v>
      </c>
      <c r="C1575" s="3">
        <f t="shared" si="97"/>
        <v>8</v>
      </c>
      <c r="D1575" s="73" t="s">
        <v>300</v>
      </c>
      <c r="E1575" s="2" t="s">
        <v>1078</v>
      </c>
      <c r="F1575" s="2" t="s">
        <v>325</v>
      </c>
      <c r="G1575" s="2" t="s">
        <v>352</v>
      </c>
      <c r="H1575" s="2" t="s">
        <v>323</v>
      </c>
      <c r="I1575" s="2" t="s">
        <v>350</v>
      </c>
      <c r="J1575" s="2" t="s">
        <v>27</v>
      </c>
      <c r="K1575" s="72">
        <v>3267</v>
      </c>
      <c r="L1575" s="39"/>
      <c r="M1575" s="72">
        <f t="shared" si="98"/>
        <v>-3267</v>
      </c>
      <c r="N1575" s="72">
        <f t="shared" si="99"/>
        <v>355766.94999999966</v>
      </c>
    </row>
    <row r="1576" spans="1:14" x14ac:dyDescent="0.2">
      <c r="A1576" s="73" t="s">
        <v>1057</v>
      </c>
      <c r="B1576" s="3">
        <f t="shared" si="96"/>
        <v>2025</v>
      </c>
      <c r="C1576" s="3">
        <f t="shared" si="97"/>
        <v>8</v>
      </c>
      <c r="D1576" s="73" t="s">
        <v>300</v>
      </c>
      <c r="E1576" s="2" t="s">
        <v>1081</v>
      </c>
      <c r="F1576" s="2" t="s">
        <v>325</v>
      </c>
      <c r="G1576" s="2" t="s">
        <v>352</v>
      </c>
      <c r="H1576" s="2" t="s">
        <v>323</v>
      </c>
      <c r="I1576" s="2" t="s">
        <v>350</v>
      </c>
      <c r="J1576" s="2" t="s">
        <v>27</v>
      </c>
      <c r="K1576" s="72">
        <v>77</v>
      </c>
      <c r="L1576" s="39"/>
      <c r="M1576" s="72">
        <f t="shared" si="98"/>
        <v>-77</v>
      </c>
      <c r="N1576" s="72">
        <f t="shared" si="99"/>
        <v>355689.94999999966</v>
      </c>
    </row>
    <row r="1577" spans="1:14" x14ac:dyDescent="0.2">
      <c r="A1577" s="73" t="s">
        <v>1057</v>
      </c>
      <c r="B1577" s="3">
        <f t="shared" si="96"/>
        <v>2025</v>
      </c>
      <c r="C1577" s="3">
        <f t="shared" si="97"/>
        <v>8</v>
      </c>
      <c r="D1577" s="73" t="s">
        <v>300</v>
      </c>
      <c r="E1577" s="2" t="s">
        <v>1082</v>
      </c>
      <c r="F1577" s="2" t="s">
        <v>325</v>
      </c>
      <c r="G1577" s="2" t="s">
        <v>352</v>
      </c>
      <c r="H1577" s="2" t="s">
        <v>323</v>
      </c>
      <c r="I1577" s="2" t="s">
        <v>350</v>
      </c>
      <c r="J1577" s="2" t="s">
        <v>27</v>
      </c>
      <c r="K1577" s="72">
        <v>3582</v>
      </c>
      <c r="L1577" s="39"/>
      <c r="M1577" s="72">
        <f t="shared" si="98"/>
        <v>-3582</v>
      </c>
      <c r="N1577" s="72">
        <f t="shared" si="99"/>
        <v>352107.94999999966</v>
      </c>
    </row>
    <row r="1578" spans="1:14" x14ac:dyDescent="0.2">
      <c r="A1578" s="73" t="s">
        <v>1057</v>
      </c>
      <c r="B1578" s="3">
        <f t="shared" si="96"/>
        <v>2025</v>
      </c>
      <c r="C1578" s="3">
        <f t="shared" si="97"/>
        <v>8</v>
      </c>
      <c r="D1578" s="73" t="s">
        <v>300</v>
      </c>
      <c r="E1578" s="2" t="s">
        <v>1083</v>
      </c>
      <c r="F1578" s="2" t="s">
        <v>325</v>
      </c>
      <c r="G1578" s="2" t="s">
        <v>352</v>
      </c>
      <c r="H1578" s="2" t="s">
        <v>323</v>
      </c>
      <c r="I1578" s="2" t="s">
        <v>350</v>
      </c>
      <c r="J1578" s="2" t="s">
        <v>27</v>
      </c>
      <c r="K1578" s="72">
        <v>447.5</v>
      </c>
      <c r="L1578" s="39"/>
      <c r="M1578" s="72">
        <f t="shared" si="98"/>
        <v>-447.5</v>
      </c>
      <c r="N1578" s="72">
        <f t="shared" si="99"/>
        <v>351660.44999999966</v>
      </c>
    </row>
    <row r="1579" spans="1:14" x14ac:dyDescent="0.2">
      <c r="A1579" s="73" t="s">
        <v>1057</v>
      </c>
      <c r="B1579" s="3">
        <f t="shared" si="96"/>
        <v>2025</v>
      </c>
      <c r="C1579" s="3">
        <f t="shared" si="97"/>
        <v>8</v>
      </c>
      <c r="D1579" s="73" t="s">
        <v>300</v>
      </c>
      <c r="E1579" s="2" t="s">
        <v>1084</v>
      </c>
      <c r="F1579" s="2" t="s">
        <v>325</v>
      </c>
      <c r="G1579" s="2" t="s">
        <v>352</v>
      </c>
      <c r="H1579" s="2" t="s">
        <v>323</v>
      </c>
      <c r="I1579" s="2" t="s">
        <v>350</v>
      </c>
      <c r="J1579" s="2" t="s">
        <v>27</v>
      </c>
      <c r="K1579" s="72">
        <v>1496.25</v>
      </c>
      <c r="L1579" s="39"/>
      <c r="M1579" s="72">
        <f t="shared" si="98"/>
        <v>-1496.25</v>
      </c>
      <c r="N1579" s="72">
        <f t="shared" si="99"/>
        <v>350164.19999999966</v>
      </c>
    </row>
    <row r="1580" spans="1:14" x14ac:dyDescent="0.2">
      <c r="A1580" s="73" t="s">
        <v>1057</v>
      </c>
      <c r="B1580" s="3">
        <f t="shared" si="96"/>
        <v>2025</v>
      </c>
      <c r="C1580" s="3">
        <f t="shared" si="97"/>
        <v>8</v>
      </c>
      <c r="D1580" s="73" t="s">
        <v>300</v>
      </c>
      <c r="E1580" s="2" t="s">
        <v>1085</v>
      </c>
      <c r="F1580" s="2" t="s">
        <v>325</v>
      </c>
      <c r="G1580" s="2" t="s">
        <v>352</v>
      </c>
      <c r="H1580" s="2" t="s">
        <v>323</v>
      </c>
      <c r="I1580" s="2" t="s">
        <v>350</v>
      </c>
      <c r="J1580" s="2" t="s">
        <v>27</v>
      </c>
      <c r="K1580" s="72">
        <v>1190</v>
      </c>
      <c r="L1580" s="39"/>
      <c r="M1580" s="72">
        <f t="shared" si="98"/>
        <v>-1190</v>
      </c>
      <c r="N1580" s="72">
        <f t="shared" si="99"/>
        <v>348974.19999999966</v>
      </c>
    </row>
    <row r="1581" spans="1:14" x14ac:dyDescent="0.2">
      <c r="A1581" s="73" t="s">
        <v>1057</v>
      </c>
      <c r="B1581" s="3">
        <f t="shared" si="96"/>
        <v>2025</v>
      </c>
      <c r="C1581" s="3">
        <f t="shared" si="97"/>
        <v>8</v>
      </c>
      <c r="D1581" s="73" t="s">
        <v>300</v>
      </c>
      <c r="E1581" s="2" t="s">
        <v>1086</v>
      </c>
      <c r="F1581" s="2" t="s">
        <v>325</v>
      </c>
      <c r="G1581" s="2" t="s">
        <v>352</v>
      </c>
      <c r="H1581" s="2" t="s">
        <v>323</v>
      </c>
      <c r="I1581" s="2" t="s">
        <v>350</v>
      </c>
      <c r="J1581" s="2" t="s">
        <v>27</v>
      </c>
      <c r="K1581" s="72">
        <v>5236</v>
      </c>
      <c r="L1581" s="39"/>
      <c r="M1581" s="72">
        <f t="shared" si="98"/>
        <v>-5236</v>
      </c>
      <c r="N1581" s="72">
        <f t="shared" si="99"/>
        <v>343738.19999999966</v>
      </c>
    </row>
    <row r="1582" spans="1:14" x14ac:dyDescent="0.2">
      <c r="A1582" s="73" t="s">
        <v>1057</v>
      </c>
      <c r="B1582" s="3">
        <f t="shared" si="96"/>
        <v>2025</v>
      </c>
      <c r="C1582" s="3">
        <f t="shared" si="97"/>
        <v>8</v>
      </c>
      <c r="D1582" s="73" t="s">
        <v>300</v>
      </c>
      <c r="E1582" s="2" t="s">
        <v>1087</v>
      </c>
      <c r="F1582" s="2" t="s">
        <v>325</v>
      </c>
      <c r="G1582" s="2" t="s">
        <v>352</v>
      </c>
      <c r="H1582" s="2" t="s">
        <v>323</v>
      </c>
      <c r="I1582" s="2" t="s">
        <v>350</v>
      </c>
      <c r="J1582" s="2" t="s">
        <v>27</v>
      </c>
      <c r="K1582" s="72">
        <v>2730</v>
      </c>
      <c r="L1582" s="39"/>
      <c r="M1582" s="72">
        <f t="shared" si="98"/>
        <v>-2730</v>
      </c>
      <c r="N1582" s="72">
        <f t="shared" si="99"/>
        <v>341008.19999999966</v>
      </c>
    </row>
    <row r="1583" spans="1:14" x14ac:dyDescent="0.2">
      <c r="A1583" s="73" t="s">
        <v>1057</v>
      </c>
      <c r="B1583" s="3">
        <f t="shared" si="96"/>
        <v>2025</v>
      </c>
      <c r="C1583" s="3">
        <f t="shared" si="97"/>
        <v>8</v>
      </c>
      <c r="D1583" s="73" t="s">
        <v>300</v>
      </c>
      <c r="E1583" s="2" t="s">
        <v>1088</v>
      </c>
      <c r="F1583" s="2" t="s">
        <v>325</v>
      </c>
      <c r="G1583" s="2" t="s">
        <v>352</v>
      </c>
      <c r="H1583" s="2" t="s">
        <v>323</v>
      </c>
      <c r="I1583" s="2" t="s">
        <v>350</v>
      </c>
      <c r="J1583" s="2" t="s">
        <v>27</v>
      </c>
      <c r="K1583" s="72">
        <v>5005</v>
      </c>
      <c r="L1583" s="39"/>
      <c r="M1583" s="72">
        <f t="shared" si="98"/>
        <v>-5005</v>
      </c>
      <c r="N1583" s="72">
        <f t="shared" si="99"/>
        <v>336003.19999999966</v>
      </c>
    </row>
    <row r="1584" spans="1:14" x14ac:dyDescent="0.2">
      <c r="A1584" s="73" t="s">
        <v>1057</v>
      </c>
      <c r="B1584" s="3">
        <f t="shared" si="96"/>
        <v>2025</v>
      </c>
      <c r="C1584" s="3">
        <f t="shared" si="97"/>
        <v>8</v>
      </c>
      <c r="D1584" s="73" t="s">
        <v>300</v>
      </c>
      <c r="E1584" s="2" t="s">
        <v>1089</v>
      </c>
      <c r="F1584" s="2" t="s">
        <v>325</v>
      </c>
      <c r="G1584" s="2" t="s">
        <v>352</v>
      </c>
      <c r="H1584" s="2" t="s">
        <v>323</v>
      </c>
      <c r="I1584" s="2" t="s">
        <v>350</v>
      </c>
      <c r="J1584" s="2" t="s">
        <v>27</v>
      </c>
      <c r="K1584" s="72">
        <v>87.5</v>
      </c>
      <c r="L1584" s="39"/>
      <c r="M1584" s="72">
        <f t="shared" si="98"/>
        <v>-87.5</v>
      </c>
      <c r="N1584" s="72">
        <f t="shared" si="99"/>
        <v>335915.69999999966</v>
      </c>
    </row>
    <row r="1585" spans="1:14" x14ac:dyDescent="0.2">
      <c r="A1585" s="73" t="s">
        <v>1057</v>
      </c>
      <c r="B1585" s="3">
        <f t="shared" si="96"/>
        <v>2025</v>
      </c>
      <c r="C1585" s="3">
        <f t="shared" si="97"/>
        <v>8</v>
      </c>
      <c r="D1585" s="73" t="s">
        <v>300</v>
      </c>
      <c r="E1585" s="2" t="s">
        <v>1102</v>
      </c>
      <c r="F1585" s="2" t="s">
        <v>325</v>
      </c>
      <c r="G1585" s="2" t="s">
        <v>351</v>
      </c>
      <c r="H1585" s="2" t="s">
        <v>323</v>
      </c>
      <c r="I1585" s="2" t="s">
        <v>350</v>
      </c>
      <c r="J1585" s="2" t="s">
        <v>27</v>
      </c>
      <c r="K1585" s="72">
        <v>18641.580000000002</v>
      </c>
      <c r="L1585" s="39"/>
      <c r="M1585" s="72">
        <f t="shared" si="98"/>
        <v>-18641.580000000002</v>
      </c>
      <c r="N1585" s="72">
        <f t="shared" si="99"/>
        <v>317274.11999999965</v>
      </c>
    </row>
    <row r="1586" spans="1:14" x14ac:dyDescent="0.2">
      <c r="A1586" s="73" t="s">
        <v>1057</v>
      </c>
      <c r="B1586" s="3">
        <f t="shared" si="96"/>
        <v>2025</v>
      </c>
      <c r="C1586" s="3">
        <f t="shared" si="97"/>
        <v>8</v>
      </c>
      <c r="D1586" s="73" t="s">
        <v>893</v>
      </c>
      <c r="E1586" s="2"/>
      <c r="F1586" s="2" t="s">
        <v>304</v>
      </c>
      <c r="G1586" s="2" t="s">
        <v>913</v>
      </c>
      <c r="H1586" s="2" t="s">
        <v>937</v>
      </c>
      <c r="I1586" s="2" t="s">
        <v>316</v>
      </c>
      <c r="J1586" s="2" t="s">
        <v>22</v>
      </c>
      <c r="K1586" s="72">
        <v>43.94</v>
      </c>
      <c r="L1586" s="39"/>
      <c r="M1586" s="72">
        <f t="shared" si="98"/>
        <v>-43.94</v>
      </c>
      <c r="N1586" s="72">
        <f t="shared" si="99"/>
        <v>317230.17999999964</v>
      </c>
    </row>
    <row r="1587" spans="1:14" x14ac:dyDescent="0.2">
      <c r="A1587" s="73" t="s">
        <v>1057</v>
      </c>
      <c r="B1587" s="3">
        <f t="shared" si="96"/>
        <v>2025</v>
      </c>
      <c r="C1587" s="3">
        <f t="shared" si="97"/>
        <v>8</v>
      </c>
      <c r="D1587" s="73" t="s">
        <v>300</v>
      </c>
      <c r="E1587" s="2"/>
      <c r="F1587" s="2" t="s">
        <v>299</v>
      </c>
      <c r="G1587" s="2"/>
      <c r="H1587" s="2" t="s">
        <v>298</v>
      </c>
      <c r="I1587" s="2" t="s">
        <v>297</v>
      </c>
      <c r="J1587" s="2" t="s">
        <v>296</v>
      </c>
      <c r="K1587" s="72"/>
      <c r="L1587" s="39">
        <v>155796.41</v>
      </c>
      <c r="M1587" s="72">
        <f t="shared" si="98"/>
        <v>155796.41</v>
      </c>
      <c r="N1587" s="72">
        <f t="shared" si="99"/>
        <v>473026.58999999962</v>
      </c>
    </row>
    <row r="1588" spans="1:14" x14ac:dyDescent="0.2">
      <c r="A1588" s="73" t="s">
        <v>1058</v>
      </c>
      <c r="B1588" s="3">
        <f t="shared" si="96"/>
        <v>2025</v>
      </c>
      <c r="C1588" s="3">
        <f t="shared" si="97"/>
        <v>8</v>
      </c>
      <c r="D1588" s="73" t="s">
        <v>300</v>
      </c>
      <c r="E1588" s="2"/>
      <c r="F1588" s="2" t="s">
        <v>309</v>
      </c>
      <c r="G1588" s="2" t="s">
        <v>381</v>
      </c>
      <c r="H1588" s="2" t="s">
        <v>380</v>
      </c>
      <c r="I1588" s="2" t="s">
        <v>301</v>
      </c>
      <c r="J1588" s="2" t="s">
        <v>11</v>
      </c>
      <c r="K1588" s="72"/>
      <c r="L1588" s="39">
        <v>476.36</v>
      </c>
      <c r="M1588" s="72">
        <f t="shared" si="98"/>
        <v>476.36</v>
      </c>
      <c r="N1588" s="72">
        <f t="shared" si="99"/>
        <v>473502.9499999996</v>
      </c>
    </row>
    <row r="1589" spans="1:14" x14ac:dyDescent="0.2">
      <c r="A1589" s="73" t="s">
        <v>1058</v>
      </c>
      <c r="B1589" s="3">
        <f t="shared" si="96"/>
        <v>2025</v>
      </c>
      <c r="C1589" s="3">
        <f t="shared" si="97"/>
        <v>8</v>
      </c>
      <c r="D1589" s="73" t="s">
        <v>893</v>
      </c>
      <c r="E1589" s="2"/>
      <c r="F1589" s="2" t="s">
        <v>304</v>
      </c>
      <c r="G1589" s="2" t="s">
        <v>1009</v>
      </c>
      <c r="H1589" s="2" t="s">
        <v>1007</v>
      </c>
      <c r="I1589" s="1" t="s">
        <v>316</v>
      </c>
      <c r="J1589" s="2" t="s">
        <v>17</v>
      </c>
      <c r="K1589" s="72">
        <v>1011.62</v>
      </c>
      <c r="L1589" s="39"/>
      <c r="M1589" s="72">
        <f t="shared" si="98"/>
        <v>-1011.62</v>
      </c>
      <c r="N1589" s="72">
        <f t="shared" si="99"/>
        <v>472491.32999999961</v>
      </c>
    </row>
    <row r="1590" spans="1:14" x14ac:dyDescent="0.2">
      <c r="A1590" s="73" t="s">
        <v>1058</v>
      </c>
      <c r="B1590" s="3">
        <f t="shared" si="96"/>
        <v>2025</v>
      </c>
      <c r="C1590" s="3">
        <f t="shared" si="97"/>
        <v>8</v>
      </c>
      <c r="D1590" s="73" t="s">
        <v>893</v>
      </c>
      <c r="E1590" s="2"/>
      <c r="F1590" s="2" t="s">
        <v>304</v>
      </c>
      <c r="G1590" s="2" t="s">
        <v>1173</v>
      </c>
      <c r="H1590" s="2" t="s">
        <v>956</v>
      </c>
      <c r="I1590" s="2" t="s">
        <v>316</v>
      </c>
      <c r="J1590" s="2" t="s">
        <v>22</v>
      </c>
      <c r="K1590" s="72">
        <v>19.98</v>
      </c>
      <c r="L1590" s="39"/>
      <c r="M1590" s="72">
        <f t="shared" si="98"/>
        <v>-19.98</v>
      </c>
      <c r="N1590" s="72">
        <f t="shared" si="99"/>
        <v>472471.34999999963</v>
      </c>
    </row>
    <row r="1591" spans="1:14" x14ac:dyDescent="0.2">
      <c r="A1591" s="73" t="s">
        <v>1058</v>
      </c>
      <c r="B1591" s="3">
        <f t="shared" si="96"/>
        <v>2025</v>
      </c>
      <c r="C1591" s="3">
        <f t="shared" si="97"/>
        <v>8</v>
      </c>
      <c r="D1591" s="73" t="s">
        <v>300</v>
      </c>
      <c r="E1591" s="2"/>
      <c r="F1591" s="2" t="s">
        <v>321</v>
      </c>
      <c r="G1591" s="2" t="s">
        <v>886</v>
      </c>
      <c r="H1591" s="2" t="s">
        <v>319</v>
      </c>
      <c r="I1591" s="2" t="s">
        <v>315</v>
      </c>
      <c r="J1591" s="2" t="s">
        <v>23</v>
      </c>
      <c r="K1591" s="72"/>
      <c r="L1591" s="39">
        <v>37000</v>
      </c>
      <c r="M1591" s="72">
        <f t="shared" si="98"/>
        <v>37000</v>
      </c>
      <c r="N1591" s="72">
        <f t="shared" si="99"/>
        <v>509471.34999999963</v>
      </c>
    </row>
    <row r="1592" spans="1:14" x14ac:dyDescent="0.2">
      <c r="A1592" s="73" t="s">
        <v>1058</v>
      </c>
      <c r="B1592" s="3">
        <f t="shared" si="96"/>
        <v>2025</v>
      </c>
      <c r="C1592" s="3">
        <f t="shared" si="97"/>
        <v>8</v>
      </c>
      <c r="D1592" s="73" t="s">
        <v>893</v>
      </c>
      <c r="E1592" s="2"/>
      <c r="F1592" s="2" t="s">
        <v>304</v>
      </c>
      <c r="G1592" s="2" t="s">
        <v>1171</v>
      </c>
      <c r="H1592" s="2" t="s">
        <v>956</v>
      </c>
      <c r="I1592" s="2" t="s">
        <v>316</v>
      </c>
      <c r="J1592" s="2" t="s">
        <v>22</v>
      </c>
      <c r="K1592" s="72">
        <v>39.340000000000003</v>
      </c>
      <c r="L1592" s="39"/>
      <c r="M1592" s="72">
        <f t="shared" si="98"/>
        <v>-39.340000000000003</v>
      </c>
      <c r="N1592" s="72">
        <f t="shared" si="99"/>
        <v>509432.0099999996</v>
      </c>
    </row>
    <row r="1593" spans="1:14" x14ac:dyDescent="0.2">
      <c r="A1593" s="73" t="s">
        <v>1058</v>
      </c>
      <c r="B1593" s="3">
        <f t="shared" si="96"/>
        <v>2025</v>
      </c>
      <c r="C1593" s="3">
        <f t="shared" si="97"/>
        <v>8</v>
      </c>
      <c r="D1593" s="73" t="s">
        <v>893</v>
      </c>
      <c r="E1593" s="2"/>
      <c r="F1593" s="2" t="s">
        <v>304</v>
      </c>
      <c r="G1593" s="2" t="s">
        <v>1169</v>
      </c>
      <c r="H1593" s="2" t="s">
        <v>937</v>
      </c>
      <c r="I1593" s="2" t="s">
        <v>316</v>
      </c>
      <c r="J1593" s="2" t="s">
        <v>22</v>
      </c>
      <c r="K1593" s="72">
        <v>208</v>
      </c>
      <c r="L1593" s="39"/>
      <c r="M1593" s="72">
        <f t="shared" si="98"/>
        <v>-208</v>
      </c>
      <c r="N1593" s="72">
        <f t="shared" si="99"/>
        <v>509224.0099999996</v>
      </c>
    </row>
    <row r="1594" spans="1:14" x14ac:dyDescent="0.2">
      <c r="A1594" s="73" t="s">
        <v>1058</v>
      </c>
      <c r="B1594" s="3">
        <f t="shared" si="96"/>
        <v>2025</v>
      </c>
      <c r="C1594" s="3">
        <f t="shared" si="97"/>
        <v>8</v>
      </c>
      <c r="D1594" s="73" t="s">
        <v>893</v>
      </c>
      <c r="E1594" s="2"/>
      <c r="F1594" s="2" t="s">
        <v>304</v>
      </c>
      <c r="G1594" s="2" t="s">
        <v>1170</v>
      </c>
      <c r="H1594" s="2" t="s">
        <v>956</v>
      </c>
      <c r="I1594" s="2" t="s">
        <v>316</v>
      </c>
      <c r="J1594" s="2" t="s">
        <v>22</v>
      </c>
      <c r="K1594" s="72">
        <v>352.41</v>
      </c>
      <c r="L1594" s="39"/>
      <c r="M1594" s="72">
        <f t="shared" si="98"/>
        <v>-352.41</v>
      </c>
      <c r="N1594" s="72">
        <f t="shared" si="99"/>
        <v>508871.59999999963</v>
      </c>
    </row>
    <row r="1595" spans="1:14" x14ac:dyDescent="0.2">
      <c r="A1595" s="73" t="s">
        <v>1058</v>
      </c>
      <c r="B1595" s="3">
        <f t="shared" si="96"/>
        <v>2025</v>
      </c>
      <c r="C1595" s="3">
        <f t="shared" si="97"/>
        <v>8</v>
      </c>
      <c r="D1595" s="73" t="s">
        <v>893</v>
      </c>
      <c r="E1595" s="2"/>
      <c r="F1595" s="2" t="s">
        <v>304</v>
      </c>
      <c r="G1595" s="2" t="s">
        <v>900</v>
      </c>
      <c r="H1595" s="2" t="s">
        <v>1007</v>
      </c>
      <c r="I1595" s="1" t="s">
        <v>316</v>
      </c>
      <c r="J1595" s="2" t="s">
        <v>17</v>
      </c>
      <c r="K1595" s="72">
        <v>200</v>
      </c>
      <c r="L1595" s="39"/>
      <c r="M1595" s="72">
        <f t="shared" si="98"/>
        <v>-200</v>
      </c>
      <c r="N1595" s="72">
        <f t="shared" si="99"/>
        <v>508671.59999999963</v>
      </c>
    </row>
    <row r="1596" spans="1:14" x14ac:dyDescent="0.2">
      <c r="A1596" s="73" t="s">
        <v>1058</v>
      </c>
      <c r="B1596" s="3">
        <f t="shared" si="96"/>
        <v>2025</v>
      </c>
      <c r="C1596" s="3">
        <f t="shared" si="97"/>
        <v>8</v>
      </c>
      <c r="D1596" s="73" t="s">
        <v>893</v>
      </c>
      <c r="E1596" s="2"/>
      <c r="F1596" s="2" t="s">
        <v>304</v>
      </c>
      <c r="G1596" s="2" t="s">
        <v>1172</v>
      </c>
      <c r="H1596" s="2" t="s">
        <v>956</v>
      </c>
      <c r="I1596" s="2" t="s">
        <v>316</v>
      </c>
      <c r="J1596" s="2" t="s">
        <v>22</v>
      </c>
      <c r="K1596" s="72">
        <v>8.76</v>
      </c>
      <c r="L1596" s="39"/>
      <c r="M1596" s="72">
        <f t="shared" si="98"/>
        <v>-8.76</v>
      </c>
      <c r="N1596" s="72">
        <f t="shared" si="99"/>
        <v>508662.83999999962</v>
      </c>
    </row>
    <row r="1597" spans="1:14" x14ac:dyDescent="0.2">
      <c r="A1597" s="73" t="s">
        <v>1058</v>
      </c>
      <c r="B1597" s="3">
        <f t="shared" si="96"/>
        <v>2025</v>
      </c>
      <c r="C1597" s="3">
        <f t="shared" si="97"/>
        <v>8</v>
      </c>
      <c r="D1597" s="73" t="s">
        <v>893</v>
      </c>
      <c r="E1597" s="2"/>
      <c r="F1597" s="2" t="s">
        <v>304</v>
      </c>
      <c r="G1597" s="2" t="s">
        <v>983</v>
      </c>
      <c r="H1597" s="2" t="s">
        <v>984</v>
      </c>
      <c r="I1597" s="1" t="s">
        <v>316</v>
      </c>
      <c r="J1597" s="2" t="s">
        <v>17</v>
      </c>
      <c r="K1597" s="72">
        <v>29</v>
      </c>
      <c r="L1597" s="39"/>
      <c r="M1597" s="72">
        <f t="shared" si="98"/>
        <v>-29</v>
      </c>
      <c r="N1597" s="72">
        <f t="shared" si="99"/>
        <v>508633.83999999962</v>
      </c>
    </row>
    <row r="1598" spans="1:14" x14ac:dyDescent="0.2">
      <c r="A1598" s="73" t="s">
        <v>1058</v>
      </c>
      <c r="B1598" s="3">
        <f t="shared" si="96"/>
        <v>2025</v>
      </c>
      <c r="C1598" s="3">
        <f t="shared" si="97"/>
        <v>8</v>
      </c>
      <c r="D1598" s="73" t="s">
        <v>300</v>
      </c>
      <c r="E1598" s="2"/>
      <c r="F1598" s="2" t="s">
        <v>321</v>
      </c>
      <c r="G1598" s="2" t="s">
        <v>387</v>
      </c>
      <c r="H1598" s="2" t="s">
        <v>319</v>
      </c>
      <c r="I1598" s="2" t="s">
        <v>315</v>
      </c>
      <c r="J1598" s="2" t="s">
        <v>23</v>
      </c>
      <c r="K1598" s="72"/>
      <c r="L1598" s="39">
        <v>41456.5</v>
      </c>
      <c r="M1598" s="72">
        <f t="shared" si="98"/>
        <v>41456.5</v>
      </c>
      <c r="N1598" s="72">
        <f t="shared" si="99"/>
        <v>550090.33999999962</v>
      </c>
    </row>
    <row r="1599" spans="1:14" x14ac:dyDescent="0.2">
      <c r="A1599" s="73" t="s">
        <v>1058</v>
      </c>
      <c r="B1599" s="3">
        <f t="shared" si="96"/>
        <v>2025</v>
      </c>
      <c r="C1599" s="3">
        <f t="shared" si="97"/>
        <v>8</v>
      </c>
      <c r="D1599" s="73" t="s">
        <v>300</v>
      </c>
      <c r="E1599" s="2"/>
      <c r="F1599" s="2" t="s">
        <v>299</v>
      </c>
      <c r="G1599" s="2"/>
      <c r="H1599" s="2" t="s">
        <v>298</v>
      </c>
      <c r="I1599" s="2" t="s">
        <v>297</v>
      </c>
      <c r="J1599" s="2" t="s">
        <v>296</v>
      </c>
      <c r="K1599" s="72">
        <v>78932.86</v>
      </c>
      <c r="L1599" s="39"/>
      <c r="M1599" s="72">
        <f t="shared" si="98"/>
        <v>-78932.86</v>
      </c>
      <c r="N1599" s="72">
        <f t="shared" si="99"/>
        <v>471157.47999999963</v>
      </c>
    </row>
    <row r="1600" spans="1:14" x14ac:dyDescent="0.2">
      <c r="A1600" s="73" t="s">
        <v>1059</v>
      </c>
      <c r="B1600" s="3">
        <f t="shared" si="96"/>
        <v>2025</v>
      </c>
      <c r="C1600" s="3">
        <f t="shared" si="97"/>
        <v>8</v>
      </c>
      <c r="D1600" s="73" t="s">
        <v>893</v>
      </c>
      <c r="E1600" s="2"/>
      <c r="F1600" s="2" t="s">
        <v>304</v>
      </c>
      <c r="G1600" s="2" t="s">
        <v>1175</v>
      </c>
      <c r="H1600" s="2" t="s">
        <v>956</v>
      </c>
      <c r="I1600" s="2" t="s">
        <v>316</v>
      </c>
      <c r="J1600" s="2" t="s">
        <v>22</v>
      </c>
      <c r="K1600" s="72">
        <v>20.66</v>
      </c>
      <c r="L1600" s="39"/>
      <c r="M1600" s="72">
        <f t="shared" si="98"/>
        <v>-20.66</v>
      </c>
      <c r="N1600" s="72">
        <f t="shared" si="99"/>
        <v>471136.81999999966</v>
      </c>
    </row>
    <row r="1601" spans="1:14" x14ac:dyDescent="0.2">
      <c r="A1601" s="73" t="s">
        <v>1059</v>
      </c>
      <c r="B1601" s="3">
        <f t="shared" si="96"/>
        <v>2025</v>
      </c>
      <c r="C1601" s="3">
        <f t="shared" si="97"/>
        <v>8</v>
      </c>
      <c r="D1601" s="73" t="s">
        <v>893</v>
      </c>
      <c r="E1601" s="2"/>
      <c r="F1601" s="2" t="s">
        <v>304</v>
      </c>
      <c r="G1601" s="2" t="s">
        <v>1174</v>
      </c>
      <c r="H1601" s="2" t="s">
        <v>956</v>
      </c>
      <c r="I1601" s="2" t="s">
        <v>316</v>
      </c>
      <c r="J1601" s="2" t="s">
        <v>22</v>
      </c>
      <c r="K1601" s="72">
        <v>32.979999999999997</v>
      </c>
      <c r="L1601" s="39"/>
      <c r="M1601" s="72">
        <f t="shared" si="98"/>
        <v>-32.979999999999997</v>
      </c>
      <c r="N1601" s="72">
        <f t="shared" si="99"/>
        <v>471103.83999999968</v>
      </c>
    </row>
    <row r="1602" spans="1:14" x14ac:dyDescent="0.2">
      <c r="A1602" s="73" t="s">
        <v>1059</v>
      </c>
      <c r="B1602" s="3">
        <f t="shared" ref="B1602:B1665" si="100">YEAR(A1602)</f>
        <v>2025</v>
      </c>
      <c r="C1602" s="3">
        <f t="shared" ref="C1602:C1665" si="101">MONTH(A1602)</f>
        <v>8</v>
      </c>
      <c r="D1602" s="73" t="s">
        <v>893</v>
      </c>
      <c r="E1602" s="2"/>
      <c r="F1602" s="2" t="s">
        <v>304</v>
      </c>
      <c r="G1602" s="2" t="s">
        <v>1000</v>
      </c>
      <c r="H1602" s="2" t="s">
        <v>956</v>
      </c>
      <c r="I1602" s="2" t="s">
        <v>316</v>
      </c>
      <c r="J1602" s="2" t="s">
        <v>22</v>
      </c>
      <c r="K1602" s="72">
        <v>10.28</v>
      </c>
      <c r="L1602" s="39"/>
      <c r="M1602" s="72">
        <f t="shared" ref="M1602:M1665" si="102">IF(ISBLANK(L1602),K1602*-1,L1602)</f>
        <v>-10.28</v>
      </c>
      <c r="N1602" s="72">
        <f t="shared" si="99"/>
        <v>471093.55999999965</v>
      </c>
    </row>
    <row r="1603" spans="1:14" x14ac:dyDescent="0.2">
      <c r="A1603" s="73" t="s">
        <v>1059</v>
      </c>
      <c r="B1603" s="3">
        <f t="shared" si="100"/>
        <v>2025</v>
      </c>
      <c r="C1603" s="3">
        <f t="shared" si="101"/>
        <v>8</v>
      </c>
      <c r="D1603" s="73" t="s">
        <v>893</v>
      </c>
      <c r="E1603" s="2"/>
      <c r="F1603" s="2" t="s">
        <v>304</v>
      </c>
      <c r="G1603" s="2" t="s">
        <v>1010</v>
      </c>
      <c r="H1603" s="2" t="s">
        <v>1007</v>
      </c>
      <c r="I1603" s="1" t="s">
        <v>316</v>
      </c>
      <c r="J1603" s="2" t="s">
        <v>17</v>
      </c>
      <c r="K1603" s="72">
        <v>16</v>
      </c>
      <c r="L1603" s="39"/>
      <c r="M1603" s="72">
        <f t="shared" si="102"/>
        <v>-16</v>
      </c>
      <c r="N1603" s="72">
        <f t="shared" ref="N1603:N1666" si="103">+N1602+M1603</f>
        <v>471077.55999999965</v>
      </c>
    </row>
    <row r="1604" spans="1:14" x14ac:dyDescent="0.2">
      <c r="A1604" s="73" t="s">
        <v>1059</v>
      </c>
      <c r="B1604" s="3">
        <f t="shared" si="100"/>
        <v>2025</v>
      </c>
      <c r="C1604" s="3">
        <f t="shared" si="101"/>
        <v>8</v>
      </c>
      <c r="D1604" s="73" t="s">
        <v>893</v>
      </c>
      <c r="E1604" s="2"/>
      <c r="F1604" s="2" t="s">
        <v>304</v>
      </c>
      <c r="G1604" s="2" t="s">
        <v>1177</v>
      </c>
      <c r="H1604" s="2" t="s">
        <v>956</v>
      </c>
      <c r="I1604" s="2" t="s">
        <v>316</v>
      </c>
      <c r="J1604" s="2" t="s">
        <v>22</v>
      </c>
      <c r="K1604" s="72">
        <v>13.06</v>
      </c>
      <c r="L1604" s="39"/>
      <c r="M1604" s="72">
        <f t="shared" si="102"/>
        <v>-13.06</v>
      </c>
      <c r="N1604" s="72">
        <f t="shared" si="103"/>
        <v>471064.49999999965</v>
      </c>
    </row>
    <row r="1605" spans="1:14" x14ac:dyDescent="0.2">
      <c r="A1605" s="73" t="s">
        <v>1059</v>
      </c>
      <c r="B1605" s="3">
        <f t="shared" si="100"/>
        <v>2025</v>
      </c>
      <c r="C1605" s="3">
        <f t="shared" si="101"/>
        <v>8</v>
      </c>
      <c r="D1605" s="73" t="s">
        <v>300</v>
      </c>
      <c r="E1605" s="2"/>
      <c r="F1605" s="2" t="s">
        <v>325</v>
      </c>
      <c r="G1605" s="2" t="s">
        <v>837</v>
      </c>
      <c r="H1605" s="2" t="s">
        <v>323</v>
      </c>
      <c r="I1605" s="2" t="s">
        <v>316</v>
      </c>
      <c r="J1605" s="2" t="s">
        <v>22</v>
      </c>
      <c r="K1605" s="72">
        <v>15.14</v>
      </c>
      <c r="L1605" s="39"/>
      <c r="M1605" s="72">
        <f t="shared" si="102"/>
        <v>-15.14</v>
      </c>
      <c r="N1605" s="72">
        <f t="shared" si="103"/>
        <v>471049.35999999964</v>
      </c>
    </row>
    <row r="1606" spans="1:14" x14ac:dyDescent="0.2">
      <c r="A1606" s="73" t="s">
        <v>1059</v>
      </c>
      <c r="B1606" s="3">
        <f t="shared" si="100"/>
        <v>2025</v>
      </c>
      <c r="C1606" s="3">
        <f t="shared" si="101"/>
        <v>8</v>
      </c>
      <c r="D1606" s="73" t="s">
        <v>893</v>
      </c>
      <c r="E1606" s="2"/>
      <c r="F1606" s="2" t="s">
        <v>304</v>
      </c>
      <c r="G1606" s="2" t="s">
        <v>1172</v>
      </c>
      <c r="H1606" s="2" t="s">
        <v>956</v>
      </c>
      <c r="I1606" s="2" t="s">
        <v>316</v>
      </c>
      <c r="J1606" s="2" t="s">
        <v>22</v>
      </c>
      <c r="K1606" s="72">
        <v>10.8</v>
      </c>
      <c r="L1606" s="39"/>
      <c r="M1606" s="72">
        <f t="shared" si="102"/>
        <v>-10.8</v>
      </c>
      <c r="N1606" s="72">
        <f t="shared" si="103"/>
        <v>471038.55999999965</v>
      </c>
    </row>
    <row r="1607" spans="1:14" x14ac:dyDescent="0.2">
      <c r="A1607" s="73" t="s">
        <v>1059</v>
      </c>
      <c r="B1607" s="3">
        <f t="shared" si="100"/>
        <v>2025</v>
      </c>
      <c r="C1607" s="3">
        <f t="shared" si="101"/>
        <v>8</v>
      </c>
      <c r="D1607" s="73" t="s">
        <v>893</v>
      </c>
      <c r="E1607" s="2"/>
      <c r="F1607" s="2" t="s">
        <v>304</v>
      </c>
      <c r="G1607" s="2" t="s">
        <v>1178</v>
      </c>
      <c r="H1607" s="2" t="s">
        <v>937</v>
      </c>
      <c r="I1607" s="2" t="s">
        <v>316</v>
      </c>
      <c r="J1607" s="2" t="s">
        <v>22</v>
      </c>
      <c r="K1607" s="72">
        <v>12</v>
      </c>
      <c r="L1607" s="39"/>
      <c r="M1607" s="72">
        <f t="shared" si="102"/>
        <v>-12</v>
      </c>
      <c r="N1607" s="72">
        <f t="shared" si="103"/>
        <v>471026.55999999965</v>
      </c>
    </row>
    <row r="1608" spans="1:14" x14ac:dyDescent="0.2">
      <c r="A1608" s="73" t="s">
        <v>1059</v>
      </c>
      <c r="B1608" s="3">
        <f t="shared" si="100"/>
        <v>2025</v>
      </c>
      <c r="C1608" s="3">
        <f t="shared" si="101"/>
        <v>8</v>
      </c>
      <c r="D1608" s="73" t="s">
        <v>893</v>
      </c>
      <c r="E1608" s="2"/>
      <c r="F1608" s="2" t="s">
        <v>304</v>
      </c>
      <c r="G1608" s="2" t="s">
        <v>1176</v>
      </c>
      <c r="H1608" s="2" t="s">
        <v>937</v>
      </c>
      <c r="I1608" s="2" t="s">
        <v>316</v>
      </c>
      <c r="J1608" s="2" t="s">
        <v>22</v>
      </c>
      <c r="K1608" s="72">
        <v>4</v>
      </c>
      <c r="L1608" s="39"/>
      <c r="M1608" s="72">
        <f t="shared" si="102"/>
        <v>-4</v>
      </c>
      <c r="N1608" s="72">
        <f t="shared" si="103"/>
        <v>471022.55999999965</v>
      </c>
    </row>
    <row r="1609" spans="1:14" x14ac:dyDescent="0.2">
      <c r="A1609" s="73" t="s">
        <v>1059</v>
      </c>
      <c r="B1609" s="3">
        <f t="shared" si="100"/>
        <v>2025</v>
      </c>
      <c r="C1609" s="3">
        <f t="shared" si="101"/>
        <v>8</v>
      </c>
      <c r="D1609" s="73" t="s">
        <v>893</v>
      </c>
      <c r="E1609" s="2"/>
      <c r="F1609" s="2" t="s">
        <v>304</v>
      </c>
      <c r="G1609" s="2" t="s">
        <v>913</v>
      </c>
      <c r="H1609" s="2" t="s">
        <v>937</v>
      </c>
      <c r="I1609" s="2" t="s">
        <v>316</v>
      </c>
      <c r="J1609" s="2" t="s">
        <v>22</v>
      </c>
      <c r="K1609" s="72">
        <v>45.58</v>
      </c>
      <c r="L1609" s="39"/>
      <c r="M1609" s="72">
        <f t="shared" si="102"/>
        <v>-45.58</v>
      </c>
      <c r="N1609" s="72">
        <f t="shared" si="103"/>
        <v>470976.97999999963</v>
      </c>
    </row>
    <row r="1610" spans="1:14" x14ac:dyDescent="0.2">
      <c r="A1610" s="73" t="s">
        <v>1060</v>
      </c>
      <c r="B1610" s="3">
        <f t="shared" si="100"/>
        <v>2025</v>
      </c>
      <c r="C1610" s="3">
        <f t="shared" si="101"/>
        <v>8</v>
      </c>
      <c r="D1610" s="73" t="s">
        <v>893</v>
      </c>
      <c r="E1610" s="2"/>
      <c r="F1610" s="2" t="s">
        <v>304</v>
      </c>
      <c r="G1610" s="2" t="s">
        <v>955</v>
      </c>
      <c r="H1610" s="2" t="s">
        <v>956</v>
      </c>
      <c r="I1610" s="2" t="s">
        <v>316</v>
      </c>
      <c r="J1610" s="2" t="s">
        <v>22</v>
      </c>
      <c r="K1610" s="72">
        <v>2.29</v>
      </c>
      <c r="L1610" s="39"/>
      <c r="M1610" s="72">
        <f t="shared" si="102"/>
        <v>-2.29</v>
      </c>
      <c r="N1610" s="72">
        <f t="shared" si="103"/>
        <v>470974.68999999965</v>
      </c>
    </row>
    <row r="1611" spans="1:14" x14ac:dyDescent="0.2">
      <c r="A1611" s="73" t="s">
        <v>1060</v>
      </c>
      <c r="B1611" s="3">
        <f t="shared" si="100"/>
        <v>2025</v>
      </c>
      <c r="C1611" s="3">
        <f t="shared" si="101"/>
        <v>8</v>
      </c>
      <c r="D1611" s="73" t="s">
        <v>893</v>
      </c>
      <c r="E1611" s="2"/>
      <c r="F1611" s="2" t="s">
        <v>304</v>
      </c>
      <c r="G1611" s="2" t="s">
        <v>955</v>
      </c>
      <c r="H1611" s="2" t="s">
        <v>956</v>
      </c>
      <c r="I1611" s="2" t="s">
        <v>316</v>
      </c>
      <c r="J1611" s="2" t="s">
        <v>22</v>
      </c>
      <c r="K1611" s="72">
        <v>10.61</v>
      </c>
      <c r="L1611" s="39"/>
      <c r="M1611" s="72">
        <f t="shared" si="102"/>
        <v>-10.61</v>
      </c>
      <c r="N1611" s="72">
        <f t="shared" si="103"/>
        <v>470964.07999999967</v>
      </c>
    </row>
    <row r="1612" spans="1:14" x14ac:dyDescent="0.2">
      <c r="A1612" s="73" t="s">
        <v>1060</v>
      </c>
      <c r="B1612" s="3">
        <f t="shared" si="100"/>
        <v>2025</v>
      </c>
      <c r="C1612" s="3">
        <f t="shared" si="101"/>
        <v>8</v>
      </c>
      <c r="D1612" s="73" t="s">
        <v>893</v>
      </c>
      <c r="E1612" s="2"/>
      <c r="F1612" s="2" t="s">
        <v>304</v>
      </c>
      <c r="G1612" s="2" t="s">
        <v>936</v>
      </c>
      <c r="H1612" s="2" t="s">
        <v>956</v>
      </c>
      <c r="I1612" s="2" t="s">
        <v>316</v>
      </c>
      <c r="J1612" s="2" t="s">
        <v>22</v>
      </c>
      <c r="K1612" s="72">
        <v>30.21</v>
      </c>
      <c r="L1612" s="39"/>
      <c r="M1612" s="72">
        <f t="shared" si="102"/>
        <v>-30.21</v>
      </c>
      <c r="N1612" s="72">
        <f t="shared" si="103"/>
        <v>470933.86999999965</v>
      </c>
    </row>
    <row r="1613" spans="1:14" x14ac:dyDescent="0.2">
      <c r="A1613" s="73" t="s">
        <v>1060</v>
      </c>
      <c r="B1613" s="3">
        <f t="shared" si="100"/>
        <v>2025</v>
      </c>
      <c r="C1613" s="3">
        <f t="shared" si="101"/>
        <v>8</v>
      </c>
      <c r="D1613" s="73" t="s">
        <v>893</v>
      </c>
      <c r="E1613" s="2"/>
      <c r="F1613" s="2" t="s">
        <v>304</v>
      </c>
      <c r="G1613" s="2" t="s">
        <v>1179</v>
      </c>
      <c r="H1613" s="2" t="s">
        <v>937</v>
      </c>
      <c r="I1613" s="2" t="s">
        <v>316</v>
      </c>
      <c r="J1613" s="2" t="s">
        <v>22</v>
      </c>
      <c r="K1613" s="72">
        <v>397.85</v>
      </c>
      <c r="L1613" s="39"/>
      <c r="M1613" s="72">
        <f t="shared" si="102"/>
        <v>-397.85</v>
      </c>
      <c r="N1613" s="72">
        <f t="shared" si="103"/>
        <v>470536.01999999967</v>
      </c>
    </row>
    <row r="1614" spans="1:14" x14ac:dyDescent="0.2">
      <c r="A1614" s="73" t="s">
        <v>1060</v>
      </c>
      <c r="B1614" s="3">
        <f t="shared" si="100"/>
        <v>2025</v>
      </c>
      <c r="C1614" s="3">
        <f t="shared" si="101"/>
        <v>8</v>
      </c>
      <c r="D1614" s="73" t="s">
        <v>300</v>
      </c>
      <c r="E1614" s="2"/>
      <c r="F1614" s="2" t="s">
        <v>325</v>
      </c>
      <c r="G1614" s="2" t="s">
        <v>837</v>
      </c>
      <c r="H1614" s="2" t="s">
        <v>323</v>
      </c>
      <c r="I1614" s="2" t="s">
        <v>316</v>
      </c>
      <c r="J1614" s="2" t="s">
        <v>22</v>
      </c>
      <c r="K1614" s="72">
        <v>99.7</v>
      </c>
      <c r="L1614" s="39"/>
      <c r="M1614" s="72">
        <f t="shared" si="102"/>
        <v>-99.7</v>
      </c>
      <c r="N1614" s="72">
        <f t="shared" si="103"/>
        <v>470436.31999999966</v>
      </c>
    </row>
    <row r="1615" spans="1:14" x14ac:dyDescent="0.2">
      <c r="A1615" s="73" t="s">
        <v>1060</v>
      </c>
      <c r="B1615" s="3">
        <f t="shared" si="100"/>
        <v>2025</v>
      </c>
      <c r="C1615" s="3">
        <f t="shared" si="101"/>
        <v>8</v>
      </c>
      <c r="D1615" s="73" t="s">
        <v>893</v>
      </c>
      <c r="E1615" s="2"/>
      <c r="F1615" s="2" t="s">
        <v>304</v>
      </c>
      <c r="G1615" s="2" t="s">
        <v>1181</v>
      </c>
      <c r="H1615" s="2" t="s">
        <v>839</v>
      </c>
      <c r="I1615" s="1" t="s">
        <v>316</v>
      </c>
      <c r="J1615" s="2" t="s">
        <v>17</v>
      </c>
      <c r="K1615" s="72">
        <v>2313.98</v>
      </c>
      <c r="L1615" s="39"/>
      <c r="M1615" s="72">
        <f t="shared" si="102"/>
        <v>-2313.98</v>
      </c>
      <c r="N1615" s="72">
        <f t="shared" si="103"/>
        <v>468122.33999999968</v>
      </c>
    </row>
    <row r="1616" spans="1:14" x14ac:dyDescent="0.2">
      <c r="A1616" s="73" t="s">
        <v>1060</v>
      </c>
      <c r="B1616" s="3">
        <f t="shared" si="100"/>
        <v>2025</v>
      </c>
      <c r="C1616" s="3">
        <f t="shared" si="101"/>
        <v>8</v>
      </c>
      <c r="D1616" s="73" t="s">
        <v>300</v>
      </c>
      <c r="E1616" s="2"/>
      <c r="F1616" s="2" t="s">
        <v>304</v>
      </c>
      <c r="G1616" s="2" t="s">
        <v>306</v>
      </c>
      <c r="H1616" s="2" t="s">
        <v>516</v>
      </c>
      <c r="I1616" s="2" t="s">
        <v>301</v>
      </c>
      <c r="J1616" s="2" t="s">
        <v>24</v>
      </c>
      <c r="K1616" s="72">
        <v>92337.84</v>
      </c>
      <c r="L1616" s="39"/>
      <c r="M1616" s="72">
        <f t="shared" si="102"/>
        <v>-92337.84</v>
      </c>
      <c r="N1616" s="72">
        <f t="shared" si="103"/>
        <v>375784.49999999965</v>
      </c>
    </row>
    <row r="1617" spans="1:14" x14ac:dyDescent="0.2">
      <c r="A1617" s="73" t="s">
        <v>1060</v>
      </c>
      <c r="B1617" s="3">
        <f t="shared" si="100"/>
        <v>2025</v>
      </c>
      <c r="C1617" s="3">
        <f t="shared" si="101"/>
        <v>8</v>
      </c>
      <c r="D1617" s="73" t="s">
        <v>300</v>
      </c>
      <c r="E1617" s="2"/>
      <c r="F1617" s="2" t="s">
        <v>304</v>
      </c>
      <c r="G1617" s="2" t="s">
        <v>306</v>
      </c>
      <c r="H1617" s="2" t="s">
        <v>516</v>
      </c>
      <c r="I1617" s="2" t="s">
        <v>301</v>
      </c>
      <c r="J1617" s="2" t="s">
        <v>11</v>
      </c>
      <c r="K1617" s="72">
        <v>1234.75</v>
      </c>
      <c r="L1617" s="39"/>
      <c r="M1617" s="72">
        <f t="shared" si="102"/>
        <v>-1234.75</v>
      </c>
      <c r="N1617" s="72">
        <f t="shared" si="103"/>
        <v>374549.74999999965</v>
      </c>
    </row>
    <row r="1618" spans="1:14" x14ac:dyDescent="0.2">
      <c r="A1618" s="73" t="s">
        <v>1060</v>
      </c>
      <c r="B1618" s="3">
        <f t="shared" si="100"/>
        <v>2025</v>
      </c>
      <c r="C1618" s="3">
        <f t="shared" si="101"/>
        <v>8</v>
      </c>
      <c r="D1618" s="73" t="s">
        <v>300</v>
      </c>
      <c r="E1618" s="2"/>
      <c r="F1618" s="2" t="s">
        <v>304</v>
      </c>
      <c r="G1618" s="2" t="s">
        <v>306</v>
      </c>
      <c r="H1618" s="2" t="s">
        <v>516</v>
      </c>
      <c r="I1618" s="2" t="s">
        <v>301</v>
      </c>
      <c r="J1618" s="2" t="s">
        <v>20</v>
      </c>
      <c r="K1618" s="72">
        <v>46062.66</v>
      </c>
      <c r="L1618" s="39"/>
      <c r="M1618" s="72">
        <f t="shared" si="102"/>
        <v>-46062.66</v>
      </c>
      <c r="N1618" s="72">
        <f t="shared" si="103"/>
        <v>328487.08999999962</v>
      </c>
    </row>
    <row r="1619" spans="1:14" x14ac:dyDescent="0.2">
      <c r="A1619" s="73" t="s">
        <v>1060</v>
      </c>
      <c r="B1619" s="3">
        <f t="shared" si="100"/>
        <v>2025</v>
      </c>
      <c r="C1619" s="3">
        <f t="shared" si="101"/>
        <v>8</v>
      </c>
      <c r="D1619" s="73" t="s">
        <v>893</v>
      </c>
      <c r="E1619" s="2"/>
      <c r="F1619" s="2" t="s">
        <v>304</v>
      </c>
      <c r="G1619" s="2" t="s">
        <v>908</v>
      </c>
      <c r="H1619" s="2" t="s">
        <v>1007</v>
      </c>
      <c r="I1619" s="1" t="s">
        <v>316</v>
      </c>
      <c r="J1619" s="2" t="s">
        <v>17</v>
      </c>
      <c r="K1619" s="72">
        <v>212</v>
      </c>
      <c r="L1619" s="39"/>
      <c r="M1619" s="72">
        <f t="shared" si="102"/>
        <v>-212</v>
      </c>
      <c r="N1619" s="72">
        <f t="shared" si="103"/>
        <v>328275.08999999962</v>
      </c>
    </row>
    <row r="1620" spans="1:14" x14ac:dyDescent="0.2">
      <c r="A1620" s="73" t="s">
        <v>1060</v>
      </c>
      <c r="B1620" s="3">
        <f t="shared" si="100"/>
        <v>2025</v>
      </c>
      <c r="C1620" s="3">
        <f t="shared" si="101"/>
        <v>8</v>
      </c>
      <c r="D1620" s="73" t="s">
        <v>893</v>
      </c>
      <c r="E1620" s="2"/>
      <c r="F1620" s="2" t="s">
        <v>304</v>
      </c>
      <c r="G1620" s="2" t="s">
        <v>1182</v>
      </c>
      <c r="H1620" s="2" t="s">
        <v>956</v>
      </c>
      <c r="I1620" s="2" t="s">
        <v>316</v>
      </c>
      <c r="J1620" s="2" t="s">
        <v>22</v>
      </c>
      <c r="K1620" s="72">
        <v>44.6</v>
      </c>
      <c r="L1620" s="39"/>
      <c r="M1620" s="72">
        <f t="shared" si="102"/>
        <v>-44.6</v>
      </c>
      <c r="N1620" s="72">
        <f t="shared" si="103"/>
        <v>328230.48999999964</v>
      </c>
    </row>
    <row r="1621" spans="1:14" x14ac:dyDescent="0.2">
      <c r="A1621" s="73" t="s">
        <v>1060</v>
      </c>
      <c r="B1621" s="3">
        <f t="shared" si="100"/>
        <v>2025</v>
      </c>
      <c r="C1621" s="3">
        <f t="shared" si="101"/>
        <v>8</v>
      </c>
      <c r="D1621" s="73" t="s">
        <v>893</v>
      </c>
      <c r="E1621" s="2"/>
      <c r="F1621" s="2" t="s">
        <v>304</v>
      </c>
      <c r="G1621" s="2" t="s">
        <v>913</v>
      </c>
      <c r="H1621" s="2" t="s">
        <v>937</v>
      </c>
      <c r="I1621" s="2" t="s">
        <v>316</v>
      </c>
      <c r="J1621" s="2" t="s">
        <v>22</v>
      </c>
      <c r="K1621" s="72">
        <v>19.95</v>
      </c>
      <c r="L1621" s="39"/>
      <c r="M1621" s="72">
        <f t="shared" si="102"/>
        <v>-19.95</v>
      </c>
      <c r="N1621" s="72">
        <f t="shared" si="103"/>
        <v>328210.53999999963</v>
      </c>
    </row>
    <row r="1622" spans="1:14" x14ac:dyDescent="0.2">
      <c r="A1622" s="73" t="s">
        <v>1060</v>
      </c>
      <c r="B1622" s="3">
        <f t="shared" si="100"/>
        <v>2025</v>
      </c>
      <c r="C1622" s="3">
        <f t="shared" si="101"/>
        <v>8</v>
      </c>
      <c r="D1622" s="73" t="s">
        <v>893</v>
      </c>
      <c r="E1622" s="2"/>
      <c r="F1622" s="2" t="s">
        <v>304</v>
      </c>
      <c r="G1622" s="2" t="s">
        <v>913</v>
      </c>
      <c r="H1622" s="2" t="s">
        <v>937</v>
      </c>
      <c r="I1622" s="2" t="s">
        <v>316</v>
      </c>
      <c r="J1622" s="2" t="s">
        <v>22</v>
      </c>
      <c r="K1622" s="72">
        <v>38.92</v>
      </c>
      <c r="L1622" s="39"/>
      <c r="M1622" s="72">
        <f t="shared" si="102"/>
        <v>-38.92</v>
      </c>
      <c r="N1622" s="72">
        <f t="shared" si="103"/>
        <v>328171.61999999965</v>
      </c>
    </row>
    <row r="1623" spans="1:14" x14ac:dyDescent="0.2">
      <c r="A1623" s="73" t="s">
        <v>1060</v>
      </c>
      <c r="B1623" s="3">
        <f t="shared" si="100"/>
        <v>2025</v>
      </c>
      <c r="C1623" s="3">
        <f t="shared" si="101"/>
        <v>8</v>
      </c>
      <c r="D1623" s="73" t="s">
        <v>893</v>
      </c>
      <c r="E1623" s="2"/>
      <c r="F1623" s="2" t="s">
        <v>304</v>
      </c>
      <c r="G1623" s="2" t="s">
        <v>913</v>
      </c>
      <c r="H1623" s="2" t="s">
        <v>937</v>
      </c>
      <c r="I1623" s="2" t="s">
        <v>316</v>
      </c>
      <c r="J1623" s="2" t="s">
        <v>22</v>
      </c>
      <c r="K1623" s="72">
        <v>33.799999999999997</v>
      </c>
      <c r="L1623" s="39"/>
      <c r="M1623" s="72">
        <f t="shared" si="102"/>
        <v>-33.799999999999997</v>
      </c>
      <c r="N1623" s="72">
        <f t="shared" si="103"/>
        <v>328137.81999999966</v>
      </c>
    </row>
    <row r="1624" spans="1:14" x14ac:dyDescent="0.2">
      <c r="A1624" s="73" t="s">
        <v>1060</v>
      </c>
      <c r="B1624" s="3">
        <f t="shared" si="100"/>
        <v>2025</v>
      </c>
      <c r="C1624" s="3">
        <f t="shared" si="101"/>
        <v>8</v>
      </c>
      <c r="D1624" s="73" t="s">
        <v>893</v>
      </c>
      <c r="E1624" s="2"/>
      <c r="F1624" s="2" t="s">
        <v>304</v>
      </c>
      <c r="G1624" s="2" t="s">
        <v>913</v>
      </c>
      <c r="H1624" s="2" t="s">
        <v>937</v>
      </c>
      <c r="I1624" s="2" t="s">
        <v>316</v>
      </c>
      <c r="J1624" s="2" t="s">
        <v>22</v>
      </c>
      <c r="K1624" s="72">
        <v>14.98</v>
      </c>
      <c r="L1624" s="39"/>
      <c r="M1624" s="72">
        <f t="shared" si="102"/>
        <v>-14.98</v>
      </c>
      <c r="N1624" s="72">
        <f t="shared" si="103"/>
        <v>328122.83999999968</v>
      </c>
    </row>
    <row r="1625" spans="1:14" x14ac:dyDescent="0.2">
      <c r="A1625" s="73" t="s">
        <v>1060</v>
      </c>
      <c r="B1625" s="3">
        <f t="shared" si="100"/>
        <v>2025</v>
      </c>
      <c r="C1625" s="3">
        <f t="shared" si="101"/>
        <v>8</v>
      </c>
      <c r="D1625" s="73" t="s">
        <v>893</v>
      </c>
      <c r="E1625" s="2"/>
      <c r="F1625" s="2" t="s">
        <v>304</v>
      </c>
      <c r="G1625" s="2" t="s">
        <v>913</v>
      </c>
      <c r="H1625" s="2" t="s">
        <v>937</v>
      </c>
      <c r="I1625" s="2" t="s">
        <v>316</v>
      </c>
      <c r="J1625" s="2" t="s">
        <v>22</v>
      </c>
      <c r="K1625" s="72">
        <v>39.94</v>
      </c>
      <c r="L1625" s="39"/>
      <c r="M1625" s="72">
        <f t="shared" si="102"/>
        <v>-39.94</v>
      </c>
      <c r="N1625" s="72">
        <f t="shared" si="103"/>
        <v>328082.89999999967</v>
      </c>
    </row>
    <row r="1626" spans="1:14" x14ac:dyDescent="0.2">
      <c r="A1626" s="73" t="s">
        <v>1060</v>
      </c>
      <c r="B1626" s="3">
        <f t="shared" si="100"/>
        <v>2025</v>
      </c>
      <c r="C1626" s="3">
        <f t="shared" si="101"/>
        <v>8</v>
      </c>
      <c r="D1626" s="73" t="s">
        <v>893</v>
      </c>
      <c r="E1626" s="2"/>
      <c r="F1626" s="2" t="s">
        <v>304</v>
      </c>
      <c r="G1626" s="2" t="s">
        <v>913</v>
      </c>
      <c r="H1626" s="2" t="s">
        <v>937</v>
      </c>
      <c r="I1626" s="2" t="s">
        <v>316</v>
      </c>
      <c r="J1626" s="2" t="s">
        <v>22</v>
      </c>
      <c r="K1626" s="72">
        <v>13.99</v>
      </c>
      <c r="L1626" s="39"/>
      <c r="M1626" s="72">
        <f t="shared" si="102"/>
        <v>-13.99</v>
      </c>
      <c r="N1626" s="72">
        <f t="shared" si="103"/>
        <v>328068.90999999968</v>
      </c>
    </row>
    <row r="1627" spans="1:14" x14ac:dyDescent="0.2">
      <c r="A1627" s="73" t="s">
        <v>1060</v>
      </c>
      <c r="B1627" s="3">
        <f t="shared" si="100"/>
        <v>2025</v>
      </c>
      <c r="C1627" s="3">
        <f t="shared" si="101"/>
        <v>8</v>
      </c>
      <c r="D1627" s="73" t="s">
        <v>893</v>
      </c>
      <c r="E1627" s="2"/>
      <c r="F1627" s="2" t="s">
        <v>304</v>
      </c>
      <c r="G1627" s="2" t="s">
        <v>1180</v>
      </c>
      <c r="H1627" s="2" t="s">
        <v>1031</v>
      </c>
      <c r="I1627" s="1" t="s">
        <v>316</v>
      </c>
      <c r="J1627" s="1" t="s">
        <v>28</v>
      </c>
      <c r="K1627" s="72">
        <v>1.25</v>
      </c>
      <c r="L1627" s="39"/>
      <c r="M1627" s="72">
        <f t="shared" si="102"/>
        <v>-1.25</v>
      </c>
      <c r="N1627" s="72">
        <f t="shared" si="103"/>
        <v>328067.65999999968</v>
      </c>
    </row>
    <row r="1628" spans="1:14" x14ac:dyDescent="0.2">
      <c r="A1628" s="73" t="s">
        <v>1060</v>
      </c>
      <c r="B1628" s="3">
        <f t="shared" si="100"/>
        <v>2025</v>
      </c>
      <c r="C1628" s="3">
        <f t="shared" si="101"/>
        <v>8</v>
      </c>
      <c r="D1628" s="73" t="s">
        <v>300</v>
      </c>
      <c r="E1628" s="2"/>
      <c r="F1628" s="2" t="s">
        <v>314</v>
      </c>
      <c r="G1628" s="2"/>
      <c r="H1628" s="2" t="s">
        <v>836</v>
      </c>
      <c r="I1628" s="2" t="s">
        <v>312</v>
      </c>
      <c r="J1628" s="2" t="s">
        <v>840</v>
      </c>
      <c r="K1628" s="72">
        <v>27365.040000000001</v>
      </c>
      <c r="L1628" s="39"/>
      <c r="M1628" s="72">
        <f t="shared" si="102"/>
        <v>-27365.040000000001</v>
      </c>
      <c r="N1628" s="72">
        <f t="shared" si="103"/>
        <v>300702.6199999997</v>
      </c>
    </row>
    <row r="1629" spans="1:14" x14ac:dyDescent="0.2">
      <c r="A1629" s="73" t="s">
        <v>1060</v>
      </c>
      <c r="B1629" s="3">
        <f t="shared" si="100"/>
        <v>2025</v>
      </c>
      <c r="C1629" s="3">
        <f t="shared" si="101"/>
        <v>8</v>
      </c>
      <c r="D1629" s="73" t="s">
        <v>300</v>
      </c>
      <c r="E1629" s="2"/>
      <c r="F1629" s="2" t="s">
        <v>299</v>
      </c>
      <c r="G1629" s="2"/>
      <c r="H1629" s="2" t="s">
        <v>298</v>
      </c>
      <c r="I1629" s="2" t="s">
        <v>297</v>
      </c>
      <c r="J1629" s="2" t="s">
        <v>296</v>
      </c>
      <c r="K1629" s="72"/>
      <c r="L1629" s="39">
        <v>139650.39000000001</v>
      </c>
      <c r="M1629" s="72">
        <f t="shared" si="102"/>
        <v>139650.39000000001</v>
      </c>
      <c r="N1629" s="72">
        <f t="shared" si="103"/>
        <v>440353.00999999972</v>
      </c>
    </row>
    <row r="1630" spans="1:14" x14ac:dyDescent="0.2">
      <c r="A1630" s="73" t="s">
        <v>1060</v>
      </c>
      <c r="B1630" s="3">
        <f t="shared" si="100"/>
        <v>2025</v>
      </c>
      <c r="C1630" s="3">
        <f t="shared" si="101"/>
        <v>8</v>
      </c>
      <c r="D1630" s="73" t="s">
        <v>893</v>
      </c>
      <c r="E1630" s="2"/>
      <c r="F1630" s="2" t="s">
        <v>314</v>
      </c>
      <c r="G1630" s="2"/>
      <c r="H1630" s="2" t="s">
        <v>894</v>
      </c>
      <c r="I1630" s="2" t="s">
        <v>312</v>
      </c>
      <c r="J1630" s="2" t="s">
        <v>840</v>
      </c>
      <c r="K1630" s="72"/>
      <c r="L1630" s="39">
        <v>27365.040000000001</v>
      </c>
      <c r="M1630" s="72">
        <f t="shared" si="102"/>
        <v>27365.040000000001</v>
      </c>
      <c r="N1630" s="72">
        <f t="shared" si="103"/>
        <v>467718.0499999997</v>
      </c>
    </row>
    <row r="1631" spans="1:14" x14ac:dyDescent="0.2">
      <c r="A1631" s="73" t="s">
        <v>1061</v>
      </c>
      <c r="B1631" s="3">
        <f t="shared" si="100"/>
        <v>2025</v>
      </c>
      <c r="C1631" s="3">
        <f t="shared" si="101"/>
        <v>8</v>
      </c>
      <c r="D1631" s="73" t="s">
        <v>893</v>
      </c>
      <c r="E1631" s="2"/>
      <c r="F1631" s="2" t="s">
        <v>304</v>
      </c>
      <c r="G1631" s="2" t="s">
        <v>1009</v>
      </c>
      <c r="H1631" s="2" t="s">
        <v>1007</v>
      </c>
      <c r="I1631" s="1" t="s">
        <v>316</v>
      </c>
      <c r="J1631" s="2" t="s">
        <v>17</v>
      </c>
      <c r="K1631" s="72">
        <v>71.38</v>
      </c>
      <c r="L1631" s="39"/>
      <c r="M1631" s="72">
        <f t="shared" si="102"/>
        <v>-71.38</v>
      </c>
      <c r="N1631" s="72">
        <f t="shared" si="103"/>
        <v>467646.66999999969</v>
      </c>
    </row>
    <row r="1632" spans="1:14" x14ac:dyDescent="0.2">
      <c r="A1632" s="73" t="s">
        <v>1061</v>
      </c>
      <c r="B1632" s="3">
        <f t="shared" si="100"/>
        <v>2025</v>
      </c>
      <c r="C1632" s="3">
        <f t="shared" si="101"/>
        <v>8</v>
      </c>
      <c r="D1632" s="73" t="s">
        <v>893</v>
      </c>
      <c r="E1632" s="2"/>
      <c r="F1632" s="2" t="s">
        <v>304</v>
      </c>
      <c r="G1632" s="2" t="s">
        <v>1183</v>
      </c>
      <c r="H1632" s="2" t="s">
        <v>956</v>
      </c>
      <c r="I1632" s="2" t="s">
        <v>316</v>
      </c>
      <c r="J1632" s="2" t="s">
        <v>22</v>
      </c>
      <c r="K1632" s="72">
        <v>24.22</v>
      </c>
      <c r="L1632" s="39"/>
      <c r="M1632" s="72">
        <f t="shared" si="102"/>
        <v>-24.22</v>
      </c>
      <c r="N1632" s="72">
        <f t="shared" si="103"/>
        <v>467622.44999999972</v>
      </c>
    </row>
    <row r="1633" spans="1:14" x14ac:dyDescent="0.2">
      <c r="A1633" s="73" t="s">
        <v>1061</v>
      </c>
      <c r="B1633" s="3">
        <f t="shared" si="100"/>
        <v>2025</v>
      </c>
      <c r="C1633" s="3">
        <f t="shared" si="101"/>
        <v>8</v>
      </c>
      <c r="D1633" s="73" t="s">
        <v>893</v>
      </c>
      <c r="E1633" s="2"/>
      <c r="F1633" s="2" t="s">
        <v>304</v>
      </c>
      <c r="G1633" s="2" t="s">
        <v>995</v>
      </c>
      <c r="H1633" s="2" t="s">
        <v>937</v>
      </c>
      <c r="I1633" s="2" t="s">
        <v>316</v>
      </c>
      <c r="J1633" s="2" t="s">
        <v>22</v>
      </c>
      <c r="K1633" s="72">
        <v>38.99</v>
      </c>
      <c r="L1633" s="39"/>
      <c r="M1633" s="72">
        <f t="shared" si="102"/>
        <v>-38.99</v>
      </c>
      <c r="N1633" s="72">
        <f t="shared" si="103"/>
        <v>467583.45999999973</v>
      </c>
    </row>
    <row r="1634" spans="1:14" x14ac:dyDescent="0.2">
      <c r="A1634" s="73" t="s">
        <v>1061</v>
      </c>
      <c r="B1634" s="3">
        <f t="shared" si="100"/>
        <v>2025</v>
      </c>
      <c r="C1634" s="3">
        <f t="shared" si="101"/>
        <v>8</v>
      </c>
      <c r="D1634" s="73" t="s">
        <v>300</v>
      </c>
      <c r="E1634" s="2"/>
      <c r="F1634" s="2" t="s">
        <v>304</v>
      </c>
      <c r="G1634" s="2" t="s">
        <v>306</v>
      </c>
      <c r="H1634" s="2" t="s">
        <v>305</v>
      </c>
      <c r="I1634" s="2" t="s">
        <v>301</v>
      </c>
      <c r="J1634" s="2" t="s">
        <v>19</v>
      </c>
      <c r="K1634" s="72">
        <v>161.09</v>
      </c>
      <c r="L1634" s="39"/>
      <c r="M1634" s="72">
        <f t="shared" si="102"/>
        <v>-161.09</v>
      </c>
      <c r="N1634" s="72">
        <f t="shared" si="103"/>
        <v>467422.3699999997</v>
      </c>
    </row>
    <row r="1635" spans="1:14" x14ac:dyDescent="0.2">
      <c r="A1635" s="73" t="s">
        <v>1061</v>
      </c>
      <c r="B1635" s="3">
        <f t="shared" si="100"/>
        <v>2025</v>
      </c>
      <c r="C1635" s="3">
        <f t="shared" si="101"/>
        <v>8</v>
      </c>
      <c r="D1635" s="73" t="s">
        <v>893</v>
      </c>
      <c r="E1635" s="2"/>
      <c r="F1635" s="2" t="s">
        <v>304</v>
      </c>
      <c r="G1635" s="2" t="s">
        <v>1150</v>
      </c>
      <c r="H1635" s="2" t="s">
        <v>1007</v>
      </c>
      <c r="I1635" s="1" t="s">
        <v>316</v>
      </c>
      <c r="J1635" s="2" t="s">
        <v>17</v>
      </c>
      <c r="K1635" s="72">
        <v>4</v>
      </c>
      <c r="L1635" s="39"/>
      <c r="M1635" s="72">
        <f t="shared" si="102"/>
        <v>-4</v>
      </c>
      <c r="N1635" s="72">
        <f t="shared" si="103"/>
        <v>467418.3699999997</v>
      </c>
    </row>
    <row r="1636" spans="1:14" x14ac:dyDescent="0.2">
      <c r="A1636" s="73" t="s">
        <v>1061</v>
      </c>
      <c r="B1636" s="3">
        <f t="shared" si="100"/>
        <v>2025</v>
      </c>
      <c r="C1636" s="3">
        <f t="shared" si="101"/>
        <v>8</v>
      </c>
      <c r="D1636" s="73" t="s">
        <v>893</v>
      </c>
      <c r="E1636" s="2"/>
      <c r="F1636" s="2" t="s">
        <v>304</v>
      </c>
      <c r="G1636" s="2" t="s">
        <v>1150</v>
      </c>
      <c r="H1636" s="2" t="s">
        <v>1007</v>
      </c>
      <c r="I1636" s="1" t="s">
        <v>316</v>
      </c>
      <c r="J1636" s="2" t="s">
        <v>17</v>
      </c>
      <c r="K1636" s="72">
        <v>25.75</v>
      </c>
      <c r="L1636" s="39"/>
      <c r="M1636" s="72">
        <f t="shared" si="102"/>
        <v>-25.75</v>
      </c>
      <c r="N1636" s="72">
        <f t="shared" si="103"/>
        <v>467392.6199999997</v>
      </c>
    </row>
    <row r="1637" spans="1:14" x14ac:dyDescent="0.2">
      <c r="A1637" s="73" t="s">
        <v>1061</v>
      </c>
      <c r="B1637" s="3">
        <f t="shared" si="100"/>
        <v>2025</v>
      </c>
      <c r="C1637" s="3">
        <f t="shared" si="101"/>
        <v>8</v>
      </c>
      <c r="D1637" s="73" t="s">
        <v>893</v>
      </c>
      <c r="E1637" s="2"/>
      <c r="F1637" s="2" t="s">
        <v>304</v>
      </c>
      <c r="G1637" s="2" t="s">
        <v>1184</v>
      </c>
      <c r="H1637" s="2" t="s">
        <v>956</v>
      </c>
      <c r="I1637" s="2" t="s">
        <v>316</v>
      </c>
      <c r="J1637" s="2" t="s">
        <v>22</v>
      </c>
      <c r="K1637" s="72">
        <v>20.46</v>
      </c>
      <c r="L1637" s="39"/>
      <c r="M1637" s="72">
        <f t="shared" si="102"/>
        <v>-20.46</v>
      </c>
      <c r="N1637" s="72">
        <f t="shared" si="103"/>
        <v>467372.15999999968</v>
      </c>
    </row>
    <row r="1638" spans="1:14" x14ac:dyDescent="0.2">
      <c r="A1638" s="73" t="s">
        <v>1061</v>
      </c>
      <c r="B1638" s="3">
        <f t="shared" si="100"/>
        <v>2025</v>
      </c>
      <c r="C1638" s="3">
        <f t="shared" si="101"/>
        <v>8</v>
      </c>
      <c r="D1638" s="73" t="s">
        <v>300</v>
      </c>
      <c r="E1638" s="2"/>
      <c r="F1638" s="2" t="s">
        <v>299</v>
      </c>
      <c r="G1638" s="2"/>
      <c r="H1638" s="2" t="s">
        <v>298</v>
      </c>
      <c r="I1638" s="2" t="s">
        <v>297</v>
      </c>
      <c r="J1638" s="2" t="s">
        <v>296</v>
      </c>
      <c r="K1638" s="72"/>
      <c r="L1638" s="39">
        <v>27625.83</v>
      </c>
      <c r="M1638" s="72">
        <f t="shared" si="102"/>
        <v>27625.83</v>
      </c>
      <c r="N1638" s="72">
        <f t="shared" si="103"/>
        <v>494997.9899999997</v>
      </c>
    </row>
    <row r="1639" spans="1:14" x14ac:dyDescent="0.2">
      <c r="A1639" s="73" t="s">
        <v>1145</v>
      </c>
      <c r="B1639" s="3">
        <f t="shared" si="100"/>
        <v>2025</v>
      </c>
      <c r="C1639" s="3">
        <f t="shared" si="101"/>
        <v>8</v>
      </c>
      <c r="D1639" s="73" t="s">
        <v>893</v>
      </c>
      <c r="E1639" s="2"/>
      <c r="F1639" s="2" t="s">
        <v>304</v>
      </c>
      <c r="G1639" s="2" t="s">
        <v>1038</v>
      </c>
      <c r="H1639" s="2" t="s">
        <v>1035</v>
      </c>
      <c r="I1639" s="2" t="s">
        <v>316</v>
      </c>
      <c r="J1639" s="2" t="s">
        <v>22</v>
      </c>
      <c r="K1639" s="72">
        <v>22.03</v>
      </c>
      <c r="L1639" s="39"/>
      <c r="M1639" s="72">
        <f t="shared" si="102"/>
        <v>-22.03</v>
      </c>
      <c r="N1639" s="72">
        <f t="shared" si="103"/>
        <v>494975.95999999967</v>
      </c>
    </row>
    <row r="1640" spans="1:14" x14ac:dyDescent="0.2">
      <c r="A1640" s="73" t="s">
        <v>1146</v>
      </c>
      <c r="B1640" s="3">
        <f t="shared" si="100"/>
        <v>2025</v>
      </c>
      <c r="C1640" s="3">
        <f t="shared" si="101"/>
        <v>8</v>
      </c>
      <c r="D1640" s="73" t="s">
        <v>893</v>
      </c>
      <c r="E1640" s="2"/>
      <c r="F1640" s="2" t="s">
        <v>304</v>
      </c>
      <c r="G1640" s="2" t="s">
        <v>1038</v>
      </c>
      <c r="H1640" s="2" t="s">
        <v>1035</v>
      </c>
      <c r="I1640" s="2" t="s">
        <v>316</v>
      </c>
      <c r="J1640" s="2" t="s">
        <v>22</v>
      </c>
      <c r="K1640" s="72">
        <v>29.51</v>
      </c>
      <c r="L1640" s="39"/>
      <c r="M1640" s="72">
        <f t="shared" si="102"/>
        <v>-29.51</v>
      </c>
      <c r="N1640" s="72">
        <f t="shared" si="103"/>
        <v>494946.44999999966</v>
      </c>
    </row>
    <row r="1641" spans="1:14" x14ac:dyDescent="0.2">
      <c r="A1641" s="73" t="s">
        <v>1146</v>
      </c>
      <c r="B1641" s="3">
        <f t="shared" si="100"/>
        <v>2025</v>
      </c>
      <c r="C1641" s="3">
        <f t="shared" si="101"/>
        <v>8</v>
      </c>
      <c r="D1641" s="73" t="s">
        <v>893</v>
      </c>
      <c r="E1641" s="2"/>
      <c r="F1641" s="2" t="s">
        <v>304</v>
      </c>
      <c r="G1641" s="2" t="s">
        <v>913</v>
      </c>
      <c r="H1641" s="2" t="s">
        <v>884</v>
      </c>
      <c r="I1641" s="2" t="s">
        <v>316</v>
      </c>
      <c r="J1641" s="2" t="s">
        <v>22</v>
      </c>
      <c r="K1641" s="72">
        <v>45.98</v>
      </c>
      <c r="L1641" s="39"/>
      <c r="M1641" s="72">
        <f t="shared" si="102"/>
        <v>-45.98</v>
      </c>
      <c r="N1641" s="72">
        <f t="shared" si="103"/>
        <v>494900.46999999968</v>
      </c>
    </row>
    <row r="1642" spans="1:14" x14ac:dyDescent="0.2">
      <c r="A1642" s="73" t="s">
        <v>1062</v>
      </c>
      <c r="B1642" s="3">
        <f t="shared" si="100"/>
        <v>2025</v>
      </c>
      <c r="C1642" s="3">
        <f t="shared" si="101"/>
        <v>8</v>
      </c>
      <c r="D1642" s="73" t="s">
        <v>893</v>
      </c>
      <c r="E1642" s="2"/>
      <c r="F1642" s="2" t="s">
        <v>304</v>
      </c>
      <c r="G1642" s="2" t="s">
        <v>1185</v>
      </c>
      <c r="H1642" s="2" t="s">
        <v>1007</v>
      </c>
      <c r="I1642" s="2" t="s">
        <v>316</v>
      </c>
      <c r="J1642" s="2" t="s">
        <v>17</v>
      </c>
      <c r="K1642" s="72">
        <v>618</v>
      </c>
      <c r="L1642" s="39"/>
      <c r="M1642" s="72">
        <f t="shared" si="102"/>
        <v>-618</v>
      </c>
      <c r="N1642" s="72">
        <f t="shared" si="103"/>
        <v>494282.46999999968</v>
      </c>
    </row>
    <row r="1643" spans="1:14" x14ac:dyDescent="0.2">
      <c r="A1643" s="73" t="s">
        <v>1062</v>
      </c>
      <c r="B1643" s="3">
        <f t="shared" si="100"/>
        <v>2025</v>
      </c>
      <c r="C1643" s="3">
        <f t="shared" si="101"/>
        <v>8</v>
      </c>
      <c r="D1643" s="73" t="s">
        <v>893</v>
      </c>
      <c r="E1643" s="2"/>
      <c r="F1643" s="2" t="s">
        <v>304</v>
      </c>
      <c r="G1643" s="2" t="s">
        <v>932</v>
      </c>
      <c r="H1643" s="2" t="s">
        <v>1007</v>
      </c>
      <c r="I1643" s="1" t="s">
        <v>316</v>
      </c>
      <c r="J1643" s="2" t="s">
        <v>17</v>
      </c>
      <c r="K1643" s="72">
        <v>32.86</v>
      </c>
      <c r="L1643" s="39"/>
      <c r="M1643" s="72">
        <f t="shared" si="102"/>
        <v>-32.86</v>
      </c>
      <c r="N1643" s="72">
        <f t="shared" si="103"/>
        <v>494249.60999999969</v>
      </c>
    </row>
    <row r="1644" spans="1:14" x14ac:dyDescent="0.2">
      <c r="A1644" s="73" t="s">
        <v>1062</v>
      </c>
      <c r="B1644" s="3">
        <f t="shared" si="100"/>
        <v>2025</v>
      </c>
      <c r="C1644" s="3">
        <f t="shared" si="101"/>
        <v>8</v>
      </c>
      <c r="D1644" s="73" t="s">
        <v>893</v>
      </c>
      <c r="E1644" s="2"/>
      <c r="F1644" s="2" t="s">
        <v>304</v>
      </c>
      <c r="G1644" s="2" t="s">
        <v>1186</v>
      </c>
      <c r="H1644" s="2" t="s">
        <v>1187</v>
      </c>
      <c r="I1644" s="2" t="s">
        <v>316</v>
      </c>
      <c r="J1644" s="2" t="s">
        <v>28</v>
      </c>
      <c r="K1644" s="72">
        <v>184.98</v>
      </c>
      <c r="L1644" s="39"/>
      <c r="M1644" s="72">
        <f t="shared" si="102"/>
        <v>-184.98</v>
      </c>
      <c r="N1644" s="72">
        <f t="shared" si="103"/>
        <v>494064.62999999971</v>
      </c>
    </row>
    <row r="1645" spans="1:14" x14ac:dyDescent="0.2">
      <c r="A1645" s="73" t="s">
        <v>1062</v>
      </c>
      <c r="B1645" s="3">
        <f t="shared" si="100"/>
        <v>2025</v>
      </c>
      <c r="C1645" s="3">
        <f t="shared" si="101"/>
        <v>8</v>
      </c>
      <c r="D1645" s="73" t="s">
        <v>300</v>
      </c>
      <c r="E1645" s="2"/>
      <c r="F1645" s="2" t="s">
        <v>304</v>
      </c>
      <c r="G1645" s="2" t="s">
        <v>344</v>
      </c>
      <c r="H1645" s="2" t="s">
        <v>343</v>
      </c>
      <c r="I1645" s="2" t="s">
        <v>301</v>
      </c>
      <c r="J1645" s="2" t="s">
        <v>11</v>
      </c>
      <c r="K1645" s="72">
        <v>15788.64</v>
      </c>
      <c r="L1645" s="39"/>
      <c r="M1645" s="72">
        <f t="shared" si="102"/>
        <v>-15788.64</v>
      </c>
      <c r="N1645" s="72">
        <f t="shared" si="103"/>
        <v>478275.9899999997</v>
      </c>
    </row>
    <row r="1646" spans="1:14" x14ac:dyDescent="0.2">
      <c r="A1646" s="73" t="s">
        <v>1062</v>
      </c>
      <c r="B1646" s="3">
        <f t="shared" si="100"/>
        <v>2025</v>
      </c>
      <c r="C1646" s="3">
        <f t="shared" si="101"/>
        <v>8</v>
      </c>
      <c r="D1646" s="73" t="s">
        <v>300</v>
      </c>
      <c r="E1646" s="2"/>
      <c r="F1646" s="2" t="s">
        <v>304</v>
      </c>
      <c r="G1646" s="2" t="s">
        <v>303</v>
      </c>
      <c r="H1646" s="2" t="s">
        <v>302</v>
      </c>
      <c r="I1646" s="2" t="s">
        <v>301</v>
      </c>
      <c r="J1646" s="2" t="s">
        <v>11</v>
      </c>
      <c r="K1646" s="72">
        <v>208.34</v>
      </c>
      <c r="L1646" s="39"/>
      <c r="M1646" s="72">
        <f t="shared" si="102"/>
        <v>-208.34</v>
      </c>
      <c r="N1646" s="72">
        <f t="shared" si="103"/>
        <v>478067.64999999967</v>
      </c>
    </row>
    <row r="1647" spans="1:14" x14ac:dyDescent="0.2">
      <c r="A1647" s="73" t="s">
        <v>1062</v>
      </c>
      <c r="B1647" s="3">
        <f t="shared" si="100"/>
        <v>2025</v>
      </c>
      <c r="C1647" s="3">
        <f t="shared" si="101"/>
        <v>8</v>
      </c>
      <c r="D1647" s="73" t="s">
        <v>300</v>
      </c>
      <c r="E1647" s="2"/>
      <c r="F1647" s="2" t="s">
        <v>299</v>
      </c>
      <c r="G1647" s="2"/>
      <c r="H1647" s="2" t="s">
        <v>298</v>
      </c>
      <c r="I1647" s="2" t="s">
        <v>297</v>
      </c>
      <c r="J1647" s="2" t="s">
        <v>296</v>
      </c>
      <c r="K1647" s="72"/>
      <c r="L1647" s="39">
        <v>15996.98</v>
      </c>
      <c r="M1647" s="72">
        <f t="shared" si="102"/>
        <v>15996.98</v>
      </c>
      <c r="N1647" s="72">
        <f t="shared" si="103"/>
        <v>494064.62999999966</v>
      </c>
    </row>
    <row r="1648" spans="1:14" x14ac:dyDescent="0.2">
      <c r="A1648" s="73" t="s">
        <v>1063</v>
      </c>
      <c r="B1648" s="3">
        <f t="shared" si="100"/>
        <v>2025</v>
      </c>
      <c r="C1648" s="3">
        <f t="shared" si="101"/>
        <v>8</v>
      </c>
      <c r="D1648" s="73" t="s">
        <v>893</v>
      </c>
      <c r="E1648" s="2"/>
      <c r="F1648" s="2" t="s">
        <v>304</v>
      </c>
      <c r="G1648" s="2" t="s">
        <v>1012</v>
      </c>
      <c r="H1648" s="2" t="s">
        <v>1007</v>
      </c>
      <c r="I1648" s="1" t="s">
        <v>316</v>
      </c>
      <c r="J1648" s="2" t="s">
        <v>17</v>
      </c>
      <c r="K1648" s="72">
        <v>5.3</v>
      </c>
      <c r="L1648" s="39"/>
      <c r="M1648" s="72">
        <f t="shared" si="102"/>
        <v>-5.3</v>
      </c>
      <c r="N1648" s="72">
        <f t="shared" si="103"/>
        <v>494059.32999999967</v>
      </c>
    </row>
    <row r="1649" spans="1:14" x14ac:dyDescent="0.2">
      <c r="A1649" s="73" t="s">
        <v>1063</v>
      </c>
      <c r="B1649" s="3">
        <f t="shared" si="100"/>
        <v>2025</v>
      </c>
      <c r="C1649" s="3">
        <f t="shared" si="101"/>
        <v>8</v>
      </c>
      <c r="D1649" s="73" t="s">
        <v>300</v>
      </c>
      <c r="E1649" s="2"/>
      <c r="F1649" s="2" t="s">
        <v>304</v>
      </c>
      <c r="G1649" s="2" t="s">
        <v>327</v>
      </c>
      <c r="H1649" s="2" t="s">
        <v>326</v>
      </c>
      <c r="I1649" s="2" t="s">
        <v>316</v>
      </c>
      <c r="J1649" s="2" t="s">
        <v>18</v>
      </c>
      <c r="K1649" s="72">
        <v>1332.89</v>
      </c>
      <c r="L1649" s="39"/>
      <c r="M1649" s="72">
        <f t="shared" si="102"/>
        <v>-1332.89</v>
      </c>
      <c r="N1649" s="72">
        <f t="shared" si="103"/>
        <v>492726.43999999965</v>
      </c>
    </row>
    <row r="1650" spans="1:14" x14ac:dyDescent="0.2">
      <c r="A1650" s="73" t="s">
        <v>1063</v>
      </c>
      <c r="B1650" s="3">
        <f t="shared" si="100"/>
        <v>2025</v>
      </c>
      <c r="C1650" s="3">
        <f t="shared" si="101"/>
        <v>8</v>
      </c>
      <c r="D1650" s="73" t="s">
        <v>893</v>
      </c>
      <c r="E1650" s="2"/>
      <c r="F1650" s="2" t="s">
        <v>304</v>
      </c>
      <c r="G1650" s="2" t="s">
        <v>1188</v>
      </c>
      <c r="H1650" s="2" t="s">
        <v>1035</v>
      </c>
      <c r="I1650" s="2" t="s">
        <v>316</v>
      </c>
      <c r="J1650" s="2" t="s">
        <v>22</v>
      </c>
      <c r="K1650" s="72">
        <v>68.099999999999994</v>
      </c>
      <c r="L1650" s="39"/>
      <c r="M1650" s="72">
        <f t="shared" si="102"/>
        <v>-68.099999999999994</v>
      </c>
      <c r="N1650" s="72">
        <f t="shared" si="103"/>
        <v>492658.33999999968</v>
      </c>
    </row>
    <row r="1651" spans="1:14" x14ac:dyDescent="0.2">
      <c r="A1651" s="73" t="s">
        <v>1063</v>
      </c>
      <c r="B1651" s="3">
        <f t="shared" si="100"/>
        <v>2025</v>
      </c>
      <c r="C1651" s="3">
        <f t="shared" si="101"/>
        <v>8</v>
      </c>
      <c r="D1651" s="73" t="s">
        <v>300</v>
      </c>
      <c r="E1651" s="2"/>
      <c r="F1651" s="2" t="s">
        <v>299</v>
      </c>
      <c r="G1651" s="2"/>
      <c r="H1651" s="2" t="s">
        <v>298</v>
      </c>
      <c r="I1651" s="2" t="s">
        <v>297</v>
      </c>
      <c r="J1651" s="2" t="s">
        <v>296</v>
      </c>
      <c r="K1651" s="72"/>
      <c r="L1651" s="39">
        <v>1332.89</v>
      </c>
      <c r="M1651" s="72">
        <f t="shared" si="102"/>
        <v>1332.89</v>
      </c>
      <c r="N1651" s="72">
        <f t="shared" si="103"/>
        <v>493991.22999999969</v>
      </c>
    </row>
    <row r="1652" spans="1:14" x14ac:dyDescent="0.2">
      <c r="A1652" s="73" t="s">
        <v>1064</v>
      </c>
      <c r="B1652" s="3">
        <f t="shared" si="100"/>
        <v>2025</v>
      </c>
      <c r="C1652" s="3">
        <f t="shared" si="101"/>
        <v>8</v>
      </c>
      <c r="D1652" s="73" t="s">
        <v>300</v>
      </c>
      <c r="E1652" s="2"/>
      <c r="F1652" s="2" t="s">
        <v>304</v>
      </c>
      <c r="G1652" s="2" t="s">
        <v>334</v>
      </c>
      <c r="H1652" s="2" t="s">
        <v>333</v>
      </c>
      <c r="I1652" s="2" t="s">
        <v>301</v>
      </c>
      <c r="J1652" s="2" t="s">
        <v>11</v>
      </c>
      <c r="K1652" s="72">
        <v>1463.18</v>
      </c>
      <c r="L1652" s="39"/>
      <c r="M1652" s="72">
        <f t="shared" si="102"/>
        <v>-1463.18</v>
      </c>
      <c r="N1652" s="72">
        <f t="shared" si="103"/>
        <v>492528.0499999997</v>
      </c>
    </row>
    <row r="1653" spans="1:14" x14ac:dyDescent="0.2">
      <c r="A1653" s="73" t="s">
        <v>1064</v>
      </c>
      <c r="B1653" s="3">
        <f t="shared" si="100"/>
        <v>2025</v>
      </c>
      <c r="C1653" s="3">
        <f t="shared" si="101"/>
        <v>8</v>
      </c>
      <c r="D1653" s="73" t="s">
        <v>893</v>
      </c>
      <c r="E1653" s="2"/>
      <c r="F1653" s="2" t="s">
        <v>304</v>
      </c>
      <c r="G1653" s="2" t="s">
        <v>975</v>
      </c>
      <c r="H1653" s="2" t="s">
        <v>1035</v>
      </c>
      <c r="I1653" s="2" t="s">
        <v>316</v>
      </c>
      <c r="J1653" s="2" t="s">
        <v>22</v>
      </c>
      <c r="K1653" s="72">
        <v>9.1199999999999992</v>
      </c>
      <c r="L1653" s="39"/>
      <c r="M1653" s="72">
        <f t="shared" si="102"/>
        <v>-9.1199999999999992</v>
      </c>
      <c r="N1653" s="72">
        <f t="shared" si="103"/>
        <v>492518.9299999997</v>
      </c>
    </row>
    <row r="1654" spans="1:14" x14ac:dyDescent="0.2">
      <c r="A1654" s="73" t="s">
        <v>1064</v>
      </c>
      <c r="B1654" s="3">
        <f t="shared" si="100"/>
        <v>2025</v>
      </c>
      <c r="C1654" s="3">
        <f t="shared" si="101"/>
        <v>8</v>
      </c>
      <c r="D1654" s="73" t="s">
        <v>893</v>
      </c>
      <c r="E1654" s="2"/>
      <c r="F1654" s="2" t="s">
        <v>304</v>
      </c>
      <c r="G1654" s="2" t="s">
        <v>1021</v>
      </c>
      <c r="H1654" s="2" t="s">
        <v>1007</v>
      </c>
      <c r="I1654" s="1" t="s">
        <v>316</v>
      </c>
      <c r="J1654" s="2" t="s">
        <v>17</v>
      </c>
      <c r="K1654" s="72">
        <v>93</v>
      </c>
      <c r="L1654" s="39"/>
      <c r="M1654" s="72">
        <f t="shared" si="102"/>
        <v>-93</v>
      </c>
      <c r="N1654" s="72">
        <f t="shared" si="103"/>
        <v>492425.9299999997</v>
      </c>
    </row>
    <row r="1655" spans="1:14" x14ac:dyDescent="0.2">
      <c r="A1655" s="73" t="s">
        <v>1064</v>
      </c>
      <c r="B1655" s="3">
        <f t="shared" si="100"/>
        <v>2025</v>
      </c>
      <c r="C1655" s="3">
        <f t="shared" si="101"/>
        <v>8</v>
      </c>
      <c r="D1655" s="73" t="s">
        <v>893</v>
      </c>
      <c r="E1655" s="2"/>
      <c r="F1655" s="2" t="s">
        <v>304</v>
      </c>
      <c r="G1655" s="2" t="s">
        <v>1189</v>
      </c>
      <c r="H1655" s="2" t="s">
        <v>884</v>
      </c>
      <c r="I1655" s="2" t="s">
        <v>316</v>
      </c>
      <c r="J1655" s="2" t="s">
        <v>22</v>
      </c>
      <c r="K1655" s="72">
        <v>62.6</v>
      </c>
      <c r="L1655" s="39"/>
      <c r="M1655" s="72">
        <f t="shared" si="102"/>
        <v>-62.6</v>
      </c>
      <c r="N1655" s="72">
        <f t="shared" si="103"/>
        <v>492363.32999999973</v>
      </c>
    </row>
    <row r="1656" spans="1:14" x14ac:dyDescent="0.2">
      <c r="A1656" s="73" t="s">
        <v>1064</v>
      </c>
      <c r="B1656" s="3">
        <f t="shared" si="100"/>
        <v>2025</v>
      </c>
      <c r="C1656" s="3">
        <f t="shared" si="101"/>
        <v>8</v>
      </c>
      <c r="D1656" s="73" t="s">
        <v>300</v>
      </c>
      <c r="E1656" s="2"/>
      <c r="F1656" s="2" t="s">
        <v>299</v>
      </c>
      <c r="G1656" s="2"/>
      <c r="H1656" s="2" t="s">
        <v>298</v>
      </c>
      <c r="I1656" s="2" t="s">
        <v>297</v>
      </c>
      <c r="J1656" s="2" t="s">
        <v>296</v>
      </c>
      <c r="K1656" s="72"/>
      <c r="L1656" s="39">
        <v>1463.18</v>
      </c>
      <c r="M1656" s="72">
        <f t="shared" si="102"/>
        <v>1463.18</v>
      </c>
      <c r="N1656" s="72">
        <f t="shared" si="103"/>
        <v>493826.50999999972</v>
      </c>
    </row>
    <row r="1657" spans="1:14" x14ac:dyDescent="0.2">
      <c r="A1657" s="73" t="s">
        <v>1065</v>
      </c>
      <c r="B1657" s="3">
        <f t="shared" si="100"/>
        <v>2025</v>
      </c>
      <c r="C1657" s="3">
        <f t="shared" si="101"/>
        <v>8</v>
      </c>
      <c r="D1657" s="73" t="s">
        <v>893</v>
      </c>
      <c r="E1657" s="2"/>
      <c r="F1657" s="2" t="s">
        <v>304</v>
      </c>
      <c r="G1657" s="2" t="s">
        <v>1019</v>
      </c>
      <c r="H1657" s="2" t="s">
        <v>1007</v>
      </c>
      <c r="I1657" s="1" t="s">
        <v>316</v>
      </c>
      <c r="J1657" s="2" t="s">
        <v>17</v>
      </c>
      <c r="K1657" s="72">
        <v>361.74</v>
      </c>
      <c r="L1657" s="39"/>
      <c r="M1657" s="72">
        <f t="shared" si="102"/>
        <v>-361.74</v>
      </c>
      <c r="N1657" s="72">
        <f t="shared" si="103"/>
        <v>493464.76999999973</v>
      </c>
    </row>
    <row r="1658" spans="1:14" x14ac:dyDescent="0.2">
      <c r="A1658" s="73" t="s">
        <v>1065</v>
      </c>
      <c r="B1658" s="3">
        <f t="shared" si="100"/>
        <v>2025</v>
      </c>
      <c r="C1658" s="3">
        <f t="shared" si="101"/>
        <v>8</v>
      </c>
      <c r="D1658" s="73" t="s">
        <v>300</v>
      </c>
      <c r="E1658" s="2"/>
      <c r="F1658" s="2" t="s">
        <v>304</v>
      </c>
      <c r="G1658" s="2" t="s">
        <v>327</v>
      </c>
      <c r="H1658" s="2" t="s">
        <v>326</v>
      </c>
      <c r="I1658" s="2" t="s">
        <v>316</v>
      </c>
      <c r="J1658" s="2" t="s">
        <v>18</v>
      </c>
      <c r="K1658" s="72">
        <v>450.35</v>
      </c>
      <c r="L1658" s="39"/>
      <c r="M1658" s="72">
        <f t="shared" si="102"/>
        <v>-450.35</v>
      </c>
      <c r="N1658" s="72">
        <f t="shared" si="103"/>
        <v>493014.41999999975</v>
      </c>
    </row>
    <row r="1659" spans="1:14" x14ac:dyDescent="0.2">
      <c r="A1659" s="73" t="s">
        <v>1065</v>
      </c>
      <c r="B1659" s="3">
        <f t="shared" si="100"/>
        <v>2025</v>
      </c>
      <c r="C1659" s="3">
        <f t="shared" si="101"/>
        <v>8</v>
      </c>
      <c r="D1659" s="73" t="s">
        <v>893</v>
      </c>
      <c r="E1659" s="2"/>
      <c r="F1659" s="2" t="s">
        <v>304</v>
      </c>
      <c r="G1659" s="2" t="s">
        <v>1026</v>
      </c>
      <c r="H1659" s="2" t="s">
        <v>1007</v>
      </c>
      <c r="I1659" s="1" t="s">
        <v>316</v>
      </c>
      <c r="J1659" s="2" t="s">
        <v>17</v>
      </c>
      <c r="K1659" s="72">
        <v>17.5</v>
      </c>
      <c r="L1659" s="39"/>
      <c r="M1659" s="72">
        <f t="shared" si="102"/>
        <v>-17.5</v>
      </c>
      <c r="N1659" s="72">
        <f t="shared" si="103"/>
        <v>492996.91999999975</v>
      </c>
    </row>
    <row r="1660" spans="1:14" x14ac:dyDescent="0.2">
      <c r="A1660" s="73" t="s">
        <v>1065</v>
      </c>
      <c r="B1660" s="3">
        <f t="shared" si="100"/>
        <v>2025</v>
      </c>
      <c r="C1660" s="3">
        <f t="shared" si="101"/>
        <v>8</v>
      </c>
      <c r="D1660" s="73" t="s">
        <v>300</v>
      </c>
      <c r="E1660" s="2"/>
      <c r="F1660" s="2" t="s">
        <v>299</v>
      </c>
      <c r="G1660" s="2"/>
      <c r="H1660" s="2" t="s">
        <v>298</v>
      </c>
      <c r="I1660" s="2" t="s">
        <v>297</v>
      </c>
      <c r="J1660" s="2" t="s">
        <v>296</v>
      </c>
      <c r="K1660" s="72"/>
      <c r="L1660" s="39">
        <v>450.35</v>
      </c>
      <c r="M1660" s="72">
        <f t="shared" si="102"/>
        <v>450.35</v>
      </c>
      <c r="N1660" s="72">
        <f t="shared" si="103"/>
        <v>493447.26999999973</v>
      </c>
    </row>
    <row r="1661" spans="1:14" x14ac:dyDescent="0.2">
      <c r="A1661" s="73" t="s">
        <v>1066</v>
      </c>
      <c r="B1661" s="3">
        <f t="shared" si="100"/>
        <v>2025</v>
      </c>
      <c r="C1661" s="3">
        <f t="shared" si="101"/>
        <v>8</v>
      </c>
      <c r="D1661" s="73" t="s">
        <v>893</v>
      </c>
      <c r="E1661" s="2"/>
      <c r="F1661" s="2" t="s">
        <v>304</v>
      </c>
      <c r="G1661" s="2" t="s">
        <v>900</v>
      </c>
      <c r="H1661" s="2" t="s">
        <v>901</v>
      </c>
      <c r="I1661" s="1" t="s">
        <v>316</v>
      </c>
      <c r="J1661" s="2" t="s">
        <v>17</v>
      </c>
      <c r="K1661" s="72">
        <v>20</v>
      </c>
      <c r="L1661" s="39"/>
      <c r="M1661" s="72">
        <f t="shared" si="102"/>
        <v>-20</v>
      </c>
      <c r="N1661" s="72">
        <f t="shared" si="103"/>
        <v>493427.26999999973</v>
      </c>
    </row>
    <row r="1662" spans="1:14" x14ac:dyDescent="0.2">
      <c r="A1662" s="73" t="s">
        <v>1066</v>
      </c>
      <c r="B1662" s="3">
        <f t="shared" si="100"/>
        <v>2025</v>
      </c>
      <c r="C1662" s="3">
        <f t="shared" si="101"/>
        <v>8</v>
      </c>
      <c r="D1662" s="73" t="s">
        <v>300</v>
      </c>
      <c r="E1662" s="2"/>
      <c r="F1662" s="2" t="s">
        <v>321</v>
      </c>
      <c r="G1662" s="2" t="s">
        <v>1134</v>
      </c>
      <c r="H1662" s="2" t="s">
        <v>319</v>
      </c>
      <c r="I1662" s="2" t="s">
        <v>315</v>
      </c>
      <c r="J1662" s="2" t="s">
        <v>23</v>
      </c>
      <c r="K1662" s="72"/>
      <c r="L1662" s="39">
        <v>24777.599999999999</v>
      </c>
      <c r="M1662" s="72">
        <f t="shared" si="102"/>
        <v>24777.599999999999</v>
      </c>
      <c r="N1662" s="72">
        <f t="shared" si="103"/>
        <v>518204.8699999997</v>
      </c>
    </row>
    <row r="1663" spans="1:14" x14ac:dyDescent="0.2">
      <c r="A1663" s="73" t="s">
        <v>1066</v>
      </c>
      <c r="B1663" s="3">
        <f t="shared" si="100"/>
        <v>2025</v>
      </c>
      <c r="C1663" s="3">
        <f t="shared" si="101"/>
        <v>8</v>
      </c>
      <c r="D1663" s="73" t="s">
        <v>300</v>
      </c>
      <c r="E1663" s="2"/>
      <c r="F1663" s="2" t="s">
        <v>299</v>
      </c>
      <c r="G1663" s="2"/>
      <c r="H1663" s="2" t="s">
        <v>298</v>
      </c>
      <c r="I1663" s="2" t="s">
        <v>297</v>
      </c>
      <c r="J1663" s="2" t="s">
        <v>296</v>
      </c>
      <c r="K1663" s="72">
        <v>24777.599999999999</v>
      </c>
      <c r="L1663" s="39"/>
      <c r="M1663" s="72">
        <f t="shared" si="102"/>
        <v>-24777.599999999999</v>
      </c>
      <c r="N1663" s="72">
        <f t="shared" si="103"/>
        <v>493427.26999999973</v>
      </c>
    </row>
    <row r="1664" spans="1:14" x14ac:dyDescent="0.2">
      <c r="A1664" s="73" t="s">
        <v>1147</v>
      </c>
      <c r="B1664" s="3">
        <f t="shared" si="100"/>
        <v>2025</v>
      </c>
      <c r="C1664" s="3">
        <f t="shared" si="101"/>
        <v>8</v>
      </c>
      <c r="D1664" s="73" t="s">
        <v>893</v>
      </c>
      <c r="E1664" s="2"/>
      <c r="F1664" s="2" t="s">
        <v>304</v>
      </c>
      <c r="G1664" s="2" t="s">
        <v>1038</v>
      </c>
      <c r="H1664" s="2" t="s">
        <v>1035</v>
      </c>
      <c r="I1664" s="2" t="s">
        <v>316</v>
      </c>
      <c r="J1664" s="2" t="s">
        <v>22</v>
      </c>
      <c r="K1664" s="72">
        <v>16.29</v>
      </c>
      <c r="L1664" s="39"/>
      <c r="M1664" s="72">
        <f t="shared" si="102"/>
        <v>-16.29</v>
      </c>
      <c r="N1664" s="72">
        <f t="shared" si="103"/>
        <v>493410.97999999975</v>
      </c>
    </row>
    <row r="1665" spans="1:14" x14ac:dyDescent="0.2">
      <c r="A1665" s="73" t="s">
        <v>1147</v>
      </c>
      <c r="B1665" s="3">
        <f t="shared" si="100"/>
        <v>2025</v>
      </c>
      <c r="C1665" s="3">
        <f t="shared" si="101"/>
        <v>8</v>
      </c>
      <c r="D1665" s="73" t="s">
        <v>893</v>
      </c>
      <c r="E1665" s="2"/>
      <c r="F1665" s="2" t="s">
        <v>304</v>
      </c>
      <c r="G1665" s="2" t="s">
        <v>1190</v>
      </c>
      <c r="H1665" s="2" t="s">
        <v>1007</v>
      </c>
      <c r="I1665" s="1" t="s">
        <v>316</v>
      </c>
      <c r="J1665" s="2" t="s">
        <v>17</v>
      </c>
      <c r="K1665" s="72">
        <v>25.75</v>
      </c>
      <c r="L1665" s="39"/>
      <c r="M1665" s="72">
        <f t="shared" si="102"/>
        <v>-25.75</v>
      </c>
      <c r="N1665" s="72">
        <f t="shared" si="103"/>
        <v>493385.22999999975</v>
      </c>
    </row>
    <row r="1666" spans="1:14" x14ac:dyDescent="0.2">
      <c r="A1666" s="73" t="s">
        <v>1067</v>
      </c>
      <c r="B1666" s="3">
        <f t="shared" ref="B1666:B1729" si="104">YEAR(A1666)</f>
        <v>2025</v>
      </c>
      <c r="C1666" s="3">
        <f t="shared" ref="C1666:C1729" si="105">MONTH(A1666)</f>
        <v>8</v>
      </c>
      <c r="D1666" s="73" t="s">
        <v>893</v>
      </c>
      <c r="E1666" s="2"/>
      <c r="F1666" s="2" t="s">
        <v>304</v>
      </c>
      <c r="G1666" s="2" t="s">
        <v>993</v>
      </c>
      <c r="H1666" s="2" t="s">
        <v>992</v>
      </c>
      <c r="I1666" s="2" t="s">
        <v>316</v>
      </c>
      <c r="J1666" s="2" t="s">
        <v>22</v>
      </c>
      <c r="K1666" s="72">
        <v>212</v>
      </c>
      <c r="L1666" s="39"/>
      <c r="M1666" s="72">
        <f t="shared" ref="M1666:M1729" si="106">IF(ISBLANK(L1666),K1666*-1,L1666)</f>
        <v>-212</v>
      </c>
      <c r="N1666" s="72">
        <f t="shared" si="103"/>
        <v>493173.22999999975</v>
      </c>
    </row>
    <row r="1667" spans="1:14" x14ac:dyDescent="0.2">
      <c r="A1667" s="73" t="s">
        <v>1067</v>
      </c>
      <c r="B1667" s="3">
        <f t="shared" si="104"/>
        <v>2025</v>
      </c>
      <c r="C1667" s="3">
        <f t="shared" si="105"/>
        <v>8</v>
      </c>
      <c r="D1667" s="73" t="s">
        <v>300</v>
      </c>
      <c r="E1667" s="2"/>
      <c r="F1667" s="2" t="s">
        <v>309</v>
      </c>
      <c r="G1667" s="2" t="s">
        <v>1135</v>
      </c>
      <c r="H1667" s="2" t="s">
        <v>884</v>
      </c>
      <c r="I1667" s="2" t="s">
        <v>316</v>
      </c>
      <c r="J1667" s="2" t="s">
        <v>22</v>
      </c>
      <c r="K1667" s="72"/>
      <c r="L1667" s="39">
        <v>275.45</v>
      </c>
      <c r="M1667" s="72">
        <f t="shared" si="106"/>
        <v>275.45</v>
      </c>
      <c r="N1667" s="72">
        <f t="shared" ref="N1667:N1730" si="107">+N1666+M1667</f>
        <v>493448.67999999976</v>
      </c>
    </row>
    <row r="1668" spans="1:14" x14ac:dyDescent="0.2">
      <c r="A1668" s="73" t="s">
        <v>1067</v>
      </c>
      <c r="B1668" s="3">
        <f t="shared" si="104"/>
        <v>2025</v>
      </c>
      <c r="C1668" s="3">
        <f t="shared" si="105"/>
        <v>8</v>
      </c>
      <c r="D1668" s="73" t="s">
        <v>893</v>
      </c>
      <c r="E1668" s="2"/>
      <c r="F1668" s="2" t="s">
        <v>304</v>
      </c>
      <c r="G1668" s="2" t="s">
        <v>900</v>
      </c>
      <c r="H1668" s="2" t="s">
        <v>901</v>
      </c>
      <c r="I1668" s="1" t="s">
        <v>316</v>
      </c>
      <c r="J1668" s="2" t="s">
        <v>17</v>
      </c>
      <c r="K1668" s="72">
        <v>21.4</v>
      </c>
      <c r="L1668" s="39"/>
      <c r="M1668" s="72">
        <f t="shared" si="106"/>
        <v>-21.4</v>
      </c>
      <c r="N1668" s="72">
        <f t="shared" si="107"/>
        <v>493427.27999999974</v>
      </c>
    </row>
    <row r="1669" spans="1:14" x14ac:dyDescent="0.2">
      <c r="A1669" s="73" t="s">
        <v>1067</v>
      </c>
      <c r="B1669" s="3">
        <f t="shared" si="104"/>
        <v>2025</v>
      </c>
      <c r="C1669" s="3">
        <f t="shared" si="105"/>
        <v>8</v>
      </c>
      <c r="D1669" s="73" t="s">
        <v>300</v>
      </c>
      <c r="E1669" s="2"/>
      <c r="F1669" s="2" t="s">
        <v>304</v>
      </c>
      <c r="G1669" s="2" t="s">
        <v>303</v>
      </c>
      <c r="H1669" s="2" t="s">
        <v>302</v>
      </c>
      <c r="I1669" s="2" t="s">
        <v>301</v>
      </c>
      <c r="J1669" s="2" t="s">
        <v>11</v>
      </c>
      <c r="K1669" s="72">
        <v>68.959999999999994</v>
      </c>
      <c r="L1669" s="39"/>
      <c r="M1669" s="72">
        <f t="shared" si="106"/>
        <v>-68.959999999999994</v>
      </c>
      <c r="N1669" s="72">
        <f t="shared" si="107"/>
        <v>493358.31999999972</v>
      </c>
    </row>
    <row r="1670" spans="1:14" x14ac:dyDescent="0.2">
      <c r="A1670" s="73" t="s">
        <v>1067</v>
      </c>
      <c r="B1670" s="3">
        <f t="shared" si="104"/>
        <v>2025</v>
      </c>
      <c r="C1670" s="3">
        <f t="shared" si="105"/>
        <v>8</v>
      </c>
      <c r="D1670" s="73" t="s">
        <v>300</v>
      </c>
      <c r="E1670" s="2"/>
      <c r="F1670" s="2" t="s">
        <v>299</v>
      </c>
      <c r="G1670" s="2"/>
      <c r="H1670" s="2" t="s">
        <v>298</v>
      </c>
      <c r="I1670" s="2" t="s">
        <v>297</v>
      </c>
      <c r="J1670" s="2" t="s">
        <v>296</v>
      </c>
      <c r="K1670" s="72">
        <v>206.49</v>
      </c>
      <c r="L1670" s="39"/>
      <c r="M1670" s="72">
        <f t="shared" si="106"/>
        <v>-206.49</v>
      </c>
      <c r="N1670" s="72">
        <f t="shared" si="107"/>
        <v>493151.82999999973</v>
      </c>
    </row>
    <row r="1671" spans="1:14" x14ac:dyDescent="0.2">
      <c r="A1671" s="73" t="s">
        <v>1068</v>
      </c>
      <c r="B1671" s="3">
        <f t="shared" si="104"/>
        <v>2025</v>
      </c>
      <c r="C1671" s="3">
        <f t="shared" si="105"/>
        <v>8</v>
      </c>
      <c r="D1671" s="73" t="s">
        <v>893</v>
      </c>
      <c r="E1671" s="2"/>
      <c r="F1671" s="2" t="s">
        <v>304</v>
      </c>
      <c r="G1671" s="2" t="s">
        <v>1194</v>
      </c>
      <c r="H1671" s="2" t="s">
        <v>937</v>
      </c>
      <c r="I1671" s="2" t="s">
        <v>316</v>
      </c>
      <c r="J1671" s="2" t="s">
        <v>22</v>
      </c>
      <c r="K1671" s="72">
        <v>8508.6</v>
      </c>
      <c r="L1671" s="39"/>
      <c r="M1671" s="72">
        <f t="shared" si="106"/>
        <v>-8508.6</v>
      </c>
      <c r="N1671" s="72">
        <f t="shared" si="107"/>
        <v>484643.22999999975</v>
      </c>
    </row>
    <row r="1672" spans="1:14" x14ac:dyDescent="0.2">
      <c r="A1672" s="73" t="s">
        <v>1068</v>
      </c>
      <c r="B1672" s="3">
        <f t="shared" si="104"/>
        <v>2025</v>
      </c>
      <c r="C1672" s="3">
        <f t="shared" si="105"/>
        <v>8</v>
      </c>
      <c r="D1672" s="73" t="s">
        <v>893</v>
      </c>
      <c r="E1672" s="2"/>
      <c r="F1672" s="2" t="s">
        <v>304</v>
      </c>
      <c r="G1672" s="2" t="s">
        <v>936</v>
      </c>
      <c r="H1672" s="2" t="s">
        <v>937</v>
      </c>
      <c r="I1672" s="2" t="s">
        <v>316</v>
      </c>
      <c r="J1672" s="2" t="s">
        <v>22</v>
      </c>
      <c r="K1672" s="72">
        <v>733.18</v>
      </c>
      <c r="L1672" s="39"/>
      <c r="M1672" s="72">
        <f t="shared" si="106"/>
        <v>-733.18</v>
      </c>
      <c r="N1672" s="72">
        <f t="shared" si="107"/>
        <v>483910.04999999976</v>
      </c>
    </row>
    <row r="1673" spans="1:14" x14ac:dyDescent="0.2">
      <c r="A1673" s="73" t="s">
        <v>1068</v>
      </c>
      <c r="B1673" s="3">
        <f t="shared" si="104"/>
        <v>2025</v>
      </c>
      <c r="C1673" s="3">
        <f t="shared" si="105"/>
        <v>8</v>
      </c>
      <c r="D1673" s="73" t="s">
        <v>893</v>
      </c>
      <c r="E1673" s="2"/>
      <c r="F1673" s="2" t="s">
        <v>304</v>
      </c>
      <c r="G1673" s="2" t="s">
        <v>993</v>
      </c>
      <c r="H1673" s="2" t="s">
        <v>1001</v>
      </c>
      <c r="I1673" s="2" t="s">
        <v>316</v>
      </c>
      <c r="J1673" s="2" t="s">
        <v>22</v>
      </c>
      <c r="K1673" s="72">
        <v>18</v>
      </c>
      <c r="L1673" s="39"/>
      <c r="M1673" s="72">
        <f t="shared" si="106"/>
        <v>-18</v>
      </c>
      <c r="N1673" s="72">
        <f t="shared" si="107"/>
        <v>483892.04999999976</v>
      </c>
    </row>
    <row r="1674" spans="1:14" x14ac:dyDescent="0.2">
      <c r="A1674" s="73" t="s">
        <v>1068</v>
      </c>
      <c r="B1674" s="3">
        <f t="shared" si="104"/>
        <v>2025</v>
      </c>
      <c r="C1674" s="3">
        <f t="shared" si="105"/>
        <v>8</v>
      </c>
      <c r="D1674" s="73" t="s">
        <v>893</v>
      </c>
      <c r="E1674" s="2"/>
      <c r="F1674" s="2" t="s">
        <v>304</v>
      </c>
      <c r="G1674" s="2" t="s">
        <v>993</v>
      </c>
      <c r="H1674" s="2" t="s">
        <v>992</v>
      </c>
      <c r="I1674" s="2" t="s">
        <v>316</v>
      </c>
      <c r="J1674" s="2" t="s">
        <v>22</v>
      </c>
      <c r="K1674" s="72">
        <v>73</v>
      </c>
      <c r="L1674" s="39"/>
      <c r="M1674" s="72">
        <f t="shared" si="106"/>
        <v>-73</v>
      </c>
      <c r="N1674" s="72">
        <f t="shared" si="107"/>
        <v>483819.04999999976</v>
      </c>
    </row>
    <row r="1675" spans="1:14" x14ac:dyDescent="0.2">
      <c r="A1675" s="73" t="s">
        <v>1068</v>
      </c>
      <c r="B1675" s="3">
        <f t="shared" si="104"/>
        <v>2025</v>
      </c>
      <c r="C1675" s="3">
        <f t="shared" si="105"/>
        <v>8</v>
      </c>
      <c r="D1675" s="73" t="s">
        <v>893</v>
      </c>
      <c r="E1675" s="2"/>
      <c r="F1675" s="2" t="s">
        <v>304</v>
      </c>
      <c r="G1675" s="2" t="s">
        <v>922</v>
      </c>
      <c r="H1675" s="2" t="s">
        <v>992</v>
      </c>
      <c r="I1675" s="2" t="s">
        <v>316</v>
      </c>
      <c r="J1675" s="2" t="s">
        <v>22</v>
      </c>
      <c r="K1675" s="72">
        <v>264.38</v>
      </c>
      <c r="L1675" s="39"/>
      <c r="M1675" s="72">
        <f t="shared" si="106"/>
        <v>-264.38</v>
      </c>
      <c r="N1675" s="72">
        <f t="shared" si="107"/>
        <v>483554.66999999975</v>
      </c>
    </row>
    <row r="1676" spans="1:14" x14ac:dyDescent="0.2">
      <c r="A1676" s="73" t="s">
        <v>1068</v>
      </c>
      <c r="B1676" s="3">
        <f t="shared" si="104"/>
        <v>2025</v>
      </c>
      <c r="C1676" s="3">
        <f t="shared" si="105"/>
        <v>8</v>
      </c>
      <c r="D1676" s="73" t="s">
        <v>893</v>
      </c>
      <c r="E1676" s="2"/>
      <c r="F1676" s="2" t="s">
        <v>304</v>
      </c>
      <c r="G1676" s="2" t="s">
        <v>1192</v>
      </c>
      <c r="H1676" s="2" t="s">
        <v>1035</v>
      </c>
      <c r="I1676" s="2" t="s">
        <v>316</v>
      </c>
      <c r="J1676" s="2" t="s">
        <v>22</v>
      </c>
      <c r="K1676" s="72">
        <v>141.88</v>
      </c>
      <c r="L1676" s="39"/>
      <c r="M1676" s="72">
        <f t="shared" si="106"/>
        <v>-141.88</v>
      </c>
      <c r="N1676" s="72">
        <f t="shared" si="107"/>
        <v>483412.78999999975</v>
      </c>
    </row>
    <row r="1677" spans="1:14" x14ac:dyDescent="0.2">
      <c r="A1677" s="73" t="s">
        <v>1068</v>
      </c>
      <c r="B1677" s="3">
        <f t="shared" si="104"/>
        <v>2025</v>
      </c>
      <c r="C1677" s="3">
        <f t="shared" si="105"/>
        <v>8</v>
      </c>
      <c r="D1677" s="73" t="s">
        <v>300</v>
      </c>
      <c r="E1677" s="2"/>
      <c r="F1677" s="2" t="s">
        <v>325</v>
      </c>
      <c r="G1677" s="2" t="s">
        <v>1136</v>
      </c>
      <c r="H1677" s="2" t="s">
        <v>323</v>
      </c>
      <c r="I1677" s="2" t="s">
        <v>316</v>
      </c>
      <c r="J1677" s="2" t="s">
        <v>17</v>
      </c>
      <c r="K1677" s="72">
        <v>3759.88</v>
      </c>
      <c r="L1677" s="39"/>
      <c r="M1677" s="72">
        <f t="shared" si="106"/>
        <v>-3759.88</v>
      </c>
      <c r="N1677" s="72">
        <f t="shared" si="107"/>
        <v>479652.90999999974</v>
      </c>
    </row>
    <row r="1678" spans="1:14" x14ac:dyDescent="0.2">
      <c r="A1678" s="73" t="s">
        <v>1068</v>
      </c>
      <c r="B1678" s="3">
        <f t="shared" si="104"/>
        <v>2025</v>
      </c>
      <c r="C1678" s="3">
        <f t="shared" si="105"/>
        <v>8</v>
      </c>
      <c r="D1678" s="73" t="s">
        <v>893</v>
      </c>
      <c r="E1678" s="2"/>
      <c r="F1678" s="2" t="s">
        <v>304</v>
      </c>
      <c r="G1678" s="2" t="s">
        <v>1181</v>
      </c>
      <c r="H1678" s="2" t="s">
        <v>1007</v>
      </c>
      <c r="I1678" s="1" t="s">
        <v>316</v>
      </c>
      <c r="J1678" s="2" t="s">
        <v>17</v>
      </c>
      <c r="K1678" s="72">
        <v>86.5</v>
      </c>
      <c r="L1678" s="39"/>
      <c r="M1678" s="72">
        <f t="shared" si="106"/>
        <v>-86.5</v>
      </c>
      <c r="N1678" s="72">
        <f t="shared" si="107"/>
        <v>479566.40999999974</v>
      </c>
    </row>
    <row r="1679" spans="1:14" x14ac:dyDescent="0.2">
      <c r="A1679" s="73" t="s">
        <v>1068</v>
      </c>
      <c r="B1679" s="3">
        <f t="shared" si="104"/>
        <v>2025</v>
      </c>
      <c r="C1679" s="3">
        <f t="shared" si="105"/>
        <v>8</v>
      </c>
      <c r="D1679" s="73" t="s">
        <v>893</v>
      </c>
      <c r="E1679" s="2"/>
      <c r="F1679" s="2" t="s">
        <v>304</v>
      </c>
      <c r="G1679" s="2" t="s">
        <v>1191</v>
      </c>
      <c r="H1679" s="2" t="s">
        <v>992</v>
      </c>
      <c r="I1679" s="2" t="s">
        <v>316</v>
      </c>
      <c r="J1679" s="2" t="s">
        <v>22</v>
      </c>
      <c r="K1679" s="72">
        <v>126.84</v>
      </c>
      <c r="L1679" s="39"/>
      <c r="M1679" s="72">
        <f t="shared" si="106"/>
        <v>-126.84</v>
      </c>
      <c r="N1679" s="72">
        <f t="shared" si="107"/>
        <v>479439.56999999972</v>
      </c>
    </row>
    <row r="1680" spans="1:14" x14ac:dyDescent="0.2">
      <c r="A1680" s="73" t="s">
        <v>1068</v>
      </c>
      <c r="B1680" s="3">
        <f t="shared" si="104"/>
        <v>2025</v>
      </c>
      <c r="C1680" s="3">
        <f t="shared" si="105"/>
        <v>8</v>
      </c>
      <c r="D1680" s="73" t="s">
        <v>893</v>
      </c>
      <c r="E1680" s="2"/>
      <c r="F1680" s="2" t="s">
        <v>304</v>
      </c>
      <c r="G1680" s="2" t="s">
        <v>995</v>
      </c>
      <c r="H1680" s="2" t="s">
        <v>992</v>
      </c>
      <c r="I1680" s="2" t="s">
        <v>316</v>
      </c>
      <c r="J1680" s="2" t="s">
        <v>22</v>
      </c>
      <c r="K1680" s="72">
        <v>14.89</v>
      </c>
      <c r="L1680" s="39"/>
      <c r="M1680" s="72">
        <f t="shared" si="106"/>
        <v>-14.89</v>
      </c>
      <c r="N1680" s="72">
        <f t="shared" si="107"/>
        <v>479424.6799999997</v>
      </c>
    </row>
    <row r="1681" spans="1:14" x14ac:dyDescent="0.2">
      <c r="A1681" s="73" t="s">
        <v>1068</v>
      </c>
      <c r="B1681" s="3">
        <f t="shared" si="104"/>
        <v>2025</v>
      </c>
      <c r="C1681" s="3">
        <f t="shared" si="105"/>
        <v>8</v>
      </c>
      <c r="D1681" s="73" t="s">
        <v>893</v>
      </c>
      <c r="E1681" s="2"/>
      <c r="F1681" s="2" t="s">
        <v>304</v>
      </c>
      <c r="G1681" s="2" t="s">
        <v>1193</v>
      </c>
      <c r="H1681" s="2" t="s">
        <v>937</v>
      </c>
      <c r="I1681" s="2" t="s">
        <v>316</v>
      </c>
      <c r="J1681" s="2" t="s">
        <v>22</v>
      </c>
      <c r="K1681" s="72">
        <v>1899</v>
      </c>
      <c r="L1681" s="39"/>
      <c r="M1681" s="72">
        <f t="shared" si="106"/>
        <v>-1899</v>
      </c>
      <c r="N1681" s="72">
        <f t="shared" si="107"/>
        <v>477525.6799999997</v>
      </c>
    </row>
    <row r="1682" spans="1:14" x14ac:dyDescent="0.2">
      <c r="A1682" s="73" t="s">
        <v>1068</v>
      </c>
      <c r="B1682" s="3">
        <f t="shared" si="104"/>
        <v>2025</v>
      </c>
      <c r="C1682" s="3">
        <f t="shared" si="105"/>
        <v>8</v>
      </c>
      <c r="D1682" s="73" t="s">
        <v>893</v>
      </c>
      <c r="E1682" s="2"/>
      <c r="F1682" s="2" t="s">
        <v>304</v>
      </c>
      <c r="G1682" s="2" t="s">
        <v>1044</v>
      </c>
      <c r="H1682" s="2" t="s">
        <v>1035</v>
      </c>
      <c r="I1682" s="2" t="s">
        <v>316</v>
      </c>
      <c r="J1682" s="2" t="s">
        <v>22</v>
      </c>
      <c r="K1682" s="72">
        <v>16.48</v>
      </c>
      <c r="L1682" s="39"/>
      <c r="M1682" s="72">
        <f t="shared" si="106"/>
        <v>-16.48</v>
      </c>
      <c r="N1682" s="72">
        <f t="shared" si="107"/>
        <v>477509.19999999972</v>
      </c>
    </row>
    <row r="1683" spans="1:14" x14ac:dyDescent="0.2">
      <c r="A1683" s="73" t="s">
        <v>1068</v>
      </c>
      <c r="B1683" s="3">
        <f t="shared" si="104"/>
        <v>2025</v>
      </c>
      <c r="C1683" s="3">
        <f t="shared" si="105"/>
        <v>8</v>
      </c>
      <c r="D1683" s="73" t="s">
        <v>893</v>
      </c>
      <c r="E1683" s="2"/>
      <c r="F1683" s="2" t="s">
        <v>304</v>
      </c>
      <c r="G1683" s="2" t="s">
        <v>1044</v>
      </c>
      <c r="H1683" s="2" t="s">
        <v>1035</v>
      </c>
      <c r="I1683" s="2" t="s">
        <v>316</v>
      </c>
      <c r="J1683" s="2" t="s">
        <v>22</v>
      </c>
      <c r="K1683" s="72">
        <v>61.91</v>
      </c>
      <c r="L1683" s="39"/>
      <c r="M1683" s="72">
        <f t="shared" si="106"/>
        <v>-61.91</v>
      </c>
      <c r="N1683" s="72">
        <f t="shared" si="107"/>
        <v>477447.28999999975</v>
      </c>
    </row>
    <row r="1684" spans="1:14" x14ac:dyDescent="0.2">
      <c r="A1684" s="73" t="s">
        <v>1068</v>
      </c>
      <c r="B1684" s="3">
        <f t="shared" si="104"/>
        <v>2025</v>
      </c>
      <c r="C1684" s="3">
        <f t="shared" si="105"/>
        <v>8</v>
      </c>
      <c r="D1684" s="73" t="s">
        <v>893</v>
      </c>
      <c r="E1684" s="2"/>
      <c r="F1684" s="2" t="s">
        <v>304</v>
      </c>
      <c r="G1684" s="2" t="s">
        <v>925</v>
      </c>
      <c r="H1684" s="2" t="s">
        <v>884</v>
      </c>
      <c r="I1684" s="2" t="s">
        <v>316</v>
      </c>
      <c r="J1684" s="2" t="s">
        <v>22</v>
      </c>
      <c r="K1684" s="72">
        <v>548.48</v>
      </c>
      <c r="L1684" s="39"/>
      <c r="M1684" s="72">
        <f t="shared" si="106"/>
        <v>-548.48</v>
      </c>
      <c r="N1684" s="72">
        <f t="shared" si="107"/>
        <v>476898.80999999976</v>
      </c>
    </row>
    <row r="1685" spans="1:14" x14ac:dyDescent="0.2">
      <c r="A1685" s="73" t="s">
        <v>1068</v>
      </c>
      <c r="B1685" s="3">
        <f t="shared" si="104"/>
        <v>2025</v>
      </c>
      <c r="C1685" s="3">
        <f t="shared" si="105"/>
        <v>8</v>
      </c>
      <c r="D1685" s="73" t="s">
        <v>893</v>
      </c>
      <c r="E1685" s="2"/>
      <c r="F1685" s="2" t="s">
        <v>304</v>
      </c>
      <c r="G1685" s="2" t="s">
        <v>925</v>
      </c>
      <c r="H1685" s="2" t="s">
        <v>884</v>
      </c>
      <c r="I1685" s="2" t="s">
        <v>316</v>
      </c>
      <c r="J1685" s="2" t="s">
        <v>22</v>
      </c>
      <c r="K1685" s="72">
        <v>39</v>
      </c>
      <c r="L1685" s="39"/>
      <c r="M1685" s="72">
        <f t="shared" si="106"/>
        <v>-39</v>
      </c>
      <c r="N1685" s="72">
        <f t="shared" si="107"/>
        <v>476859.80999999976</v>
      </c>
    </row>
    <row r="1686" spans="1:14" x14ac:dyDescent="0.2">
      <c r="A1686" s="73" t="s">
        <v>1068</v>
      </c>
      <c r="B1686" s="3">
        <f t="shared" si="104"/>
        <v>2025</v>
      </c>
      <c r="C1686" s="3">
        <f t="shared" si="105"/>
        <v>8</v>
      </c>
      <c r="D1686" s="73" t="s">
        <v>893</v>
      </c>
      <c r="E1686" s="2"/>
      <c r="F1686" s="2" t="s">
        <v>304</v>
      </c>
      <c r="G1686" s="2" t="s">
        <v>953</v>
      </c>
      <c r="H1686" s="2" t="s">
        <v>884</v>
      </c>
      <c r="I1686" s="2" t="s">
        <v>316</v>
      </c>
      <c r="J1686" s="2" t="s">
        <v>22</v>
      </c>
      <c r="K1686" s="72">
        <v>711.41</v>
      </c>
      <c r="L1686" s="39"/>
      <c r="M1686" s="72">
        <f t="shared" si="106"/>
        <v>-711.41</v>
      </c>
      <c r="N1686" s="72">
        <f t="shared" si="107"/>
        <v>476148.39999999979</v>
      </c>
    </row>
    <row r="1687" spans="1:14" x14ac:dyDescent="0.2">
      <c r="A1687" s="73" t="s">
        <v>1068</v>
      </c>
      <c r="B1687" s="3">
        <f t="shared" si="104"/>
        <v>2025</v>
      </c>
      <c r="C1687" s="3">
        <f t="shared" si="105"/>
        <v>8</v>
      </c>
      <c r="D1687" s="73" t="s">
        <v>300</v>
      </c>
      <c r="E1687" s="2"/>
      <c r="F1687" s="2" t="s">
        <v>325</v>
      </c>
      <c r="G1687" s="2" t="s">
        <v>733</v>
      </c>
      <c r="H1687" s="2" t="s">
        <v>323</v>
      </c>
      <c r="I1687" s="2" t="s">
        <v>316</v>
      </c>
      <c r="J1687" s="2" t="s">
        <v>22</v>
      </c>
      <c r="K1687" s="72">
        <v>229.13</v>
      </c>
      <c r="L1687" s="39"/>
      <c r="M1687" s="72">
        <f t="shared" si="106"/>
        <v>-229.13</v>
      </c>
      <c r="N1687" s="72">
        <f t="shared" si="107"/>
        <v>475919.26999999979</v>
      </c>
    </row>
    <row r="1688" spans="1:14" x14ac:dyDescent="0.2">
      <c r="A1688" s="73" t="s">
        <v>1069</v>
      </c>
      <c r="B1688" s="3">
        <f t="shared" si="104"/>
        <v>2025</v>
      </c>
      <c r="C1688" s="3">
        <f t="shared" si="105"/>
        <v>8</v>
      </c>
      <c r="D1688" s="73" t="s">
        <v>893</v>
      </c>
      <c r="E1688" s="2"/>
      <c r="F1688" s="2" t="s">
        <v>304</v>
      </c>
      <c r="G1688" s="2" t="s">
        <v>993</v>
      </c>
      <c r="H1688" s="2" t="s">
        <v>992</v>
      </c>
      <c r="I1688" s="2" t="s">
        <v>316</v>
      </c>
      <c r="J1688" s="2" t="s">
        <v>22</v>
      </c>
      <c r="K1688" s="72">
        <v>106</v>
      </c>
      <c r="L1688" s="39"/>
      <c r="M1688" s="72">
        <f t="shared" si="106"/>
        <v>-106</v>
      </c>
      <c r="N1688" s="72">
        <f t="shared" si="107"/>
        <v>475813.26999999979</v>
      </c>
    </row>
    <row r="1689" spans="1:14" x14ac:dyDescent="0.2">
      <c r="A1689" s="73" t="s">
        <v>1069</v>
      </c>
      <c r="B1689" s="3">
        <f t="shared" si="104"/>
        <v>2025</v>
      </c>
      <c r="C1689" s="3">
        <f t="shared" si="105"/>
        <v>8</v>
      </c>
      <c r="D1689" s="73" t="s">
        <v>893</v>
      </c>
      <c r="E1689" s="2"/>
      <c r="F1689" s="2" t="s">
        <v>304</v>
      </c>
      <c r="G1689" s="2" t="s">
        <v>993</v>
      </c>
      <c r="H1689" s="2" t="s">
        <v>1001</v>
      </c>
      <c r="I1689" s="2" t="s">
        <v>316</v>
      </c>
      <c r="J1689" s="2" t="s">
        <v>22</v>
      </c>
      <c r="K1689" s="72">
        <v>21.5</v>
      </c>
      <c r="L1689" s="39"/>
      <c r="M1689" s="72">
        <f t="shared" si="106"/>
        <v>-21.5</v>
      </c>
      <c r="N1689" s="72">
        <f t="shared" si="107"/>
        <v>475791.76999999979</v>
      </c>
    </row>
    <row r="1690" spans="1:14" x14ac:dyDescent="0.2">
      <c r="A1690" s="73" t="s">
        <v>1069</v>
      </c>
      <c r="B1690" s="3">
        <f t="shared" si="104"/>
        <v>2025</v>
      </c>
      <c r="C1690" s="3">
        <f t="shared" si="105"/>
        <v>8</v>
      </c>
      <c r="D1690" s="73" t="s">
        <v>893</v>
      </c>
      <c r="E1690" s="2"/>
      <c r="F1690" s="2" t="s">
        <v>304</v>
      </c>
      <c r="G1690" s="2" t="s">
        <v>1008</v>
      </c>
      <c r="H1690" s="2" t="s">
        <v>1007</v>
      </c>
      <c r="I1690" s="1" t="s">
        <v>316</v>
      </c>
      <c r="J1690" s="2" t="s">
        <v>17</v>
      </c>
      <c r="K1690" s="72">
        <v>96.06</v>
      </c>
      <c r="L1690" s="39"/>
      <c r="M1690" s="72">
        <f t="shared" si="106"/>
        <v>-96.06</v>
      </c>
      <c r="N1690" s="72">
        <f t="shared" si="107"/>
        <v>475695.70999999979</v>
      </c>
    </row>
    <row r="1691" spans="1:14" x14ac:dyDescent="0.2">
      <c r="A1691" s="73" t="s">
        <v>1069</v>
      </c>
      <c r="B1691" s="3">
        <f t="shared" si="104"/>
        <v>2025</v>
      </c>
      <c r="C1691" s="3">
        <f t="shared" si="105"/>
        <v>8</v>
      </c>
      <c r="D1691" s="73" t="s">
        <v>893</v>
      </c>
      <c r="E1691" s="2"/>
      <c r="F1691" s="2" t="s">
        <v>304</v>
      </c>
      <c r="G1691" s="2" t="s">
        <v>1197</v>
      </c>
      <c r="H1691" s="2" t="s">
        <v>1198</v>
      </c>
      <c r="I1691" s="1" t="s">
        <v>316</v>
      </c>
      <c r="J1691" s="2" t="s">
        <v>17</v>
      </c>
      <c r="K1691" s="72">
        <v>2774.13</v>
      </c>
      <c r="L1691" s="39"/>
      <c r="M1691" s="72">
        <f t="shared" si="106"/>
        <v>-2774.13</v>
      </c>
      <c r="N1691" s="72">
        <f t="shared" si="107"/>
        <v>472921.57999999978</v>
      </c>
    </row>
    <row r="1692" spans="1:14" x14ac:dyDescent="0.2">
      <c r="A1692" s="73" t="s">
        <v>1069</v>
      </c>
      <c r="B1692" s="3">
        <f t="shared" si="104"/>
        <v>2025</v>
      </c>
      <c r="C1692" s="3">
        <f t="shared" si="105"/>
        <v>8</v>
      </c>
      <c r="D1692" s="73" t="s">
        <v>893</v>
      </c>
      <c r="E1692" s="2"/>
      <c r="F1692" s="2" t="s">
        <v>304</v>
      </c>
      <c r="G1692" s="2" t="s">
        <v>1033</v>
      </c>
      <c r="H1692" s="2" t="s">
        <v>992</v>
      </c>
      <c r="I1692" s="2" t="s">
        <v>316</v>
      </c>
      <c r="J1692" s="2" t="s">
        <v>22</v>
      </c>
      <c r="K1692" s="72">
        <v>44.58</v>
      </c>
      <c r="L1692" s="39"/>
      <c r="M1692" s="72">
        <f t="shared" si="106"/>
        <v>-44.58</v>
      </c>
      <c r="N1692" s="72">
        <f t="shared" si="107"/>
        <v>472876.99999999977</v>
      </c>
    </row>
    <row r="1693" spans="1:14" x14ac:dyDescent="0.2">
      <c r="A1693" s="73" t="s">
        <v>1069</v>
      </c>
      <c r="B1693" s="3">
        <f t="shared" si="104"/>
        <v>2025</v>
      </c>
      <c r="C1693" s="3">
        <f t="shared" si="105"/>
        <v>8</v>
      </c>
      <c r="D1693" s="73" t="s">
        <v>300</v>
      </c>
      <c r="E1693" s="2" t="s">
        <v>1137</v>
      </c>
      <c r="F1693" s="2" t="s">
        <v>325</v>
      </c>
      <c r="G1693" s="2" t="s">
        <v>363</v>
      </c>
      <c r="H1693" s="2" t="s">
        <v>323</v>
      </c>
      <c r="I1693" s="2" t="s">
        <v>316</v>
      </c>
      <c r="J1693" s="2" t="s">
        <v>17</v>
      </c>
      <c r="K1693" s="72">
        <v>5</v>
      </c>
      <c r="L1693" s="39"/>
      <c r="M1693" s="72">
        <f t="shared" si="106"/>
        <v>-5</v>
      </c>
      <c r="N1693" s="72">
        <f t="shared" si="107"/>
        <v>472871.99999999977</v>
      </c>
    </row>
    <row r="1694" spans="1:14" x14ac:dyDescent="0.2">
      <c r="A1694" s="73" t="s">
        <v>1069</v>
      </c>
      <c r="B1694" s="3">
        <f t="shared" si="104"/>
        <v>2025</v>
      </c>
      <c r="C1694" s="3">
        <f t="shared" si="105"/>
        <v>8</v>
      </c>
      <c r="D1694" s="73" t="s">
        <v>300</v>
      </c>
      <c r="E1694" s="2" t="s">
        <v>1138</v>
      </c>
      <c r="F1694" s="2" t="s">
        <v>325</v>
      </c>
      <c r="G1694" s="2" t="s">
        <v>363</v>
      </c>
      <c r="H1694" s="2" t="s">
        <v>323</v>
      </c>
      <c r="I1694" s="2" t="s">
        <v>316</v>
      </c>
      <c r="J1694" s="2" t="s">
        <v>17</v>
      </c>
      <c r="K1694" s="72">
        <v>40</v>
      </c>
      <c r="L1694" s="39"/>
      <c r="M1694" s="72">
        <f t="shared" si="106"/>
        <v>-40</v>
      </c>
      <c r="N1694" s="72">
        <f t="shared" si="107"/>
        <v>472831.99999999977</v>
      </c>
    </row>
    <row r="1695" spans="1:14" x14ac:dyDescent="0.2">
      <c r="A1695" s="73" t="s">
        <v>1069</v>
      </c>
      <c r="B1695" s="3">
        <f t="shared" si="104"/>
        <v>2025</v>
      </c>
      <c r="C1695" s="3">
        <f t="shared" si="105"/>
        <v>8</v>
      </c>
      <c r="D1695" s="73" t="s">
        <v>893</v>
      </c>
      <c r="E1695" s="2"/>
      <c r="F1695" s="2" t="s">
        <v>304</v>
      </c>
      <c r="G1695" s="2" t="s">
        <v>941</v>
      </c>
      <c r="H1695" s="2" t="s">
        <v>992</v>
      </c>
      <c r="I1695" s="2" t="s">
        <v>316</v>
      </c>
      <c r="J1695" s="2" t="s">
        <v>22</v>
      </c>
      <c r="K1695" s="72">
        <v>1196.97</v>
      </c>
      <c r="L1695" s="39"/>
      <c r="M1695" s="72">
        <f t="shared" si="106"/>
        <v>-1196.97</v>
      </c>
      <c r="N1695" s="72">
        <f t="shared" si="107"/>
        <v>471635.0299999998</v>
      </c>
    </row>
    <row r="1696" spans="1:14" x14ac:dyDescent="0.2">
      <c r="A1696" s="73" t="s">
        <v>1069</v>
      </c>
      <c r="B1696" s="3">
        <f t="shared" si="104"/>
        <v>2025</v>
      </c>
      <c r="C1696" s="3">
        <f t="shared" si="105"/>
        <v>8</v>
      </c>
      <c r="D1696" s="73" t="s">
        <v>893</v>
      </c>
      <c r="E1696" s="2"/>
      <c r="F1696" s="2" t="s">
        <v>304</v>
      </c>
      <c r="G1696" s="2" t="s">
        <v>1195</v>
      </c>
      <c r="H1696" s="2" t="s">
        <v>1187</v>
      </c>
      <c r="I1696" s="2" t="s">
        <v>316</v>
      </c>
      <c r="J1696" s="2" t="s">
        <v>28</v>
      </c>
      <c r="K1696" s="72">
        <v>288</v>
      </c>
      <c r="L1696" s="39"/>
      <c r="M1696" s="72">
        <f t="shared" si="106"/>
        <v>-288</v>
      </c>
      <c r="N1696" s="72">
        <f t="shared" si="107"/>
        <v>471347.0299999998</v>
      </c>
    </row>
    <row r="1697" spans="1:14" x14ac:dyDescent="0.2">
      <c r="A1697" s="73" t="s">
        <v>1069</v>
      </c>
      <c r="B1697" s="3">
        <f t="shared" si="104"/>
        <v>2025</v>
      </c>
      <c r="C1697" s="3">
        <f t="shared" si="105"/>
        <v>8</v>
      </c>
      <c r="D1697" s="73" t="s">
        <v>893</v>
      </c>
      <c r="E1697" s="2"/>
      <c r="F1697" s="2" t="s">
        <v>304</v>
      </c>
      <c r="G1697" s="2" t="s">
        <v>1199</v>
      </c>
      <c r="H1697" s="2" t="s">
        <v>987</v>
      </c>
      <c r="I1697" s="2" t="s">
        <v>316</v>
      </c>
      <c r="J1697" s="2" t="s">
        <v>28</v>
      </c>
      <c r="K1697" s="72">
        <v>150</v>
      </c>
      <c r="L1697" s="39"/>
      <c r="M1697" s="72">
        <f t="shared" si="106"/>
        <v>-150</v>
      </c>
      <c r="N1697" s="72">
        <f t="shared" si="107"/>
        <v>471197.0299999998</v>
      </c>
    </row>
    <row r="1698" spans="1:14" x14ac:dyDescent="0.2">
      <c r="A1698" s="73" t="s">
        <v>1069</v>
      </c>
      <c r="B1698" s="3">
        <f t="shared" si="104"/>
        <v>2025</v>
      </c>
      <c r="C1698" s="3">
        <f t="shared" si="105"/>
        <v>8</v>
      </c>
      <c r="D1698" s="73" t="s">
        <v>893</v>
      </c>
      <c r="E1698" s="2"/>
      <c r="F1698" s="2" t="s">
        <v>304</v>
      </c>
      <c r="G1698" s="2" t="s">
        <v>932</v>
      </c>
      <c r="H1698" s="2" t="s">
        <v>1007</v>
      </c>
      <c r="I1698" s="1" t="s">
        <v>316</v>
      </c>
      <c r="J1698" s="2" t="s">
        <v>17</v>
      </c>
      <c r="K1698" s="72">
        <v>95.39</v>
      </c>
      <c r="L1698" s="39"/>
      <c r="M1698" s="72">
        <f t="shared" si="106"/>
        <v>-95.39</v>
      </c>
      <c r="N1698" s="72">
        <f t="shared" si="107"/>
        <v>471101.63999999978</v>
      </c>
    </row>
    <row r="1699" spans="1:14" x14ac:dyDescent="0.2">
      <c r="A1699" s="73" t="s">
        <v>1069</v>
      </c>
      <c r="B1699" s="3">
        <f t="shared" si="104"/>
        <v>2025</v>
      </c>
      <c r="C1699" s="3">
        <f t="shared" si="105"/>
        <v>8</v>
      </c>
      <c r="D1699" s="73" t="s">
        <v>893</v>
      </c>
      <c r="E1699" s="2"/>
      <c r="F1699" s="2" t="s">
        <v>304</v>
      </c>
      <c r="G1699" s="2" t="s">
        <v>1191</v>
      </c>
      <c r="H1699" s="2" t="s">
        <v>1001</v>
      </c>
      <c r="I1699" s="2" t="s">
        <v>316</v>
      </c>
      <c r="J1699" s="2" t="s">
        <v>22</v>
      </c>
      <c r="K1699" s="72">
        <v>19.260000000000002</v>
      </c>
      <c r="L1699" s="39"/>
      <c r="M1699" s="72">
        <f t="shared" si="106"/>
        <v>-19.260000000000002</v>
      </c>
      <c r="N1699" s="72">
        <f t="shared" si="107"/>
        <v>471082.37999999977</v>
      </c>
    </row>
    <row r="1700" spans="1:14" x14ac:dyDescent="0.2">
      <c r="A1700" s="73" t="s">
        <v>1069</v>
      </c>
      <c r="B1700" s="3">
        <f t="shared" si="104"/>
        <v>2025</v>
      </c>
      <c r="C1700" s="3">
        <f t="shared" si="105"/>
        <v>8</v>
      </c>
      <c r="D1700" s="73" t="s">
        <v>893</v>
      </c>
      <c r="E1700" s="2"/>
      <c r="F1700" s="2" t="s">
        <v>304</v>
      </c>
      <c r="G1700" s="2" t="s">
        <v>1191</v>
      </c>
      <c r="H1700" s="2" t="s">
        <v>1001</v>
      </c>
      <c r="I1700" s="2" t="s">
        <v>316</v>
      </c>
      <c r="J1700" s="2" t="s">
        <v>22</v>
      </c>
      <c r="K1700" s="72">
        <v>13.88</v>
      </c>
      <c r="L1700" s="39"/>
      <c r="M1700" s="72">
        <f t="shared" si="106"/>
        <v>-13.88</v>
      </c>
      <c r="N1700" s="72">
        <f t="shared" si="107"/>
        <v>471068.49999999977</v>
      </c>
    </row>
    <row r="1701" spans="1:14" x14ac:dyDescent="0.2">
      <c r="A1701" s="73" t="s">
        <v>1069</v>
      </c>
      <c r="B1701" s="3">
        <f t="shared" si="104"/>
        <v>2025</v>
      </c>
      <c r="C1701" s="3">
        <f t="shared" si="105"/>
        <v>8</v>
      </c>
      <c r="D1701" s="73" t="s">
        <v>893</v>
      </c>
      <c r="E1701" s="2"/>
      <c r="F1701" s="2" t="s">
        <v>304</v>
      </c>
      <c r="G1701" s="2" t="s">
        <v>995</v>
      </c>
      <c r="H1701" s="2" t="s">
        <v>992</v>
      </c>
      <c r="I1701" s="2" t="s">
        <v>316</v>
      </c>
      <c r="J1701" s="2" t="s">
        <v>22</v>
      </c>
      <c r="K1701" s="72">
        <v>11.74</v>
      </c>
      <c r="L1701" s="39"/>
      <c r="M1701" s="72">
        <f t="shared" si="106"/>
        <v>-11.74</v>
      </c>
      <c r="N1701" s="72">
        <f t="shared" si="107"/>
        <v>471056.75999999978</v>
      </c>
    </row>
    <row r="1702" spans="1:14" x14ac:dyDescent="0.2">
      <c r="A1702" s="73" t="s">
        <v>1069</v>
      </c>
      <c r="B1702" s="3">
        <f t="shared" si="104"/>
        <v>2025</v>
      </c>
      <c r="C1702" s="3">
        <f t="shared" si="105"/>
        <v>8</v>
      </c>
      <c r="D1702" s="73" t="s">
        <v>893</v>
      </c>
      <c r="E1702" s="2"/>
      <c r="F1702" s="2" t="s">
        <v>304</v>
      </c>
      <c r="G1702" s="2" t="s">
        <v>1196</v>
      </c>
      <c r="H1702" s="2" t="s">
        <v>992</v>
      </c>
      <c r="I1702" s="2" t="s">
        <v>316</v>
      </c>
      <c r="J1702" s="2" t="s">
        <v>22</v>
      </c>
      <c r="K1702" s="72">
        <v>14</v>
      </c>
      <c r="L1702" s="39"/>
      <c r="M1702" s="72">
        <f t="shared" si="106"/>
        <v>-14</v>
      </c>
      <c r="N1702" s="72">
        <f t="shared" si="107"/>
        <v>471042.75999999978</v>
      </c>
    </row>
    <row r="1703" spans="1:14" x14ac:dyDescent="0.2">
      <c r="A1703" s="73" t="s">
        <v>1069</v>
      </c>
      <c r="B1703" s="3">
        <f t="shared" si="104"/>
        <v>2025</v>
      </c>
      <c r="C1703" s="3">
        <f t="shared" si="105"/>
        <v>8</v>
      </c>
      <c r="D1703" s="73" t="s">
        <v>300</v>
      </c>
      <c r="E1703" s="2"/>
      <c r="F1703" s="2" t="s">
        <v>299</v>
      </c>
      <c r="G1703" s="2"/>
      <c r="H1703" s="2" t="s">
        <v>298</v>
      </c>
      <c r="I1703" s="2" t="s">
        <v>297</v>
      </c>
      <c r="J1703" s="2" t="s">
        <v>296</v>
      </c>
      <c r="K1703" s="72"/>
      <c r="L1703" s="39">
        <v>3759.88</v>
      </c>
      <c r="M1703" s="72">
        <f t="shared" si="106"/>
        <v>3759.88</v>
      </c>
      <c r="N1703" s="72">
        <f t="shared" si="107"/>
        <v>474802.63999999978</v>
      </c>
    </row>
    <row r="1704" spans="1:14" x14ac:dyDescent="0.2">
      <c r="A1704" s="73" t="s">
        <v>1070</v>
      </c>
      <c r="B1704" s="3">
        <f t="shared" si="104"/>
        <v>2025</v>
      </c>
      <c r="C1704" s="3">
        <f t="shared" si="105"/>
        <v>8</v>
      </c>
      <c r="D1704" s="73" t="s">
        <v>300</v>
      </c>
      <c r="E1704" s="2"/>
      <c r="F1704" s="2" t="s">
        <v>321</v>
      </c>
      <c r="G1704" s="2" t="s">
        <v>49</v>
      </c>
      <c r="H1704" s="2" t="s">
        <v>319</v>
      </c>
      <c r="I1704" s="2" t="s">
        <v>315</v>
      </c>
      <c r="J1704" s="2" t="s">
        <v>23</v>
      </c>
      <c r="K1704" s="72"/>
      <c r="L1704" s="39">
        <v>1930</v>
      </c>
      <c r="M1704" s="72">
        <f t="shared" si="106"/>
        <v>1930</v>
      </c>
      <c r="N1704" s="72">
        <f t="shared" si="107"/>
        <v>476732.63999999978</v>
      </c>
    </row>
    <row r="1705" spans="1:14" x14ac:dyDescent="0.2">
      <c r="A1705" s="73" t="s">
        <v>1070</v>
      </c>
      <c r="B1705" s="3">
        <f t="shared" si="104"/>
        <v>2025</v>
      </c>
      <c r="C1705" s="3">
        <f t="shared" si="105"/>
        <v>8</v>
      </c>
      <c r="D1705" s="73" t="s">
        <v>300</v>
      </c>
      <c r="E1705" s="2"/>
      <c r="F1705" s="2" t="s">
        <v>325</v>
      </c>
      <c r="G1705" s="2" t="s">
        <v>324</v>
      </c>
      <c r="H1705" s="2" t="s">
        <v>323</v>
      </c>
      <c r="I1705" s="2" t="s">
        <v>316</v>
      </c>
      <c r="J1705" s="2" t="s">
        <v>17</v>
      </c>
      <c r="K1705" s="72">
        <v>3559.91</v>
      </c>
      <c r="L1705" s="39"/>
      <c r="M1705" s="72">
        <f t="shared" si="106"/>
        <v>-3559.91</v>
      </c>
      <c r="N1705" s="72">
        <f t="shared" si="107"/>
        <v>473172.72999999981</v>
      </c>
    </row>
    <row r="1706" spans="1:14" x14ac:dyDescent="0.2">
      <c r="A1706" s="73" t="s">
        <v>1070</v>
      </c>
      <c r="B1706" s="3">
        <f t="shared" si="104"/>
        <v>2025</v>
      </c>
      <c r="C1706" s="3">
        <f t="shared" si="105"/>
        <v>8</v>
      </c>
      <c r="D1706" s="73" t="s">
        <v>300</v>
      </c>
      <c r="E1706" s="2"/>
      <c r="F1706" s="2" t="s">
        <v>309</v>
      </c>
      <c r="G1706" s="2" t="s">
        <v>1139</v>
      </c>
      <c r="H1706" s="2" t="s">
        <v>346</v>
      </c>
      <c r="I1706" s="2" t="s">
        <v>315</v>
      </c>
      <c r="J1706" s="2" t="s">
        <v>23</v>
      </c>
      <c r="K1706" s="72"/>
      <c r="L1706" s="39">
        <v>14500</v>
      </c>
      <c r="M1706" s="72">
        <f t="shared" si="106"/>
        <v>14500</v>
      </c>
      <c r="N1706" s="72">
        <f t="shared" si="107"/>
        <v>487672.72999999981</v>
      </c>
    </row>
    <row r="1707" spans="1:14" x14ac:dyDescent="0.2">
      <c r="A1707" s="73" t="s">
        <v>1070</v>
      </c>
      <c r="B1707" s="3">
        <f t="shared" si="104"/>
        <v>2025</v>
      </c>
      <c r="C1707" s="3">
        <f t="shared" si="105"/>
        <v>8</v>
      </c>
      <c r="D1707" s="73" t="s">
        <v>300</v>
      </c>
      <c r="E1707" s="2"/>
      <c r="F1707" s="2" t="s">
        <v>304</v>
      </c>
      <c r="G1707" s="2" t="s">
        <v>306</v>
      </c>
      <c r="H1707" s="2" t="s">
        <v>516</v>
      </c>
      <c r="I1707" s="2" t="s">
        <v>301</v>
      </c>
      <c r="J1707" s="2" t="s">
        <v>11</v>
      </c>
      <c r="K1707" s="72">
        <v>955.75</v>
      </c>
      <c r="L1707" s="39"/>
      <c r="M1707" s="72">
        <f t="shared" si="106"/>
        <v>-955.75</v>
      </c>
      <c r="N1707" s="72">
        <f t="shared" si="107"/>
        <v>486716.97999999981</v>
      </c>
    </row>
    <row r="1708" spans="1:14" x14ac:dyDescent="0.2">
      <c r="A1708" s="73" t="s">
        <v>1070</v>
      </c>
      <c r="B1708" s="3">
        <f t="shared" si="104"/>
        <v>2025</v>
      </c>
      <c r="C1708" s="3">
        <f t="shared" si="105"/>
        <v>8</v>
      </c>
      <c r="D1708" s="73" t="s">
        <v>300</v>
      </c>
      <c r="E1708" s="2"/>
      <c r="F1708" s="2" t="s">
        <v>304</v>
      </c>
      <c r="G1708" s="2" t="s">
        <v>306</v>
      </c>
      <c r="H1708" s="2" t="s">
        <v>516</v>
      </c>
      <c r="I1708" s="2" t="s">
        <v>301</v>
      </c>
      <c r="J1708" s="2" t="s">
        <v>24</v>
      </c>
      <c r="K1708" s="72">
        <v>74272.460000000006</v>
      </c>
      <c r="L1708" s="39"/>
      <c r="M1708" s="72">
        <f t="shared" si="106"/>
        <v>-74272.460000000006</v>
      </c>
      <c r="N1708" s="72">
        <f t="shared" si="107"/>
        <v>412444.51999999979</v>
      </c>
    </row>
    <row r="1709" spans="1:14" x14ac:dyDescent="0.2">
      <c r="A1709" s="73" t="s">
        <v>1070</v>
      </c>
      <c r="B1709" s="3">
        <f t="shared" si="104"/>
        <v>2025</v>
      </c>
      <c r="C1709" s="3">
        <f t="shared" si="105"/>
        <v>8</v>
      </c>
      <c r="D1709" s="73" t="s">
        <v>300</v>
      </c>
      <c r="E1709" s="2"/>
      <c r="F1709" s="2" t="s">
        <v>304</v>
      </c>
      <c r="G1709" s="2" t="s">
        <v>306</v>
      </c>
      <c r="H1709" s="2" t="s">
        <v>516</v>
      </c>
      <c r="I1709" s="2" t="s">
        <v>301</v>
      </c>
      <c r="J1709" s="2" t="s">
        <v>20</v>
      </c>
      <c r="K1709" s="72">
        <v>36939.51</v>
      </c>
      <c r="L1709" s="39"/>
      <c r="M1709" s="72">
        <f t="shared" si="106"/>
        <v>-36939.51</v>
      </c>
      <c r="N1709" s="72">
        <f t="shared" si="107"/>
        <v>375505.00999999978</v>
      </c>
    </row>
    <row r="1710" spans="1:14" x14ac:dyDescent="0.2">
      <c r="A1710" s="73" t="s">
        <v>1070</v>
      </c>
      <c r="B1710" s="3">
        <f t="shared" si="104"/>
        <v>2025</v>
      </c>
      <c r="C1710" s="3">
        <f t="shared" si="105"/>
        <v>8</v>
      </c>
      <c r="D1710" s="73" t="s">
        <v>300</v>
      </c>
      <c r="E1710" s="2"/>
      <c r="F1710" s="2" t="s">
        <v>304</v>
      </c>
      <c r="G1710" s="2" t="s">
        <v>317</v>
      </c>
      <c r="H1710" s="2" t="s">
        <v>349</v>
      </c>
      <c r="I1710" s="2" t="s">
        <v>297</v>
      </c>
      <c r="J1710" s="2" t="s">
        <v>26</v>
      </c>
      <c r="K1710" s="72">
        <v>20</v>
      </c>
      <c r="L1710" s="39"/>
      <c r="M1710" s="72">
        <f t="shared" si="106"/>
        <v>-20</v>
      </c>
      <c r="N1710" s="72">
        <f t="shared" si="107"/>
        <v>375485.00999999978</v>
      </c>
    </row>
    <row r="1711" spans="1:14" x14ac:dyDescent="0.2">
      <c r="A1711" s="73" t="s">
        <v>1070</v>
      </c>
      <c r="B1711" s="3">
        <f t="shared" si="104"/>
        <v>2025</v>
      </c>
      <c r="C1711" s="3">
        <f t="shared" si="105"/>
        <v>8</v>
      </c>
      <c r="D1711" s="73" t="s">
        <v>300</v>
      </c>
      <c r="E1711" s="2"/>
      <c r="F1711" s="2" t="s">
        <v>325</v>
      </c>
      <c r="G1711" s="2" t="s">
        <v>374</v>
      </c>
      <c r="H1711" s="2" t="s">
        <v>323</v>
      </c>
      <c r="I1711" s="2" t="s">
        <v>316</v>
      </c>
      <c r="J1711" s="2" t="s">
        <v>29</v>
      </c>
      <c r="K1711" s="72">
        <v>1950.5</v>
      </c>
      <c r="L1711" s="39"/>
      <c r="M1711" s="72">
        <f t="shared" si="106"/>
        <v>-1950.5</v>
      </c>
      <c r="N1711" s="72">
        <f t="shared" si="107"/>
        <v>373534.50999999978</v>
      </c>
    </row>
    <row r="1712" spans="1:14" x14ac:dyDescent="0.2">
      <c r="A1712" s="73" t="s">
        <v>1070</v>
      </c>
      <c r="B1712" s="3">
        <f t="shared" si="104"/>
        <v>2025</v>
      </c>
      <c r="C1712" s="3">
        <f t="shared" si="105"/>
        <v>8</v>
      </c>
      <c r="D1712" s="73" t="s">
        <v>300</v>
      </c>
      <c r="E1712" s="2"/>
      <c r="F1712" s="2" t="s">
        <v>299</v>
      </c>
      <c r="G1712" s="2"/>
      <c r="H1712" s="2" t="s">
        <v>298</v>
      </c>
      <c r="I1712" s="2" t="s">
        <v>297</v>
      </c>
      <c r="J1712" s="2" t="s">
        <v>296</v>
      </c>
      <c r="K1712" s="72"/>
      <c r="L1712" s="39">
        <v>115793.13</v>
      </c>
      <c r="M1712" s="72">
        <f t="shared" si="106"/>
        <v>115793.13</v>
      </c>
      <c r="N1712" s="72">
        <f t="shared" si="107"/>
        <v>489327.63999999978</v>
      </c>
    </row>
    <row r="1713" spans="1:15" x14ac:dyDescent="0.2">
      <c r="A1713" s="73" t="s">
        <v>1071</v>
      </c>
      <c r="B1713" s="3">
        <f t="shared" si="104"/>
        <v>2025</v>
      </c>
      <c r="C1713" s="3">
        <f t="shared" si="105"/>
        <v>8</v>
      </c>
      <c r="D1713" s="73" t="s">
        <v>893</v>
      </c>
      <c r="E1713" s="2"/>
      <c r="F1713" s="2" t="s">
        <v>304</v>
      </c>
      <c r="G1713" s="2" t="s">
        <v>995</v>
      </c>
      <c r="H1713" s="2" t="s">
        <v>992</v>
      </c>
      <c r="I1713" s="2" t="s">
        <v>316</v>
      </c>
      <c r="J1713" s="2" t="s">
        <v>22</v>
      </c>
      <c r="K1713" s="72">
        <v>22.16</v>
      </c>
      <c r="L1713" s="39"/>
      <c r="M1713" s="72">
        <f t="shared" si="106"/>
        <v>-22.16</v>
      </c>
      <c r="N1713" s="72">
        <f t="shared" si="107"/>
        <v>489305.47999999981</v>
      </c>
    </row>
    <row r="1714" spans="1:15" x14ac:dyDescent="0.2">
      <c r="A1714" s="73" t="s">
        <v>1071</v>
      </c>
      <c r="B1714" s="3">
        <f t="shared" si="104"/>
        <v>2025</v>
      </c>
      <c r="C1714" s="3">
        <f t="shared" si="105"/>
        <v>8</v>
      </c>
      <c r="D1714" s="73" t="s">
        <v>300</v>
      </c>
      <c r="E1714" s="2"/>
      <c r="F1714" s="2" t="s">
        <v>309</v>
      </c>
      <c r="G1714" s="2" t="s">
        <v>308</v>
      </c>
      <c r="H1714" s="2" t="s">
        <v>307</v>
      </c>
      <c r="I1714" s="2" t="s">
        <v>297</v>
      </c>
      <c r="J1714" s="2" t="s">
        <v>48</v>
      </c>
      <c r="K1714" s="72"/>
      <c r="L1714" s="39">
        <v>2155.66</v>
      </c>
      <c r="M1714" s="72">
        <f t="shared" si="106"/>
        <v>2155.66</v>
      </c>
      <c r="N1714" s="72">
        <f t="shared" si="107"/>
        <v>491461.13999999978</v>
      </c>
    </row>
    <row r="1715" spans="1:15" x14ac:dyDescent="0.2">
      <c r="A1715" s="73" t="s">
        <v>1071</v>
      </c>
      <c r="B1715" s="3">
        <f t="shared" si="104"/>
        <v>2025</v>
      </c>
      <c r="C1715" s="3">
        <f t="shared" si="105"/>
        <v>8</v>
      </c>
      <c r="D1715" s="73" t="s">
        <v>300</v>
      </c>
      <c r="E1715" s="2"/>
      <c r="F1715" s="2" t="s">
        <v>304</v>
      </c>
      <c r="G1715" s="2" t="s">
        <v>306</v>
      </c>
      <c r="H1715" s="2" t="s">
        <v>305</v>
      </c>
      <c r="I1715" s="2" t="s">
        <v>301</v>
      </c>
      <c r="J1715" s="2" t="s">
        <v>19</v>
      </c>
      <c r="K1715" s="72">
        <v>333.7</v>
      </c>
      <c r="L1715" s="39"/>
      <c r="M1715" s="72">
        <f t="shared" si="106"/>
        <v>-333.7</v>
      </c>
      <c r="N1715" s="72">
        <f t="shared" si="107"/>
        <v>491127.43999999977</v>
      </c>
    </row>
    <row r="1716" spans="1:15" x14ac:dyDescent="0.2">
      <c r="A1716" s="73" t="s">
        <v>1071</v>
      </c>
      <c r="B1716" s="3">
        <f t="shared" si="104"/>
        <v>2025</v>
      </c>
      <c r="C1716" s="3">
        <f t="shared" si="105"/>
        <v>8</v>
      </c>
      <c r="D1716" s="73" t="s">
        <v>893</v>
      </c>
      <c r="E1716" s="2"/>
      <c r="F1716" s="2" t="s">
        <v>304</v>
      </c>
      <c r="G1716" s="2" t="s">
        <v>908</v>
      </c>
      <c r="H1716" s="2" t="s">
        <v>901</v>
      </c>
      <c r="I1716" s="1" t="s">
        <v>316</v>
      </c>
      <c r="J1716" s="2" t="s">
        <v>17</v>
      </c>
      <c r="K1716" s="72">
        <v>20</v>
      </c>
      <c r="L1716" s="39"/>
      <c r="M1716" s="72">
        <f t="shared" si="106"/>
        <v>-20</v>
      </c>
      <c r="N1716" s="72">
        <f t="shared" si="107"/>
        <v>491107.43999999977</v>
      </c>
    </row>
    <row r="1717" spans="1:15" x14ac:dyDescent="0.2">
      <c r="A1717" s="73" t="s">
        <v>1071</v>
      </c>
      <c r="B1717" s="3">
        <f t="shared" si="104"/>
        <v>2025</v>
      </c>
      <c r="C1717" s="3">
        <f t="shared" si="105"/>
        <v>8</v>
      </c>
      <c r="D1717" s="73" t="s">
        <v>300</v>
      </c>
      <c r="E1717" s="2"/>
      <c r="F1717" s="2" t="s">
        <v>299</v>
      </c>
      <c r="G1717" s="2"/>
      <c r="H1717" s="2" t="s">
        <v>298</v>
      </c>
      <c r="I1717" s="2" t="s">
        <v>297</v>
      </c>
      <c r="J1717" s="2" t="s">
        <v>296</v>
      </c>
      <c r="K1717" s="72">
        <v>16072.83</v>
      </c>
      <c r="L1717" s="39"/>
      <c r="M1717" s="72">
        <f t="shared" si="106"/>
        <v>-16072.83</v>
      </c>
      <c r="N1717" s="72">
        <f t="shared" si="107"/>
        <v>475034.60999999975</v>
      </c>
    </row>
    <row r="1718" spans="1:15" x14ac:dyDescent="0.2">
      <c r="A1718" s="73" t="s">
        <v>1148</v>
      </c>
      <c r="B1718" s="3">
        <f t="shared" si="104"/>
        <v>2025</v>
      </c>
      <c r="C1718" s="3">
        <f t="shared" si="105"/>
        <v>8</v>
      </c>
      <c r="D1718" s="73" t="s">
        <v>893</v>
      </c>
      <c r="E1718" s="2"/>
      <c r="F1718" s="2" t="s">
        <v>304</v>
      </c>
      <c r="G1718" s="2" t="s">
        <v>995</v>
      </c>
      <c r="H1718" s="2" t="s">
        <v>992</v>
      </c>
      <c r="I1718" s="2" t="s">
        <v>316</v>
      </c>
      <c r="J1718" s="2" t="s">
        <v>22</v>
      </c>
      <c r="K1718" s="72">
        <v>31.7</v>
      </c>
      <c r="L1718" s="39"/>
      <c r="M1718" s="72">
        <f t="shared" si="106"/>
        <v>-31.7</v>
      </c>
      <c r="N1718" s="72">
        <f t="shared" si="107"/>
        <v>475002.90999999974</v>
      </c>
      <c r="O1718" s="72">
        <v>500000</v>
      </c>
    </row>
    <row r="1719" spans="1:15" x14ac:dyDescent="0.2">
      <c r="A1719" s="73" t="s">
        <v>1302</v>
      </c>
      <c r="B1719" s="3">
        <f t="shared" si="104"/>
        <v>2025</v>
      </c>
      <c r="C1719" s="3">
        <f t="shared" si="105"/>
        <v>9</v>
      </c>
      <c r="D1719" s="73" t="s">
        <v>893</v>
      </c>
      <c r="E1719" s="2"/>
      <c r="F1719" s="2" t="s">
        <v>304</v>
      </c>
      <c r="G1719" s="2" t="s">
        <v>1008</v>
      </c>
      <c r="H1719" s="2" t="s">
        <v>1311</v>
      </c>
      <c r="I1719" s="1" t="s">
        <v>316</v>
      </c>
      <c r="J1719" s="2" t="s">
        <v>17</v>
      </c>
      <c r="K1719" s="72">
        <v>20</v>
      </c>
      <c r="L1719" s="39"/>
      <c r="M1719" s="72">
        <f t="shared" si="106"/>
        <v>-20</v>
      </c>
      <c r="N1719" s="72">
        <f t="shared" si="107"/>
        <v>474982.90999999974</v>
      </c>
      <c r="O1719" s="72">
        <v>-24997.09</v>
      </c>
    </row>
    <row r="1720" spans="1:15" x14ac:dyDescent="0.2">
      <c r="A1720" s="73" t="s">
        <v>1302</v>
      </c>
      <c r="B1720" s="3">
        <f t="shared" si="104"/>
        <v>2025</v>
      </c>
      <c r="C1720" s="3">
        <f t="shared" si="105"/>
        <v>9</v>
      </c>
      <c r="D1720" s="73" t="s">
        <v>893</v>
      </c>
      <c r="E1720" s="2"/>
      <c r="F1720" s="2" t="s">
        <v>304</v>
      </c>
      <c r="G1720" s="2" t="s">
        <v>1038</v>
      </c>
      <c r="H1720" s="2" t="s">
        <v>1035</v>
      </c>
      <c r="I1720" s="2" t="s">
        <v>316</v>
      </c>
      <c r="J1720" s="2" t="s">
        <v>22</v>
      </c>
      <c r="K1720" s="72">
        <v>22.96</v>
      </c>
      <c r="L1720" s="39"/>
      <c r="M1720" s="72">
        <f t="shared" si="106"/>
        <v>-22.96</v>
      </c>
      <c r="N1720" s="72">
        <f t="shared" si="107"/>
        <v>474959.94999999972</v>
      </c>
      <c r="O1720" s="72">
        <f>+O1718+O1719</f>
        <v>475002.91</v>
      </c>
    </row>
    <row r="1721" spans="1:15" x14ac:dyDescent="0.2">
      <c r="A1721" s="73" t="s">
        <v>1302</v>
      </c>
      <c r="B1721" s="3">
        <f t="shared" si="104"/>
        <v>2025</v>
      </c>
      <c r="C1721" s="3">
        <f t="shared" si="105"/>
        <v>9</v>
      </c>
      <c r="D1721" s="73" t="s">
        <v>893</v>
      </c>
      <c r="E1721" s="2"/>
      <c r="F1721" s="2" t="s">
        <v>304</v>
      </c>
      <c r="G1721" s="2" t="s">
        <v>1038</v>
      </c>
      <c r="H1721" s="2" t="s">
        <v>1035</v>
      </c>
      <c r="I1721" s="2" t="s">
        <v>316</v>
      </c>
      <c r="J1721" s="2" t="s">
        <v>22</v>
      </c>
      <c r="K1721" s="72">
        <v>29.82</v>
      </c>
      <c r="L1721" s="39"/>
      <c r="M1721" s="72">
        <f t="shared" si="106"/>
        <v>-29.82</v>
      </c>
      <c r="N1721" s="72">
        <f t="shared" si="107"/>
        <v>474930.12999999971</v>
      </c>
    </row>
    <row r="1722" spans="1:15" x14ac:dyDescent="0.2">
      <c r="A1722" s="73" t="s">
        <v>1302</v>
      </c>
      <c r="B1722" s="3">
        <f t="shared" si="104"/>
        <v>2025</v>
      </c>
      <c r="C1722" s="3">
        <f t="shared" si="105"/>
        <v>9</v>
      </c>
      <c r="D1722" s="73" t="s">
        <v>893</v>
      </c>
      <c r="E1722" s="2"/>
      <c r="F1722" s="2" t="s">
        <v>304</v>
      </c>
      <c r="G1722" s="2" t="s">
        <v>1011</v>
      </c>
      <c r="H1722" s="2" t="s">
        <v>1007</v>
      </c>
      <c r="I1722" s="1" t="s">
        <v>316</v>
      </c>
      <c r="J1722" s="2" t="s">
        <v>17</v>
      </c>
      <c r="K1722" s="72">
        <v>79</v>
      </c>
      <c r="L1722" s="39"/>
      <c r="M1722" s="72">
        <f t="shared" si="106"/>
        <v>-79</v>
      </c>
      <c r="N1722" s="72">
        <f t="shared" si="107"/>
        <v>474851.12999999971</v>
      </c>
    </row>
    <row r="1723" spans="1:15" x14ac:dyDescent="0.2">
      <c r="A1723" s="73" t="s">
        <v>1302</v>
      </c>
      <c r="B1723" s="3">
        <f t="shared" si="104"/>
        <v>2025</v>
      </c>
      <c r="C1723" s="3">
        <f t="shared" si="105"/>
        <v>9</v>
      </c>
      <c r="D1723" s="73" t="s">
        <v>893</v>
      </c>
      <c r="E1723" s="2"/>
      <c r="F1723" s="2" t="s">
        <v>304</v>
      </c>
      <c r="G1723" s="2" t="s">
        <v>1312</v>
      </c>
      <c r="H1723" s="2" t="s">
        <v>1007</v>
      </c>
      <c r="I1723" s="1" t="s">
        <v>316</v>
      </c>
      <c r="J1723" s="2" t="s">
        <v>17</v>
      </c>
      <c r="K1723" s="72">
        <v>13.83</v>
      </c>
      <c r="L1723" s="39"/>
      <c r="M1723" s="72">
        <f t="shared" si="106"/>
        <v>-13.83</v>
      </c>
      <c r="N1723" s="72">
        <f t="shared" si="107"/>
        <v>474837.2999999997</v>
      </c>
    </row>
    <row r="1724" spans="1:15" x14ac:dyDescent="0.2">
      <c r="A1724" s="73" t="s">
        <v>1302</v>
      </c>
      <c r="B1724" s="3">
        <f t="shared" si="104"/>
        <v>2025</v>
      </c>
      <c r="C1724" s="3">
        <f t="shared" si="105"/>
        <v>9</v>
      </c>
      <c r="D1724" s="73" t="s">
        <v>893</v>
      </c>
      <c r="E1724" s="2"/>
      <c r="F1724" s="2" t="s">
        <v>304</v>
      </c>
      <c r="G1724" s="2" t="s">
        <v>1014</v>
      </c>
      <c r="H1724" s="2" t="s">
        <v>1007</v>
      </c>
      <c r="I1724" s="1" t="s">
        <v>316</v>
      </c>
      <c r="J1724" s="2" t="s">
        <v>17</v>
      </c>
      <c r="K1724" s="72">
        <v>164.26</v>
      </c>
      <c r="L1724" s="39"/>
      <c r="M1724" s="72">
        <f t="shared" si="106"/>
        <v>-164.26</v>
      </c>
      <c r="N1724" s="72">
        <f t="shared" si="107"/>
        <v>474673.03999999969</v>
      </c>
    </row>
    <row r="1725" spans="1:15" x14ac:dyDescent="0.2">
      <c r="A1725" s="73" t="s">
        <v>1302</v>
      </c>
      <c r="B1725" s="3">
        <f t="shared" si="104"/>
        <v>2025</v>
      </c>
      <c r="C1725" s="3">
        <f t="shared" si="105"/>
        <v>9</v>
      </c>
      <c r="D1725" s="73" t="s">
        <v>893</v>
      </c>
      <c r="E1725" s="2"/>
      <c r="F1725" s="2" t="s">
        <v>304</v>
      </c>
      <c r="G1725" s="2" t="s">
        <v>1015</v>
      </c>
      <c r="H1725" s="2" t="s">
        <v>1007</v>
      </c>
      <c r="I1725" s="1" t="s">
        <v>316</v>
      </c>
      <c r="J1725" s="2" t="s">
        <v>17</v>
      </c>
      <c r="K1725" s="72">
        <v>283.25</v>
      </c>
      <c r="L1725" s="39"/>
      <c r="M1725" s="72">
        <f t="shared" si="106"/>
        <v>-283.25</v>
      </c>
      <c r="N1725" s="72">
        <f t="shared" si="107"/>
        <v>474389.78999999969</v>
      </c>
    </row>
    <row r="1726" spans="1:15" x14ac:dyDescent="0.2">
      <c r="A1726" s="73" t="s">
        <v>1302</v>
      </c>
      <c r="B1726" s="3">
        <f t="shared" si="104"/>
        <v>2025</v>
      </c>
      <c r="C1726" s="3">
        <f t="shared" si="105"/>
        <v>9</v>
      </c>
      <c r="D1726" s="73" t="s">
        <v>893</v>
      </c>
      <c r="E1726" s="2"/>
      <c r="F1726" s="2" t="s">
        <v>304</v>
      </c>
      <c r="G1726" s="2" t="s">
        <v>932</v>
      </c>
      <c r="H1726" s="2" t="s">
        <v>933</v>
      </c>
      <c r="I1726" s="1" t="s">
        <v>316</v>
      </c>
      <c r="J1726" s="2" t="s">
        <v>17</v>
      </c>
      <c r="K1726" s="72">
        <v>150</v>
      </c>
      <c r="L1726" s="39"/>
      <c r="M1726" s="72">
        <f t="shared" si="106"/>
        <v>-150</v>
      </c>
      <c r="N1726" s="72">
        <f t="shared" si="107"/>
        <v>474239.78999999969</v>
      </c>
    </row>
    <row r="1727" spans="1:15" x14ac:dyDescent="0.2">
      <c r="A1727" s="73" t="s">
        <v>1302</v>
      </c>
      <c r="B1727" s="3">
        <f t="shared" si="104"/>
        <v>2025</v>
      </c>
      <c r="C1727" s="3">
        <f t="shared" si="105"/>
        <v>9</v>
      </c>
      <c r="D1727" s="73" t="s">
        <v>893</v>
      </c>
      <c r="E1727" s="2"/>
      <c r="F1727" s="2" t="s">
        <v>304</v>
      </c>
      <c r="G1727" s="2" t="s">
        <v>995</v>
      </c>
      <c r="H1727" s="2" t="s">
        <v>992</v>
      </c>
      <c r="I1727" s="2" t="s">
        <v>316</v>
      </c>
      <c r="J1727" s="2" t="s">
        <v>22</v>
      </c>
      <c r="K1727" s="72">
        <v>26.99</v>
      </c>
      <c r="L1727" s="39"/>
      <c r="M1727" s="72">
        <f t="shared" si="106"/>
        <v>-26.99</v>
      </c>
      <c r="N1727" s="72">
        <f t="shared" si="107"/>
        <v>474212.7999999997</v>
      </c>
    </row>
    <row r="1728" spans="1:15" x14ac:dyDescent="0.2">
      <c r="A1728" s="73" t="s">
        <v>1208</v>
      </c>
      <c r="B1728" s="3">
        <f t="shared" si="104"/>
        <v>2025</v>
      </c>
      <c r="C1728" s="3">
        <f t="shared" si="105"/>
        <v>9</v>
      </c>
      <c r="D1728" s="73" t="s">
        <v>300</v>
      </c>
      <c r="E1728" s="2"/>
      <c r="F1728" s="2" t="s">
        <v>325</v>
      </c>
      <c r="G1728" s="2" t="s">
        <v>1228</v>
      </c>
      <c r="H1728" s="2" t="s">
        <v>323</v>
      </c>
      <c r="I1728" s="2" t="s">
        <v>316</v>
      </c>
      <c r="J1728" s="2" t="s">
        <v>22</v>
      </c>
      <c r="K1728" s="72">
        <v>78.5</v>
      </c>
      <c r="L1728" s="39"/>
      <c r="M1728" s="72">
        <f t="shared" si="106"/>
        <v>-78.5</v>
      </c>
      <c r="N1728" s="72">
        <f t="shared" si="107"/>
        <v>474134.2999999997</v>
      </c>
    </row>
    <row r="1729" spans="1:14" x14ac:dyDescent="0.2">
      <c r="A1729" s="73" t="s">
        <v>1208</v>
      </c>
      <c r="B1729" s="3">
        <f t="shared" si="104"/>
        <v>2025</v>
      </c>
      <c r="C1729" s="3">
        <f t="shared" si="105"/>
        <v>9</v>
      </c>
      <c r="D1729" s="73" t="s">
        <v>300</v>
      </c>
      <c r="E1729" s="2"/>
      <c r="F1729" s="2" t="s">
        <v>325</v>
      </c>
      <c r="G1729" s="2" t="s">
        <v>1228</v>
      </c>
      <c r="H1729" s="2" t="s">
        <v>323</v>
      </c>
      <c r="I1729" s="2" t="s">
        <v>316</v>
      </c>
      <c r="J1729" s="2" t="s">
        <v>22</v>
      </c>
      <c r="K1729" s="72">
        <v>1765.42</v>
      </c>
      <c r="L1729" s="39"/>
      <c r="M1729" s="72">
        <f t="shared" si="106"/>
        <v>-1765.42</v>
      </c>
      <c r="N1729" s="72">
        <f t="shared" si="107"/>
        <v>472368.87999999971</v>
      </c>
    </row>
    <row r="1730" spans="1:14" x14ac:dyDescent="0.2">
      <c r="A1730" s="73" t="s">
        <v>1208</v>
      </c>
      <c r="B1730" s="3">
        <f t="shared" ref="B1730:B1793" si="108">YEAR(A1730)</f>
        <v>2025</v>
      </c>
      <c r="C1730" s="3">
        <f t="shared" ref="C1730:C1793" si="109">MONTH(A1730)</f>
        <v>9</v>
      </c>
      <c r="D1730" s="73" t="s">
        <v>300</v>
      </c>
      <c r="E1730" s="2"/>
      <c r="F1730" s="2" t="s">
        <v>325</v>
      </c>
      <c r="G1730" s="2" t="s">
        <v>1228</v>
      </c>
      <c r="H1730" s="2" t="s">
        <v>323</v>
      </c>
      <c r="I1730" s="2" t="s">
        <v>316</v>
      </c>
      <c r="J1730" s="2" t="s">
        <v>22</v>
      </c>
      <c r="K1730" s="72">
        <v>4723.9399999999996</v>
      </c>
      <c r="L1730" s="39"/>
      <c r="M1730" s="72">
        <f t="shared" ref="M1730:M1793" si="110">IF(ISBLANK(L1730),K1730*-1,L1730)</f>
        <v>-4723.9399999999996</v>
      </c>
      <c r="N1730" s="72">
        <f t="shared" si="107"/>
        <v>467644.93999999971</v>
      </c>
    </row>
    <row r="1731" spans="1:14" x14ac:dyDescent="0.2">
      <c r="A1731" s="73" t="s">
        <v>1208</v>
      </c>
      <c r="B1731" s="3">
        <f t="shared" si="108"/>
        <v>2025</v>
      </c>
      <c r="C1731" s="3">
        <f t="shared" si="109"/>
        <v>9</v>
      </c>
      <c r="D1731" s="73" t="s">
        <v>300</v>
      </c>
      <c r="E1731" s="2"/>
      <c r="F1731" s="2" t="s">
        <v>304</v>
      </c>
      <c r="G1731" s="2" t="s">
        <v>373</v>
      </c>
      <c r="H1731" s="2" t="s">
        <v>372</v>
      </c>
      <c r="I1731" s="2" t="s">
        <v>301</v>
      </c>
      <c r="J1731" s="2" t="s">
        <v>11</v>
      </c>
      <c r="K1731" s="72">
        <v>17972.21</v>
      </c>
      <c r="L1731" s="39"/>
      <c r="M1731" s="72">
        <f t="shared" si="110"/>
        <v>-17972.21</v>
      </c>
      <c r="N1731" s="72">
        <f t="shared" ref="N1731:N1794" si="111">+N1730+M1731</f>
        <v>449672.72999999969</v>
      </c>
    </row>
    <row r="1732" spans="1:14" x14ac:dyDescent="0.2">
      <c r="A1732" s="73" t="s">
        <v>1208</v>
      </c>
      <c r="B1732" s="3">
        <f t="shared" si="108"/>
        <v>2025</v>
      </c>
      <c r="C1732" s="3">
        <f t="shared" si="109"/>
        <v>9</v>
      </c>
      <c r="D1732" s="73" t="s">
        <v>893</v>
      </c>
      <c r="E1732" s="2"/>
      <c r="F1732" s="2" t="s">
        <v>304</v>
      </c>
      <c r="G1732" s="2" t="s">
        <v>1149</v>
      </c>
      <c r="H1732" s="2" t="s">
        <v>1027</v>
      </c>
      <c r="I1732" s="2" t="s">
        <v>316</v>
      </c>
      <c r="J1732" s="2" t="s">
        <v>17</v>
      </c>
      <c r="K1732" s="72">
        <v>256.69</v>
      </c>
      <c r="L1732" s="39"/>
      <c r="M1732" s="72">
        <f t="shared" si="110"/>
        <v>-256.69</v>
      </c>
      <c r="N1732" s="72">
        <f t="shared" si="111"/>
        <v>449416.03999999969</v>
      </c>
    </row>
    <row r="1733" spans="1:14" x14ac:dyDescent="0.2">
      <c r="A1733" s="73" t="s">
        <v>1208</v>
      </c>
      <c r="B1733" s="3">
        <f t="shared" si="108"/>
        <v>2025</v>
      </c>
      <c r="C1733" s="3">
        <f t="shared" si="109"/>
        <v>9</v>
      </c>
      <c r="D1733" s="73" t="s">
        <v>893</v>
      </c>
      <c r="E1733" s="2"/>
      <c r="F1733" s="2" t="s">
        <v>304</v>
      </c>
      <c r="G1733" s="2" t="s">
        <v>916</v>
      </c>
      <c r="H1733" s="2" t="s">
        <v>917</v>
      </c>
      <c r="I1733" s="2" t="s">
        <v>350</v>
      </c>
      <c r="J1733" s="1" t="s">
        <v>477</v>
      </c>
      <c r="K1733" s="72">
        <v>494.34</v>
      </c>
      <c r="L1733" s="39"/>
      <c r="M1733" s="72">
        <f t="shared" si="110"/>
        <v>-494.34</v>
      </c>
      <c r="N1733" s="72">
        <f t="shared" si="111"/>
        <v>448921.69999999966</v>
      </c>
    </row>
    <row r="1734" spans="1:14" x14ac:dyDescent="0.2">
      <c r="A1734" s="73" t="s">
        <v>1208</v>
      </c>
      <c r="B1734" s="3">
        <f t="shared" si="108"/>
        <v>2025</v>
      </c>
      <c r="C1734" s="3">
        <f t="shared" si="109"/>
        <v>9</v>
      </c>
      <c r="D1734" s="73" t="s">
        <v>300</v>
      </c>
      <c r="E1734" s="2"/>
      <c r="F1734" s="2" t="s">
        <v>304</v>
      </c>
      <c r="G1734" s="2" t="s">
        <v>344</v>
      </c>
      <c r="H1734" s="2" t="s">
        <v>343</v>
      </c>
      <c r="I1734" s="2" t="s">
        <v>301</v>
      </c>
      <c r="J1734" s="2" t="s">
        <v>11</v>
      </c>
      <c r="K1734" s="72">
        <v>12773.33</v>
      </c>
      <c r="L1734" s="39"/>
      <c r="M1734" s="72">
        <f t="shared" si="110"/>
        <v>-12773.33</v>
      </c>
      <c r="N1734" s="72">
        <f t="shared" si="111"/>
        <v>436148.36999999965</v>
      </c>
    </row>
    <row r="1735" spans="1:14" x14ac:dyDescent="0.2">
      <c r="A1735" s="73" t="s">
        <v>1208</v>
      </c>
      <c r="B1735" s="3">
        <f t="shared" si="108"/>
        <v>2025</v>
      </c>
      <c r="C1735" s="3">
        <f t="shared" si="109"/>
        <v>9</v>
      </c>
      <c r="D1735" s="73" t="s">
        <v>300</v>
      </c>
      <c r="E1735" s="2"/>
      <c r="F1735" s="2" t="s">
        <v>304</v>
      </c>
      <c r="G1735" s="2" t="s">
        <v>303</v>
      </c>
      <c r="H1735" s="2" t="s">
        <v>302</v>
      </c>
      <c r="I1735" s="2" t="s">
        <v>301</v>
      </c>
      <c r="J1735" s="2" t="s">
        <v>11</v>
      </c>
      <c r="K1735" s="72">
        <v>208.34</v>
      </c>
      <c r="L1735" s="39"/>
      <c r="M1735" s="72">
        <f t="shared" si="110"/>
        <v>-208.34</v>
      </c>
      <c r="N1735" s="72">
        <f t="shared" si="111"/>
        <v>435940.02999999962</v>
      </c>
    </row>
    <row r="1736" spans="1:14" x14ac:dyDescent="0.2">
      <c r="A1736" s="73" t="s">
        <v>1208</v>
      </c>
      <c r="B1736" s="3">
        <f t="shared" si="108"/>
        <v>2025</v>
      </c>
      <c r="C1736" s="3">
        <f t="shared" si="109"/>
        <v>9</v>
      </c>
      <c r="D1736" s="73" t="s">
        <v>300</v>
      </c>
      <c r="E1736" s="2"/>
      <c r="F1736" s="2" t="s">
        <v>299</v>
      </c>
      <c r="G1736" s="2"/>
      <c r="H1736" s="2" t="s">
        <v>298</v>
      </c>
      <c r="I1736" s="2" t="s">
        <v>297</v>
      </c>
      <c r="J1736" s="2" t="s">
        <v>296</v>
      </c>
      <c r="K1736" s="72"/>
      <c r="L1736" s="39">
        <v>37521.74</v>
      </c>
      <c r="M1736" s="72">
        <f t="shared" si="110"/>
        <v>37521.74</v>
      </c>
      <c r="N1736" s="72">
        <f t="shared" si="111"/>
        <v>473461.76999999961</v>
      </c>
    </row>
    <row r="1737" spans="1:14" x14ac:dyDescent="0.2">
      <c r="A1737" s="73" t="s">
        <v>1209</v>
      </c>
      <c r="B1737" s="3">
        <f t="shared" si="108"/>
        <v>2025</v>
      </c>
      <c r="C1737" s="3">
        <f t="shared" si="109"/>
        <v>9</v>
      </c>
      <c r="D1737" s="73" t="s">
        <v>300</v>
      </c>
      <c r="E1737" s="2"/>
      <c r="F1737" s="2" t="s">
        <v>304</v>
      </c>
      <c r="G1737" s="2" t="s">
        <v>336</v>
      </c>
      <c r="H1737" s="2" t="s">
        <v>766</v>
      </c>
      <c r="I1737" s="2" t="s">
        <v>301</v>
      </c>
      <c r="J1737" s="2" t="s">
        <v>11</v>
      </c>
      <c r="K1737" s="72">
        <v>67.28</v>
      </c>
      <c r="L1737" s="39"/>
      <c r="M1737" s="72">
        <f t="shared" si="110"/>
        <v>-67.28</v>
      </c>
      <c r="N1737" s="72">
        <f t="shared" si="111"/>
        <v>473394.48999999958</v>
      </c>
    </row>
    <row r="1738" spans="1:14" x14ac:dyDescent="0.2">
      <c r="A1738" s="73" t="s">
        <v>1209</v>
      </c>
      <c r="B1738" s="3">
        <f t="shared" si="108"/>
        <v>2025</v>
      </c>
      <c r="C1738" s="3">
        <f t="shared" si="109"/>
        <v>9</v>
      </c>
      <c r="D1738" s="73" t="s">
        <v>300</v>
      </c>
      <c r="E1738" s="2"/>
      <c r="F1738" s="2" t="s">
        <v>325</v>
      </c>
      <c r="G1738" s="2" t="s">
        <v>694</v>
      </c>
      <c r="H1738" s="2" t="s">
        <v>323</v>
      </c>
      <c r="I1738" s="2" t="s">
        <v>316</v>
      </c>
      <c r="J1738" s="2" t="s">
        <v>34</v>
      </c>
      <c r="K1738" s="72">
        <v>3545.63</v>
      </c>
      <c r="L1738" s="39"/>
      <c r="M1738" s="72">
        <f t="shared" si="110"/>
        <v>-3545.63</v>
      </c>
      <c r="N1738" s="72">
        <f t="shared" si="111"/>
        <v>469848.85999999958</v>
      </c>
    </row>
    <row r="1739" spans="1:14" x14ac:dyDescent="0.2">
      <c r="A1739" s="73" t="s">
        <v>1209</v>
      </c>
      <c r="B1739" s="3">
        <f t="shared" si="108"/>
        <v>2025</v>
      </c>
      <c r="C1739" s="3">
        <f t="shared" si="109"/>
        <v>9</v>
      </c>
      <c r="D1739" s="73" t="s">
        <v>893</v>
      </c>
      <c r="E1739" s="2"/>
      <c r="F1739" s="2" t="s">
        <v>304</v>
      </c>
      <c r="G1739" s="2" t="s">
        <v>995</v>
      </c>
      <c r="H1739" s="2" t="s">
        <v>992</v>
      </c>
      <c r="I1739" s="2" t="s">
        <v>316</v>
      </c>
      <c r="J1739" s="2" t="s">
        <v>22</v>
      </c>
      <c r="K1739" s="72">
        <v>17.989999999999998</v>
      </c>
      <c r="L1739" s="39"/>
      <c r="M1739" s="72">
        <f t="shared" si="110"/>
        <v>-17.989999999999998</v>
      </c>
      <c r="N1739" s="72">
        <f t="shared" si="111"/>
        <v>469830.86999999959</v>
      </c>
    </row>
    <row r="1740" spans="1:14" x14ac:dyDescent="0.2">
      <c r="A1740" s="73" t="s">
        <v>1209</v>
      </c>
      <c r="B1740" s="3">
        <f t="shared" si="108"/>
        <v>2025</v>
      </c>
      <c r="C1740" s="3">
        <f t="shared" si="109"/>
        <v>9</v>
      </c>
      <c r="D1740" s="73" t="s">
        <v>893</v>
      </c>
      <c r="E1740" s="2"/>
      <c r="F1740" s="2" t="s">
        <v>304</v>
      </c>
      <c r="G1740" s="2" t="s">
        <v>1193</v>
      </c>
      <c r="H1740" s="2" t="s">
        <v>1313</v>
      </c>
      <c r="I1740" s="2" t="s">
        <v>316</v>
      </c>
      <c r="J1740" s="2" t="s">
        <v>22</v>
      </c>
      <c r="K1740" s="72">
        <v>1899</v>
      </c>
      <c r="L1740" s="39"/>
      <c r="M1740" s="72">
        <f t="shared" si="110"/>
        <v>-1899</v>
      </c>
      <c r="N1740" s="72">
        <f t="shared" si="111"/>
        <v>467931.86999999959</v>
      </c>
    </row>
    <row r="1741" spans="1:14" x14ac:dyDescent="0.2">
      <c r="A1741" s="73" t="s">
        <v>1209</v>
      </c>
      <c r="B1741" s="3">
        <f t="shared" si="108"/>
        <v>2025</v>
      </c>
      <c r="C1741" s="3">
        <f t="shared" si="109"/>
        <v>9</v>
      </c>
      <c r="D1741" s="73" t="s">
        <v>300</v>
      </c>
      <c r="E1741" s="2"/>
      <c r="F1741" s="2" t="s">
        <v>299</v>
      </c>
      <c r="G1741" s="2"/>
      <c r="H1741" s="2" t="s">
        <v>298</v>
      </c>
      <c r="I1741" s="2" t="s">
        <v>297</v>
      </c>
      <c r="J1741" s="2" t="s">
        <v>296</v>
      </c>
      <c r="K1741" s="72"/>
      <c r="L1741" s="39">
        <v>3612.91</v>
      </c>
      <c r="M1741" s="72">
        <f t="shared" si="110"/>
        <v>3612.91</v>
      </c>
      <c r="N1741" s="72">
        <f t="shared" si="111"/>
        <v>471544.77999999956</v>
      </c>
    </row>
    <row r="1742" spans="1:14" x14ac:dyDescent="0.2">
      <c r="A1742" s="73" t="s">
        <v>1303</v>
      </c>
      <c r="B1742" s="3">
        <f t="shared" si="108"/>
        <v>2025</v>
      </c>
      <c r="C1742" s="3">
        <f t="shared" si="109"/>
        <v>9</v>
      </c>
      <c r="D1742" s="73" t="s">
        <v>893</v>
      </c>
      <c r="E1742" s="2"/>
      <c r="F1742" s="2" t="s">
        <v>304</v>
      </c>
      <c r="G1742" s="2" t="s">
        <v>1006</v>
      </c>
      <c r="H1742" s="2" t="s">
        <v>1007</v>
      </c>
      <c r="I1742" s="1" t="s">
        <v>316</v>
      </c>
      <c r="J1742" s="2" t="s">
        <v>17</v>
      </c>
      <c r="K1742" s="72">
        <v>21.19</v>
      </c>
      <c r="L1742" s="39"/>
      <c r="M1742" s="72">
        <f t="shared" si="110"/>
        <v>-21.19</v>
      </c>
      <c r="N1742" s="72">
        <f t="shared" si="111"/>
        <v>471523.58999999956</v>
      </c>
    </row>
    <row r="1743" spans="1:14" x14ac:dyDescent="0.2">
      <c r="A1743" s="73" t="s">
        <v>1210</v>
      </c>
      <c r="B1743" s="3">
        <f t="shared" si="108"/>
        <v>2025</v>
      </c>
      <c r="C1743" s="3">
        <f t="shared" si="109"/>
        <v>9</v>
      </c>
      <c r="D1743" s="73" t="s">
        <v>893</v>
      </c>
      <c r="E1743" s="2"/>
      <c r="F1743" s="2" t="s">
        <v>304</v>
      </c>
      <c r="G1743" s="2" t="s">
        <v>1314</v>
      </c>
      <c r="H1743" s="2" t="s">
        <v>923</v>
      </c>
      <c r="I1743" s="2" t="s">
        <v>316</v>
      </c>
      <c r="J1743" s="2" t="s">
        <v>22</v>
      </c>
      <c r="K1743" s="72">
        <v>63.04</v>
      </c>
      <c r="L1743" s="39"/>
      <c r="M1743" s="72">
        <f t="shared" si="110"/>
        <v>-63.04</v>
      </c>
      <c r="N1743" s="72">
        <f t="shared" si="111"/>
        <v>471460.54999999958</v>
      </c>
    </row>
    <row r="1744" spans="1:14" x14ac:dyDescent="0.2">
      <c r="A1744" s="73" t="s">
        <v>1210</v>
      </c>
      <c r="B1744" s="3">
        <f t="shared" si="108"/>
        <v>2025</v>
      </c>
      <c r="C1744" s="3">
        <f t="shared" si="109"/>
        <v>9</v>
      </c>
      <c r="D1744" s="73" t="s">
        <v>893</v>
      </c>
      <c r="E1744" s="2"/>
      <c r="F1744" s="2" t="s">
        <v>304</v>
      </c>
      <c r="G1744" s="2" t="s">
        <v>1315</v>
      </c>
      <c r="H1744" s="2" t="s">
        <v>923</v>
      </c>
      <c r="I1744" s="2" t="s">
        <v>316</v>
      </c>
      <c r="J1744" s="2" t="s">
        <v>22</v>
      </c>
      <c r="K1744" s="72">
        <v>933.97</v>
      </c>
      <c r="L1744" s="39"/>
      <c r="M1744" s="72">
        <f t="shared" si="110"/>
        <v>-933.97</v>
      </c>
      <c r="N1744" s="72">
        <f t="shared" si="111"/>
        <v>470526.57999999961</v>
      </c>
    </row>
    <row r="1745" spans="1:14" x14ac:dyDescent="0.2">
      <c r="A1745" s="73" t="s">
        <v>1210</v>
      </c>
      <c r="B1745" s="3">
        <f t="shared" si="108"/>
        <v>2025</v>
      </c>
      <c r="C1745" s="3">
        <f t="shared" si="109"/>
        <v>9</v>
      </c>
      <c r="D1745" s="73" t="s">
        <v>300</v>
      </c>
      <c r="E1745" s="2"/>
      <c r="F1745" s="2" t="s">
        <v>304</v>
      </c>
      <c r="G1745" s="2" t="s">
        <v>377</v>
      </c>
      <c r="H1745" s="2" t="s">
        <v>376</v>
      </c>
      <c r="I1745" s="2" t="s">
        <v>301</v>
      </c>
      <c r="J1745" s="2" t="s">
        <v>11</v>
      </c>
      <c r="K1745" s="72">
        <v>1118.8499999999999</v>
      </c>
      <c r="L1745" s="39"/>
      <c r="M1745" s="72">
        <f t="shared" si="110"/>
        <v>-1118.8499999999999</v>
      </c>
      <c r="N1745" s="72">
        <f t="shared" si="111"/>
        <v>469407.72999999963</v>
      </c>
    </row>
    <row r="1746" spans="1:14" x14ac:dyDescent="0.2">
      <c r="A1746" s="73" t="s">
        <v>1210</v>
      </c>
      <c r="B1746" s="3">
        <f t="shared" si="108"/>
        <v>2025</v>
      </c>
      <c r="C1746" s="3">
        <f t="shared" si="109"/>
        <v>9</v>
      </c>
      <c r="D1746" s="73" t="s">
        <v>893</v>
      </c>
      <c r="E1746" s="2"/>
      <c r="F1746" s="2" t="s">
        <v>304</v>
      </c>
      <c r="G1746" s="2" t="s">
        <v>1023</v>
      </c>
      <c r="H1746" s="2" t="s">
        <v>1007</v>
      </c>
      <c r="I1746" s="1" t="s">
        <v>316</v>
      </c>
      <c r="J1746" s="2" t="s">
        <v>17</v>
      </c>
      <c r="K1746" s="72">
        <v>31.8</v>
      </c>
      <c r="L1746" s="39"/>
      <c r="M1746" s="72">
        <f t="shared" si="110"/>
        <v>-31.8</v>
      </c>
      <c r="N1746" s="72">
        <f t="shared" si="111"/>
        <v>469375.92999999964</v>
      </c>
    </row>
    <row r="1747" spans="1:14" x14ac:dyDescent="0.2">
      <c r="A1747" s="73" t="s">
        <v>1210</v>
      </c>
      <c r="B1747" s="3">
        <f t="shared" si="108"/>
        <v>2025</v>
      </c>
      <c r="C1747" s="3">
        <f t="shared" si="109"/>
        <v>9</v>
      </c>
      <c r="D1747" s="73" t="s">
        <v>893</v>
      </c>
      <c r="E1747" s="2"/>
      <c r="F1747" s="2" t="s">
        <v>304</v>
      </c>
      <c r="G1747" s="2" t="s">
        <v>1193</v>
      </c>
      <c r="H1747" s="2" t="s">
        <v>1316</v>
      </c>
      <c r="I1747" s="2" t="s">
        <v>316</v>
      </c>
      <c r="J1747" s="2" t="s">
        <v>22</v>
      </c>
      <c r="K1747" s="72">
        <v>1899</v>
      </c>
      <c r="L1747" s="39"/>
      <c r="M1747" s="72">
        <f t="shared" si="110"/>
        <v>-1899</v>
      </c>
      <c r="N1747" s="72">
        <f t="shared" si="111"/>
        <v>467476.92999999964</v>
      </c>
    </row>
    <row r="1748" spans="1:14" x14ac:dyDescent="0.2">
      <c r="A1748" s="73" t="s">
        <v>1210</v>
      </c>
      <c r="B1748" s="3">
        <f t="shared" si="108"/>
        <v>2025</v>
      </c>
      <c r="C1748" s="3">
        <f t="shared" si="109"/>
        <v>9</v>
      </c>
      <c r="D1748" s="73" t="s">
        <v>300</v>
      </c>
      <c r="E1748" s="2"/>
      <c r="F1748" s="2" t="s">
        <v>314</v>
      </c>
      <c r="G1748" s="2" t="s">
        <v>728</v>
      </c>
      <c r="H1748" s="2" t="s">
        <v>836</v>
      </c>
      <c r="I1748" s="2" t="s">
        <v>312</v>
      </c>
      <c r="J1748" s="2" t="s">
        <v>840</v>
      </c>
      <c r="K1748" s="72">
        <v>28508.21</v>
      </c>
      <c r="L1748" s="39"/>
      <c r="M1748" s="72">
        <f t="shared" si="110"/>
        <v>-28508.21</v>
      </c>
      <c r="N1748" s="72">
        <f t="shared" si="111"/>
        <v>438968.71999999962</v>
      </c>
    </row>
    <row r="1749" spans="1:14" x14ac:dyDescent="0.2">
      <c r="A1749" s="73" t="s">
        <v>1210</v>
      </c>
      <c r="B1749" s="3">
        <f t="shared" si="108"/>
        <v>2025</v>
      </c>
      <c r="C1749" s="3">
        <f t="shared" si="109"/>
        <v>9</v>
      </c>
      <c r="D1749" s="73" t="s">
        <v>893</v>
      </c>
      <c r="E1749" s="2"/>
      <c r="F1749" s="2" t="s">
        <v>314</v>
      </c>
      <c r="G1749" s="2" t="s">
        <v>728</v>
      </c>
      <c r="H1749" s="2" t="s">
        <v>894</v>
      </c>
      <c r="I1749" s="2" t="s">
        <v>312</v>
      </c>
      <c r="J1749" s="2" t="s">
        <v>840</v>
      </c>
      <c r="K1749" s="72"/>
      <c r="L1749" s="39">
        <v>28508.21</v>
      </c>
      <c r="M1749" s="72">
        <f t="shared" si="110"/>
        <v>28508.21</v>
      </c>
      <c r="N1749" s="72">
        <f t="shared" si="111"/>
        <v>467476.92999999964</v>
      </c>
    </row>
    <row r="1750" spans="1:14" x14ac:dyDescent="0.2">
      <c r="A1750" s="73" t="s">
        <v>1210</v>
      </c>
      <c r="B1750" s="3">
        <f t="shared" si="108"/>
        <v>2025</v>
      </c>
      <c r="C1750" s="3">
        <f t="shared" si="109"/>
        <v>9</v>
      </c>
      <c r="D1750" s="73" t="s">
        <v>300</v>
      </c>
      <c r="E1750" s="2"/>
      <c r="F1750" s="2" t="s">
        <v>299</v>
      </c>
      <c r="G1750" s="2"/>
      <c r="H1750" s="2" t="s">
        <v>298</v>
      </c>
      <c r="I1750" s="2" t="s">
        <v>297</v>
      </c>
      <c r="J1750" s="2" t="s">
        <v>296</v>
      </c>
      <c r="K1750" s="72"/>
      <c r="L1750" s="39">
        <v>1118.8499999999999</v>
      </c>
      <c r="M1750" s="72">
        <f t="shared" si="110"/>
        <v>1118.8499999999999</v>
      </c>
      <c r="N1750" s="72">
        <f t="shared" si="111"/>
        <v>468595.77999999962</v>
      </c>
    </row>
    <row r="1751" spans="1:14" x14ac:dyDescent="0.2">
      <c r="A1751" s="73" t="s">
        <v>1304</v>
      </c>
      <c r="B1751" s="3">
        <f t="shared" si="108"/>
        <v>2025</v>
      </c>
      <c r="C1751" s="3">
        <f t="shared" si="109"/>
        <v>9</v>
      </c>
      <c r="D1751" s="73" t="s">
        <v>893</v>
      </c>
      <c r="E1751" s="2"/>
      <c r="F1751" s="2" t="s">
        <v>304</v>
      </c>
      <c r="G1751" s="2" t="s">
        <v>1008</v>
      </c>
      <c r="H1751" s="2" t="s">
        <v>901</v>
      </c>
      <c r="I1751" s="1" t="s">
        <v>316</v>
      </c>
      <c r="J1751" s="2" t="s">
        <v>17</v>
      </c>
      <c r="K1751" s="72">
        <v>21.2</v>
      </c>
      <c r="L1751" s="39"/>
      <c r="M1751" s="72">
        <f t="shared" si="110"/>
        <v>-21.2</v>
      </c>
      <c r="N1751" s="72">
        <f t="shared" si="111"/>
        <v>468574.57999999961</v>
      </c>
    </row>
    <row r="1752" spans="1:14" x14ac:dyDescent="0.2">
      <c r="A1752" s="73" t="s">
        <v>1304</v>
      </c>
      <c r="B1752" s="3">
        <f t="shared" si="108"/>
        <v>2025</v>
      </c>
      <c r="C1752" s="3">
        <f t="shared" si="109"/>
        <v>9</v>
      </c>
      <c r="D1752" s="73" t="s">
        <v>893</v>
      </c>
      <c r="E1752" s="2"/>
      <c r="F1752" s="2" t="s">
        <v>304</v>
      </c>
      <c r="G1752" s="2" t="s">
        <v>1038</v>
      </c>
      <c r="H1752" s="2" t="s">
        <v>1035</v>
      </c>
      <c r="I1752" s="2" t="s">
        <v>316</v>
      </c>
      <c r="J1752" s="2" t="s">
        <v>22</v>
      </c>
      <c r="K1752" s="72">
        <v>25.15</v>
      </c>
      <c r="L1752" s="39"/>
      <c r="M1752" s="72">
        <f t="shared" si="110"/>
        <v>-25.15</v>
      </c>
      <c r="N1752" s="72">
        <f t="shared" si="111"/>
        <v>468549.42999999959</v>
      </c>
    </row>
    <row r="1753" spans="1:14" x14ac:dyDescent="0.2">
      <c r="A1753" s="73" t="s">
        <v>1304</v>
      </c>
      <c r="B1753" s="3">
        <f t="shared" si="108"/>
        <v>2025</v>
      </c>
      <c r="C1753" s="3">
        <f t="shared" si="109"/>
        <v>9</v>
      </c>
      <c r="D1753" s="73" t="s">
        <v>893</v>
      </c>
      <c r="E1753" s="2"/>
      <c r="F1753" s="2" t="s">
        <v>304</v>
      </c>
      <c r="G1753" s="2" t="s">
        <v>908</v>
      </c>
      <c r="H1753" s="2" t="s">
        <v>901</v>
      </c>
      <c r="I1753" s="1" t="s">
        <v>316</v>
      </c>
      <c r="J1753" s="2" t="s">
        <v>17</v>
      </c>
      <c r="K1753" s="72">
        <v>21.2</v>
      </c>
      <c r="L1753" s="39"/>
      <c r="M1753" s="72">
        <f t="shared" si="110"/>
        <v>-21.2</v>
      </c>
      <c r="N1753" s="72">
        <f t="shared" si="111"/>
        <v>468528.22999999957</v>
      </c>
    </row>
    <row r="1754" spans="1:14" x14ac:dyDescent="0.2">
      <c r="A1754" s="73" t="s">
        <v>1305</v>
      </c>
      <c r="B1754" s="3">
        <f t="shared" si="108"/>
        <v>2025</v>
      </c>
      <c r="C1754" s="3">
        <f t="shared" si="109"/>
        <v>9</v>
      </c>
      <c r="D1754" s="73" t="s">
        <v>893</v>
      </c>
      <c r="E1754" s="2"/>
      <c r="F1754" s="2" t="s">
        <v>304</v>
      </c>
      <c r="G1754" s="2" t="s">
        <v>995</v>
      </c>
      <c r="H1754" s="2" t="s">
        <v>992</v>
      </c>
      <c r="I1754" s="2" t="s">
        <v>316</v>
      </c>
      <c r="J1754" s="2" t="s">
        <v>22</v>
      </c>
      <c r="K1754" s="72">
        <v>55.31</v>
      </c>
      <c r="L1754" s="39"/>
      <c r="M1754" s="72">
        <f t="shared" si="110"/>
        <v>-55.31</v>
      </c>
      <c r="N1754" s="72">
        <f t="shared" si="111"/>
        <v>468472.91999999958</v>
      </c>
    </row>
    <row r="1755" spans="1:14" x14ac:dyDescent="0.2">
      <c r="A1755" s="73" t="s">
        <v>1305</v>
      </c>
      <c r="B1755" s="3">
        <f t="shared" si="108"/>
        <v>2025</v>
      </c>
      <c r="C1755" s="3">
        <f t="shared" si="109"/>
        <v>9</v>
      </c>
      <c r="D1755" s="73" t="s">
        <v>893</v>
      </c>
      <c r="E1755" s="2"/>
      <c r="F1755" s="2" t="s">
        <v>304</v>
      </c>
      <c r="G1755" s="2" t="s">
        <v>900</v>
      </c>
      <c r="H1755" s="2" t="s">
        <v>901</v>
      </c>
      <c r="I1755" s="1" t="s">
        <v>316</v>
      </c>
      <c r="J1755" s="2" t="s">
        <v>17</v>
      </c>
      <c r="K1755" s="72">
        <v>20</v>
      </c>
      <c r="L1755" s="39"/>
      <c r="M1755" s="72">
        <f t="shared" si="110"/>
        <v>-20</v>
      </c>
      <c r="N1755" s="72">
        <f t="shared" si="111"/>
        <v>468452.91999999958</v>
      </c>
    </row>
    <row r="1756" spans="1:14" x14ac:dyDescent="0.2">
      <c r="A1756" s="73" t="s">
        <v>1211</v>
      </c>
      <c r="B1756" s="3">
        <f t="shared" si="108"/>
        <v>2025</v>
      </c>
      <c r="C1756" s="3">
        <f t="shared" si="109"/>
        <v>9</v>
      </c>
      <c r="D1756" s="73" t="s">
        <v>893</v>
      </c>
      <c r="E1756" s="2"/>
      <c r="F1756" s="2" t="s">
        <v>304</v>
      </c>
      <c r="G1756" s="2" t="s">
        <v>932</v>
      </c>
      <c r="H1756" s="2" t="s">
        <v>1007</v>
      </c>
      <c r="I1756" s="1" t="s">
        <v>316</v>
      </c>
      <c r="J1756" s="2" t="s">
        <v>17</v>
      </c>
      <c r="K1756" s="72">
        <v>63.59</v>
      </c>
      <c r="L1756" s="39"/>
      <c r="M1756" s="72">
        <f t="shared" si="110"/>
        <v>-63.59</v>
      </c>
      <c r="N1756" s="72">
        <f t="shared" si="111"/>
        <v>468389.32999999955</v>
      </c>
    </row>
    <row r="1757" spans="1:14" x14ac:dyDescent="0.2">
      <c r="A1757" s="73" t="s">
        <v>1211</v>
      </c>
      <c r="B1757" s="3">
        <f t="shared" si="108"/>
        <v>2025</v>
      </c>
      <c r="C1757" s="3">
        <f t="shared" si="109"/>
        <v>9</v>
      </c>
      <c r="D1757" s="73" t="s">
        <v>893</v>
      </c>
      <c r="E1757" s="2"/>
      <c r="F1757" s="2" t="s">
        <v>304</v>
      </c>
      <c r="G1757" s="2" t="s">
        <v>908</v>
      </c>
      <c r="H1757" s="2" t="s">
        <v>919</v>
      </c>
      <c r="I1757" s="1" t="s">
        <v>316</v>
      </c>
      <c r="J1757" s="2" t="s">
        <v>17</v>
      </c>
      <c r="K1757" s="72">
        <v>21.2</v>
      </c>
      <c r="L1757" s="39"/>
      <c r="M1757" s="72">
        <f t="shared" si="110"/>
        <v>-21.2</v>
      </c>
      <c r="N1757" s="72">
        <f t="shared" si="111"/>
        <v>468368.12999999954</v>
      </c>
    </row>
    <row r="1758" spans="1:14" x14ac:dyDescent="0.2">
      <c r="A1758" s="73" t="s">
        <v>1211</v>
      </c>
      <c r="B1758" s="3">
        <f t="shared" si="108"/>
        <v>2025</v>
      </c>
      <c r="C1758" s="3">
        <f t="shared" si="109"/>
        <v>9</v>
      </c>
      <c r="D1758" s="73" t="s">
        <v>300</v>
      </c>
      <c r="E1758" s="2"/>
      <c r="F1758" s="2" t="s">
        <v>299</v>
      </c>
      <c r="G1758" s="2"/>
      <c r="H1758" s="2" t="s">
        <v>298</v>
      </c>
      <c r="I1758" s="2" t="s">
        <v>297</v>
      </c>
      <c r="J1758" s="2" t="s">
        <v>296</v>
      </c>
      <c r="K1758" s="72"/>
      <c r="L1758" s="39">
        <v>28508.21</v>
      </c>
      <c r="M1758" s="72">
        <f t="shared" si="110"/>
        <v>28508.21</v>
      </c>
      <c r="N1758" s="72">
        <f t="shared" si="111"/>
        <v>496876.33999999956</v>
      </c>
    </row>
    <row r="1759" spans="1:14" x14ac:dyDescent="0.2">
      <c r="A1759" s="73" t="s">
        <v>1212</v>
      </c>
      <c r="B1759" s="3">
        <f t="shared" si="108"/>
        <v>2025</v>
      </c>
      <c r="C1759" s="3">
        <f t="shared" si="109"/>
        <v>9</v>
      </c>
      <c r="D1759" s="73" t="s">
        <v>300</v>
      </c>
      <c r="E1759" s="2" t="s">
        <v>1229</v>
      </c>
      <c r="F1759" s="2" t="s">
        <v>325</v>
      </c>
      <c r="G1759" s="2" t="s">
        <v>369</v>
      </c>
      <c r="H1759" s="2" t="s">
        <v>323</v>
      </c>
      <c r="I1759" s="2" t="s">
        <v>316</v>
      </c>
      <c r="J1759" s="2" t="s">
        <v>360</v>
      </c>
      <c r="K1759" s="72">
        <v>1230</v>
      </c>
      <c r="L1759" s="39"/>
      <c r="M1759" s="72">
        <f t="shared" si="110"/>
        <v>-1230</v>
      </c>
      <c r="N1759" s="72">
        <f t="shared" si="111"/>
        <v>495646.33999999956</v>
      </c>
    </row>
    <row r="1760" spans="1:14" x14ac:dyDescent="0.2">
      <c r="A1760" s="73" t="s">
        <v>1212</v>
      </c>
      <c r="B1760" s="3">
        <f t="shared" si="108"/>
        <v>2025</v>
      </c>
      <c r="C1760" s="3">
        <f t="shared" si="109"/>
        <v>9</v>
      </c>
      <c r="D1760" s="73" t="s">
        <v>300</v>
      </c>
      <c r="E1760" s="2" t="s">
        <v>1230</v>
      </c>
      <c r="F1760" s="2" t="s">
        <v>325</v>
      </c>
      <c r="G1760" s="2" t="s">
        <v>369</v>
      </c>
      <c r="H1760" s="2" t="s">
        <v>323</v>
      </c>
      <c r="I1760" s="2" t="s">
        <v>316</v>
      </c>
      <c r="J1760" s="2" t="s">
        <v>360</v>
      </c>
      <c r="K1760" s="72">
        <v>2250</v>
      </c>
      <c r="L1760" s="39"/>
      <c r="M1760" s="72">
        <f t="shared" si="110"/>
        <v>-2250</v>
      </c>
      <c r="N1760" s="72">
        <f t="shared" si="111"/>
        <v>493396.33999999956</v>
      </c>
    </row>
    <row r="1761" spans="1:14" x14ac:dyDescent="0.2">
      <c r="A1761" s="73" t="s">
        <v>1212</v>
      </c>
      <c r="B1761" s="3">
        <f t="shared" si="108"/>
        <v>2025</v>
      </c>
      <c r="C1761" s="3">
        <f t="shared" si="109"/>
        <v>9</v>
      </c>
      <c r="D1761" s="73" t="s">
        <v>300</v>
      </c>
      <c r="E1761" s="2" t="s">
        <v>1231</v>
      </c>
      <c r="F1761" s="2" t="s">
        <v>325</v>
      </c>
      <c r="G1761" s="2" t="s">
        <v>369</v>
      </c>
      <c r="H1761" s="2" t="s">
        <v>323</v>
      </c>
      <c r="I1761" s="2" t="s">
        <v>316</v>
      </c>
      <c r="J1761" s="2" t="s">
        <v>360</v>
      </c>
      <c r="K1761" s="72">
        <v>850</v>
      </c>
      <c r="L1761" s="39"/>
      <c r="M1761" s="72">
        <f t="shared" si="110"/>
        <v>-850</v>
      </c>
      <c r="N1761" s="72">
        <f t="shared" si="111"/>
        <v>492546.33999999956</v>
      </c>
    </row>
    <row r="1762" spans="1:14" x14ac:dyDescent="0.2">
      <c r="A1762" s="73" t="s">
        <v>1212</v>
      </c>
      <c r="B1762" s="3">
        <f t="shared" si="108"/>
        <v>2025</v>
      </c>
      <c r="C1762" s="3">
        <f t="shared" si="109"/>
        <v>9</v>
      </c>
      <c r="D1762" s="73" t="s">
        <v>300</v>
      </c>
      <c r="E1762" s="2" t="s">
        <v>1232</v>
      </c>
      <c r="F1762" s="2" t="s">
        <v>325</v>
      </c>
      <c r="G1762" s="2" t="s">
        <v>369</v>
      </c>
      <c r="H1762" s="2" t="s">
        <v>323</v>
      </c>
      <c r="I1762" s="2" t="s">
        <v>316</v>
      </c>
      <c r="J1762" s="2" t="s">
        <v>360</v>
      </c>
      <c r="K1762" s="72">
        <v>967.5</v>
      </c>
      <c r="L1762" s="39"/>
      <c r="M1762" s="72">
        <f t="shared" si="110"/>
        <v>-967.5</v>
      </c>
      <c r="N1762" s="72">
        <f t="shared" si="111"/>
        <v>491578.83999999956</v>
      </c>
    </row>
    <row r="1763" spans="1:14" x14ac:dyDescent="0.2">
      <c r="A1763" s="73" t="s">
        <v>1212</v>
      </c>
      <c r="B1763" s="3">
        <f t="shared" si="108"/>
        <v>2025</v>
      </c>
      <c r="C1763" s="3">
        <f t="shared" si="109"/>
        <v>9</v>
      </c>
      <c r="D1763" s="73" t="s">
        <v>300</v>
      </c>
      <c r="E1763" s="2" t="s">
        <v>1233</v>
      </c>
      <c r="F1763" s="2" t="s">
        <v>325</v>
      </c>
      <c r="G1763" s="2" t="s">
        <v>368</v>
      </c>
      <c r="H1763" s="2" t="s">
        <v>323</v>
      </c>
      <c r="I1763" s="2" t="s">
        <v>350</v>
      </c>
      <c r="J1763" s="2" t="s">
        <v>27</v>
      </c>
      <c r="K1763" s="72">
        <v>12950</v>
      </c>
      <c r="L1763" s="39"/>
      <c r="M1763" s="72">
        <f t="shared" si="110"/>
        <v>-12950</v>
      </c>
      <c r="N1763" s="72">
        <f t="shared" si="111"/>
        <v>478628.83999999956</v>
      </c>
    </row>
    <row r="1764" spans="1:14" x14ac:dyDescent="0.2">
      <c r="A1764" s="73" t="s">
        <v>1212</v>
      </c>
      <c r="B1764" s="3">
        <f t="shared" si="108"/>
        <v>2025</v>
      </c>
      <c r="C1764" s="3">
        <f t="shared" si="109"/>
        <v>9</v>
      </c>
      <c r="D1764" s="73" t="s">
        <v>300</v>
      </c>
      <c r="E1764" s="2" t="s">
        <v>1234</v>
      </c>
      <c r="F1764" s="2" t="s">
        <v>325</v>
      </c>
      <c r="G1764" s="2" t="s">
        <v>366</v>
      </c>
      <c r="H1764" s="2" t="s">
        <v>323</v>
      </c>
      <c r="I1764" s="2" t="s">
        <v>350</v>
      </c>
      <c r="J1764" s="2" t="s">
        <v>27</v>
      </c>
      <c r="K1764" s="72">
        <v>967.5</v>
      </c>
      <c r="L1764" s="39"/>
      <c r="M1764" s="72">
        <f t="shared" si="110"/>
        <v>-967.5</v>
      </c>
      <c r="N1764" s="72">
        <f t="shared" si="111"/>
        <v>477661.33999999956</v>
      </c>
    </row>
    <row r="1765" spans="1:14" x14ac:dyDescent="0.2">
      <c r="A1765" s="73" t="s">
        <v>1212</v>
      </c>
      <c r="B1765" s="3">
        <f t="shared" si="108"/>
        <v>2025</v>
      </c>
      <c r="C1765" s="3">
        <f t="shared" si="109"/>
        <v>9</v>
      </c>
      <c r="D1765" s="73" t="s">
        <v>300</v>
      </c>
      <c r="E1765" s="2" t="s">
        <v>1235</v>
      </c>
      <c r="F1765" s="2" t="s">
        <v>325</v>
      </c>
      <c r="G1765" s="2" t="s">
        <v>365</v>
      </c>
      <c r="H1765" s="2" t="s">
        <v>323</v>
      </c>
      <c r="I1765" s="2" t="s">
        <v>350</v>
      </c>
      <c r="J1765" s="2" t="s">
        <v>353</v>
      </c>
      <c r="K1765" s="72">
        <v>20000</v>
      </c>
      <c r="L1765" s="39"/>
      <c r="M1765" s="72">
        <f t="shared" si="110"/>
        <v>-20000</v>
      </c>
      <c r="N1765" s="72">
        <f t="shared" si="111"/>
        <v>457661.33999999956</v>
      </c>
    </row>
    <row r="1766" spans="1:14" x14ac:dyDescent="0.2">
      <c r="A1766" s="73" t="s">
        <v>1212</v>
      </c>
      <c r="B1766" s="3">
        <f t="shared" si="108"/>
        <v>2025</v>
      </c>
      <c r="C1766" s="3">
        <f t="shared" si="109"/>
        <v>9</v>
      </c>
      <c r="D1766" s="73" t="s">
        <v>300</v>
      </c>
      <c r="E1766" s="2" t="s">
        <v>1236</v>
      </c>
      <c r="F1766" s="2" t="s">
        <v>325</v>
      </c>
      <c r="G1766" s="2" t="s">
        <v>364</v>
      </c>
      <c r="H1766" s="2" t="s">
        <v>323</v>
      </c>
      <c r="I1766" s="2" t="s">
        <v>350</v>
      </c>
      <c r="J1766" s="2" t="s">
        <v>27</v>
      </c>
      <c r="K1766" s="72">
        <v>312.5</v>
      </c>
      <c r="L1766" s="39"/>
      <c r="M1766" s="72">
        <f t="shared" si="110"/>
        <v>-312.5</v>
      </c>
      <c r="N1766" s="72">
        <f t="shared" si="111"/>
        <v>457348.83999999956</v>
      </c>
    </row>
    <row r="1767" spans="1:14" x14ac:dyDescent="0.2">
      <c r="A1767" s="73" t="s">
        <v>1212</v>
      </c>
      <c r="B1767" s="3">
        <f t="shared" si="108"/>
        <v>2025</v>
      </c>
      <c r="C1767" s="3">
        <f t="shared" si="109"/>
        <v>9</v>
      </c>
      <c r="D1767" s="73" t="s">
        <v>300</v>
      </c>
      <c r="E1767" s="2" t="s">
        <v>1237</v>
      </c>
      <c r="F1767" s="2" t="s">
        <v>325</v>
      </c>
      <c r="G1767" s="2" t="s">
        <v>1238</v>
      </c>
      <c r="H1767" s="2" t="s">
        <v>323</v>
      </c>
      <c r="I1767" s="2" t="s">
        <v>350</v>
      </c>
      <c r="J1767" s="2" t="s">
        <v>353</v>
      </c>
      <c r="K1767" s="72">
        <v>8000</v>
      </c>
      <c r="L1767" s="39"/>
      <c r="M1767" s="72">
        <f t="shared" si="110"/>
        <v>-8000</v>
      </c>
      <c r="N1767" s="72">
        <f t="shared" si="111"/>
        <v>449348.83999999956</v>
      </c>
    </row>
    <row r="1768" spans="1:14" x14ac:dyDescent="0.2">
      <c r="A1768" s="73" t="s">
        <v>1212</v>
      </c>
      <c r="B1768" s="3">
        <f t="shared" si="108"/>
        <v>2025</v>
      </c>
      <c r="C1768" s="3">
        <f t="shared" si="109"/>
        <v>9</v>
      </c>
      <c r="D1768" s="73" t="s">
        <v>300</v>
      </c>
      <c r="E1768" s="2" t="s">
        <v>1239</v>
      </c>
      <c r="F1768" s="2" t="s">
        <v>325</v>
      </c>
      <c r="G1768" s="2" t="s">
        <v>363</v>
      </c>
      <c r="H1768" s="2" t="s">
        <v>323</v>
      </c>
      <c r="I1768" s="2" t="s">
        <v>316</v>
      </c>
      <c r="J1768" s="2" t="s">
        <v>17</v>
      </c>
      <c r="K1768" s="72">
        <v>5</v>
      </c>
      <c r="L1768" s="39"/>
      <c r="M1768" s="72">
        <f t="shared" si="110"/>
        <v>-5</v>
      </c>
      <c r="N1768" s="72">
        <f t="shared" si="111"/>
        <v>449343.83999999956</v>
      </c>
    </row>
    <row r="1769" spans="1:14" x14ac:dyDescent="0.2">
      <c r="A1769" s="73" t="s">
        <v>1212</v>
      </c>
      <c r="B1769" s="3">
        <f t="shared" si="108"/>
        <v>2025</v>
      </c>
      <c r="C1769" s="3">
        <f t="shared" si="109"/>
        <v>9</v>
      </c>
      <c r="D1769" s="73" t="s">
        <v>300</v>
      </c>
      <c r="E1769" s="2" t="s">
        <v>1240</v>
      </c>
      <c r="F1769" s="2" t="s">
        <v>325</v>
      </c>
      <c r="G1769" s="2" t="s">
        <v>363</v>
      </c>
      <c r="H1769" s="2" t="s">
        <v>323</v>
      </c>
      <c r="I1769" s="2" t="s">
        <v>316</v>
      </c>
      <c r="J1769" s="2" t="s">
        <v>17</v>
      </c>
      <c r="K1769" s="72">
        <v>49</v>
      </c>
      <c r="L1769" s="39"/>
      <c r="M1769" s="72">
        <f t="shared" si="110"/>
        <v>-49</v>
      </c>
      <c r="N1769" s="72">
        <f t="shared" si="111"/>
        <v>449294.83999999956</v>
      </c>
    </row>
    <row r="1770" spans="1:14" x14ac:dyDescent="0.2">
      <c r="A1770" s="73" t="s">
        <v>1212</v>
      </c>
      <c r="B1770" s="3">
        <f t="shared" si="108"/>
        <v>2025</v>
      </c>
      <c r="C1770" s="3">
        <f t="shared" si="109"/>
        <v>9</v>
      </c>
      <c r="D1770" s="73" t="s">
        <v>300</v>
      </c>
      <c r="E1770" s="2" t="s">
        <v>1241</v>
      </c>
      <c r="F1770" s="2" t="s">
        <v>325</v>
      </c>
      <c r="G1770" s="2" t="s">
        <v>363</v>
      </c>
      <c r="H1770" s="2" t="s">
        <v>323</v>
      </c>
      <c r="I1770" s="2" t="s">
        <v>316</v>
      </c>
      <c r="J1770" s="2" t="s">
        <v>17</v>
      </c>
      <c r="K1770" s="72">
        <v>49</v>
      </c>
      <c r="L1770" s="39"/>
      <c r="M1770" s="72">
        <f t="shared" si="110"/>
        <v>-49</v>
      </c>
      <c r="N1770" s="72">
        <f t="shared" si="111"/>
        <v>449245.83999999956</v>
      </c>
    </row>
    <row r="1771" spans="1:14" x14ac:dyDescent="0.2">
      <c r="A1771" s="73" t="s">
        <v>1212</v>
      </c>
      <c r="B1771" s="3">
        <f t="shared" si="108"/>
        <v>2025</v>
      </c>
      <c r="C1771" s="3">
        <f t="shared" si="109"/>
        <v>9</v>
      </c>
      <c r="D1771" s="73" t="s">
        <v>300</v>
      </c>
      <c r="E1771" s="2" t="s">
        <v>1242</v>
      </c>
      <c r="F1771" s="2" t="s">
        <v>325</v>
      </c>
      <c r="G1771" s="2" t="s">
        <v>363</v>
      </c>
      <c r="H1771" s="2" t="s">
        <v>323</v>
      </c>
      <c r="I1771" s="2" t="s">
        <v>316</v>
      </c>
      <c r="J1771" s="2" t="s">
        <v>17</v>
      </c>
      <c r="K1771" s="72">
        <v>49</v>
      </c>
      <c r="L1771" s="39"/>
      <c r="M1771" s="72">
        <f t="shared" si="110"/>
        <v>-49</v>
      </c>
      <c r="N1771" s="72">
        <f t="shared" si="111"/>
        <v>449196.83999999956</v>
      </c>
    </row>
    <row r="1772" spans="1:14" x14ac:dyDescent="0.2">
      <c r="A1772" s="73" t="s">
        <v>1212</v>
      </c>
      <c r="B1772" s="3">
        <f t="shared" si="108"/>
        <v>2025</v>
      </c>
      <c r="C1772" s="3">
        <f t="shared" si="109"/>
        <v>9</v>
      </c>
      <c r="D1772" s="73" t="s">
        <v>300</v>
      </c>
      <c r="E1772" s="2" t="s">
        <v>1243</v>
      </c>
      <c r="F1772" s="2" t="s">
        <v>325</v>
      </c>
      <c r="G1772" s="2" t="s">
        <v>363</v>
      </c>
      <c r="H1772" s="2" t="s">
        <v>323</v>
      </c>
      <c r="I1772" s="2" t="s">
        <v>316</v>
      </c>
      <c r="J1772" s="2" t="s">
        <v>17</v>
      </c>
      <c r="K1772" s="72">
        <v>49</v>
      </c>
      <c r="L1772" s="39"/>
      <c r="M1772" s="72">
        <f t="shared" si="110"/>
        <v>-49</v>
      </c>
      <c r="N1772" s="72">
        <f t="shared" si="111"/>
        <v>449147.83999999956</v>
      </c>
    </row>
    <row r="1773" spans="1:14" x14ac:dyDescent="0.2">
      <c r="A1773" s="73" t="s">
        <v>1212</v>
      </c>
      <c r="B1773" s="3">
        <f t="shared" si="108"/>
        <v>2025</v>
      </c>
      <c r="C1773" s="3">
        <f t="shared" si="109"/>
        <v>9</v>
      </c>
      <c r="D1773" s="73" t="s">
        <v>300</v>
      </c>
      <c r="E1773" s="2" t="s">
        <v>1244</v>
      </c>
      <c r="F1773" s="2" t="s">
        <v>325</v>
      </c>
      <c r="G1773" s="2" t="s">
        <v>363</v>
      </c>
      <c r="H1773" s="2" t="s">
        <v>323</v>
      </c>
      <c r="I1773" s="2" t="s">
        <v>316</v>
      </c>
      <c r="J1773" s="2" t="s">
        <v>17</v>
      </c>
      <c r="K1773" s="72">
        <v>49</v>
      </c>
      <c r="L1773" s="39"/>
      <c r="M1773" s="72">
        <f t="shared" si="110"/>
        <v>-49</v>
      </c>
      <c r="N1773" s="72">
        <f t="shared" si="111"/>
        <v>449098.83999999956</v>
      </c>
    </row>
    <row r="1774" spans="1:14" x14ac:dyDescent="0.2">
      <c r="A1774" s="73" t="s">
        <v>1212</v>
      </c>
      <c r="B1774" s="3">
        <f t="shared" si="108"/>
        <v>2025</v>
      </c>
      <c r="C1774" s="3">
        <f t="shared" si="109"/>
        <v>9</v>
      </c>
      <c r="D1774" s="73" t="s">
        <v>300</v>
      </c>
      <c r="E1774" s="2" t="s">
        <v>1245</v>
      </c>
      <c r="F1774" s="2" t="s">
        <v>325</v>
      </c>
      <c r="G1774" s="2" t="s">
        <v>363</v>
      </c>
      <c r="H1774" s="2" t="s">
        <v>323</v>
      </c>
      <c r="I1774" s="2" t="s">
        <v>316</v>
      </c>
      <c r="J1774" s="2" t="s">
        <v>17</v>
      </c>
      <c r="K1774" s="72">
        <v>49</v>
      </c>
      <c r="L1774" s="39"/>
      <c r="M1774" s="72">
        <f t="shared" si="110"/>
        <v>-49</v>
      </c>
      <c r="N1774" s="72">
        <f t="shared" si="111"/>
        <v>449049.83999999956</v>
      </c>
    </row>
    <row r="1775" spans="1:14" x14ac:dyDescent="0.2">
      <c r="A1775" s="73" t="s">
        <v>1212</v>
      </c>
      <c r="B1775" s="3">
        <f t="shared" si="108"/>
        <v>2025</v>
      </c>
      <c r="C1775" s="3">
        <f t="shared" si="109"/>
        <v>9</v>
      </c>
      <c r="D1775" s="73" t="s">
        <v>300</v>
      </c>
      <c r="E1775" s="2" t="s">
        <v>1246</v>
      </c>
      <c r="F1775" s="2" t="s">
        <v>325</v>
      </c>
      <c r="G1775" s="2" t="s">
        <v>363</v>
      </c>
      <c r="H1775" s="2" t="s">
        <v>323</v>
      </c>
      <c r="I1775" s="2" t="s">
        <v>316</v>
      </c>
      <c r="J1775" s="2" t="s">
        <v>17</v>
      </c>
      <c r="K1775" s="72">
        <v>49</v>
      </c>
      <c r="L1775" s="39"/>
      <c r="M1775" s="72">
        <f t="shared" si="110"/>
        <v>-49</v>
      </c>
      <c r="N1775" s="72">
        <f t="shared" si="111"/>
        <v>449000.83999999956</v>
      </c>
    </row>
    <row r="1776" spans="1:14" x14ac:dyDescent="0.2">
      <c r="A1776" s="73" t="s">
        <v>1212</v>
      </c>
      <c r="B1776" s="3">
        <f t="shared" si="108"/>
        <v>2025</v>
      </c>
      <c r="C1776" s="3">
        <f t="shared" si="109"/>
        <v>9</v>
      </c>
      <c r="D1776" s="73" t="s">
        <v>300</v>
      </c>
      <c r="E1776" s="2" t="s">
        <v>1247</v>
      </c>
      <c r="F1776" s="2" t="s">
        <v>325</v>
      </c>
      <c r="G1776" s="2" t="s">
        <v>363</v>
      </c>
      <c r="H1776" s="2" t="s">
        <v>323</v>
      </c>
      <c r="I1776" s="2" t="s">
        <v>316</v>
      </c>
      <c r="J1776" s="2" t="s">
        <v>17</v>
      </c>
      <c r="K1776" s="72">
        <v>49</v>
      </c>
      <c r="L1776" s="39"/>
      <c r="M1776" s="72">
        <f t="shared" si="110"/>
        <v>-49</v>
      </c>
      <c r="N1776" s="72">
        <f t="shared" si="111"/>
        <v>448951.83999999956</v>
      </c>
    </row>
    <row r="1777" spans="1:14" x14ac:dyDescent="0.2">
      <c r="A1777" s="73" t="s">
        <v>1212</v>
      </c>
      <c r="B1777" s="3">
        <f t="shared" si="108"/>
        <v>2025</v>
      </c>
      <c r="C1777" s="3">
        <f t="shared" si="109"/>
        <v>9</v>
      </c>
      <c r="D1777" s="73" t="s">
        <v>300</v>
      </c>
      <c r="E1777" s="2" t="s">
        <v>1248</v>
      </c>
      <c r="F1777" s="2" t="s">
        <v>325</v>
      </c>
      <c r="G1777" s="2" t="s">
        <v>363</v>
      </c>
      <c r="H1777" s="2" t="s">
        <v>323</v>
      </c>
      <c r="I1777" s="2" t="s">
        <v>316</v>
      </c>
      <c r="J1777" s="2" t="s">
        <v>17</v>
      </c>
      <c r="K1777" s="72">
        <v>49</v>
      </c>
      <c r="L1777" s="39"/>
      <c r="M1777" s="72">
        <f t="shared" si="110"/>
        <v>-49</v>
      </c>
      <c r="N1777" s="72">
        <f t="shared" si="111"/>
        <v>448902.83999999956</v>
      </c>
    </row>
    <row r="1778" spans="1:14" x14ac:dyDescent="0.2">
      <c r="A1778" s="73" t="s">
        <v>1212</v>
      </c>
      <c r="B1778" s="3">
        <f t="shared" si="108"/>
        <v>2025</v>
      </c>
      <c r="C1778" s="3">
        <f t="shared" si="109"/>
        <v>9</v>
      </c>
      <c r="D1778" s="73" t="s">
        <v>300</v>
      </c>
      <c r="E1778" s="2" t="s">
        <v>1249</v>
      </c>
      <c r="F1778" s="2" t="s">
        <v>325</v>
      </c>
      <c r="G1778" s="2" t="s">
        <v>363</v>
      </c>
      <c r="H1778" s="2" t="s">
        <v>323</v>
      </c>
      <c r="I1778" s="2" t="s">
        <v>316</v>
      </c>
      <c r="J1778" s="2" t="s">
        <v>17</v>
      </c>
      <c r="K1778" s="72">
        <v>49</v>
      </c>
      <c r="L1778" s="39"/>
      <c r="M1778" s="72">
        <f t="shared" si="110"/>
        <v>-49</v>
      </c>
      <c r="N1778" s="72">
        <f t="shared" si="111"/>
        <v>448853.83999999956</v>
      </c>
    </row>
    <row r="1779" spans="1:14" x14ac:dyDescent="0.2">
      <c r="A1779" s="73" t="s">
        <v>1212</v>
      </c>
      <c r="B1779" s="3">
        <f t="shared" si="108"/>
        <v>2025</v>
      </c>
      <c r="C1779" s="3">
        <f t="shared" si="109"/>
        <v>9</v>
      </c>
      <c r="D1779" s="73" t="s">
        <v>300</v>
      </c>
      <c r="E1779" s="2" t="s">
        <v>1250</v>
      </c>
      <c r="F1779" s="2" t="s">
        <v>325</v>
      </c>
      <c r="G1779" s="2" t="s">
        <v>363</v>
      </c>
      <c r="H1779" s="2" t="s">
        <v>323</v>
      </c>
      <c r="I1779" s="2" t="s">
        <v>316</v>
      </c>
      <c r="J1779" s="2" t="s">
        <v>17</v>
      </c>
      <c r="K1779" s="72">
        <v>49</v>
      </c>
      <c r="L1779" s="39"/>
      <c r="M1779" s="72">
        <f t="shared" si="110"/>
        <v>-49</v>
      </c>
      <c r="N1779" s="72">
        <f t="shared" si="111"/>
        <v>448804.83999999956</v>
      </c>
    </row>
    <row r="1780" spans="1:14" x14ac:dyDescent="0.2">
      <c r="A1780" s="73" t="s">
        <v>1212</v>
      </c>
      <c r="B1780" s="3">
        <f t="shared" si="108"/>
        <v>2025</v>
      </c>
      <c r="C1780" s="3">
        <f t="shared" si="109"/>
        <v>9</v>
      </c>
      <c r="D1780" s="73" t="s">
        <v>300</v>
      </c>
      <c r="E1780" s="2" t="s">
        <v>1251</v>
      </c>
      <c r="F1780" s="2" t="s">
        <v>325</v>
      </c>
      <c r="G1780" s="2" t="s">
        <v>363</v>
      </c>
      <c r="H1780" s="2" t="s">
        <v>323</v>
      </c>
      <c r="I1780" s="2" t="s">
        <v>316</v>
      </c>
      <c r="J1780" s="2" t="s">
        <v>17</v>
      </c>
      <c r="K1780" s="72">
        <v>49</v>
      </c>
      <c r="L1780" s="39"/>
      <c r="M1780" s="72">
        <f t="shared" si="110"/>
        <v>-49</v>
      </c>
      <c r="N1780" s="72">
        <f t="shared" si="111"/>
        <v>448755.83999999956</v>
      </c>
    </row>
    <row r="1781" spans="1:14" x14ac:dyDescent="0.2">
      <c r="A1781" s="73" t="s">
        <v>1212</v>
      </c>
      <c r="B1781" s="3">
        <f t="shared" si="108"/>
        <v>2025</v>
      </c>
      <c r="C1781" s="3">
        <f t="shared" si="109"/>
        <v>9</v>
      </c>
      <c r="D1781" s="73" t="s">
        <v>300</v>
      </c>
      <c r="E1781" s="2" t="s">
        <v>1252</v>
      </c>
      <c r="F1781" s="2" t="s">
        <v>325</v>
      </c>
      <c r="G1781" s="2" t="s">
        <v>363</v>
      </c>
      <c r="H1781" s="2" t="s">
        <v>323</v>
      </c>
      <c r="I1781" s="2" t="s">
        <v>316</v>
      </c>
      <c r="J1781" s="2" t="s">
        <v>17</v>
      </c>
      <c r="K1781" s="72">
        <v>49</v>
      </c>
      <c r="L1781" s="39"/>
      <c r="M1781" s="72">
        <f t="shared" si="110"/>
        <v>-49</v>
      </c>
      <c r="N1781" s="72">
        <f t="shared" si="111"/>
        <v>448706.83999999956</v>
      </c>
    </row>
    <row r="1782" spans="1:14" x14ac:dyDescent="0.2">
      <c r="A1782" s="73" t="s">
        <v>1212</v>
      </c>
      <c r="B1782" s="3">
        <f t="shared" si="108"/>
        <v>2025</v>
      </c>
      <c r="C1782" s="3">
        <f t="shared" si="109"/>
        <v>9</v>
      </c>
      <c r="D1782" s="73" t="s">
        <v>300</v>
      </c>
      <c r="E1782" s="2" t="s">
        <v>1253</v>
      </c>
      <c r="F1782" s="2" t="s">
        <v>325</v>
      </c>
      <c r="G1782" s="2" t="s">
        <v>363</v>
      </c>
      <c r="H1782" s="2" t="s">
        <v>323</v>
      </c>
      <c r="I1782" s="2" t="s">
        <v>316</v>
      </c>
      <c r="J1782" s="2" t="s">
        <v>17</v>
      </c>
      <c r="K1782" s="72">
        <v>49</v>
      </c>
      <c r="L1782" s="39"/>
      <c r="M1782" s="72">
        <f t="shared" si="110"/>
        <v>-49</v>
      </c>
      <c r="N1782" s="72">
        <f t="shared" si="111"/>
        <v>448657.83999999956</v>
      </c>
    </row>
    <row r="1783" spans="1:14" x14ac:dyDescent="0.2">
      <c r="A1783" s="73" t="s">
        <v>1212</v>
      </c>
      <c r="B1783" s="3">
        <f t="shared" si="108"/>
        <v>2025</v>
      </c>
      <c r="C1783" s="3">
        <f t="shared" si="109"/>
        <v>9</v>
      </c>
      <c r="D1783" s="73" t="s">
        <v>300</v>
      </c>
      <c r="E1783" s="2" t="s">
        <v>1254</v>
      </c>
      <c r="F1783" s="2" t="s">
        <v>325</v>
      </c>
      <c r="G1783" s="2" t="s">
        <v>363</v>
      </c>
      <c r="H1783" s="2" t="s">
        <v>323</v>
      </c>
      <c r="I1783" s="2" t="s">
        <v>316</v>
      </c>
      <c r="J1783" s="2" t="s">
        <v>17</v>
      </c>
      <c r="K1783" s="72">
        <v>49</v>
      </c>
      <c r="L1783" s="39"/>
      <c r="M1783" s="72">
        <f t="shared" si="110"/>
        <v>-49</v>
      </c>
      <c r="N1783" s="72">
        <f t="shared" si="111"/>
        <v>448608.83999999956</v>
      </c>
    </row>
    <row r="1784" spans="1:14" x14ac:dyDescent="0.2">
      <c r="A1784" s="73" t="s">
        <v>1212</v>
      </c>
      <c r="B1784" s="3">
        <f t="shared" si="108"/>
        <v>2025</v>
      </c>
      <c r="C1784" s="3">
        <f t="shared" si="109"/>
        <v>9</v>
      </c>
      <c r="D1784" s="73" t="s">
        <v>300</v>
      </c>
      <c r="E1784" s="2" t="s">
        <v>1255</v>
      </c>
      <c r="F1784" s="2" t="s">
        <v>325</v>
      </c>
      <c r="G1784" s="2" t="s">
        <v>363</v>
      </c>
      <c r="H1784" s="2" t="s">
        <v>323</v>
      </c>
      <c r="I1784" s="2" t="s">
        <v>316</v>
      </c>
      <c r="J1784" s="2" t="s">
        <v>17</v>
      </c>
      <c r="K1784" s="72">
        <v>49</v>
      </c>
      <c r="L1784" s="39"/>
      <c r="M1784" s="72">
        <f t="shared" si="110"/>
        <v>-49</v>
      </c>
      <c r="N1784" s="72">
        <f t="shared" si="111"/>
        <v>448559.83999999956</v>
      </c>
    </row>
    <row r="1785" spans="1:14" x14ac:dyDescent="0.2">
      <c r="A1785" s="73" t="s">
        <v>1212</v>
      </c>
      <c r="B1785" s="3">
        <f t="shared" si="108"/>
        <v>2025</v>
      </c>
      <c r="C1785" s="3">
        <f t="shared" si="109"/>
        <v>9</v>
      </c>
      <c r="D1785" s="73" t="s">
        <v>300</v>
      </c>
      <c r="E1785" s="2" t="s">
        <v>1256</v>
      </c>
      <c r="F1785" s="2" t="s">
        <v>325</v>
      </c>
      <c r="G1785" s="2" t="s">
        <v>363</v>
      </c>
      <c r="H1785" s="2" t="s">
        <v>323</v>
      </c>
      <c r="I1785" s="2" t="s">
        <v>316</v>
      </c>
      <c r="J1785" s="2" t="s">
        <v>17</v>
      </c>
      <c r="K1785" s="72">
        <v>49</v>
      </c>
      <c r="L1785" s="39"/>
      <c r="M1785" s="72">
        <f t="shared" si="110"/>
        <v>-49</v>
      </c>
      <c r="N1785" s="72">
        <f t="shared" si="111"/>
        <v>448510.83999999956</v>
      </c>
    </row>
    <row r="1786" spans="1:14" x14ac:dyDescent="0.2">
      <c r="A1786" s="73" t="s">
        <v>1212</v>
      </c>
      <c r="B1786" s="3">
        <f t="shared" si="108"/>
        <v>2025</v>
      </c>
      <c r="C1786" s="3">
        <f t="shared" si="109"/>
        <v>9</v>
      </c>
      <c r="D1786" s="73" t="s">
        <v>300</v>
      </c>
      <c r="E1786" s="2" t="s">
        <v>1257</v>
      </c>
      <c r="F1786" s="2" t="s">
        <v>325</v>
      </c>
      <c r="G1786" s="2" t="s">
        <v>363</v>
      </c>
      <c r="H1786" s="2" t="s">
        <v>323</v>
      </c>
      <c r="I1786" s="2" t="s">
        <v>316</v>
      </c>
      <c r="J1786" s="2" t="s">
        <v>17</v>
      </c>
      <c r="K1786" s="72">
        <v>49</v>
      </c>
      <c r="L1786" s="39"/>
      <c r="M1786" s="72">
        <f t="shared" si="110"/>
        <v>-49</v>
      </c>
      <c r="N1786" s="72">
        <f t="shared" si="111"/>
        <v>448461.83999999956</v>
      </c>
    </row>
    <row r="1787" spans="1:14" x14ac:dyDescent="0.2">
      <c r="A1787" s="73" t="s">
        <v>1212</v>
      </c>
      <c r="B1787" s="3">
        <f t="shared" si="108"/>
        <v>2025</v>
      </c>
      <c r="C1787" s="3">
        <f t="shared" si="109"/>
        <v>9</v>
      </c>
      <c r="D1787" s="73" t="s">
        <v>300</v>
      </c>
      <c r="E1787" s="2" t="s">
        <v>1258</v>
      </c>
      <c r="F1787" s="2" t="s">
        <v>325</v>
      </c>
      <c r="G1787" s="2" t="s">
        <v>363</v>
      </c>
      <c r="H1787" s="2" t="s">
        <v>323</v>
      </c>
      <c r="I1787" s="2" t="s">
        <v>316</v>
      </c>
      <c r="J1787" s="2" t="s">
        <v>17</v>
      </c>
      <c r="K1787" s="72">
        <v>49</v>
      </c>
      <c r="L1787" s="39"/>
      <c r="M1787" s="72">
        <f t="shared" si="110"/>
        <v>-49</v>
      </c>
      <c r="N1787" s="72">
        <f t="shared" si="111"/>
        <v>448412.83999999956</v>
      </c>
    </row>
    <row r="1788" spans="1:14" x14ac:dyDescent="0.2">
      <c r="A1788" s="73" t="s">
        <v>1212</v>
      </c>
      <c r="B1788" s="3">
        <f t="shared" si="108"/>
        <v>2025</v>
      </c>
      <c r="C1788" s="3">
        <f t="shared" si="109"/>
        <v>9</v>
      </c>
      <c r="D1788" s="73" t="s">
        <v>300</v>
      </c>
      <c r="E1788" s="2" t="s">
        <v>1259</v>
      </c>
      <c r="F1788" s="2" t="s">
        <v>325</v>
      </c>
      <c r="G1788" s="2" t="s">
        <v>363</v>
      </c>
      <c r="H1788" s="2" t="s">
        <v>323</v>
      </c>
      <c r="I1788" s="2" t="s">
        <v>316</v>
      </c>
      <c r="J1788" s="2" t="s">
        <v>17</v>
      </c>
      <c r="K1788" s="72">
        <v>49</v>
      </c>
      <c r="L1788" s="39"/>
      <c r="M1788" s="72">
        <f t="shared" si="110"/>
        <v>-49</v>
      </c>
      <c r="N1788" s="72">
        <f t="shared" si="111"/>
        <v>448363.83999999956</v>
      </c>
    </row>
    <row r="1789" spans="1:14" x14ac:dyDescent="0.2">
      <c r="A1789" s="73" t="s">
        <v>1212</v>
      </c>
      <c r="B1789" s="3">
        <f t="shared" si="108"/>
        <v>2025</v>
      </c>
      <c r="C1789" s="3">
        <f t="shared" si="109"/>
        <v>9</v>
      </c>
      <c r="D1789" s="73" t="s">
        <v>300</v>
      </c>
      <c r="E1789" s="2" t="s">
        <v>1260</v>
      </c>
      <c r="F1789" s="2" t="s">
        <v>325</v>
      </c>
      <c r="G1789" s="2" t="s">
        <v>363</v>
      </c>
      <c r="H1789" s="2" t="s">
        <v>323</v>
      </c>
      <c r="I1789" s="2" t="s">
        <v>316</v>
      </c>
      <c r="J1789" s="2" t="s">
        <v>17</v>
      </c>
      <c r="K1789" s="72">
        <v>49</v>
      </c>
      <c r="L1789" s="39"/>
      <c r="M1789" s="72">
        <f t="shared" si="110"/>
        <v>-49</v>
      </c>
      <c r="N1789" s="72">
        <f t="shared" si="111"/>
        <v>448314.83999999956</v>
      </c>
    </row>
    <row r="1790" spans="1:14" x14ac:dyDescent="0.2">
      <c r="A1790" s="73" t="s">
        <v>1212</v>
      </c>
      <c r="B1790" s="3">
        <f t="shared" si="108"/>
        <v>2025</v>
      </c>
      <c r="C1790" s="3">
        <f t="shared" si="109"/>
        <v>9</v>
      </c>
      <c r="D1790" s="73" t="s">
        <v>300</v>
      </c>
      <c r="E1790" s="2" t="s">
        <v>1261</v>
      </c>
      <c r="F1790" s="2" t="s">
        <v>325</v>
      </c>
      <c r="G1790" s="2" t="s">
        <v>363</v>
      </c>
      <c r="H1790" s="2" t="s">
        <v>323</v>
      </c>
      <c r="I1790" s="2" t="s">
        <v>316</v>
      </c>
      <c r="J1790" s="2" t="s">
        <v>17</v>
      </c>
      <c r="K1790" s="72">
        <v>49</v>
      </c>
      <c r="L1790" s="39"/>
      <c r="M1790" s="72">
        <f t="shared" si="110"/>
        <v>-49</v>
      </c>
      <c r="N1790" s="72">
        <f t="shared" si="111"/>
        <v>448265.83999999956</v>
      </c>
    </row>
    <row r="1791" spans="1:14" x14ac:dyDescent="0.2">
      <c r="A1791" s="73" t="s">
        <v>1212</v>
      </c>
      <c r="B1791" s="3">
        <f t="shared" si="108"/>
        <v>2025</v>
      </c>
      <c r="C1791" s="3">
        <f t="shared" si="109"/>
        <v>9</v>
      </c>
      <c r="D1791" s="73" t="s">
        <v>300</v>
      </c>
      <c r="E1791" s="2" t="s">
        <v>1262</v>
      </c>
      <c r="F1791" s="2" t="s">
        <v>325</v>
      </c>
      <c r="G1791" s="2" t="s">
        <v>363</v>
      </c>
      <c r="H1791" s="2" t="s">
        <v>323</v>
      </c>
      <c r="I1791" s="2" t="s">
        <v>316</v>
      </c>
      <c r="J1791" s="2" t="s">
        <v>17</v>
      </c>
      <c r="K1791" s="72">
        <v>49</v>
      </c>
      <c r="L1791" s="39"/>
      <c r="M1791" s="72">
        <f t="shared" si="110"/>
        <v>-49</v>
      </c>
      <c r="N1791" s="72">
        <f t="shared" si="111"/>
        <v>448216.83999999956</v>
      </c>
    </row>
    <row r="1792" spans="1:14" x14ac:dyDescent="0.2">
      <c r="A1792" s="73" t="s">
        <v>1212</v>
      </c>
      <c r="B1792" s="3">
        <f t="shared" si="108"/>
        <v>2025</v>
      </c>
      <c r="C1792" s="3">
        <f t="shared" si="109"/>
        <v>9</v>
      </c>
      <c r="D1792" s="73" t="s">
        <v>300</v>
      </c>
      <c r="E1792" s="2" t="s">
        <v>1263</v>
      </c>
      <c r="F1792" s="2" t="s">
        <v>325</v>
      </c>
      <c r="G1792" s="2" t="s">
        <v>363</v>
      </c>
      <c r="H1792" s="2" t="s">
        <v>323</v>
      </c>
      <c r="I1792" s="2" t="s">
        <v>316</v>
      </c>
      <c r="J1792" s="2" t="s">
        <v>17</v>
      </c>
      <c r="K1792" s="72">
        <v>49</v>
      </c>
      <c r="L1792" s="39"/>
      <c r="M1792" s="72">
        <f t="shared" si="110"/>
        <v>-49</v>
      </c>
      <c r="N1792" s="72">
        <f t="shared" si="111"/>
        <v>448167.83999999956</v>
      </c>
    </row>
    <row r="1793" spans="1:14" x14ac:dyDescent="0.2">
      <c r="A1793" s="73" t="s">
        <v>1212</v>
      </c>
      <c r="B1793" s="3">
        <f t="shared" si="108"/>
        <v>2025</v>
      </c>
      <c r="C1793" s="3">
        <f t="shared" si="109"/>
        <v>9</v>
      </c>
      <c r="D1793" s="73" t="s">
        <v>300</v>
      </c>
      <c r="E1793" s="2" t="s">
        <v>1264</v>
      </c>
      <c r="F1793" s="2" t="s">
        <v>325</v>
      </c>
      <c r="G1793" s="2" t="s">
        <v>363</v>
      </c>
      <c r="H1793" s="2" t="s">
        <v>323</v>
      </c>
      <c r="I1793" s="2" t="s">
        <v>316</v>
      </c>
      <c r="J1793" s="2" t="s">
        <v>17</v>
      </c>
      <c r="K1793" s="72">
        <v>49</v>
      </c>
      <c r="L1793" s="39"/>
      <c r="M1793" s="72">
        <f t="shared" si="110"/>
        <v>-49</v>
      </c>
      <c r="N1793" s="72">
        <f t="shared" si="111"/>
        <v>448118.83999999956</v>
      </c>
    </row>
    <row r="1794" spans="1:14" x14ac:dyDescent="0.2">
      <c r="A1794" s="73" t="s">
        <v>1212</v>
      </c>
      <c r="B1794" s="3">
        <f t="shared" ref="B1794:B1857" si="112">YEAR(A1794)</f>
        <v>2025</v>
      </c>
      <c r="C1794" s="3">
        <f t="shared" ref="C1794:C1857" si="113">MONTH(A1794)</f>
        <v>9</v>
      </c>
      <c r="D1794" s="73" t="s">
        <v>300</v>
      </c>
      <c r="E1794" s="2" t="s">
        <v>1265</v>
      </c>
      <c r="F1794" s="2" t="s">
        <v>325</v>
      </c>
      <c r="G1794" s="2" t="s">
        <v>363</v>
      </c>
      <c r="H1794" s="2" t="s">
        <v>323</v>
      </c>
      <c r="I1794" s="2" t="s">
        <v>316</v>
      </c>
      <c r="J1794" s="2" t="s">
        <v>17</v>
      </c>
      <c r="K1794" s="72">
        <v>49</v>
      </c>
      <c r="L1794" s="39"/>
      <c r="M1794" s="72">
        <f t="shared" ref="M1794:M1857" si="114">IF(ISBLANK(L1794),K1794*-1,L1794)</f>
        <v>-49</v>
      </c>
      <c r="N1794" s="72">
        <f t="shared" si="111"/>
        <v>448069.83999999956</v>
      </c>
    </row>
    <row r="1795" spans="1:14" x14ac:dyDescent="0.2">
      <c r="A1795" s="73" t="s">
        <v>1212</v>
      </c>
      <c r="B1795" s="3">
        <f t="shared" si="112"/>
        <v>2025</v>
      </c>
      <c r="C1795" s="3">
        <f t="shared" si="113"/>
        <v>9</v>
      </c>
      <c r="D1795" s="73" t="s">
        <v>300</v>
      </c>
      <c r="E1795" s="2" t="s">
        <v>1266</v>
      </c>
      <c r="F1795" s="2" t="s">
        <v>325</v>
      </c>
      <c r="G1795" s="2" t="s">
        <v>363</v>
      </c>
      <c r="H1795" s="2" t="s">
        <v>323</v>
      </c>
      <c r="I1795" s="2" t="s">
        <v>316</v>
      </c>
      <c r="J1795" s="2" t="s">
        <v>17</v>
      </c>
      <c r="K1795" s="72">
        <v>49</v>
      </c>
      <c r="L1795" s="39"/>
      <c r="M1795" s="72">
        <f t="shared" si="114"/>
        <v>-49</v>
      </c>
      <c r="N1795" s="72">
        <f t="shared" ref="N1795:N1858" si="115">+N1794+M1795</f>
        <v>448020.83999999956</v>
      </c>
    </row>
    <row r="1796" spans="1:14" x14ac:dyDescent="0.2">
      <c r="A1796" s="73" t="s">
        <v>1212</v>
      </c>
      <c r="B1796" s="3">
        <f t="shared" si="112"/>
        <v>2025</v>
      </c>
      <c r="C1796" s="3">
        <f t="shared" si="113"/>
        <v>9</v>
      </c>
      <c r="D1796" s="73" t="s">
        <v>300</v>
      </c>
      <c r="E1796" s="2" t="s">
        <v>1267</v>
      </c>
      <c r="F1796" s="2" t="s">
        <v>325</v>
      </c>
      <c r="G1796" s="2" t="s">
        <v>363</v>
      </c>
      <c r="H1796" s="2" t="s">
        <v>323</v>
      </c>
      <c r="I1796" s="2" t="s">
        <v>316</v>
      </c>
      <c r="J1796" s="2" t="s">
        <v>17</v>
      </c>
      <c r="K1796" s="72">
        <v>49</v>
      </c>
      <c r="L1796" s="39"/>
      <c r="M1796" s="72">
        <f t="shared" si="114"/>
        <v>-49</v>
      </c>
      <c r="N1796" s="72">
        <f t="shared" si="115"/>
        <v>447971.83999999956</v>
      </c>
    </row>
    <row r="1797" spans="1:14" x14ac:dyDescent="0.2">
      <c r="A1797" s="73" t="s">
        <v>1212</v>
      </c>
      <c r="B1797" s="3">
        <f t="shared" si="112"/>
        <v>2025</v>
      </c>
      <c r="C1797" s="3">
        <f t="shared" si="113"/>
        <v>9</v>
      </c>
      <c r="D1797" s="73" t="s">
        <v>300</v>
      </c>
      <c r="E1797" s="2" t="s">
        <v>1268</v>
      </c>
      <c r="F1797" s="2" t="s">
        <v>325</v>
      </c>
      <c r="G1797" s="2" t="s">
        <v>363</v>
      </c>
      <c r="H1797" s="2" t="s">
        <v>323</v>
      </c>
      <c r="I1797" s="2" t="s">
        <v>316</v>
      </c>
      <c r="J1797" s="2" t="s">
        <v>17</v>
      </c>
      <c r="K1797" s="72">
        <v>49</v>
      </c>
      <c r="L1797" s="39"/>
      <c r="M1797" s="72">
        <f t="shared" si="114"/>
        <v>-49</v>
      </c>
      <c r="N1797" s="72">
        <f t="shared" si="115"/>
        <v>447922.83999999956</v>
      </c>
    </row>
    <row r="1798" spans="1:14" x14ac:dyDescent="0.2">
      <c r="A1798" s="73" t="s">
        <v>1212</v>
      </c>
      <c r="B1798" s="3">
        <f t="shared" si="112"/>
        <v>2025</v>
      </c>
      <c r="C1798" s="3">
        <f t="shared" si="113"/>
        <v>9</v>
      </c>
      <c r="D1798" s="73" t="s">
        <v>300</v>
      </c>
      <c r="E1798" s="2" t="s">
        <v>1269</v>
      </c>
      <c r="F1798" s="2" t="s">
        <v>325</v>
      </c>
      <c r="G1798" s="2" t="s">
        <v>363</v>
      </c>
      <c r="H1798" s="2" t="s">
        <v>323</v>
      </c>
      <c r="I1798" s="2" t="s">
        <v>316</v>
      </c>
      <c r="J1798" s="2" t="s">
        <v>17</v>
      </c>
      <c r="K1798" s="72">
        <v>49</v>
      </c>
      <c r="L1798" s="39"/>
      <c r="M1798" s="72">
        <f t="shared" si="114"/>
        <v>-49</v>
      </c>
      <c r="N1798" s="72">
        <f t="shared" si="115"/>
        <v>447873.83999999956</v>
      </c>
    </row>
    <row r="1799" spans="1:14" x14ac:dyDescent="0.2">
      <c r="A1799" s="73" t="s">
        <v>1212</v>
      </c>
      <c r="B1799" s="3">
        <f t="shared" si="112"/>
        <v>2025</v>
      </c>
      <c r="C1799" s="3">
        <f t="shared" si="113"/>
        <v>9</v>
      </c>
      <c r="D1799" s="73" t="s">
        <v>300</v>
      </c>
      <c r="E1799" s="2" t="s">
        <v>1270</v>
      </c>
      <c r="F1799" s="2" t="s">
        <v>325</v>
      </c>
      <c r="G1799" s="2" t="s">
        <v>363</v>
      </c>
      <c r="H1799" s="2" t="s">
        <v>323</v>
      </c>
      <c r="I1799" s="2" t="s">
        <v>316</v>
      </c>
      <c r="J1799" s="2" t="s">
        <v>17</v>
      </c>
      <c r="K1799" s="72">
        <v>49</v>
      </c>
      <c r="L1799" s="39"/>
      <c r="M1799" s="72">
        <f t="shared" si="114"/>
        <v>-49</v>
      </c>
      <c r="N1799" s="72">
        <f t="shared" si="115"/>
        <v>447824.83999999956</v>
      </c>
    </row>
    <row r="1800" spans="1:14" x14ac:dyDescent="0.2">
      <c r="A1800" s="73" t="s">
        <v>1212</v>
      </c>
      <c r="B1800" s="3">
        <f t="shared" si="112"/>
        <v>2025</v>
      </c>
      <c r="C1800" s="3">
        <f t="shared" si="113"/>
        <v>9</v>
      </c>
      <c r="D1800" s="73" t="s">
        <v>300</v>
      </c>
      <c r="E1800" s="2" t="s">
        <v>1271</v>
      </c>
      <c r="F1800" s="2" t="s">
        <v>325</v>
      </c>
      <c r="G1800" s="2" t="s">
        <v>363</v>
      </c>
      <c r="H1800" s="2" t="s">
        <v>323</v>
      </c>
      <c r="I1800" s="2" t="s">
        <v>316</v>
      </c>
      <c r="J1800" s="2" t="s">
        <v>17</v>
      </c>
      <c r="K1800" s="72">
        <v>49</v>
      </c>
      <c r="L1800" s="39"/>
      <c r="M1800" s="72">
        <f t="shared" si="114"/>
        <v>-49</v>
      </c>
      <c r="N1800" s="72">
        <f t="shared" si="115"/>
        <v>447775.83999999956</v>
      </c>
    </row>
    <row r="1801" spans="1:14" x14ac:dyDescent="0.2">
      <c r="A1801" s="73" t="s">
        <v>1212</v>
      </c>
      <c r="B1801" s="3">
        <f t="shared" si="112"/>
        <v>2025</v>
      </c>
      <c r="C1801" s="3">
        <f t="shared" si="113"/>
        <v>9</v>
      </c>
      <c r="D1801" s="73" t="s">
        <v>300</v>
      </c>
      <c r="E1801" s="2" t="s">
        <v>1272</v>
      </c>
      <c r="F1801" s="2" t="s">
        <v>325</v>
      </c>
      <c r="G1801" s="2" t="s">
        <v>363</v>
      </c>
      <c r="H1801" s="2" t="s">
        <v>323</v>
      </c>
      <c r="I1801" s="2" t="s">
        <v>316</v>
      </c>
      <c r="J1801" s="2" t="s">
        <v>17</v>
      </c>
      <c r="K1801" s="72">
        <v>49</v>
      </c>
      <c r="L1801" s="39"/>
      <c r="M1801" s="72">
        <f t="shared" si="114"/>
        <v>-49</v>
      </c>
      <c r="N1801" s="72">
        <f t="shared" si="115"/>
        <v>447726.83999999956</v>
      </c>
    </row>
    <row r="1802" spans="1:14" x14ac:dyDescent="0.2">
      <c r="A1802" s="73" t="s">
        <v>1212</v>
      </c>
      <c r="B1802" s="3">
        <f t="shared" si="112"/>
        <v>2025</v>
      </c>
      <c r="C1802" s="3">
        <f t="shared" si="113"/>
        <v>9</v>
      </c>
      <c r="D1802" s="73" t="s">
        <v>300</v>
      </c>
      <c r="E1802" s="2" t="s">
        <v>1273</v>
      </c>
      <c r="F1802" s="2" t="s">
        <v>325</v>
      </c>
      <c r="G1802" s="2" t="s">
        <v>362</v>
      </c>
      <c r="H1802" s="2" t="s">
        <v>323</v>
      </c>
      <c r="I1802" s="2" t="s">
        <v>350</v>
      </c>
      <c r="J1802" s="2" t="s">
        <v>353</v>
      </c>
      <c r="K1802" s="72">
        <v>2012.5</v>
      </c>
      <c r="L1802" s="39"/>
      <c r="M1802" s="72">
        <f t="shared" si="114"/>
        <v>-2012.5</v>
      </c>
      <c r="N1802" s="72">
        <f t="shared" si="115"/>
        <v>445714.33999999956</v>
      </c>
    </row>
    <row r="1803" spans="1:14" x14ac:dyDescent="0.2">
      <c r="A1803" s="73" t="s">
        <v>1212</v>
      </c>
      <c r="B1803" s="3">
        <f t="shared" si="112"/>
        <v>2025</v>
      </c>
      <c r="C1803" s="3">
        <f t="shared" si="113"/>
        <v>9</v>
      </c>
      <c r="D1803" s="73" t="s">
        <v>300</v>
      </c>
      <c r="E1803" s="2" t="s">
        <v>1274</v>
      </c>
      <c r="F1803" s="2" t="s">
        <v>321</v>
      </c>
      <c r="G1803" s="2" t="s">
        <v>1275</v>
      </c>
      <c r="H1803" s="2" t="s">
        <v>319</v>
      </c>
      <c r="I1803" s="2" t="s">
        <v>315</v>
      </c>
      <c r="J1803" s="2" t="s">
        <v>23</v>
      </c>
      <c r="K1803" s="72"/>
      <c r="L1803" s="39">
        <v>30000</v>
      </c>
      <c r="M1803" s="72">
        <f t="shared" si="114"/>
        <v>30000</v>
      </c>
      <c r="N1803" s="72">
        <f t="shared" si="115"/>
        <v>475714.33999999956</v>
      </c>
    </row>
    <row r="1804" spans="1:14" x14ac:dyDescent="0.2">
      <c r="A1804" s="73" t="s">
        <v>1212</v>
      </c>
      <c r="B1804" s="3">
        <f t="shared" si="112"/>
        <v>2025</v>
      </c>
      <c r="C1804" s="3">
        <f t="shared" si="113"/>
        <v>9</v>
      </c>
      <c r="D1804" s="73" t="s">
        <v>893</v>
      </c>
      <c r="E1804" s="2"/>
      <c r="F1804" s="2" t="s">
        <v>304</v>
      </c>
      <c r="G1804" s="2" t="s">
        <v>918</v>
      </c>
      <c r="H1804" s="2" t="s">
        <v>919</v>
      </c>
      <c r="I1804" s="2" t="s">
        <v>350</v>
      </c>
      <c r="J1804" s="1" t="s">
        <v>477</v>
      </c>
      <c r="K1804" s="72">
        <v>99</v>
      </c>
      <c r="L1804" s="39"/>
      <c r="M1804" s="72">
        <f t="shared" si="114"/>
        <v>-99</v>
      </c>
      <c r="N1804" s="72">
        <f t="shared" si="115"/>
        <v>475615.33999999956</v>
      </c>
    </row>
    <row r="1805" spans="1:14" x14ac:dyDescent="0.2">
      <c r="A1805" s="73" t="s">
        <v>1212</v>
      </c>
      <c r="B1805" s="3">
        <f t="shared" si="112"/>
        <v>2025</v>
      </c>
      <c r="C1805" s="3">
        <f t="shared" si="113"/>
        <v>9</v>
      </c>
      <c r="D1805" s="73" t="s">
        <v>300</v>
      </c>
      <c r="E1805" s="2" t="s">
        <v>1276</v>
      </c>
      <c r="F1805" s="2" t="s">
        <v>325</v>
      </c>
      <c r="G1805" s="2" t="s">
        <v>361</v>
      </c>
      <c r="H1805" s="2" t="s">
        <v>323</v>
      </c>
      <c r="I1805" s="2" t="s">
        <v>316</v>
      </c>
      <c r="J1805" s="2" t="s">
        <v>360</v>
      </c>
      <c r="K1805" s="72">
        <v>20583.330000000002</v>
      </c>
      <c r="L1805" s="39"/>
      <c r="M1805" s="72">
        <f t="shared" si="114"/>
        <v>-20583.330000000002</v>
      </c>
      <c r="N1805" s="72">
        <f t="shared" si="115"/>
        <v>455032.00999999954</v>
      </c>
    </row>
    <row r="1806" spans="1:14" x14ac:dyDescent="0.2">
      <c r="A1806" s="73" t="s">
        <v>1212</v>
      </c>
      <c r="B1806" s="3">
        <f t="shared" si="112"/>
        <v>2025</v>
      </c>
      <c r="C1806" s="3">
        <f t="shared" si="113"/>
        <v>9</v>
      </c>
      <c r="D1806" s="73" t="s">
        <v>300</v>
      </c>
      <c r="E1806" s="2" t="s">
        <v>1277</v>
      </c>
      <c r="F1806" s="2" t="s">
        <v>325</v>
      </c>
      <c r="G1806" s="2" t="s">
        <v>361</v>
      </c>
      <c r="H1806" s="2" t="s">
        <v>323</v>
      </c>
      <c r="I1806" s="2" t="s">
        <v>316</v>
      </c>
      <c r="J1806" s="2" t="s">
        <v>360</v>
      </c>
      <c r="K1806" s="72">
        <v>1402.5</v>
      </c>
      <c r="L1806" s="39"/>
      <c r="M1806" s="72">
        <f t="shared" si="114"/>
        <v>-1402.5</v>
      </c>
      <c r="N1806" s="72">
        <f t="shared" si="115"/>
        <v>453629.50999999954</v>
      </c>
    </row>
    <row r="1807" spans="1:14" x14ac:dyDescent="0.2">
      <c r="A1807" s="73" t="s">
        <v>1212</v>
      </c>
      <c r="B1807" s="3">
        <f t="shared" si="112"/>
        <v>2025</v>
      </c>
      <c r="C1807" s="3">
        <f t="shared" si="113"/>
        <v>9</v>
      </c>
      <c r="D1807" s="73" t="s">
        <v>300</v>
      </c>
      <c r="E1807" s="2" t="s">
        <v>1278</v>
      </c>
      <c r="F1807" s="2" t="s">
        <v>325</v>
      </c>
      <c r="G1807" s="2" t="s">
        <v>359</v>
      </c>
      <c r="H1807" s="2" t="s">
        <v>323</v>
      </c>
      <c r="I1807" s="2" t="s">
        <v>350</v>
      </c>
      <c r="J1807" s="2" t="s">
        <v>27</v>
      </c>
      <c r="K1807" s="72">
        <v>8362.5</v>
      </c>
      <c r="L1807" s="39"/>
      <c r="M1807" s="72">
        <f t="shared" si="114"/>
        <v>-8362.5</v>
      </c>
      <c r="N1807" s="72">
        <f t="shared" si="115"/>
        <v>445267.00999999954</v>
      </c>
    </row>
    <row r="1808" spans="1:14" x14ac:dyDescent="0.2">
      <c r="A1808" s="73" t="s">
        <v>1212</v>
      </c>
      <c r="B1808" s="3">
        <f t="shared" si="112"/>
        <v>2025</v>
      </c>
      <c r="C1808" s="3">
        <f t="shared" si="113"/>
        <v>9</v>
      </c>
      <c r="D1808" s="73" t="s">
        <v>300</v>
      </c>
      <c r="E1808" s="2" t="s">
        <v>1279</v>
      </c>
      <c r="F1808" s="2" t="s">
        <v>325</v>
      </c>
      <c r="G1808" s="2" t="s">
        <v>357</v>
      </c>
      <c r="H1808" s="2" t="s">
        <v>323</v>
      </c>
      <c r="I1808" s="2" t="s">
        <v>350</v>
      </c>
      <c r="J1808" s="2" t="s">
        <v>353</v>
      </c>
      <c r="K1808" s="72">
        <v>10000</v>
      </c>
      <c r="L1808" s="39"/>
      <c r="M1808" s="72">
        <f t="shared" si="114"/>
        <v>-10000</v>
      </c>
      <c r="N1808" s="72">
        <f t="shared" si="115"/>
        <v>435267.00999999954</v>
      </c>
    </row>
    <row r="1809" spans="1:14" x14ac:dyDescent="0.2">
      <c r="A1809" s="73" t="s">
        <v>1212</v>
      </c>
      <c r="B1809" s="3">
        <f t="shared" si="112"/>
        <v>2025</v>
      </c>
      <c r="C1809" s="3">
        <f t="shared" si="113"/>
        <v>9</v>
      </c>
      <c r="D1809" s="73" t="s">
        <v>893</v>
      </c>
      <c r="E1809" s="2"/>
      <c r="F1809" s="2" t="s">
        <v>304</v>
      </c>
      <c r="G1809" s="2" t="s">
        <v>935</v>
      </c>
      <c r="H1809" s="2" t="s">
        <v>933</v>
      </c>
      <c r="I1809" s="1" t="s">
        <v>316</v>
      </c>
      <c r="J1809" s="2" t="s">
        <v>17</v>
      </c>
      <c r="K1809" s="72">
        <v>24</v>
      </c>
      <c r="L1809" s="39"/>
      <c r="M1809" s="72">
        <f t="shared" si="114"/>
        <v>-24</v>
      </c>
      <c r="N1809" s="72">
        <f t="shared" si="115"/>
        <v>435243.00999999954</v>
      </c>
    </row>
    <row r="1810" spans="1:14" x14ac:dyDescent="0.2">
      <c r="A1810" s="73" t="s">
        <v>1212</v>
      </c>
      <c r="B1810" s="3">
        <f t="shared" si="112"/>
        <v>2025</v>
      </c>
      <c r="C1810" s="3">
        <f t="shared" si="113"/>
        <v>9</v>
      </c>
      <c r="D1810" s="73" t="s">
        <v>300</v>
      </c>
      <c r="E1810" s="2"/>
      <c r="F1810" s="2" t="s">
        <v>304</v>
      </c>
      <c r="G1810" s="2" t="s">
        <v>308</v>
      </c>
      <c r="H1810" s="2" t="s">
        <v>349</v>
      </c>
      <c r="I1810" s="2" t="s">
        <v>297</v>
      </c>
      <c r="J1810" s="2" t="s">
        <v>26</v>
      </c>
      <c r="K1810" s="72">
        <v>309.17</v>
      </c>
      <c r="L1810" s="39"/>
      <c r="M1810" s="72">
        <f t="shared" si="114"/>
        <v>-309.17</v>
      </c>
      <c r="N1810" s="72">
        <f t="shared" si="115"/>
        <v>434933.83999999956</v>
      </c>
    </row>
    <row r="1811" spans="1:14" x14ac:dyDescent="0.2">
      <c r="A1811" s="73" t="s">
        <v>1212</v>
      </c>
      <c r="B1811" s="3">
        <f t="shared" si="112"/>
        <v>2025</v>
      </c>
      <c r="C1811" s="3">
        <f t="shared" si="113"/>
        <v>9</v>
      </c>
      <c r="D1811" s="73" t="s">
        <v>300</v>
      </c>
      <c r="E1811" s="2" t="s">
        <v>1280</v>
      </c>
      <c r="F1811" s="2" t="s">
        <v>325</v>
      </c>
      <c r="G1811" s="2" t="s">
        <v>7</v>
      </c>
      <c r="H1811" s="2" t="s">
        <v>323</v>
      </c>
      <c r="I1811" s="2" t="s">
        <v>350</v>
      </c>
      <c r="J1811" s="2" t="s">
        <v>27</v>
      </c>
      <c r="K1811" s="72">
        <v>3250</v>
      </c>
      <c r="L1811" s="39"/>
      <c r="M1811" s="72">
        <f t="shared" si="114"/>
        <v>-3250</v>
      </c>
      <c r="N1811" s="72">
        <f t="shared" si="115"/>
        <v>431683.83999999956</v>
      </c>
    </row>
    <row r="1812" spans="1:14" x14ac:dyDescent="0.2">
      <c r="A1812" s="73" t="s">
        <v>1212</v>
      </c>
      <c r="B1812" s="3">
        <f t="shared" si="112"/>
        <v>2025</v>
      </c>
      <c r="C1812" s="3">
        <f t="shared" si="113"/>
        <v>9</v>
      </c>
      <c r="D1812" s="73" t="s">
        <v>300</v>
      </c>
      <c r="E1812" s="2"/>
      <c r="F1812" s="2" t="s">
        <v>309</v>
      </c>
      <c r="G1812" s="2" t="s">
        <v>1281</v>
      </c>
      <c r="H1812" s="2" t="s">
        <v>384</v>
      </c>
      <c r="I1812" s="2" t="s">
        <v>316</v>
      </c>
      <c r="J1812" s="2" t="s">
        <v>21</v>
      </c>
      <c r="K1812" s="72"/>
      <c r="L1812" s="39">
        <v>32</v>
      </c>
      <c r="M1812" s="72">
        <f t="shared" si="114"/>
        <v>32</v>
      </c>
      <c r="N1812" s="72">
        <f t="shared" si="115"/>
        <v>431715.83999999956</v>
      </c>
    </row>
    <row r="1813" spans="1:14" x14ac:dyDescent="0.2">
      <c r="A1813" s="73" t="s">
        <v>1212</v>
      </c>
      <c r="B1813" s="3">
        <f t="shared" si="112"/>
        <v>2025</v>
      </c>
      <c r="C1813" s="3">
        <f t="shared" si="113"/>
        <v>9</v>
      </c>
      <c r="D1813" s="73" t="s">
        <v>300</v>
      </c>
      <c r="E1813" s="2" t="s">
        <v>1282</v>
      </c>
      <c r="F1813" s="2" t="s">
        <v>325</v>
      </c>
      <c r="G1813" s="2" t="s">
        <v>428</v>
      </c>
      <c r="H1813" s="2" t="s">
        <v>323</v>
      </c>
      <c r="I1813" s="2" t="s">
        <v>350</v>
      </c>
      <c r="J1813" s="2" t="s">
        <v>353</v>
      </c>
      <c r="K1813" s="72">
        <v>4050</v>
      </c>
      <c r="L1813" s="39"/>
      <c r="M1813" s="72">
        <f t="shared" si="114"/>
        <v>-4050</v>
      </c>
      <c r="N1813" s="72">
        <f t="shared" si="115"/>
        <v>427665.83999999956</v>
      </c>
    </row>
    <row r="1814" spans="1:14" x14ac:dyDescent="0.2">
      <c r="A1814" s="73" t="s">
        <v>1212</v>
      </c>
      <c r="B1814" s="3">
        <f t="shared" si="112"/>
        <v>2025</v>
      </c>
      <c r="C1814" s="3">
        <f t="shared" si="113"/>
        <v>9</v>
      </c>
      <c r="D1814" s="73" t="s">
        <v>300</v>
      </c>
      <c r="E1814" s="2" t="s">
        <v>1283</v>
      </c>
      <c r="F1814" s="2" t="s">
        <v>325</v>
      </c>
      <c r="G1814" s="2" t="s">
        <v>428</v>
      </c>
      <c r="H1814" s="2" t="s">
        <v>323</v>
      </c>
      <c r="I1814" s="2" t="s">
        <v>350</v>
      </c>
      <c r="J1814" s="2" t="s">
        <v>353</v>
      </c>
      <c r="K1814" s="72">
        <v>199</v>
      </c>
      <c r="L1814" s="39"/>
      <c r="M1814" s="72">
        <f t="shared" si="114"/>
        <v>-199</v>
      </c>
      <c r="N1814" s="72">
        <f t="shared" si="115"/>
        <v>427466.83999999956</v>
      </c>
    </row>
    <row r="1815" spans="1:14" x14ac:dyDescent="0.2">
      <c r="A1815" s="73" t="s">
        <v>1212</v>
      </c>
      <c r="B1815" s="3">
        <f t="shared" si="112"/>
        <v>2025</v>
      </c>
      <c r="C1815" s="3">
        <f t="shared" si="113"/>
        <v>9</v>
      </c>
      <c r="D1815" s="73" t="s">
        <v>300</v>
      </c>
      <c r="E1815" s="2" t="s">
        <v>1284</v>
      </c>
      <c r="F1815" s="2" t="s">
        <v>325</v>
      </c>
      <c r="G1815" s="2" t="s">
        <v>885</v>
      </c>
      <c r="H1815" s="2" t="s">
        <v>323</v>
      </c>
      <c r="I1815" s="2" t="s">
        <v>350</v>
      </c>
      <c r="J1815" s="2" t="s">
        <v>353</v>
      </c>
      <c r="K1815" s="72">
        <v>1140</v>
      </c>
      <c r="L1815" s="39"/>
      <c r="M1815" s="72">
        <f t="shared" si="114"/>
        <v>-1140</v>
      </c>
      <c r="N1815" s="72">
        <f t="shared" si="115"/>
        <v>426326.83999999956</v>
      </c>
    </row>
    <row r="1816" spans="1:14" x14ac:dyDescent="0.2">
      <c r="A1816" s="73" t="s">
        <v>1212</v>
      </c>
      <c r="B1816" s="3">
        <f t="shared" si="112"/>
        <v>2025</v>
      </c>
      <c r="C1816" s="3">
        <f t="shared" si="113"/>
        <v>9</v>
      </c>
      <c r="D1816" s="73" t="s">
        <v>300</v>
      </c>
      <c r="E1816" s="2" t="s">
        <v>1285</v>
      </c>
      <c r="F1816" s="2" t="s">
        <v>325</v>
      </c>
      <c r="G1816" s="2" t="s">
        <v>354</v>
      </c>
      <c r="H1816" s="2" t="s">
        <v>323</v>
      </c>
      <c r="I1816" s="2" t="s">
        <v>350</v>
      </c>
      <c r="J1816" s="2" t="s">
        <v>353</v>
      </c>
      <c r="K1816" s="72">
        <v>3360</v>
      </c>
      <c r="L1816" s="39"/>
      <c r="M1816" s="72">
        <f t="shared" si="114"/>
        <v>-3360</v>
      </c>
      <c r="N1816" s="72">
        <f t="shared" si="115"/>
        <v>422966.83999999956</v>
      </c>
    </row>
    <row r="1817" spans="1:14" x14ac:dyDescent="0.2">
      <c r="A1817" s="73" t="s">
        <v>1212</v>
      </c>
      <c r="B1817" s="3">
        <f t="shared" si="112"/>
        <v>2025</v>
      </c>
      <c r="C1817" s="3">
        <f t="shared" si="113"/>
        <v>9</v>
      </c>
      <c r="D1817" s="73" t="s">
        <v>300</v>
      </c>
      <c r="E1817" s="2" t="s">
        <v>1286</v>
      </c>
      <c r="F1817" s="2" t="s">
        <v>325</v>
      </c>
      <c r="G1817" s="2" t="s">
        <v>354</v>
      </c>
      <c r="H1817" s="2" t="s">
        <v>323</v>
      </c>
      <c r="I1817" s="2" t="s">
        <v>350</v>
      </c>
      <c r="J1817" s="2" t="s">
        <v>353</v>
      </c>
      <c r="K1817" s="72">
        <v>5880</v>
      </c>
      <c r="L1817" s="39"/>
      <c r="M1817" s="72">
        <f t="shared" si="114"/>
        <v>-5880</v>
      </c>
      <c r="N1817" s="72">
        <f t="shared" si="115"/>
        <v>417086.83999999956</v>
      </c>
    </row>
    <row r="1818" spans="1:14" x14ac:dyDescent="0.2">
      <c r="A1818" s="73" t="s">
        <v>1212</v>
      </c>
      <c r="B1818" s="3">
        <f t="shared" si="112"/>
        <v>2025</v>
      </c>
      <c r="C1818" s="3">
        <f t="shared" si="113"/>
        <v>9</v>
      </c>
      <c r="D1818" s="73" t="s">
        <v>300</v>
      </c>
      <c r="E1818" s="2"/>
      <c r="F1818" s="2" t="s">
        <v>325</v>
      </c>
      <c r="G1818" s="2" t="s">
        <v>729</v>
      </c>
      <c r="H1818" s="2" t="s">
        <v>323</v>
      </c>
      <c r="I1818" s="2" t="s">
        <v>316</v>
      </c>
      <c r="J1818" s="2" t="s">
        <v>22</v>
      </c>
      <c r="K1818" s="72">
        <v>90</v>
      </c>
      <c r="L1818" s="39"/>
      <c r="M1818" s="72">
        <f t="shared" si="114"/>
        <v>-90</v>
      </c>
      <c r="N1818" s="72">
        <f t="shared" si="115"/>
        <v>416996.83999999956</v>
      </c>
    </row>
    <row r="1819" spans="1:14" x14ac:dyDescent="0.2">
      <c r="A1819" s="73" t="s">
        <v>1212</v>
      </c>
      <c r="B1819" s="3">
        <f t="shared" si="112"/>
        <v>2025</v>
      </c>
      <c r="C1819" s="3">
        <f t="shared" si="113"/>
        <v>9</v>
      </c>
      <c r="D1819" s="73" t="s">
        <v>300</v>
      </c>
      <c r="E1819" s="2"/>
      <c r="F1819" s="2" t="s">
        <v>325</v>
      </c>
      <c r="G1819" s="2" t="s">
        <v>729</v>
      </c>
      <c r="H1819" s="2" t="s">
        <v>323</v>
      </c>
      <c r="I1819" s="2" t="s">
        <v>316</v>
      </c>
      <c r="J1819" s="2" t="s">
        <v>22</v>
      </c>
      <c r="K1819" s="72">
        <v>60</v>
      </c>
      <c r="L1819" s="39"/>
      <c r="M1819" s="72">
        <f t="shared" si="114"/>
        <v>-60</v>
      </c>
      <c r="N1819" s="72">
        <f t="shared" si="115"/>
        <v>416936.83999999956</v>
      </c>
    </row>
    <row r="1820" spans="1:14" x14ac:dyDescent="0.2">
      <c r="A1820" s="73" t="s">
        <v>1212</v>
      </c>
      <c r="B1820" s="3">
        <f t="shared" si="112"/>
        <v>2025</v>
      </c>
      <c r="C1820" s="3">
        <f t="shared" si="113"/>
        <v>9</v>
      </c>
      <c r="D1820" s="73" t="s">
        <v>300</v>
      </c>
      <c r="E1820" s="2" t="s">
        <v>1287</v>
      </c>
      <c r="F1820" s="2" t="s">
        <v>325</v>
      </c>
      <c r="G1820" s="2" t="s">
        <v>14</v>
      </c>
      <c r="H1820" s="2" t="s">
        <v>323</v>
      </c>
      <c r="I1820" s="2" t="s">
        <v>350</v>
      </c>
      <c r="J1820" s="2" t="s">
        <v>27</v>
      </c>
      <c r="K1820" s="72">
        <v>62.5</v>
      </c>
      <c r="L1820" s="39"/>
      <c r="M1820" s="72">
        <f t="shared" si="114"/>
        <v>-62.5</v>
      </c>
      <c r="N1820" s="72">
        <f t="shared" si="115"/>
        <v>416874.33999999956</v>
      </c>
    </row>
    <row r="1821" spans="1:14" x14ac:dyDescent="0.2">
      <c r="A1821" s="73" t="s">
        <v>1212</v>
      </c>
      <c r="B1821" s="3">
        <f t="shared" si="112"/>
        <v>2025</v>
      </c>
      <c r="C1821" s="3">
        <f t="shared" si="113"/>
        <v>9</v>
      </c>
      <c r="D1821" s="73" t="s">
        <v>300</v>
      </c>
      <c r="E1821" s="2" t="s">
        <v>1288</v>
      </c>
      <c r="F1821" s="2" t="s">
        <v>325</v>
      </c>
      <c r="G1821" s="2" t="s">
        <v>352</v>
      </c>
      <c r="H1821" s="2" t="s">
        <v>323</v>
      </c>
      <c r="I1821" s="2" t="s">
        <v>350</v>
      </c>
      <c r="J1821" s="2" t="s">
        <v>27</v>
      </c>
      <c r="K1821" s="72">
        <v>6732</v>
      </c>
      <c r="L1821" s="39"/>
      <c r="M1821" s="72">
        <f t="shared" si="114"/>
        <v>-6732</v>
      </c>
      <c r="N1821" s="72">
        <f t="shared" si="115"/>
        <v>410142.33999999956</v>
      </c>
    </row>
    <row r="1822" spans="1:14" x14ac:dyDescent="0.2">
      <c r="A1822" s="73" t="s">
        <v>1212</v>
      </c>
      <c r="B1822" s="3">
        <f t="shared" si="112"/>
        <v>2025</v>
      </c>
      <c r="C1822" s="3">
        <f t="shared" si="113"/>
        <v>9</v>
      </c>
      <c r="D1822" s="73" t="s">
        <v>300</v>
      </c>
      <c r="E1822" s="2" t="s">
        <v>1289</v>
      </c>
      <c r="F1822" s="2" t="s">
        <v>325</v>
      </c>
      <c r="G1822" s="2" t="s">
        <v>352</v>
      </c>
      <c r="H1822" s="2" t="s">
        <v>323</v>
      </c>
      <c r="I1822" s="2" t="s">
        <v>350</v>
      </c>
      <c r="J1822" s="2" t="s">
        <v>27</v>
      </c>
      <c r="K1822" s="72">
        <v>140</v>
      </c>
      <c r="L1822" s="39"/>
      <c r="M1822" s="72">
        <f t="shared" si="114"/>
        <v>-140</v>
      </c>
      <c r="N1822" s="72">
        <f t="shared" si="115"/>
        <v>410002.33999999956</v>
      </c>
    </row>
    <row r="1823" spans="1:14" x14ac:dyDescent="0.2">
      <c r="A1823" s="73" t="s">
        <v>1212</v>
      </c>
      <c r="B1823" s="3">
        <f t="shared" si="112"/>
        <v>2025</v>
      </c>
      <c r="C1823" s="3">
        <f t="shared" si="113"/>
        <v>9</v>
      </c>
      <c r="D1823" s="73" t="s">
        <v>300</v>
      </c>
      <c r="E1823" s="2" t="s">
        <v>1290</v>
      </c>
      <c r="F1823" s="2" t="s">
        <v>325</v>
      </c>
      <c r="G1823" s="2" t="s">
        <v>352</v>
      </c>
      <c r="H1823" s="2" t="s">
        <v>323</v>
      </c>
      <c r="I1823" s="2" t="s">
        <v>350</v>
      </c>
      <c r="J1823" s="2" t="s">
        <v>27</v>
      </c>
      <c r="K1823" s="72">
        <v>198</v>
      </c>
      <c r="L1823" s="39"/>
      <c r="M1823" s="72">
        <f t="shared" si="114"/>
        <v>-198</v>
      </c>
      <c r="N1823" s="72">
        <f t="shared" si="115"/>
        <v>409804.33999999956</v>
      </c>
    </row>
    <row r="1824" spans="1:14" x14ac:dyDescent="0.2">
      <c r="A1824" s="73" t="s">
        <v>1212</v>
      </c>
      <c r="B1824" s="3">
        <f t="shared" si="112"/>
        <v>2025</v>
      </c>
      <c r="C1824" s="3">
        <f t="shared" si="113"/>
        <v>9</v>
      </c>
      <c r="D1824" s="73" t="s">
        <v>300</v>
      </c>
      <c r="E1824" s="2" t="s">
        <v>1291</v>
      </c>
      <c r="F1824" s="2" t="s">
        <v>325</v>
      </c>
      <c r="G1824" s="2" t="s">
        <v>352</v>
      </c>
      <c r="H1824" s="2" t="s">
        <v>323</v>
      </c>
      <c r="I1824" s="2" t="s">
        <v>350</v>
      </c>
      <c r="J1824" s="2" t="s">
        <v>27</v>
      </c>
      <c r="K1824" s="72">
        <v>10</v>
      </c>
      <c r="L1824" s="39"/>
      <c r="M1824" s="72">
        <f t="shared" si="114"/>
        <v>-10</v>
      </c>
      <c r="N1824" s="72">
        <f t="shared" si="115"/>
        <v>409794.33999999956</v>
      </c>
    </row>
    <row r="1825" spans="1:14" x14ac:dyDescent="0.2">
      <c r="A1825" s="73" t="s">
        <v>1212</v>
      </c>
      <c r="B1825" s="3">
        <f t="shared" si="112"/>
        <v>2025</v>
      </c>
      <c r="C1825" s="3">
        <f t="shared" si="113"/>
        <v>9</v>
      </c>
      <c r="D1825" s="73" t="s">
        <v>300</v>
      </c>
      <c r="E1825" s="2" t="s">
        <v>1292</v>
      </c>
      <c r="F1825" s="2" t="s">
        <v>325</v>
      </c>
      <c r="G1825" s="2" t="s">
        <v>352</v>
      </c>
      <c r="H1825" s="2" t="s">
        <v>323</v>
      </c>
      <c r="I1825" s="2" t="s">
        <v>350</v>
      </c>
      <c r="J1825" s="2" t="s">
        <v>27</v>
      </c>
      <c r="K1825" s="72">
        <v>481.25</v>
      </c>
      <c r="L1825" s="39"/>
      <c r="M1825" s="72">
        <f t="shared" si="114"/>
        <v>-481.25</v>
      </c>
      <c r="N1825" s="72">
        <f t="shared" si="115"/>
        <v>409313.08999999956</v>
      </c>
    </row>
    <row r="1826" spans="1:14" x14ac:dyDescent="0.2">
      <c r="A1826" s="73" t="s">
        <v>1212</v>
      </c>
      <c r="B1826" s="3">
        <f t="shared" si="112"/>
        <v>2025</v>
      </c>
      <c r="C1826" s="3">
        <f t="shared" si="113"/>
        <v>9</v>
      </c>
      <c r="D1826" s="73" t="s">
        <v>300</v>
      </c>
      <c r="E1826" s="2" t="s">
        <v>1293</v>
      </c>
      <c r="F1826" s="2" t="s">
        <v>325</v>
      </c>
      <c r="G1826" s="2" t="s">
        <v>352</v>
      </c>
      <c r="H1826" s="2" t="s">
        <v>323</v>
      </c>
      <c r="I1826" s="2" t="s">
        <v>350</v>
      </c>
      <c r="J1826" s="2" t="s">
        <v>27</v>
      </c>
      <c r="K1826" s="72">
        <v>7245</v>
      </c>
      <c r="L1826" s="39"/>
      <c r="M1826" s="72">
        <f t="shared" si="114"/>
        <v>-7245</v>
      </c>
      <c r="N1826" s="72">
        <f t="shared" si="115"/>
        <v>402068.08999999956</v>
      </c>
    </row>
    <row r="1827" spans="1:14" x14ac:dyDescent="0.2">
      <c r="A1827" s="73" t="s">
        <v>1212</v>
      </c>
      <c r="B1827" s="3">
        <f t="shared" si="112"/>
        <v>2025</v>
      </c>
      <c r="C1827" s="3">
        <f t="shared" si="113"/>
        <v>9</v>
      </c>
      <c r="D1827" s="73" t="s">
        <v>300</v>
      </c>
      <c r="E1827" s="2" t="s">
        <v>1294</v>
      </c>
      <c r="F1827" s="2" t="s">
        <v>325</v>
      </c>
      <c r="G1827" s="2" t="s">
        <v>352</v>
      </c>
      <c r="H1827" s="2" t="s">
        <v>323</v>
      </c>
      <c r="I1827" s="2" t="s">
        <v>350</v>
      </c>
      <c r="J1827" s="2" t="s">
        <v>27</v>
      </c>
      <c r="K1827" s="72">
        <v>220</v>
      </c>
      <c r="L1827" s="39"/>
      <c r="M1827" s="72">
        <f t="shared" si="114"/>
        <v>-220</v>
      </c>
      <c r="N1827" s="72">
        <f t="shared" si="115"/>
        <v>401848.08999999956</v>
      </c>
    </row>
    <row r="1828" spans="1:14" x14ac:dyDescent="0.2">
      <c r="A1828" s="73" t="s">
        <v>1212</v>
      </c>
      <c r="B1828" s="3">
        <f t="shared" si="112"/>
        <v>2025</v>
      </c>
      <c r="C1828" s="3">
        <f t="shared" si="113"/>
        <v>9</v>
      </c>
      <c r="D1828" s="73" t="s">
        <v>300</v>
      </c>
      <c r="E1828" s="2" t="s">
        <v>1295</v>
      </c>
      <c r="F1828" s="2" t="s">
        <v>325</v>
      </c>
      <c r="G1828" s="2" t="s">
        <v>352</v>
      </c>
      <c r="H1828" s="2" t="s">
        <v>323</v>
      </c>
      <c r="I1828" s="2" t="s">
        <v>350</v>
      </c>
      <c r="J1828" s="2" t="s">
        <v>27</v>
      </c>
      <c r="K1828" s="72">
        <v>4536</v>
      </c>
      <c r="L1828" s="39"/>
      <c r="M1828" s="72">
        <f t="shared" si="114"/>
        <v>-4536</v>
      </c>
      <c r="N1828" s="72">
        <f t="shared" si="115"/>
        <v>397312.08999999956</v>
      </c>
    </row>
    <row r="1829" spans="1:14" x14ac:dyDescent="0.2">
      <c r="A1829" s="73" t="s">
        <v>1212</v>
      </c>
      <c r="B1829" s="3">
        <f t="shared" si="112"/>
        <v>2025</v>
      </c>
      <c r="C1829" s="3">
        <f t="shared" si="113"/>
        <v>9</v>
      </c>
      <c r="D1829" s="73" t="s">
        <v>300</v>
      </c>
      <c r="E1829" s="2" t="s">
        <v>1296</v>
      </c>
      <c r="F1829" s="2" t="s">
        <v>325</v>
      </c>
      <c r="G1829" s="2" t="s">
        <v>352</v>
      </c>
      <c r="H1829" s="2" t="s">
        <v>323</v>
      </c>
      <c r="I1829" s="2" t="s">
        <v>350</v>
      </c>
      <c r="J1829" s="2" t="s">
        <v>27</v>
      </c>
      <c r="K1829" s="72">
        <v>1610</v>
      </c>
      <c r="L1829" s="39"/>
      <c r="M1829" s="72">
        <f t="shared" si="114"/>
        <v>-1610</v>
      </c>
      <c r="N1829" s="72">
        <f t="shared" si="115"/>
        <v>395702.08999999956</v>
      </c>
    </row>
    <row r="1830" spans="1:14" x14ac:dyDescent="0.2">
      <c r="A1830" s="73" t="s">
        <v>1212</v>
      </c>
      <c r="B1830" s="3">
        <f t="shared" si="112"/>
        <v>2025</v>
      </c>
      <c r="C1830" s="3">
        <f t="shared" si="113"/>
        <v>9</v>
      </c>
      <c r="D1830" s="73" t="s">
        <v>300</v>
      </c>
      <c r="E1830" s="2" t="s">
        <v>1297</v>
      </c>
      <c r="F1830" s="2" t="s">
        <v>325</v>
      </c>
      <c r="G1830" s="2" t="s">
        <v>352</v>
      </c>
      <c r="H1830" s="2" t="s">
        <v>323</v>
      </c>
      <c r="I1830" s="2" t="s">
        <v>350</v>
      </c>
      <c r="J1830" s="2" t="s">
        <v>27</v>
      </c>
      <c r="K1830" s="72">
        <v>3906</v>
      </c>
      <c r="L1830" s="39"/>
      <c r="M1830" s="72">
        <f t="shared" si="114"/>
        <v>-3906</v>
      </c>
      <c r="N1830" s="72">
        <f t="shared" si="115"/>
        <v>391796.08999999956</v>
      </c>
    </row>
    <row r="1831" spans="1:14" x14ac:dyDescent="0.2">
      <c r="A1831" s="73" t="s">
        <v>1212</v>
      </c>
      <c r="B1831" s="3">
        <f t="shared" si="112"/>
        <v>2025</v>
      </c>
      <c r="C1831" s="3">
        <f t="shared" si="113"/>
        <v>9</v>
      </c>
      <c r="D1831" s="73" t="s">
        <v>300</v>
      </c>
      <c r="E1831" s="2" t="s">
        <v>1298</v>
      </c>
      <c r="F1831" s="2" t="s">
        <v>325</v>
      </c>
      <c r="G1831" s="2" t="s">
        <v>352</v>
      </c>
      <c r="H1831" s="2" t="s">
        <v>323</v>
      </c>
      <c r="I1831" s="2" t="s">
        <v>350</v>
      </c>
      <c r="J1831" s="2" t="s">
        <v>27</v>
      </c>
      <c r="K1831" s="72">
        <v>2370</v>
      </c>
      <c r="L1831" s="39"/>
      <c r="M1831" s="72">
        <f t="shared" si="114"/>
        <v>-2370</v>
      </c>
      <c r="N1831" s="72">
        <f t="shared" si="115"/>
        <v>389426.08999999956</v>
      </c>
    </row>
    <row r="1832" spans="1:14" x14ac:dyDescent="0.2">
      <c r="A1832" s="73" t="s">
        <v>1212</v>
      </c>
      <c r="B1832" s="3">
        <f t="shared" si="112"/>
        <v>2025</v>
      </c>
      <c r="C1832" s="3">
        <f t="shared" si="113"/>
        <v>9</v>
      </c>
      <c r="D1832" s="73" t="s">
        <v>300</v>
      </c>
      <c r="E1832" s="2" t="s">
        <v>1299</v>
      </c>
      <c r="F1832" s="2" t="s">
        <v>325</v>
      </c>
      <c r="G1832" s="2" t="s">
        <v>352</v>
      </c>
      <c r="H1832" s="2" t="s">
        <v>323</v>
      </c>
      <c r="I1832" s="2" t="s">
        <v>350</v>
      </c>
      <c r="J1832" s="2" t="s">
        <v>27</v>
      </c>
      <c r="K1832" s="72">
        <v>25</v>
      </c>
      <c r="L1832" s="39"/>
      <c r="M1832" s="72">
        <f t="shared" si="114"/>
        <v>-25</v>
      </c>
      <c r="N1832" s="72">
        <f t="shared" si="115"/>
        <v>389401.08999999956</v>
      </c>
    </row>
    <row r="1833" spans="1:14" x14ac:dyDescent="0.2">
      <c r="A1833" s="73" t="s">
        <v>1212</v>
      </c>
      <c r="B1833" s="3">
        <f t="shared" si="112"/>
        <v>2025</v>
      </c>
      <c r="C1833" s="3">
        <f t="shared" si="113"/>
        <v>9</v>
      </c>
      <c r="D1833" s="73" t="s">
        <v>300</v>
      </c>
      <c r="E1833" s="2" t="s">
        <v>1300</v>
      </c>
      <c r="F1833" s="2" t="s">
        <v>325</v>
      </c>
      <c r="G1833" s="2" t="s">
        <v>351</v>
      </c>
      <c r="H1833" s="2" t="s">
        <v>323</v>
      </c>
      <c r="I1833" s="2" t="s">
        <v>350</v>
      </c>
      <c r="J1833" s="2" t="s">
        <v>27</v>
      </c>
      <c r="K1833" s="72">
        <v>18544</v>
      </c>
      <c r="L1833" s="39"/>
      <c r="M1833" s="72">
        <f t="shared" si="114"/>
        <v>-18544</v>
      </c>
      <c r="N1833" s="72">
        <f t="shared" si="115"/>
        <v>370857.08999999956</v>
      </c>
    </row>
    <row r="1834" spans="1:14" x14ac:dyDescent="0.2">
      <c r="A1834" s="73" t="s">
        <v>1212</v>
      </c>
      <c r="B1834" s="3">
        <f t="shared" si="112"/>
        <v>2025</v>
      </c>
      <c r="C1834" s="3">
        <f t="shared" si="113"/>
        <v>9</v>
      </c>
      <c r="D1834" s="73" t="s">
        <v>300</v>
      </c>
      <c r="E1834" s="2"/>
      <c r="F1834" s="2" t="s">
        <v>299</v>
      </c>
      <c r="G1834" s="2"/>
      <c r="H1834" s="2" t="s">
        <v>298</v>
      </c>
      <c r="I1834" s="2" t="s">
        <v>297</v>
      </c>
      <c r="J1834" s="2" t="s">
        <v>296</v>
      </c>
      <c r="K1834" s="72"/>
      <c r="L1834" s="39">
        <v>155503.25</v>
      </c>
      <c r="M1834" s="72">
        <f t="shared" si="114"/>
        <v>155503.25</v>
      </c>
      <c r="N1834" s="72">
        <f t="shared" si="115"/>
        <v>526360.33999999962</v>
      </c>
    </row>
    <row r="1835" spans="1:14" x14ac:dyDescent="0.2">
      <c r="A1835" s="73" t="s">
        <v>1213</v>
      </c>
      <c r="B1835" s="3">
        <f t="shared" si="112"/>
        <v>2025</v>
      </c>
      <c r="C1835" s="3">
        <f t="shared" si="113"/>
        <v>9</v>
      </c>
      <c r="D1835" s="73" t="s">
        <v>300</v>
      </c>
      <c r="E1835" s="2"/>
      <c r="F1835" s="2" t="s">
        <v>325</v>
      </c>
      <c r="G1835" s="2" t="s">
        <v>693</v>
      </c>
      <c r="H1835" s="2" t="s">
        <v>323</v>
      </c>
      <c r="I1835" s="2" t="s">
        <v>316</v>
      </c>
      <c r="J1835" s="2" t="s">
        <v>22</v>
      </c>
      <c r="K1835" s="72">
        <v>30</v>
      </c>
      <c r="L1835" s="39"/>
      <c r="M1835" s="72">
        <f t="shared" si="114"/>
        <v>-30</v>
      </c>
      <c r="N1835" s="72">
        <f t="shared" si="115"/>
        <v>526330.33999999962</v>
      </c>
    </row>
    <row r="1836" spans="1:14" x14ac:dyDescent="0.2">
      <c r="A1836" s="73" t="s">
        <v>1213</v>
      </c>
      <c r="B1836" s="3">
        <f t="shared" si="112"/>
        <v>2025</v>
      </c>
      <c r="C1836" s="3">
        <f t="shared" si="113"/>
        <v>9</v>
      </c>
      <c r="D1836" s="73" t="s">
        <v>893</v>
      </c>
      <c r="E1836" s="2"/>
      <c r="F1836" s="2" t="s">
        <v>304</v>
      </c>
      <c r="G1836" s="2" t="s">
        <v>900</v>
      </c>
      <c r="H1836" s="2" t="s">
        <v>1007</v>
      </c>
      <c r="I1836" s="1" t="s">
        <v>316</v>
      </c>
      <c r="J1836" s="2" t="s">
        <v>17</v>
      </c>
      <c r="K1836" s="72">
        <v>212</v>
      </c>
      <c r="L1836" s="39"/>
      <c r="M1836" s="72">
        <f t="shared" si="114"/>
        <v>-212</v>
      </c>
      <c r="N1836" s="72">
        <f t="shared" si="115"/>
        <v>526118.33999999962</v>
      </c>
    </row>
    <row r="1837" spans="1:14" x14ac:dyDescent="0.2">
      <c r="A1837" s="73" t="s">
        <v>1213</v>
      </c>
      <c r="B1837" s="3">
        <f t="shared" si="112"/>
        <v>2025</v>
      </c>
      <c r="C1837" s="3">
        <f t="shared" si="113"/>
        <v>9</v>
      </c>
      <c r="D1837" s="73" t="s">
        <v>300</v>
      </c>
      <c r="E1837" s="2"/>
      <c r="F1837" s="2" t="s">
        <v>299</v>
      </c>
      <c r="G1837" s="2"/>
      <c r="H1837" s="2" t="s">
        <v>298</v>
      </c>
      <c r="I1837" s="2" t="s">
        <v>297</v>
      </c>
      <c r="J1837" s="2" t="s">
        <v>296</v>
      </c>
      <c r="K1837" s="72">
        <v>29607</v>
      </c>
      <c r="L1837" s="39"/>
      <c r="M1837" s="72">
        <f t="shared" si="114"/>
        <v>-29607</v>
      </c>
      <c r="N1837" s="72">
        <f t="shared" si="115"/>
        <v>496511.33999999962</v>
      </c>
    </row>
    <row r="1838" spans="1:14" x14ac:dyDescent="0.2">
      <c r="A1838" s="73" t="s">
        <v>1214</v>
      </c>
      <c r="B1838" s="3">
        <f t="shared" si="112"/>
        <v>2025</v>
      </c>
      <c r="C1838" s="3">
        <f t="shared" si="113"/>
        <v>9</v>
      </c>
      <c r="D1838" s="73" t="s">
        <v>300</v>
      </c>
      <c r="E1838" s="2"/>
      <c r="F1838" s="2" t="s">
        <v>304</v>
      </c>
      <c r="G1838" s="2" t="s">
        <v>336</v>
      </c>
      <c r="H1838" s="2" t="s">
        <v>766</v>
      </c>
      <c r="I1838" s="2" t="s">
        <v>301</v>
      </c>
      <c r="J1838" s="2" t="s">
        <v>11</v>
      </c>
      <c r="K1838" s="72">
        <v>25</v>
      </c>
      <c r="L1838" s="39"/>
      <c r="M1838" s="72">
        <f t="shared" si="114"/>
        <v>-25</v>
      </c>
      <c r="N1838" s="72">
        <f t="shared" si="115"/>
        <v>496486.33999999962</v>
      </c>
    </row>
    <row r="1839" spans="1:14" x14ac:dyDescent="0.2">
      <c r="A1839" s="73" t="s">
        <v>1214</v>
      </c>
      <c r="B1839" s="3">
        <f t="shared" si="112"/>
        <v>2025</v>
      </c>
      <c r="C1839" s="3">
        <f t="shared" si="113"/>
        <v>9</v>
      </c>
      <c r="D1839" s="73" t="s">
        <v>893</v>
      </c>
      <c r="E1839" s="2"/>
      <c r="F1839" s="2" t="s">
        <v>304</v>
      </c>
      <c r="G1839" s="2" t="s">
        <v>900</v>
      </c>
      <c r="H1839" s="2" t="s">
        <v>901</v>
      </c>
      <c r="I1839" s="1" t="s">
        <v>316</v>
      </c>
      <c r="J1839" s="2" t="s">
        <v>17</v>
      </c>
      <c r="K1839" s="72">
        <v>21.2</v>
      </c>
      <c r="L1839" s="39"/>
      <c r="M1839" s="72">
        <f t="shared" si="114"/>
        <v>-21.2</v>
      </c>
      <c r="N1839" s="72">
        <f t="shared" si="115"/>
        <v>496465.13999999961</v>
      </c>
    </row>
    <row r="1840" spans="1:14" x14ac:dyDescent="0.2">
      <c r="A1840" s="73" t="s">
        <v>1214</v>
      </c>
      <c r="B1840" s="3">
        <f t="shared" si="112"/>
        <v>2025</v>
      </c>
      <c r="C1840" s="3">
        <f t="shared" si="113"/>
        <v>9</v>
      </c>
      <c r="D1840" s="73" t="s">
        <v>893</v>
      </c>
      <c r="E1840" s="2"/>
      <c r="F1840" s="2" t="s">
        <v>304</v>
      </c>
      <c r="G1840" s="2" t="s">
        <v>913</v>
      </c>
      <c r="H1840" s="2" t="s">
        <v>923</v>
      </c>
      <c r="I1840" s="2" t="s">
        <v>316</v>
      </c>
      <c r="J1840" s="2" t="s">
        <v>22</v>
      </c>
      <c r="K1840" s="72">
        <v>26.39</v>
      </c>
      <c r="L1840" s="39"/>
      <c r="M1840" s="72">
        <f t="shared" si="114"/>
        <v>-26.39</v>
      </c>
      <c r="N1840" s="72">
        <f t="shared" si="115"/>
        <v>496438.74999999959</v>
      </c>
    </row>
    <row r="1841" spans="1:14" x14ac:dyDescent="0.2">
      <c r="A1841" s="73" t="s">
        <v>1214</v>
      </c>
      <c r="B1841" s="3">
        <f t="shared" si="112"/>
        <v>2025</v>
      </c>
      <c r="C1841" s="3">
        <f t="shared" si="113"/>
        <v>9</v>
      </c>
      <c r="D1841" s="73" t="s">
        <v>300</v>
      </c>
      <c r="E1841" s="2"/>
      <c r="F1841" s="2" t="s">
        <v>299</v>
      </c>
      <c r="G1841" s="2"/>
      <c r="H1841" s="2" t="s">
        <v>298</v>
      </c>
      <c r="I1841" s="2" t="s">
        <v>297</v>
      </c>
      <c r="J1841" s="2" t="s">
        <v>296</v>
      </c>
      <c r="K1841" s="72"/>
      <c r="L1841" s="39">
        <v>55</v>
      </c>
      <c r="M1841" s="72">
        <f t="shared" si="114"/>
        <v>55</v>
      </c>
      <c r="N1841" s="72">
        <f t="shared" si="115"/>
        <v>496493.74999999959</v>
      </c>
    </row>
    <row r="1842" spans="1:14" x14ac:dyDescent="0.2">
      <c r="A1842" s="73" t="s">
        <v>1215</v>
      </c>
      <c r="B1842" s="3">
        <f t="shared" si="112"/>
        <v>2025</v>
      </c>
      <c r="C1842" s="3">
        <f t="shared" si="113"/>
        <v>9</v>
      </c>
      <c r="D1842" s="73" t="s">
        <v>893</v>
      </c>
      <c r="E1842" s="2"/>
      <c r="F1842" s="2" t="s">
        <v>304</v>
      </c>
      <c r="G1842" s="2" t="s">
        <v>1314</v>
      </c>
      <c r="H1842" s="2" t="s">
        <v>923</v>
      </c>
      <c r="I1842" s="2" t="s">
        <v>316</v>
      </c>
      <c r="J1842" s="2" t="s">
        <v>22</v>
      </c>
      <c r="K1842" s="72">
        <v>49.53</v>
      </c>
      <c r="L1842" s="39"/>
      <c r="M1842" s="72">
        <f t="shared" si="114"/>
        <v>-49.53</v>
      </c>
      <c r="N1842" s="72">
        <f t="shared" si="115"/>
        <v>496444.21999999956</v>
      </c>
    </row>
    <row r="1843" spans="1:14" x14ac:dyDescent="0.2">
      <c r="A1843" s="73" t="s">
        <v>1215</v>
      </c>
      <c r="B1843" s="3">
        <f t="shared" si="112"/>
        <v>2025</v>
      </c>
      <c r="C1843" s="3">
        <f t="shared" si="113"/>
        <v>9</v>
      </c>
      <c r="D1843" s="73" t="s">
        <v>893</v>
      </c>
      <c r="E1843" s="2"/>
      <c r="F1843" s="2" t="s">
        <v>304</v>
      </c>
      <c r="G1843" s="2" t="s">
        <v>936</v>
      </c>
      <c r="H1843" s="2" t="s">
        <v>923</v>
      </c>
      <c r="I1843" s="2" t="s">
        <v>316</v>
      </c>
      <c r="J1843" s="2" t="s">
        <v>22</v>
      </c>
      <c r="K1843" s="72">
        <v>611.42999999999995</v>
      </c>
      <c r="L1843" s="39"/>
      <c r="M1843" s="72">
        <f t="shared" si="114"/>
        <v>-611.42999999999995</v>
      </c>
      <c r="N1843" s="72">
        <f t="shared" si="115"/>
        <v>495832.78999999957</v>
      </c>
    </row>
    <row r="1844" spans="1:14" x14ac:dyDescent="0.2">
      <c r="A1844" s="73" t="s">
        <v>1215</v>
      </c>
      <c r="B1844" s="3">
        <f t="shared" si="112"/>
        <v>2025</v>
      </c>
      <c r="C1844" s="3">
        <f t="shared" si="113"/>
        <v>9</v>
      </c>
      <c r="D1844" s="73" t="s">
        <v>893</v>
      </c>
      <c r="E1844" s="2"/>
      <c r="F1844" s="2" t="s">
        <v>304</v>
      </c>
      <c r="G1844" s="2" t="s">
        <v>1009</v>
      </c>
      <c r="H1844" s="2" t="s">
        <v>1007</v>
      </c>
      <c r="I1844" s="1" t="s">
        <v>316</v>
      </c>
      <c r="J1844" s="2" t="s">
        <v>17</v>
      </c>
      <c r="K1844" s="72">
        <v>1114.67</v>
      </c>
      <c r="L1844" s="39"/>
      <c r="M1844" s="72">
        <f t="shared" si="114"/>
        <v>-1114.67</v>
      </c>
      <c r="N1844" s="72">
        <f t="shared" si="115"/>
        <v>494718.11999999959</v>
      </c>
    </row>
    <row r="1845" spans="1:14" x14ac:dyDescent="0.2">
      <c r="A1845" s="73" t="s">
        <v>1215</v>
      </c>
      <c r="B1845" s="3">
        <f t="shared" si="112"/>
        <v>2025</v>
      </c>
      <c r="C1845" s="3">
        <f t="shared" si="113"/>
        <v>9</v>
      </c>
      <c r="D1845" s="73" t="s">
        <v>893</v>
      </c>
      <c r="E1845" s="2"/>
      <c r="F1845" s="2" t="s">
        <v>304</v>
      </c>
      <c r="G1845" s="2" t="s">
        <v>1317</v>
      </c>
      <c r="H1845" s="2" t="s">
        <v>1318</v>
      </c>
      <c r="I1845" s="2" t="s">
        <v>316</v>
      </c>
      <c r="J1845" s="2" t="s">
        <v>28</v>
      </c>
      <c r="K1845" s="72">
        <v>48.14</v>
      </c>
      <c r="L1845" s="39"/>
      <c r="M1845" s="72">
        <f t="shared" si="114"/>
        <v>-48.14</v>
      </c>
      <c r="N1845" s="72">
        <f t="shared" si="115"/>
        <v>494669.97999999957</v>
      </c>
    </row>
    <row r="1846" spans="1:14" x14ac:dyDescent="0.2">
      <c r="A1846" s="73" t="s">
        <v>1215</v>
      </c>
      <c r="B1846" s="3">
        <f t="shared" si="112"/>
        <v>2025</v>
      </c>
      <c r="C1846" s="3">
        <f t="shared" si="113"/>
        <v>9</v>
      </c>
      <c r="D1846" s="73" t="s">
        <v>893</v>
      </c>
      <c r="E1846" s="2"/>
      <c r="F1846" s="2" t="s">
        <v>304</v>
      </c>
      <c r="G1846" s="2" t="s">
        <v>1010</v>
      </c>
      <c r="H1846" s="2" t="s">
        <v>1007</v>
      </c>
      <c r="I1846" s="1" t="s">
        <v>316</v>
      </c>
      <c r="J1846" s="2" t="s">
        <v>17</v>
      </c>
      <c r="K1846" s="72">
        <v>34</v>
      </c>
      <c r="L1846" s="39"/>
      <c r="M1846" s="72">
        <f t="shared" si="114"/>
        <v>-34</v>
      </c>
      <c r="N1846" s="72">
        <f t="shared" si="115"/>
        <v>494635.97999999957</v>
      </c>
    </row>
    <row r="1847" spans="1:14" x14ac:dyDescent="0.2">
      <c r="A1847" s="73" t="s">
        <v>1215</v>
      </c>
      <c r="B1847" s="3">
        <f t="shared" si="112"/>
        <v>2025</v>
      </c>
      <c r="C1847" s="3">
        <f t="shared" si="113"/>
        <v>9</v>
      </c>
      <c r="D1847" s="73" t="s">
        <v>893</v>
      </c>
      <c r="E1847" s="2"/>
      <c r="F1847" s="2" t="s">
        <v>304</v>
      </c>
      <c r="G1847" s="2" t="s">
        <v>900</v>
      </c>
      <c r="H1847" s="2" t="s">
        <v>1007</v>
      </c>
      <c r="I1847" s="1" t="s">
        <v>316</v>
      </c>
      <c r="J1847" s="2" t="s">
        <v>17</v>
      </c>
      <c r="K1847" s="72">
        <v>200</v>
      </c>
      <c r="L1847" s="39"/>
      <c r="M1847" s="72">
        <f t="shared" si="114"/>
        <v>-200</v>
      </c>
      <c r="N1847" s="72">
        <f t="shared" si="115"/>
        <v>494435.97999999957</v>
      </c>
    </row>
    <row r="1848" spans="1:14" x14ac:dyDescent="0.2">
      <c r="A1848" s="73" t="s">
        <v>1215</v>
      </c>
      <c r="B1848" s="3">
        <f t="shared" si="112"/>
        <v>2025</v>
      </c>
      <c r="C1848" s="3">
        <f t="shared" si="113"/>
        <v>9</v>
      </c>
      <c r="D1848" s="73" t="s">
        <v>300</v>
      </c>
      <c r="E1848" s="2"/>
      <c r="F1848" s="2" t="s">
        <v>304</v>
      </c>
      <c r="G1848" s="2" t="s">
        <v>306</v>
      </c>
      <c r="H1848" s="2" t="s">
        <v>516</v>
      </c>
      <c r="I1848" s="2" t="s">
        <v>301</v>
      </c>
      <c r="J1848" s="2" t="s">
        <v>11</v>
      </c>
      <c r="K1848" s="72">
        <v>999.5</v>
      </c>
      <c r="L1848" s="39"/>
      <c r="M1848" s="72">
        <f t="shared" si="114"/>
        <v>-999.5</v>
      </c>
      <c r="N1848" s="72">
        <f t="shared" si="115"/>
        <v>493436.47999999957</v>
      </c>
    </row>
    <row r="1849" spans="1:14" x14ac:dyDescent="0.2">
      <c r="A1849" s="73" t="s">
        <v>1215</v>
      </c>
      <c r="B1849" s="3">
        <f t="shared" si="112"/>
        <v>2025</v>
      </c>
      <c r="C1849" s="3">
        <f t="shared" si="113"/>
        <v>9</v>
      </c>
      <c r="D1849" s="73" t="s">
        <v>300</v>
      </c>
      <c r="E1849" s="2"/>
      <c r="F1849" s="2" t="s">
        <v>304</v>
      </c>
      <c r="G1849" s="2" t="s">
        <v>306</v>
      </c>
      <c r="H1849" s="2" t="s">
        <v>516</v>
      </c>
      <c r="I1849" s="2" t="s">
        <v>301</v>
      </c>
      <c r="J1849" s="2" t="s">
        <v>24</v>
      </c>
      <c r="K1849" s="72">
        <v>74366.210000000006</v>
      </c>
      <c r="L1849" s="39"/>
      <c r="M1849" s="72">
        <f t="shared" si="114"/>
        <v>-74366.210000000006</v>
      </c>
      <c r="N1849" s="72">
        <f t="shared" si="115"/>
        <v>419070.26999999955</v>
      </c>
    </row>
    <row r="1850" spans="1:14" x14ac:dyDescent="0.2">
      <c r="A1850" s="73" t="s">
        <v>1215</v>
      </c>
      <c r="B1850" s="3">
        <f t="shared" si="112"/>
        <v>2025</v>
      </c>
      <c r="C1850" s="3">
        <f t="shared" si="113"/>
        <v>9</v>
      </c>
      <c r="D1850" s="73" t="s">
        <v>300</v>
      </c>
      <c r="E1850" s="2"/>
      <c r="F1850" s="2" t="s">
        <v>304</v>
      </c>
      <c r="G1850" s="2" t="s">
        <v>306</v>
      </c>
      <c r="H1850" s="2" t="s">
        <v>516</v>
      </c>
      <c r="I1850" s="2" t="s">
        <v>301</v>
      </c>
      <c r="J1850" s="2" t="s">
        <v>20</v>
      </c>
      <c r="K1850" s="72">
        <v>37445.85</v>
      </c>
      <c r="L1850" s="39"/>
      <c r="M1850" s="72">
        <f t="shared" si="114"/>
        <v>-37445.85</v>
      </c>
      <c r="N1850" s="72">
        <f t="shared" si="115"/>
        <v>381624.41999999958</v>
      </c>
    </row>
    <row r="1851" spans="1:14" x14ac:dyDescent="0.2">
      <c r="A1851" s="73" t="s">
        <v>1215</v>
      </c>
      <c r="B1851" s="3">
        <f t="shared" si="112"/>
        <v>2025</v>
      </c>
      <c r="C1851" s="3">
        <f t="shared" si="113"/>
        <v>9</v>
      </c>
      <c r="D1851" s="73" t="s">
        <v>893</v>
      </c>
      <c r="E1851" s="2"/>
      <c r="F1851" s="2" t="s">
        <v>304</v>
      </c>
      <c r="G1851" s="2" t="s">
        <v>983</v>
      </c>
      <c r="H1851" s="2" t="s">
        <v>984</v>
      </c>
      <c r="I1851" s="1" t="s">
        <v>316</v>
      </c>
      <c r="J1851" s="2" t="s">
        <v>17</v>
      </c>
      <c r="K1851" s="72">
        <v>29</v>
      </c>
      <c r="L1851" s="39"/>
      <c r="M1851" s="72">
        <f t="shared" si="114"/>
        <v>-29</v>
      </c>
      <c r="N1851" s="72">
        <f t="shared" si="115"/>
        <v>381595.41999999958</v>
      </c>
    </row>
    <row r="1852" spans="1:14" x14ac:dyDescent="0.2">
      <c r="A1852" s="73" t="s">
        <v>1215</v>
      </c>
      <c r="B1852" s="3">
        <f t="shared" si="112"/>
        <v>2025</v>
      </c>
      <c r="C1852" s="3">
        <f t="shared" si="113"/>
        <v>9</v>
      </c>
      <c r="D1852" s="73" t="s">
        <v>300</v>
      </c>
      <c r="E1852" s="2"/>
      <c r="F1852" s="2" t="s">
        <v>299</v>
      </c>
      <c r="G1852" s="2"/>
      <c r="H1852" s="2" t="s">
        <v>298</v>
      </c>
      <c r="I1852" s="2" t="s">
        <v>297</v>
      </c>
      <c r="J1852" s="2" t="s">
        <v>296</v>
      </c>
      <c r="K1852" s="72"/>
      <c r="L1852" s="39">
        <v>112811.56</v>
      </c>
      <c r="M1852" s="72">
        <f t="shared" si="114"/>
        <v>112811.56</v>
      </c>
      <c r="N1852" s="72">
        <f t="shared" si="115"/>
        <v>494406.97999999957</v>
      </c>
    </row>
    <row r="1853" spans="1:14" x14ac:dyDescent="0.2">
      <c r="A1853" s="73" t="s">
        <v>1216</v>
      </c>
      <c r="B1853" s="3">
        <f t="shared" si="112"/>
        <v>2025</v>
      </c>
      <c r="C1853" s="3">
        <f t="shared" si="113"/>
        <v>9</v>
      </c>
      <c r="D1853" s="73" t="s">
        <v>893</v>
      </c>
      <c r="E1853" s="2"/>
      <c r="F1853" s="2" t="s">
        <v>304</v>
      </c>
      <c r="G1853" s="2" t="s">
        <v>1319</v>
      </c>
      <c r="H1853" s="2" t="s">
        <v>1007</v>
      </c>
      <c r="I1853" s="1" t="s">
        <v>316</v>
      </c>
      <c r="J1853" s="2" t="s">
        <v>17</v>
      </c>
      <c r="K1853" s="72">
        <v>10.59</v>
      </c>
      <c r="L1853" s="39"/>
      <c r="M1853" s="72">
        <f t="shared" si="114"/>
        <v>-10.59</v>
      </c>
      <c r="N1853" s="72">
        <f t="shared" si="115"/>
        <v>494396.38999999955</v>
      </c>
    </row>
    <row r="1854" spans="1:14" x14ac:dyDescent="0.2">
      <c r="A1854" s="73" t="s">
        <v>1216</v>
      </c>
      <c r="B1854" s="3">
        <f t="shared" si="112"/>
        <v>2025</v>
      </c>
      <c r="C1854" s="3">
        <f t="shared" si="113"/>
        <v>9</v>
      </c>
      <c r="D1854" s="73" t="s">
        <v>893</v>
      </c>
      <c r="E1854" s="2"/>
      <c r="F1854" s="2" t="s">
        <v>304</v>
      </c>
      <c r="G1854" s="2" t="s">
        <v>908</v>
      </c>
      <c r="H1854" s="2" t="s">
        <v>1007</v>
      </c>
      <c r="I1854" s="1" t="s">
        <v>316</v>
      </c>
      <c r="J1854" s="2" t="s">
        <v>17</v>
      </c>
      <c r="K1854" s="72">
        <v>212</v>
      </c>
      <c r="L1854" s="39"/>
      <c r="M1854" s="72">
        <f t="shared" si="114"/>
        <v>-212</v>
      </c>
      <c r="N1854" s="72">
        <f t="shared" si="115"/>
        <v>494184.38999999955</v>
      </c>
    </row>
    <row r="1855" spans="1:14" x14ac:dyDescent="0.2">
      <c r="A1855" s="73" t="s">
        <v>1216</v>
      </c>
      <c r="B1855" s="3">
        <f t="shared" si="112"/>
        <v>2025</v>
      </c>
      <c r="C1855" s="3">
        <f t="shared" si="113"/>
        <v>9</v>
      </c>
      <c r="D1855" s="73" t="s">
        <v>893</v>
      </c>
      <c r="E1855" s="2"/>
      <c r="F1855" s="2" t="s">
        <v>304</v>
      </c>
      <c r="G1855" s="2" t="s">
        <v>925</v>
      </c>
      <c r="H1855" s="2" t="s">
        <v>884</v>
      </c>
      <c r="I1855" s="2" t="s">
        <v>316</v>
      </c>
      <c r="J1855" s="2" t="s">
        <v>22</v>
      </c>
      <c r="K1855" s="72">
        <v>8</v>
      </c>
      <c r="L1855" s="39"/>
      <c r="M1855" s="72">
        <f t="shared" si="114"/>
        <v>-8</v>
      </c>
      <c r="N1855" s="72">
        <f t="shared" si="115"/>
        <v>494176.38999999955</v>
      </c>
    </row>
    <row r="1856" spans="1:14" x14ac:dyDescent="0.2">
      <c r="A1856" s="73" t="s">
        <v>1216</v>
      </c>
      <c r="B1856" s="3">
        <f t="shared" si="112"/>
        <v>2025</v>
      </c>
      <c r="C1856" s="3">
        <f t="shared" si="113"/>
        <v>9</v>
      </c>
      <c r="D1856" s="73" t="s">
        <v>300</v>
      </c>
      <c r="E1856" s="2"/>
      <c r="F1856" s="2" t="s">
        <v>314</v>
      </c>
      <c r="G1856" s="2"/>
      <c r="H1856" s="2" t="s">
        <v>836</v>
      </c>
      <c r="I1856" s="2" t="s">
        <v>312</v>
      </c>
      <c r="J1856" s="2" t="s">
        <v>840</v>
      </c>
      <c r="K1856" s="72">
        <v>5593.02</v>
      </c>
      <c r="L1856" s="39"/>
      <c r="M1856" s="72">
        <f t="shared" si="114"/>
        <v>-5593.02</v>
      </c>
      <c r="N1856" s="72">
        <f t="shared" si="115"/>
        <v>488583.36999999953</v>
      </c>
    </row>
    <row r="1857" spans="1:14" x14ac:dyDescent="0.2">
      <c r="A1857" s="73" t="s">
        <v>1216</v>
      </c>
      <c r="B1857" s="3">
        <f t="shared" si="112"/>
        <v>2025</v>
      </c>
      <c r="C1857" s="3">
        <f t="shared" si="113"/>
        <v>9</v>
      </c>
      <c r="D1857" s="73" t="s">
        <v>893</v>
      </c>
      <c r="E1857" s="2"/>
      <c r="F1857" s="2" t="s">
        <v>314</v>
      </c>
      <c r="G1857" s="2"/>
      <c r="H1857" s="2" t="s">
        <v>894</v>
      </c>
      <c r="I1857" s="2" t="s">
        <v>312</v>
      </c>
      <c r="J1857" s="2" t="s">
        <v>840</v>
      </c>
      <c r="K1857" s="72"/>
      <c r="L1857" s="39">
        <v>5593.02</v>
      </c>
      <c r="M1857" s="72">
        <f t="shared" si="114"/>
        <v>5593.02</v>
      </c>
      <c r="N1857" s="72">
        <f t="shared" si="115"/>
        <v>494176.38999999955</v>
      </c>
    </row>
    <row r="1858" spans="1:14" x14ac:dyDescent="0.2">
      <c r="A1858" s="73" t="s">
        <v>1217</v>
      </c>
      <c r="B1858" s="3">
        <f t="shared" ref="B1858:B1921" si="116">YEAR(A1858)</f>
        <v>2025</v>
      </c>
      <c r="C1858" s="3">
        <f t="shared" ref="C1858:C1921" si="117">MONTH(A1858)</f>
        <v>9</v>
      </c>
      <c r="D1858" s="73" t="s">
        <v>893</v>
      </c>
      <c r="E1858" s="2"/>
      <c r="F1858" s="2" t="s">
        <v>304</v>
      </c>
      <c r="G1858" s="2" t="s">
        <v>1009</v>
      </c>
      <c r="H1858" s="2" t="s">
        <v>1007</v>
      </c>
      <c r="I1858" s="1" t="s">
        <v>316</v>
      </c>
      <c r="J1858" s="2" t="s">
        <v>17</v>
      </c>
      <c r="K1858" s="72">
        <v>84.98</v>
      </c>
      <c r="L1858" s="39"/>
      <c r="M1858" s="72">
        <f t="shared" ref="M1858:M1921" si="118">IF(ISBLANK(L1858),K1858*-1,L1858)</f>
        <v>-84.98</v>
      </c>
      <c r="N1858" s="72">
        <f t="shared" si="115"/>
        <v>494091.40999999957</v>
      </c>
    </row>
    <row r="1859" spans="1:14" x14ac:dyDescent="0.2">
      <c r="A1859" s="73" t="s">
        <v>1217</v>
      </c>
      <c r="B1859" s="3">
        <f t="shared" si="116"/>
        <v>2025</v>
      </c>
      <c r="C1859" s="3">
        <f t="shared" si="117"/>
        <v>9</v>
      </c>
      <c r="D1859" s="73" t="s">
        <v>300</v>
      </c>
      <c r="E1859" s="2"/>
      <c r="F1859" s="2" t="s">
        <v>321</v>
      </c>
      <c r="G1859" s="2" t="s">
        <v>1301</v>
      </c>
      <c r="H1859" s="2" t="s">
        <v>319</v>
      </c>
      <c r="I1859" s="2" t="s">
        <v>315</v>
      </c>
      <c r="J1859" s="2" t="s">
        <v>23</v>
      </c>
      <c r="K1859" s="72"/>
      <c r="L1859" s="39">
        <v>10000</v>
      </c>
      <c r="M1859" s="72">
        <f t="shared" si="118"/>
        <v>10000</v>
      </c>
      <c r="N1859" s="72">
        <f t="shared" ref="N1859:N1922" si="119">+N1858+M1859</f>
        <v>504091.40999999957</v>
      </c>
    </row>
    <row r="1860" spans="1:14" x14ac:dyDescent="0.2">
      <c r="A1860" s="73" t="s">
        <v>1217</v>
      </c>
      <c r="B1860" s="3">
        <f t="shared" si="116"/>
        <v>2025</v>
      </c>
      <c r="C1860" s="3">
        <f t="shared" si="117"/>
        <v>9</v>
      </c>
      <c r="D1860" s="73" t="s">
        <v>300</v>
      </c>
      <c r="E1860" s="2"/>
      <c r="F1860" s="2" t="s">
        <v>321</v>
      </c>
      <c r="G1860" s="2" t="s">
        <v>664</v>
      </c>
      <c r="H1860" s="2" t="s">
        <v>319</v>
      </c>
      <c r="I1860" s="2" t="s">
        <v>315</v>
      </c>
      <c r="J1860" s="2" t="s">
        <v>23</v>
      </c>
      <c r="K1860" s="72"/>
      <c r="L1860" s="39">
        <v>12000</v>
      </c>
      <c r="M1860" s="72">
        <f t="shared" si="118"/>
        <v>12000</v>
      </c>
      <c r="N1860" s="72">
        <f t="shared" si="119"/>
        <v>516091.40999999957</v>
      </c>
    </row>
    <row r="1861" spans="1:14" x14ac:dyDescent="0.2">
      <c r="A1861" s="73" t="s">
        <v>1217</v>
      </c>
      <c r="B1861" s="3">
        <f t="shared" si="116"/>
        <v>2025</v>
      </c>
      <c r="C1861" s="3">
        <f t="shared" si="117"/>
        <v>9</v>
      </c>
      <c r="D1861" s="73" t="s">
        <v>300</v>
      </c>
      <c r="E1861" s="2"/>
      <c r="F1861" s="2" t="s">
        <v>321</v>
      </c>
      <c r="G1861" s="2" t="s">
        <v>527</v>
      </c>
      <c r="H1861" s="2" t="s">
        <v>319</v>
      </c>
      <c r="I1861" s="2" t="s">
        <v>315</v>
      </c>
      <c r="J1861" s="2" t="s">
        <v>23</v>
      </c>
      <c r="K1861" s="72"/>
      <c r="L1861" s="39">
        <v>2200</v>
      </c>
      <c r="M1861" s="72">
        <f t="shared" si="118"/>
        <v>2200</v>
      </c>
      <c r="N1861" s="72">
        <f t="shared" si="119"/>
        <v>518291.40999999957</v>
      </c>
    </row>
    <row r="1862" spans="1:14" x14ac:dyDescent="0.2">
      <c r="A1862" s="73" t="s">
        <v>1217</v>
      </c>
      <c r="B1862" s="3">
        <f t="shared" si="116"/>
        <v>2025</v>
      </c>
      <c r="C1862" s="3">
        <f t="shared" si="117"/>
        <v>9</v>
      </c>
      <c r="D1862" s="73" t="s">
        <v>300</v>
      </c>
      <c r="E1862" s="2"/>
      <c r="F1862" s="2" t="s">
        <v>321</v>
      </c>
      <c r="G1862" s="2" t="s">
        <v>527</v>
      </c>
      <c r="H1862" s="2" t="s">
        <v>319</v>
      </c>
      <c r="I1862" s="2" t="s">
        <v>315</v>
      </c>
      <c r="J1862" s="2" t="s">
        <v>23</v>
      </c>
      <c r="K1862" s="72"/>
      <c r="L1862" s="39">
        <v>1100</v>
      </c>
      <c r="M1862" s="72">
        <f t="shared" si="118"/>
        <v>1100</v>
      </c>
      <c r="N1862" s="72">
        <f t="shared" si="119"/>
        <v>519391.40999999957</v>
      </c>
    </row>
    <row r="1863" spans="1:14" x14ac:dyDescent="0.2">
      <c r="A1863" s="73" t="s">
        <v>1217</v>
      </c>
      <c r="B1863" s="3">
        <f t="shared" si="116"/>
        <v>2025</v>
      </c>
      <c r="C1863" s="3">
        <f t="shared" si="117"/>
        <v>9</v>
      </c>
      <c r="D1863" s="73" t="s">
        <v>893</v>
      </c>
      <c r="E1863" s="2"/>
      <c r="F1863" s="2" t="s">
        <v>304</v>
      </c>
      <c r="G1863" s="2" t="s">
        <v>941</v>
      </c>
      <c r="H1863" s="2" t="s">
        <v>883</v>
      </c>
      <c r="I1863" s="2" t="s">
        <v>316</v>
      </c>
      <c r="J1863" s="2" t="s">
        <v>22</v>
      </c>
      <c r="K1863" s="72">
        <v>722.17</v>
      </c>
      <c r="L1863" s="39"/>
      <c r="M1863" s="72">
        <f t="shared" si="118"/>
        <v>-722.17</v>
      </c>
      <c r="N1863" s="72">
        <f t="shared" si="119"/>
        <v>518669.23999999958</v>
      </c>
    </row>
    <row r="1864" spans="1:14" x14ac:dyDescent="0.2">
      <c r="A1864" s="73" t="s">
        <v>1217</v>
      </c>
      <c r="B1864" s="3">
        <f t="shared" si="116"/>
        <v>2025</v>
      </c>
      <c r="C1864" s="3">
        <f t="shared" si="117"/>
        <v>9</v>
      </c>
      <c r="D1864" s="73" t="s">
        <v>300</v>
      </c>
      <c r="E1864" s="2"/>
      <c r="F1864" s="2" t="s">
        <v>304</v>
      </c>
      <c r="G1864" s="2" t="s">
        <v>306</v>
      </c>
      <c r="H1864" s="2" t="s">
        <v>305</v>
      </c>
      <c r="I1864" s="2" t="s">
        <v>301</v>
      </c>
      <c r="J1864" s="2" t="s">
        <v>19</v>
      </c>
      <c r="K1864" s="72">
        <v>156.63</v>
      </c>
      <c r="L1864" s="39"/>
      <c r="M1864" s="72">
        <f t="shared" si="118"/>
        <v>-156.63</v>
      </c>
      <c r="N1864" s="72">
        <f t="shared" si="119"/>
        <v>518512.60999999958</v>
      </c>
    </row>
    <row r="1865" spans="1:14" x14ac:dyDescent="0.2">
      <c r="A1865" s="73" t="s">
        <v>1217</v>
      </c>
      <c r="B1865" s="3">
        <f t="shared" si="116"/>
        <v>2025</v>
      </c>
      <c r="C1865" s="3">
        <f t="shared" si="117"/>
        <v>9</v>
      </c>
      <c r="D1865" s="73" t="s">
        <v>893</v>
      </c>
      <c r="E1865" s="2"/>
      <c r="F1865" s="2" t="s">
        <v>304</v>
      </c>
      <c r="G1865" s="2" t="s">
        <v>1150</v>
      </c>
      <c r="H1865" s="2" t="s">
        <v>1007</v>
      </c>
      <c r="I1865" s="1" t="s">
        <v>316</v>
      </c>
      <c r="J1865" s="2" t="s">
        <v>17</v>
      </c>
      <c r="K1865" s="72">
        <v>4.8499999999999996</v>
      </c>
      <c r="L1865" s="39"/>
      <c r="M1865" s="72">
        <f t="shared" si="118"/>
        <v>-4.8499999999999996</v>
      </c>
      <c r="N1865" s="72">
        <f t="shared" si="119"/>
        <v>518507.7599999996</v>
      </c>
    </row>
    <row r="1866" spans="1:14" x14ac:dyDescent="0.2">
      <c r="A1866" s="73" t="s">
        <v>1217</v>
      </c>
      <c r="B1866" s="3">
        <f t="shared" si="116"/>
        <v>2025</v>
      </c>
      <c r="C1866" s="3">
        <f t="shared" si="117"/>
        <v>9</v>
      </c>
      <c r="D1866" s="73" t="s">
        <v>893</v>
      </c>
      <c r="E1866" s="2"/>
      <c r="F1866" s="2" t="s">
        <v>304</v>
      </c>
      <c r="G1866" s="2" t="s">
        <v>1150</v>
      </c>
      <c r="H1866" s="2" t="s">
        <v>1007</v>
      </c>
      <c r="I1866" s="1" t="s">
        <v>316</v>
      </c>
      <c r="J1866" s="2" t="s">
        <v>17</v>
      </c>
      <c r="K1866" s="72">
        <v>25.75</v>
      </c>
      <c r="L1866" s="39"/>
      <c r="M1866" s="72">
        <f t="shared" si="118"/>
        <v>-25.75</v>
      </c>
      <c r="N1866" s="72">
        <f t="shared" si="119"/>
        <v>518482.0099999996</v>
      </c>
    </row>
    <row r="1867" spans="1:14" x14ac:dyDescent="0.2">
      <c r="A1867" s="73" t="s">
        <v>1217</v>
      </c>
      <c r="B1867" s="3">
        <f t="shared" si="116"/>
        <v>2025</v>
      </c>
      <c r="C1867" s="3">
        <f t="shared" si="117"/>
        <v>9</v>
      </c>
      <c r="D1867" s="73" t="s">
        <v>300</v>
      </c>
      <c r="E1867" s="2"/>
      <c r="F1867" s="2" t="s">
        <v>321</v>
      </c>
      <c r="G1867" s="2" t="s">
        <v>10</v>
      </c>
      <c r="H1867" s="2" t="s">
        <v>319</v>
      </c>
      <c r="I1867" s="2" t="s">
        <v>315</v>
      </c>
      <c r="J1867" s="2" t="s">
        <v>23</v>
      </c>
      <c r="K1867" s="72"/>
      <c r="L1867" s="39">
        <v>3937.5</v>
      </c>
      <c r="M1867" s="72">
        <f t="shared" si="118"/>
        <v>3937.5</v>
      </c>
      <c r="N1867" s="72">
        <f t="shared" si="119"/>
        <v>522419.5099999996</v>
      </c>
    </row>
    <row r="1868" spans="1:14" x14ac:dyDescent="0.2">
      <c r="A1868" s="73" t="s">
        <v>1217</v>
      </c>
      <c r="B1868" s="3">
        <f t="shared" si="116"/>
        <v>2025</v>
      </c>
      <c r="C1868" s="3">
        <f t="shared" si="117"/>
        <v>9</v>
      </c>
      <c r="D1868" s="73" t="s">
        <v>300</v>
      </c>
      <c r="E1868" s="2"/>
      <c r="F1868" s="2" t="s">
        <v>299</v>
      </c>
      <c r="G1868" s="2"/>
      <c r="H1868" s="2" t="s">
        <v>298</v>
      </c>
      <c r="I1868" s="2" t="s">
        <v>297</v>
      </c>
      <c r="J1868" s="2" t="s">
        <v>296</v>
      </c>
      <c r="K1868" s="72">
        <v>29080.87</v>
      </c>
      <c r="L1868" s="39"/>
      <c r="M1868" s="72">
        <f t="shared" si="118"/>
        <v>-29080.87</v>
      </c>
      <c r="N1868" s="72">
        <f t="shared" si="119"/>
        <v>493338.63999999961</v>
      </c>
    </row>
    <row r="1869" spans="1:14" x14ac:dyDescent="0.2">
      <c r="A1869" s="73" t="s">
        <v>1218</v>
      </c>
      <c r="B1869" s="3">
        <f t="shared" si="116"/>
        <v>2025</v>
      </c>
      <c r="C1869" s="3">
        <f t="shared" si="117"/>
        <v>9</v>
      </c>
      <c r="D1869" s="73" t="s">
        <v>300</v>
      </c>
      <c r="E1869" s="2"/>
      <c r="F1869" s="2" t="s">
        <v>304</v>
      </c>
      <c r="G1869" s="2" t="s">
        <v>306</v>
      </c>
      <c r="H1869" s="2" t="s">
        <v>384</v>
      </c>
      <c r="I1869" s="2" t="s">
        <v>301</v>
      </c>
      <c r="J1869" s="2" t="s">
        <v>19</v>
      </c>
      <c r="K1869" s="72">
        <v>4</v>
      </c>
      <c r="L1869" s="39"/>
      <c r="M1869" s="72">
        <f t="shared" si="118"/>
        <v>-4</v>
      </c>
      <c r="N1869" s="72">
        <f t="shared" si="119"/>
        <v>493334.63999999961</v>
      </c>
    </row>
    <row r="1870" spans="1:14" x14ac:dyDescent="0.2">
      <c r="A1870" s="73" t="s">
        <v>1218</v>
      </c>
      <c r="B1870" s="3">
        <f t="shared" si="116"/>
        <v>2025</v>
      </c>
      <c r="C1870" s="3">
        <f t="shared" si="117"/>
        <v>9</v>
      </c>
      <c r="D1870" s="73" t="s">
        <v>300</v>
      </c>
      <c r="E1870" s="2"/>
      <c r="F1870" s="2" t="s">
        <v>325</v>
      </c>
      <c r="G1870" s="2" t="s">
        <v>734</v>
      </c>
      <c r="H1870" s="2" t="s">
        <v>323</v>
      </c>
      <c r="I1870" s="2" t="s">
        <v>316</v>
      </c>
      <c r="J1870" s="2" t="s">
        <v>22</v>
      </c>
      <c r="K1870" s="72">
        <v>2500</v>
      </c>
      <c r="L1870" s="39"/>
      <c r="M1870" s="72">
        <f t="shared" si="118"/>
        <v>-2500</v>
      </c>
      <c r="N1870" s="72">
        <f t="shared" si="119"/>
        <v>490834.63999999961</v>
      </c>
    </row>
    <row r="1871" spans="1:14" x14ac:dyDescent="0.2">
      <c r="A1871" s="73" t="s">
        <v>1218</v>
      </c>
      <c r="B1871" s="3">
        <f t="shared" si="116"/>
        <v>2025</v>
      </c>
      <c r="C1871" s="3">
        <f t="shared" si="117"/>
        <v>9</v>
      </c>
      <c r="D1871" s="73" t="s">
        <v>300</v>
      </c>
      <c r="E1871" s="2"/>
      <c r="F1871" s="2" t="s">
        <v>304</v>
      </c>
      <c r="G1871" s="2" t="s">
        <v>344</v>
      </c>
      <c r="H1871" s="2" t="s">
        <v>343</v>
      </c>
      <c r="I1871" s="2" t="s">
        <v>301</v>
      </c>
      <c r="J1871" s="2" t="s">
        <v>11</v>
      </c>
      <c r="K1871" s="72">
        <v>9365.0499999999993</v>
      </c>
      <c r="L1871" s="39"/>
      <c r="M1871" s="72">
        <f t="shared" si="118"/>
        <v>-9365.0499999999993</v>
      </c>
      <c r="N1871" s="72">
        <f t="shared" si="119"/>
        <v>481469.58999999962</v>
      </c>
    </row>
    <row r="1872" spans="1:14" x14ac:dyDescent="0.2">
      <c r="A1872" s="73" t="s">
        <v>1218</v>
      </c>
      <c r="B1872" s="3">
        <f t="shared" si="116"/>
        <v>2025</v>
      </c>
      <c r="C1872" s="3">
        <f t="shared" si="117"/>
        <v>9</v>
      </c>
      <c r="D1872" s="73" t="s">
        <v>300</v>
      </c>
      <c r="E1872" s="2"/>
      <c r="F1872" s="2" t="s">
        <v>304</v>
      </c>
      <c r="G1872" s="2" t="s">
        <v>303</v>
      </c>
      <c r="H1872" s="2" t="s">
        <v>302</v>
      </c>
      <c r="I1872" s="2" t="s">
        <v>301</v>
      </c>
      <c r="J1872" s="2" t="s">
        <v>11</v>
      </c>
      <c r="K1872" s="72">
        <v>204.8</v>
      </c>
      <c r="L1872" s="39"/>
      <c r="M1872" s="72">
        <f t="shared" si="118"/>
        <v>-204.8</v>
      </c>
      <c r="N1872" s="72">
        <f t="shared" si="119"/>
        <v>481264.78999999963</v>
      </c>
    </row>
    <row r="1873" spans="1:14" x14ac:dyDescent="0.2">
      <c r="A1873" s="73" t="s">
        <v>1218</v>
      </c>
      <c r="B1873" s="3">
        <f t="shared" si="116"/>
        <v>2025</v>
      </c>
      <c r="C1873" s="3">
        <f t="shared" si="117"/>
        <v>9</v>
      </c>
      <c r="D1873" s="73" t="s">
        <v>300</v>
      </c>
      <c r="E1873" s="2"/>
      <c r="F1873" s="2" t="s">
        <v>299</v>
      </c>
      <c r="G1873" s="2"/>
      <c r="H1873" s="2" t="s">
        <v>298</v>
      </c>
      <c r="I1873" s="2" t="s">
        <v>297</v>
      </c>
      <c r="J1873" s="2" t="s">
        <v>296</v>
      </c>
      <c r="K1873" s="72"/>
      <c r="L1873" s="39">
        <v>15166.87</v>
      </c>
      <c r="M1873" s="72">
        <f t="shared" si="118"/>
        <v>15166.87</v>
      </c>
      <c r="N1873" s="72">
        <f t="shared" si="119"/>
        <v>496431.65999999963</v>
      </c>
    </row>
    <row r="1874" spans="1:14" x14ac:dyDescent="0.2">
      <c r="A1874" s="73" t="s">
        <v>1219</v>
      </c>
      <c r="B1874" s="3">
        <f t="shared" si="116"/>
        <v>2025</v>
      </c>
      <c r="C1874" s="3">
        <f t="shared" si="117"/>
        <v>9</v>
      </c>
      <c r="D1874" s="73" t="s">
        <v>300</v>
      </c>
      <c r="E1874" s="2"/>
      <c r="F1874" s="2" t="s">
        <v>299</v>
      </c>
      <c r="G1874" s="2"/>
      <c r="H1874" s="2" t="s">
        <v>298</v>
      </c>
      <c r="I1874" s="2" t="s">
        <v>297</v>
      </c>
      <c r="J1874" s="2" t="s">
        <v>296</v>
      </c>
      <c r="K1874" s="72"/>
      <c r="L1874" s="39">
        <v>2500</v>
      </c>
      <c r="M1874" s="72">
        <f t="shared" si="118"/>
        <v>2500</v>
      </c>
      <c r="N1874" s="72">
        <f t="shared" si="119"/>
        <v>498931.65999999963</v>
      </c>
    </row>
    <row r="1875" spans="1:14" x14ac:dyDescent="0.2">
      <c r="A1875" s="73" t="s">
        <v>1306</v>
      </c>
      <c r="B1875" s="3">
        <f t="shared" si="116"/>
        <v>2025</v>
      </c>
      <c r="C1875" s="3">
        <f t="shared" si="117"/>
        <v>9</v>
      </c>
      <c r="D1875" s="73" t="s">
        <v>893</v>
      </c>
      <c r="E1875" s="2"/>
      <c r="F1875" s="2" t="s">
        <v>304</v>
      </c>
      <c r="G1875" s="2" t="s">
        <v>932</v>
      </c>
      <c r="H1875" s="2" t="s">
        <v>1007</v>
      </c>
      <c r="I1875" s="1" t="s">
        <v>316</v>
      </c>
      <c r="J1875" s="2" t="s">
        <v>17</v>
      </c>
      <c r="K1875" s="72">
        <v>32.86</v>
      </c>
      <c r="L1875" s="39"/>
      <c r="M1875" s="72">
        <f t="shared" si="118"/>
        <v>-32.86</v>
      </c>
      <c r="N1875" s="72">
        <f t="shared" si="119"/>
        <v>498898.79999999964</v>
      </c>
    </row>
    <row r="1876" spans="1:14" x14ac:dyDescent="0.2">
      <c r="A1876" s="73" t="s">
        <v>1220</v>
      </c>
      <c r="B1876" s="3">
        <f t="shared" si="116"/>
        <v>2025</v>
      </c>
      <c r="C1876" s="3">
        <f t="shared" si="117"/>
        <v>9</v>
      </c>
      <c r="D1876" s="73" t="s">
        <v>300</v>
      </c>
      <c r="E1876" s="2"/>
      <c r="F1876" s="2" t="s">
        <v>304</v>
      </c>
      <c r="G1876" s="2" t="s">
        <v>336</v>
      </c>
      <c r="H1876" s="2" t="s">
        <v>766</v>
      </c>
      <c r="I1876" s="2" t="s">
        <v>301</v>
      </c>
      <c r="J1876" s="2" t="s">
        <v>11</v>
      </c>
      <c r="K1876" s="72">
        <v>3300</v>
      </c>
      <c r="L1876" s="39"/>
      <c r="M1876" s="72">
        <f t="shared" si="118"/>
        <v>-3300</v>
      </c>
      <c r="N1876" s="72">
        <f t="shared" si="119"/>
        <v>495598.79999999964</v>
      </c>
    </row>
    <row r="1877" spans="1:14" x14ac:dyDescent="0.2">
      <c r="A1877" s="73" t="s">
        <v>1220</v>
      </c>
      <c r="B1877" s="3">
        <f t="shared" si="116"/>
        <v>2025</v>
      </c>
      <c r="C1877" s="3">
        <f t="shared" si="117"/>
        <v>9</v>
      </c>
      <c r="D1877" s="73" t="s">
        <v>300</v>
      </c>
      <c r="E1877" s="2"/>
      <c r="F1877" s="2" t="s">
        <v>321</v>
      </c>
      <c r="G1877" s="2" t="s">
        <v>49</v>
      </c>
      <c r="H1877" s="2" t="s">
        <v>319</v>
      </c>
      <c r="I1877" s="2" t="s">
        <v>315</v>
      </c>
      <c r="J1877" s="2" t="s">
        <v>23</v>
      </c>
      <c r="K1877" s="72"/>
      <c r="L1877" s="39">
        <v>1930</v>
      </c>
      <c r="M1877" s="72">
        <f t="shared" si="118"/>
        <v>1930</v>
      </c>
      <c r="N1877" s="72">
        <f t="shared" si="119"/>
        <v>497528.79999999964</v>
      </c>
    </row>
    <row r="1878" spans="1:14" x14ac:dyDescent="0.2">
      <c r="A1878" s="73" t="s">
        <v>1220</v>
      </c>
      <c r="B1878" s="3">
        <f t="shared" si="116"/>
        <v>2025</v>
      </c>
      <c r="C1878" s="3">
        <f t="shared" si="117"/>
        <v>9</v>
      </c>
      <c r="D1878" s="73" t="s">
        <v>893</v>
      </c>
      <c r="E1878" s="2"/>
      <c r="F1878" s="2" t="s">
        <v>304</v>
      </c>
      <c r="G1878" s="2" t="s">
        <v>1012</v>
      </c>
      <c r="H1878" s="2" t="s">
        <v>1007</v>
      </c>
      <c r="I1878" s="1" t="s">
        <v>316</v>
      </c>
      <c r="J1878" s="2" t="s">
        <v>17</v>
      </c>
      <c r="K1878" s="72">
        <v>5.3</v>
      </c>
      <c r="L1878" s="39"/>
      <c r="M1878" s="72">
        <f t="shared" si="118"/>
        <v>-5.3</v>
      </c>
      <c r="N1878" s="72">
        <f t="shared" si="119"/>
        <v>497523.49999999965</v>
      </c>
    </row>
    <row r="1879" spans="1:14" x14ac:dyDescent="0.2">
      <c r="A1879" s="73" t="s">
        <v>1220</v>
      </c>
      <c r="B1879" s="3">
        <f t="shared" si="116"/>
        <v>2025</v>
      </c>
      <c r="C1879" s="3">
        <f t="shared" si="117"/>
        <v>9</v>
      </c>
      <c r="D1879" s="73" t="s">
        <v>300</v>
      </c>
      <c r="E1879" s="2"/>
      <c r="F1879" s="2" t="s">
        <v>325</v>
      </c>
      <c r="G1879" s="2" t="s">
        <v>324</v>
      </c>
      <c r="H1879" s="2" t="s">
        <v>323</v>
      </c>
      <c r="I1879" s="2" t="s">
        <v>316</v>
      </c>
      <c r="J1879" s="2" t="s">
        <v>17</v>
      </c>
      <c r="K1879" s="72">
        <v>106.37</v>
      </c>
      <c r="L1879" s="39"/>
      <c r="M1879" s="72">
        <f t="shared" si="118"/>
        <v>-106.37</v>
      </c>
      <c r="N1879" s="72">
        <f t="shared" si="119"/>
        <v>497417.12999999966</v>
      </c>
    </row>
    <row r="1880" spans="1:14" x14ac:dyDescent="0.2">
      <c r="A1880" s="73" t="s">
        <v>1220</v>
      </c>
      <c r="B1880" s="3">
        <f t="shared" si="116"/>
        <v>2025</v>
      </c>
      <c r="C1880" s="3">
        <f t="shared" si="117"/>
        <v>9</v>
      </c>
      <c r="D1880" s="73" t="s">
        <v>300</v>
      </c>
      <c r="E1880" s="2"/>
      <c r="F1880" s="2" t="s">
        <v>325</v>
      </c>
      <c r="G1880" s="2" t="s">
        <v>887</v>
      </c>
      <c r="H1880" s="2" t="s">
        <v>323</v>
      </c>
      <c r="I1880" s="2" t="s">
        <v>316</v>
      </c>
      <c r="J1880" s="2" t="s">
        <v>28</v>
      </c>
      <c r="K1880" s="72">
        <v>211.35</v>
      </c>
      <c r="L1880" s="39"/>
      <c r="M1880" s="72">
        <f t="shared" si="118"/>
        <v>-211.35</v>
      </c>
      <c r="N1880" s="72">
        <f t="shared" si="119"/>
        <v>497205.77999999968</v>
      </c>
    </row>
    <row r="1881" spans="1:14" x14ac:dyDescent="0.2">
      <c r="A1881" s="73" t="s">
        <v>1220</v>
      </c>
      <c r="B1881" s="3">
        <f t="shared" si="116"/>
        <v>2025</v>
      </c>
      <c r="C1881" s="3">
        <f t="shared" si="117"/>
        <v>9</v>
      </c>
      <c r="D1881" s="73" t="s">
        <v>300</v>
      </c>
      <c r="E1881" s="2"/>
      <c r="F1881" s="2" t="s">
        <v>304</v>
      </c>
      <c r="G1881" s="2" t="s">
        <v>327</v>
      </c>
      <c r="H1881" s="2" t="s">
        <v>326</v>
      </c>
      <c r="I1881" s="2" t="s">
        <v>316</v>
      </c>
      <c r="J1881" s="2" t="s">
        <v>18</v>
      </c>
      <c r="K1881" s="72">
        <v>1332.89</v>
      </c>
      <c r="L1881" s="39"/>
      <c r="M1881" s="72">
        <f t="shared" si="118"/>
        <v>-1332.89</v>
      </c>
      <c r="N1881" s="72">
        <f t="shared" si="119"/>
        <v>495872.88999999966</v>
      </c>
    </row>
    <row r="1882" spans="1:14" x14ac:dyDescent="0.2">
      <c r="A1882" s="73" t="s">
        <v>1220</v>
      </c>
      <c r="B1882" s="3">
        <f t="shared" si="116"/>
        <v>2025</v>
      </c>
      <c r="C1882" s="3">
        <f t="shared" si="117"/>
        <v>9</v>
      </c>
      <c r="D1882" s="73" t="s">
        <v>300</v>
      </c>
      <c r="E1882" s="2"/>
      <c r="F1882" s="2" t="s">
        <v>299</v>
      </c>
      <c r="G1882" s="2"/>
      <c r="H1882" s="2" t="s">
        <v>298</v>
      </c>
      <c r="I1882" s="2" t="s">
        <v>297</v>
      </c>
      <c r="J1882" s="2" t="s">
        <v>296</v>
      </c>
      <c r="K1882" s="72"/>
      <c r="L1882" s="39">
        <v>3020.61</v>
      </c>
      <c r="M1882" s="72">
        <f t="shared" si="118"/>
        <v>3020.61</v>
      </c>
      <c r="N1882" s="72">
        <f t="shared" si="119"/>
        <v>498893.49999999965</v>
      </c>
    </row>
    <row r="1883" spans="1:14" x14ac:dyDescent="0.2">
      <c r="A1883" s="73" t="s">
        <v>1307</v>
      </c>
      <c r="B1883" s="3">
        <f t="shared" si="116"/>
        <v>2025</v>
      </c>
      <c r="C1883" s="3">
        <f t="shared" si="117"/>
        <v>9</v>
      </c>
      <c r="D1883" s="73" t="s">
        <v>893</v>
      </c>
      <c r="E1883" s="2"/>
      <c r="F1883" s="2" t="s">
        <v>304</v>
      </c>
      <c r="G1883" s="2" t="s">
        <v>1021</v>
      </c>
      <c r="H1883" s="2" t="s">
        <v>1007</v>
      </c>
      <c r="I1883" s="1" t="s">
        <v>316</v>
      </c>
      <c r="J1883" s="2" t="s">
        <v>17</v>
      </c>
      <c r="K1883" s="72">
        <v>93</v>
      </c>
      <c r="L1883" s="39"/>
      <c r="M1883" s="72">
        <f t="shared" si="118"/>
        <v>-93</v>
      </c>
      <c r="N1883" s="72">
        <f t="shared" si="119"/>
        <v>498800.49999999965</v>
      </c>
    </row>
    <row r="1884" spans="1:14" x14ac:dyDescent="0.2">
      <c r="A1884" s="73" t="s">
        <v>1308</v>
      </c>
      <c r="B1884" s="3">
        <f t="shared" si="116"/>
        <v>2025</v>
      </c>
      <c r="C1884" s="3">
        <f t="shared" si="117"/>
        <v>9</v>
      </c>
      <c r="D1884" s="73" t="s">
        <v>893</v>
      </c>
      <c r="E1884" s="2"/>
      <c r="F1884" s="2" t="s">
        <v>304</v>
      </c>
      <c r="G1884" s="2" t="s">
        <v>1151</v>
      </c>
      <c r="H1884" s="2" t="s">
        <v>917</v>
      </c>
      <c r="I1884" s="1" t="s">
        <v>316</v>
      </c>
      <c r="J1884" s="2" t="s">
        <v>17</v>
      </c>
      <c r="K1884" s="72">
        <v>22.86</v>
      </c>
      <c r="L1884" s="39"/>
      <c r="M1884" s="72">
        <f t="shared" si="118"/>
        <v>-22.86</v>
      </c>
      <c r="N1884" s="72">
        <f t="shared" si="119"/>
        <v>498777.63999999966</v>
      </c>
    </row>
    <row r="1885" spans="1:14" x14ac:dyDescent="0.2">
      <c r="A1885" s="73" t="s">
        <v>1308</v>
      </c>
      <c r="B1885" s="3">
        <f t="shared" si="116"/>
        <v>2025</v>
      </c>
      <c r="C1885" s="3">
        <f t="shared" si="117"/>
        <v>9</v>
      </c>
      <c r="D1885" s="73" t="s">
        <v>893</v>
      </c>
      <c r="E1885" s="2"/>
      <c r="F1885" s="2" t="s">
        <v>304</v>
      </c>
      <c r="G1885" s="2" t="s">
        <v>1320</v>
      </c>
      <c r="H1885" s="2" t="s">
        <v>1007</v>
      </c>
      <c r="I1885" s="1" t="s">
        <v>316</v>
      </c>
      <c r="J1885" s="2" t="s">
        <v>17</v>
      </c>
      <c r="K1885" s="72">
        <v>361.74</v>
      </c>
      <c r="L1885" s="39"/>
      <c r="M1885" s="72">
        <f t="shared" si="118"/>
        <v>-361.74</v>
      </c>
      <c r="N1885" s="72">
        <f t="shared" si="119"/>
        <v>498415.89999999967</v>
      </c>
    </row>
    <row r="1886" spans="1:14" x14ac:dyDescent="0.2">
      <c r="A1886" s="73" t="s">
        <v>1308</v>
      </c>
      <c r="B1886" s="3">
        <f t="shared" si="116"/>
        <v>2025</v>
      </c>
      <c r="C1886" s="3">
        <f t="shared" si="117"/>
        <v>9</v>
      </c>
      <c r="D1886" s="73" t="s">
        <v>893</v>
      </c>
      <c r="E1886" s="2"/>
      <c r="F1886" s="2" t="s">
        <v>304</v>
      </c>
      <c r="G1886" s="2" t="s">
        <v>1026</v>
      </c>
      <c r="H1886" s="2" t="s">
        <v>1007</v>
      </c>
      <c r="I1886" s="1" t="s">
        <v>316</v>
      </c>
      <c r="J1886" s="2" t="s">
        <v>17</v>
      </c>
      <c r="K1886" s="72">
        <v>17.5</v>
      </c>
      <c r="L1886" s="39"/>
      <c r="M1886" s="72">
        <f t="shared" si="118"/>
        <v>-17.5</v>
      </c>
      <c r="N1886" s="72">
        <f t="shared" si="119"/>
        <v>498398.39999999967</v>
      </c>
    </row>
    <row r="1887" spans="1:14" x14ac:dyDescent="0.2">
      <c r="A1887" s="73" t="s">
        <v>1221</v>
      </c>
      <c r="B1887" s="3">
        <f t="shared" si="116"/>
        <v>2025</v>
      </c>
      <c r="C1887" s="3">
        <f t="shared" si="117"/>
        <v>9</v>
      </c>
      <c r="D1887" s="73" t="s">
        <v>893</v>
      </c>
      <c r="E1887" s="2"/>
      <c r="F1887" s="2" t="s">
        <v>304</v>
      </c>
      <c r="G1887" s="2" t="s">
        <v>900</v>
      </c>
      <c r="H1887" s="2" t="s">
        <v>901</v>
      </c>
      <c r="I1887" s="1" t="s">
        <v>316</v>
      </c>
      <c r="J1887" s="2" t="s">
        <v>17</v>
      </c>
      <c r="K1887" s="72">
        <v>20</v>
      </c>
      <c r="L1887" s="39"/>
      <c r="M1887" s="72">
        <f t="shared" si="118"/>
        <v>-20</v>
      </c>
      <c r="N1887" s="72">
        <f t="shared" si="119"/>
        <v>498378.39999999967</v>
      </c>
    </row>
    <row r="1888" spans="1:14" x14ac:dyDescent="0.2">
      <c r="A1888" s="73" t="s">
        <v>1221</v>
      </c>
      <c r="B1888" s="3">
        <f t="shared" si="116"/>
        <v>2025</v>
      </c>
      <c r="C1888" s="3">
        <f t="shared" si="117"/>
        <v>9</v>
      </c>
      <c r="D1888" s="73" t="s">
        <v>300</v>
      </c>
      <c r="E1888" s="2"/>
      <c r="F1888" s="2" t="s">
        <v>304</v>
      </c>
      <c r="G1888" s="2"/>
      <c r="H1888" s="2" t="s">
        <v>333</v>
      </c>
      <c r="I1888" s="2" t="s">
        <v>301</v>
      </c>
      <c r="J1888" s="2" t="s">
        <v>11</v>
      </c>
      <c r="K1888" s="72">
        <v>1524.6</v>
      </c>
      <c r="L1888" s="39"/>
      <c r="M1888" s="72">
        <f t="shared" si="118"/>
        <v>-1524.6</v>
      </c>
      <c r="N1888" s="72">
        <f t="shared" si="119"/>
        <v>496853.7999999997</v>
      </c>
    </row>
    <row r="1889" spans="1:14" x14ac:dyDescent="0.2">
      <c r="A1889" s="73" t="s">
        <v>1221</v>
      </c>
      <c r="B1889" s="3">
        <f t="shared" si="116"/>
        <v>2025</v>
      </c>
      <c r="C1889" s="3">
        <f t="shared" si="117"/>
        <v>9</v>
      </c>
      <c r="D1889" s="73" t="s">
        <v>300</v>
      </c>
      <c r="E1889" s="2"/>
      <c r="F1889" s="2" t="s">
        <v>304</v>
      </c>
      <c r="G1889" s="2"/>
      <c r="H1889" s="2" t="s">
        <v>326</v>
      </c>
      <c r="I1889" s="2" t="s">
        <v>316</v>
      </c>
      <c r="J1889" s="2" t="s">
        <v>18</v>
      </c>
      <c r="K1889" s="72">
        <v>1706.6</v>
      </c>
      <c r="L1889" s="39"/>
      <c r="M1889" s="72">
        <f t="shared" si="118"/>
        <v>-1706.6</v>
      </c>
      <c r="N1889" s="72">
        <f t="shared" si="119"/>
        <v>495147.19999999972</v>
      </c>
    </row>
    <row r="1890" spans="1:14" x14ac:dyDescent="0.2">
      <c r="A1890" s="73" t="s">
        <v>1221</v>
      </c>
      <c r="B1890" s="3">
        <f t="shared" si="116"/>
        <v>2025</v>
      </c>
      <c r="C1890" s="3">
        <f t="shared" si="117"/>
        <v>9</v>
      </c>
      <c r="D1890" s="73" t="s">
        <v>300</v>
      </c>
      <c r="E1890" s="2"/>
      <c r="F1890" s="2" t="s">
        <v>299</v>
      </c>
      <c r="G1890" s="2"/>
      <c r="H1890" s="2" t="s">
        <v>298</v>
      </c>
      <c r="I1890" s="2" t="s">
        <v>297</v>
      </c>
      <c r="J1890" s="2" t="s">
        <v>296</v>
      </c>
      <c r="K1890" s="72"/>
      <c r="L1890" s="39">
        <v>3608.03</v>
      </c>
      <c r="M1890" s="72">
        <f t="shared" si="118"/>
        <v>3608.03</v>
      </c>
      <c r="N1890" s="72">
        <f t="shared" si="119"/>
        <v>498755.22999999975</v>
      </c>
    </row>
    <row r="1891" spans="1:14" x14ac:dyDescent="0.2">
      <c r="A1891" s="73" t="s">
        <v>1221</v>
      </c>
      <c r="B1891" s="3">
        <f t="shared" si="116"/>
        <v>2025</v>
      </c>
      <c r="C1891" s="3">
        <f t="shared" si="117"/>
        <v>9</v>
      </c>
      <c r="D1891" s="73" t="s">
        <v>300</v>
      </c>
      <c r="E1891" s="2"/>
      <c r="F1891" s="2" t="s">
        <v>304</v>
      </c>
      <c r="G1891" s="2"/>
      <c r="H1891" s="2" t="s">
        <v>302</v>
      </c>
      <c r="I1891" s="2" t="s">
        <v>301</v>
      </c>
      <c r="J1891" s="2" t="s">
        <v>11</v>
      </c>
      <c r="K1891" s="72">
        <v>376.83</v>
      </c>
      <c r="L1891" s="39"/>
      <c r="M1891" s="72">
        <f t="shared" si="118"/>
        <v>-376.83</v>
      </c>
      <c r="N1891" s="72">
        <f t="shared" si="119"/>
        <v>498378.39999999973</v>
      </c>
    </row>
    <row r="1892" spans="1:14" x14ac:dyDescent="0.2">
      <c r="A1892" s="73" t="s">
        <v>1222</v>
      </c>
      <c r="B1892" s="3">
        <f t="shared" si="116"/>
        <v>2025</v>
      </c>
      <c r="C1892" s="3">
        <f t="shared" si="117"/>
        <v>9</v>
      </c>
      <c r="D1892" s="73" t="s">
        <v>300</v>
      </c>
      <c r="E1892" s="2"/>
      <c r="F1892" s="2" t="s">
        <v>309</v>
      </c>
      <c r="G1892" s="2" t="s">
        <v>381</v>
      </c>
      <c r="H1892" s="2" t="s">
        <v>380</v>
      </c>
      <c r="I1892" s="2" t="s">
        <v>301</v>
      </c>
      <c r="J1892" s="2" t="s">
        <v>11</v>
      </c>
      <c r="K1892" s="72"/>
      <c r="L1892" s="39">
        <v>476.36</v>
      </c>
      <c r="M1892" s="72">
        <f t="shared" si="118"/>
        <v>476.36</v>
      </c>
      <c r="N1892" s="72">
        <f t="shared" si="119"/>
        <v>498854.75999999972</v>
      </c>
    </row>
    <row r="1893" spans="1:14" x14ac:dyDescent="0.2">
      <c r="A1893" s="73" t="s">
        <v>1222</v>
      </c>
      <c r="B1893" s="3">
        <f t="shared" si="116"/>
        <v>2025</v>
      </c>
      <c r="C1893" s="3">
        <f t="shared" si="117"/>
        <v>9</v>
      </c>
      <c r="D1893" s="73" t="s">
        <v>300</v>
      </c>
      <c r="E1893" s="2"/>
      <c r="F1893" s="2" t="s">
        <v>299</v>
      </c>
      <c r="G1893" s="2"/>
      <c r="H1893" s="2" t="s">
        <v>298</v>
      </c>
      <c r="I1893" s="2" t="s">
        <v>297</v>
      </c>
      <c r="J1893" s="2" t="s">
        <v>296</v>
      </c>
      <c r="K1893" s="72">
        <v>476.36</v>
      </c>
      <c r="L1893" s="39"/>
      <c r="M1893" s="72">
        <f t="shared" si="118"/>
        <v>-476.36</v>
      </c>
      <c r="N1893" s="72">
        <f t="shared" si="119"/>
        <v>498378.39999999973</v>
      </c>
    </row>
    <row r="1894" spans="1:14" x14ac:dyDescent="0.2">
      <c r="A1894" s="73" t="s">
        <v>1223</v>
      </c>
      <c r="B1894" s="3">
        <f t="shared" si="116"/>
        <v>2025</v>
      </c>
      <c r="C1894" s="3">
        <f t="shared" si="117"/>
        <v>9</v>
      </c>
      <c r="D1894" s="73" t="s">
        <v>300</v>
      </c>
      <c r="E1894" s="2"/>
      <c r="F1894" s="2" t="s">
        <v>325</v>
      </c>
      <c r="G1894" s="2" t="s">
        <v>1228</v>
      </c>
      <c r="H1894" s="2" t="s">
        <v>323</v>
      </c>
      <c r="I1894" s="2" t="s">
        <v>316</v>
      </c>
      <c r="J1894" s="2" t="s">
        <v>22</v>
      </c>
      <c r="K1894" s="72">
        <v>1878.75</v>
      </c>
      <c r="L1894" s="39"/>
      <c r="M1894" s="72">
        <f t="shared" si="118"/>
        <v>-1878.75</v>
      </c>
      <c r="N1894" s="72">
        <f t="shared" si="119"/>
        <v>496499.64999999973</v>
      </c>
    </row>
    <row r="1895" spans="1:14" x14ac:dyDescent="0.2">
      <c r="A1895" s="73" t="s">
        <v>1223</v>
      </c>
      <c r="B1895" s="3">
        <f t="shared" si="116"/>
        <v>2025</v>
      </c>
      <c r="C1895" s="3">
        <f t="shared" si="117"/>
        <v>9</v>
      </c>
      <c r="D1895" s="73" t="s">
        <v>300</v>
      </c>
      <c r="E1895" s="2"/>
      <c r="F1895" s="2" t="s">
        <v>325</v>
      </c>
      <c r="G1895" s="2" t="s">
        <v>1228</v>
      </c>
      <c r="H1895" s="2" t="s">
        <v>323</v>
      </c>
      <c r="I1895" s="2" t="s">
        <v>316</v>
      </c>
      <c r="J1895" s="2" t="s">
        <v>22</v>
      </c>
      <c r="K1895" s="72">
        <v>3390.48</v>
      </c>
      <c r="L1895" s="39"/>
      <c r="M1895" s="72">
        <f t="shared" si="118"/>
        <v>-3390.48</v>
      </c>
      <c r="N1895" s="72">
        <f t="shared" si="119"/>
        <v>493109.16999999975</v>
      </c>
    </row>
    <row r="1896" spans="1:14" x14ac:dyDescent="0.2">
      <c r="A1896" s="73" t="s">
        <v>1223</v>
      </c>
      <c r="B1896" s="3">
        <f t="shared" si="116"/>
        <v>2025</v>
      </c>
      <c r="C1896" s="3">
        <f t="shared" si="117"/>
        <v>9</v>
      </c>
      <c r="D1896" s="73" t="s">
        <v>300</v>
      </c>
      <c r="E1896" s="2"/>
      <c r="F1896" s="2" t="s">
        <v>325</v>
      </c>
      <c r="G1896" s="2" t="s">
        <v>1228</v>
      </c>
      <c r="H1896" s="2" t="s">
        <v>323</v>
      </c>
      <c r="I1896" s="2" t="s">
        <v>316</v>
      </c>
      <c r="J1896" s="2" t="s">
        <v>22</v>
      </c>
      <c r="K1896" s="72">
        <v>10879.78</v>
      </c>
      <c r="L1896" s="39"/>
      <c r="M1896" s="72">
        <f t="shared" si="118"/>
        <v>-10879.78</v>
      </c>
      <c r="N1896" s="72">
        <f t="shared" si="119"/>
        <v>482229.38999999972</v>
      </c>
    </row>
    <row r="1897" spans="1:14" x14ac:dyDescent="0.2">
      <c r="A1897" s="73" t="s">
        <v>1223</v>
      </c>
      <c r="B1897" s="3">
        <f t="shared" si="116"/>
        <v>2025</v>
      </c>
      <c r="C1897" s="3">
        <f t="shared" si="117"/>
        <v>9</v>
      </c>
      <c r="D1897" s="73" t="s">
        <v>300</v>
      </c>
      <c r="E1897" s="2"/>
      <c r="F1897" s="2" t="s">
        <v>325</v>
      </c>
      <c r="G1897" s="2" t="s">
        <v>1228</v>
      </c>
      <c r="H1897" s="2" t="s">
        <v>323</v>
      </c>
      <c r="I1897" s="2" t="s">
        <v>316</v>
      </c>
      <c r="J1897" s="2" t="s">
        <v>22</v>
      </c>
      <c r="K1897" s="72">
        <v>261.35000000000002</v>
      </c>
      <c r="L1897" s="39"/>
      <c r="M1897" s="72">
        <f t="shared" si="118"/>
        <v>-261.35000000000002</v>
      </c>
      <c r="N1897" s="72">
        <f t="shared" si="119"/>
        <v>481968.03999999975</v>
      </c>
    </row>
    <row r="1898" spans="1:14" x14ac:dyDescent="0.2">
      <c r="A1898" s="73" t="s">
        <v>1223</v>
      </c>
      <c r="B1898" s="3">
        <f t="shared" si="116"/>
        <v>2025</v>
      </c>
      <c r="C1898" s="3">
        <f t="shared" si="117"/>
        <v>9</v>
      </c>
      <c r="D1898" s="73" t="s">
        <v>300</v>
      </c>
      <c r="E1898" s="2"/>
      <c r="F1898" s="2" t="s">
        <v>325</v>
      </c>
      <c r="G1898" s="2" t="s">
        <v>693</v>
      </c>
      <c r="H1898" s="2" t="s">
        <v>323</v>
      </c>
      <c r="I1898" s="2" t="s">
        <v>316</v>
      </c>
      <c r="J1898" s="2" t="s">
        <v>22</v>
      </c>
      <c r="K1898" s="72">
        <v>30</v>
      </c>
      <c r="L1898" s="39"/>
      <c r="M1898" s="72">
        <f t="shared" si="118"/>
        <v>-30</v>
      </c>
      <c r="N1898" s="72">
        <f t="shared" si="119"/>
        <v>481938.03999999975</v>
      </c>
    </row>
    <row r="1899" spans="1:14" x14ac:dyDescent="0.2">
      <c r="A1899" s="73" t="s">
        <v>1223</v>
      </c>
      <c r="B1899" s="3">
        <f t="shared" si="116"/>
        <v>2025</v>
      </c>
      <c r="C1899" s="3">
        <f t="shared" si="117"/>
        <v>9</v>
      </c>
      <c r="D1899" s="73" t="s">
        <v>893</v>
      </c>
      <c r="E1899" s="2"/>
      <c r="F1899" s="2" t="s">
        <v>304</v>
      </c>
      <c r="G1899" s="2" t="s">
        <v>1190</v>
      </c>
      <c r="H1899" s="2" t="s">
        <v>1007</v>
      </c>
      <c r="I1899" s="1" t="s">
        <v>316</v>
      </c>
      <c r="J1899" s="2" t="s">
        <v>17</v>
      </c>
      <c r="K1899" s="72">
        <v>25.75</v>
      </c>
      <c r="L1899" s="39"/>
      <c r="M1899" s="72">
        <f t="shared" si="118"/>
        <v>-25.75</v>
      </c>
      <c r="N1899" s="72">
        <f t="shared" si="119"/>
        <v>481912.28999999975</v>
      </c>
    </row>
    <row r="1900" spans="1:14" x14ac:dyDescent="0.2">
      <c r="A1900" s="73" t="s">
        <v>1224</v>
      </c>
      <c r="B1900" s="3">
        <f t="shared" si="116"/>
        <v>2025</v>
      </c>
      <c r="C1900" s="3">
        <f t="shared" si="117"/>
        <v>9</v>
      </c>
      <c r="D1900" s="73" t="s">
        <v>893</v>
      </c>
      <c r="E1900" s="2"/>
      <c r="F1900" s="2" t="s">
        <v>304</v>
      </c>
      <c r="G1900" s="2" t="s">
        <v>1008</v>
      </c>
      <c r="H1900" s="2" t="s">
        <v>1007</v>
      </c>
      <c r="I1900" s="1" t="s">
        <v>316</v>
      </c>
      <c r="J1900" s="2" t="s">
        <v>17</v>
      </c>
      <c r="K1900" s="72">
        <v>154.43</v>
      </c>
      <c r="L1900" s="39"/>
      <c r="M1900" s="72">
        <f t="shared" si="118"/>
        <v>-154.43</v>
      </c>
      <c r="N1900" s="72">
        <f t="shared" si="119"/>
        <v>481757.85999999975</v>
      </c>
    </row>
    <row r="1901" spans="1:14" x14ac:dyDescent="0.2">
      <c r="A1901" s="73" t="s">
        <v>1224</v>
      </c>
      <c r="B1901" s="3">
        <f t="shared" si="116"/>
        <v>2025</v>
      </c>
      <c r="C1901" s="3">
        <f t="shared" si="117"/>
        <v>9</v>
      </c>
      <c r="D1901" s="73" t="s">
        <v>893</v>
      </c>
      <c r="E1901" s="2"/>
      <c r="F1901" s="2" t="s">
        <v>304</v>
      </c>
      <c r="G1901" s="2" t="s">
        <v>1008</v>
      </c>
      <c r="H1901" s="2" t="s">
        <v>1007</v>
      </c>
      <c r="I1901" s="1" t="s">
        <v>316</v>
      </c>
      <c r="J1901" s="2" t="s">
        <v>17</v>
      </c>
      <c r="K1901" s="72">
        <v>154.4</v>
      </c>
      <c r="L1901" s="39"/>
      <c r="M1901" s="72">
        <f t="shared" si="118"/>
        <v>-154.4</v>
      </c>
      <c r="N1901" s="72">
        <f t="shared" si="119"/>
        <v>481603.45999999973</v>
      </c>
    </row>
    <row r="1902" spans="1:14" x14ac:dyDescent="0.2">
      <c r="A1902" s="73" t="s">
        <v>1224</v>
      </c>
      <c r="B1902" s="3">
        <f t="shared" si="116"/>
        <v>2025</v>
      </c>
      <c r="C1902" s="3">
        <f t="shared" si="117"/>
        <v>9</v>
      </c>
      <c r="D1902" s="73" t="s">
        <v>893</v>
      </c>
      <c r="E1902" s="2"/>
      <c r="F1902" s="2" t="s">
        <v>304</v>
      </c>
      <c r="G1902" s="2" t="s">
        <v>1008</v>
      </c>
      <c r="H1902" s="2" t="s">
        <v>1007</v>
      </c>
      <c r="I1902" s="1" t="s">
        <v>316</v>
      </c>
      <c r="J1902" s="2" t="s">
        <v>17</v>
      </c>
      <c r="K1902" s="72">
        <v>154.38</v>
      </c>
      <c r="L1902" s="39"/>
      <c r="M1902" s="72">
        <f t="shared" si="118"/>
        <v>-154.38</v>
      </c>
      <c r="N1902" s="72">
        <f t="shared" si="119"/>
        <v>481449.07999999973</v>
      </c>
    </row>
    <row r="1903" spans="1:14" x14ac:dyDescent="0.2">
      <c r="A1903" s="73" t="s">
        <v>1224</v>
      </c>
      <c r="B1903" s="3">
        <f t="shared" si="116"/>
        <v>2025</v>
      </c>
      <c r="C1903" s="3">
        <f t="shared" si="117"/>
        <v>9</v>
      </c>
      <c r="D1903" s="73" t="s">
        <v>893</v>
      </c>
      <c r="E1903" s="2"/>
      <c r="F1903" s="2" t="s">
        <v>304</v>
      </c>
      <c r="G1903" s="2" t="s">
        <v>1008</v>
      </c>
      <c r="H1903" s="2" t="s">
        <v>1007</v>
      </c>
      <c r="I1903" s="1" t="s">
        <v>316</v>
      </c>
      <c r="J1903" s="2" t="s">
        <v>17</v>
      </c>
      <c r="K1903" s="72">
        <v>123.54</v>
      </c>
      <c r="L1903" s="39"/>
      <c r="M1903" s="72">
        <f t="shared" si="118"/>
        <v>-123.54</v>
      </c>
      <c r="N1903" s="72">
        <f t="shared" si="119"/>
        <v>481325.53999999975</v>
      </c>
    </row>
    <row r="1904" spans="1:14" x14ac:dyDescent="0.2">
      <c r="A1904" s="73" t="s">
        <v>1224</v>
      </c>
      <c r="B1904" s="3">
        <f t="shared" si="116"/>
        <v>2025</v>
      </c>
      <c r="C1904" s="3">
        <f t="shared" si="117"/>
        <v>9</v>
      </c>
      <c r="D1904" s="73" t="s">
        <v>893</v>
      </c>
      <c r="E1904" s="2"/>
      <c r="F1904" s="2" t="s">
        <v>304</v>
      </c>
      <c r="G1904" s="2" t="s">
        <v>1008</v>
      </c>
      <c r="H1904" s="2" t="s">
        <v>1007</v>
      </c>
      <c r="I1904" s="1" t="s">
        <v>316</v>
      </c>
      <c r="J1904" s="2" t="s">
        <v>17</v>
      </c>
      <c r="K1904" s="72">
        <v>154.41</v>
      </c>
      <c r="L1904" s="39"/>
      <c r="M1904" s="72">
        <f t="shared" si="118"/>
        <v>-154.41</v>
      </c>
      <c r="N1904" s="72">
        <f t="shared" si="119"/>
        <v>481171.12999999977</v>
      </c>
    </row>
    <row r="1905" spans="1:14" x14ac:dyDescent="0.2">
      <c r="A1905" s="73" t="s">
        <v>1224</v>
      </c>
      <c r="B1905" s="3">
        <f t="shared" si="116"/>
        <v>2025</v>
      </c>
      <c r="C1905" s="3">
        <f t="shared" si="117"/>
        <v>9</v>
      </c>
      <c r="D1905" s="73" t="s">
        <v>893</v>
      </c>
      <c r="E1905" s="2"/>
      <c r="F1905" s="2" t="s">
        <v>304</v>
      </c>
      <c r="G1905" s="2" t="s">
        <v>1008</v>
      </c>
      <c r="H1905" s="2" t="s">
        <v>1007</v>
      </c>
      <c r="I1905" s="1" t="s">
        <v>316</v>
      </c>
      <c r="J1905" s="2" t="s">
        <v>17</v>
      </c>
      <c r="K1905" s="72">
        <v>154.5</v>
      </c>
      <c r="L1905" s="39"/>
      <c r="M1905" s="72">
        <f t="shared" si="118"/>
        <v>-154.5</v>
      </c>
      <c r="N1905" s="72">
        <f t="shared" si="119"/>
        <v>481016.62999999977</v>
      </c>
    </row>
    <row r="1906" spans="1:14" x14ac:dyDescent="0.2">
      <c r="A1906" s="73" t="s">
        <v>1224</v>
      </c>
      <c r="B1906" s="3">
        <f t="shared" si="116"/>
        <v>2025</v>
      </c>
      <c r="C1906" s="3">
        <f t="shared" si="117"/>
        <v>9</v>
      </c>
      <c r="D1906" s="73" t="s">
        <v>893</v>
      </c>
      <c r="E1906" s="2"/>
      <c r="F1906" s="2" t="s">
        <v>304</v>
      </c>
      <c r="G1906" s="2" t="s">
        <v>1321</v>
      </c>
      <c r="H1906" s="2" t="s">
        <v>884</v>
      </c>
      <c r="I1906" s="2" t="s">
        <v>316</v>
      </c>
      <c r="J1906" s="2" t="s">
        <v>22</v>
      </c>
      <c r="K1906" s="72">
        <v>20</v>
      </c>
      <c r="L1906" s="39"/>
      <c r="M1906" s="72">
        <f t="shared" si="118"/>
        <v>-20</v>
      </c>
      <c r="N1906" s="72">
        <f t="shared" si="119"/>
        <v>480996.62999999977</v>
      </c>
    </row>
    <row r="1907" spans="1:14" x14ac:dyDescent="0.2">
      <c r="A1907" s="73" t="s">
        <v>1224</v>
      </c>
      <c r="B1907" s="3">
        <f t="shared" si="116"/>
        <v>2025</v>
      </c>
      <c r="C1907" s="3">
        <f t="shared" si="117"/>
        <v>9</v>
      </c>
      <c r="D1907" s="73" t="s">
        <v>893</v>
      </c>
      <c r="E1907" s="2"/>
      <c r="F1907" s="2" t="s">
        <v>304</v>
      </c>
      <c r="G1907" s="2" t="s">
        <v>1151</v>
      </c>
      <c r="H1907" s="2" t="s">
        <v>917</v>
      </c>
      <c r="I1907" s="1" t="s">
        <v>316</v>
      </c>
      <c r="J1907" s="2" t="s">
        <v>17</v>
      </c>
      <c r="K1907" s="72">
        <v>24.91</v>
      </c>
      <c r="L1907" s="39"/>
      <c r="M1907" s="72">
        <f t="shared" si="118"/>
        <v>-24.91</v>
      </c>
      <c r="N1907" s="72">
        <f t="shared" si="119"/>
        <v>480971.7199999998</v>
      </c>
    </row>
    <row r="1908" spans="1:14" x14ac:dyDescent="0.2">
      <c r="A1908" s="73" t="s">
        <v>1224</v>
      </c>
      <c r="B1908" s="3">
        <f t="shared" si="116"/>
        <v>2025</v>
      </c>
      <c r="C1908" s="3">
        <f t="shared" si="117"/>
        <v>9</v>
      </c>
      <c r="D1908" s="73" t="s">
        <v>893</v>
      </c>
      <c r="E1908" s="2"/>
      <c r="F1908" s="2" t="s">
        <v>304</v>
      </c>
      <c r="G1908" s="2" t="s">
        <v>1151</v>
      </c>
      <c r="H1908" s="2" t="s">
        <v>917</v>
      </c>
      <c r="I1908" s="1" t="s">
        <v>316</v>
      </c>
      <c r="J1908" s="2" t="s">
        <v>17</v>
      </c>
      <c r="K1908" s="72">
        <v>17.7</v>
      </c>
      <c r="L1908" s="39"/>
      <c r="M1908" s="72">
        <f t="shared" si="118"/>
        <v>-17.7</v>
      </c>
      <c r="N1908" s="72">
        <f t="shared" si="119"/>
        <v>480954.01999999979</v>
      </c>
    </row>
    <row r="1909" spans="1:14" x14ac:dyDescent="0.2">
      <c r="A1909" s="73" t="s">
        <v>1224</v>
      </c>
      <c r="B1909" s="3">
        <f t="shared" si="116"/>
        <v>2025</v>
      </c>
      <c r="C1909" s="3">
        <f t="shared" si="117"/>
        <v>9</v>
      </c>
      <c r="D1909" s="73" t="s">
        <v>893</v>
      </c>
      <c r="E1909" s="2"/>
      <c r="F1909" s="2" t="s">
        <v>304</v>
      </c>
      <c r="G1909" s="2" t="s">
        <v>1181</v>
      </c>
      <c r="H1909" s="2" t="s">
        <v>1007</v>
      </c>
      <c r="I1909" s="1" t="s">
        <v>316</v>
      </c>
      <c r="J1909" s="2" t="s">
        <v>17</v>
      </c>
      <c r="K1909" s="72">
        <v>79.08</v>
      </c>
      <c r="L1909" s="39"/>
      <c r="M1909" s="72">
        <f t="shared" si="118"/>
        <v>-79.08</v>
      </c>
      <c r="N1909" s="72">
        <f t="shared" si="119"/>
        <v>480874.93999999977</v>
      </c>
    </row>
    <row r="1910" spans="1:14" x14ac:dyDescent="0.2">
      <c r="A1910" s="73" t="s">
        <v>1224</v>
      </c>
      <c r="B1910" s="3">
        <f t="shared" si="116"/>
        <v>2025</v>
      </c>
      <c r="C1910" s="3">
        <f t="shared" si="117"/>
        <v>9</v>
      </c>
      <c r="D1910" s="73" t="s">
        <v>893</v>
      </c>
      <c r="E1910" s="2"/>
      <c r="F1910" s="2" t="s">
        <v>304</v>
      </c>
      <c r="G1910" s="2" t="s">
        <v>900</v>
      </c>
      <c r="H1910" s="2" t="s">
        <v>901</v>
      </c>
      <c r="I1910" s="1" t="s">
        <v>316</v>
      </c>
      <c r="J1910" s="2" t="s">
        <v>17</v>
      </c>
      <c r="K1910" s="72">
        <v>21.4</v>
      </c>
      <c r="L1910" s="39"/>
      <c r="M1910" s="72">
        <f t="shared" si="118"/>
        <v>-21.4</v>
      </c>
      <c r="N1910" s="72">
        <f t="shared" si="119"/>
        <v>480853.53999999975</v>
      </c>
    </row>
    <row r="1911" spans="1:14" x14ac:dyDescent="0.2">
      <c r="A1911" s="73" t="s">
        <v>1224</v>
      </c>
      <c r="B1911" s="3">
        <f t="shared" si="116"/>
        <v>2025</v>
      </c>
      <c r="C1911" s="3">
        <f t="shared" si="117"/>
        <v>9</v>
      </c>
      <c r="D1911" s="73" t="s">
        <v>300</v>
      </c>
      <c r="E1911" s="2"/>
      <c r="F1911" s="2" t="s">
        <v>304</v>
      </c>
      <c r="G1911" s="2" t="s">
        <v>303</v>
      </c>
      <c r="H1911" s="2" t="s">
        <v>302</v>
      </c>
      <c r="I1911" s="2" t="s">
        <v>301</v>
      </c>
      <c r="J1911" s="2" t="s">
        <v>11</v>
      </c>
      <c r="K1911" s="72">
        <v>68.959999999999994</v>
      </c>
      <c r="L1911" s="39"/>
      <c r="M1911" s="72">
        <f t="shared" si="118"/>
        <v>-68.959999999999994</v>
      </c>
      <c r="N1911" s="72">
        <f t="shared" si="119"/>
        <v>480784.57999999973</v>
      </c>
    </row>
    <row r="1912" spans="1:14" x14ac:dyDescent="0.2">
      <c r="A1912" s="73" t="s">
        <v>1224</v>
      </c>
      <c r="B1912" s="3">
        <f t="shared" si="116"/>
        <v>2025</v>
      </c>
      <c r="C1912" s="3">
        <f t="shared" si="117"/>
        <v>9</v>
      </c>
      <c r="D1912" s="73" t="s">
        <v>893</v>
      </c>
      <c r="E1912" s="2"/>
      <c r="F1912" s="2" t="s">
        <v>304</v>
      </c>
      <c r="G1912" s="2" t="s">
        <v>1030</v>
      </c>
      <c r="H1912" s="2" t="s">
        <v>1027</v>
      </c>
      <c r="I1912" s="1" t="s">
        <v>316</v>
      </c>
      <c r="J1912" s="2" t="s">
        <v>17</v>
      </c>
      <c r="K1912" s="72">
        <v>10</v>
      </c>
      <c r="L1912" s="39"/>
      <c r="M1912" s="72">
        <f t="shared" si="118"/>
        <v>-10</v>
      </c>
      <c r="N1912" s="72">
        <f t="shared" si="119"/>
        <v>480774.57999999973</v>
      </c>
    </row>
    <row r="1913" spans="1:14" x14ac:dyDescent="0.2">
      <c r="A1913" s="73" t="s">
        <v>1224</v>
      </c>
      <c r="B1913" s="3">
        <f t="shared" si="116"/>
        <v>2025</v>
      </c>
      <c r="C1913" s="3">
        <f t="shared" si="117"/>
        <v>9</v>
      </c>
      <c r="D1913" s="73" t="s">
        <v>300</v>
      </c>
      <c r="E1913" s="2"/>
      <c r="F1913" s="2" t="s">
        <v>321</v>
      </c>
      <c r="G1913" s="2" t="s">
        <v>387</v>
      </c>
      <c r="H1913" s="2" t="s">
        <v>319</v>
      </c>
      <c r="I1913" s="2" t="s">
        <v>315</v>
      </c>
      <c r="J1913" s="2" t="s">
        <v>23</v>
      </c>
      <c r="K1913" s="72"/>
      <c r="L1913" s="39">
        <v>18810</v>
      </c>
      <c r="M1913" s="72">
        <f t="shared" si="118"/>
        <v>18810</v>
      </c>
      <c r="N1913" s="72">
        <f t="shared" si="119"/>
        <v>499584.57999999973</v>
      </c>
    </row>
    <row r="1914" spans="1:14" x14ac:dyDescent="0.2">
      <c r="A1914" s="73" t="s">
        <v>1224</v>
      </c>
      <c r="B1914" s="3">
        <f t="shared" si="116"/>
        <v>2025</v>
      </c>
      <c r="C1914" s="3">
        <f t="shared" si="117"/>
        <v>9</v>
      </c>
      <c r="D1914" s="73" t="s">
        <v>300</v>
      </c>
      <c r="E1914" s="2"/>
      <c r="F1914" s="2" t="s">
        <v>299</v>
      </c>
      <c r="G1914" s="2"/>
      <c r="H1914" s="2" t="s">
        <v>298</v>
      </c>
      <c r="I1914" s="2" t="s">
        <v>297</v>
      </c>
      <c r="J1914" s="2" t="s">
        <v>296</v>
      </c>
      <c r="K1914" s="72">
        <v>2300.6799999999998</v>
      </c>
      <c r="L1914" s="39"/>
      <c r="M1914" s="72">
        <f t="shared" si="118"/>
        <v>-2300.6799999999998</v>
      </c>
      <c r="N1914" s="72">
        <f t="shared" si="119"/>
        <v>497283.89999999973</v>
      </c>
    </row>
    <row r="1915" spans="1:14" x14ac:dyDescent="0.2">
      <c r="A1915" s="73" t="s">
        <v>1225</v>
      </c>
      <c r="B1915" s="3">
        <f t="shared" si="116"/>
        <v>2025</v>
      </c>
      <c r="C1915" s="3">
        <f t="shared" si="117"/>
        <v>9</v>
      </c>
      <c r="D1915" s="73" t="s">
        <v>300</v>
      </c>
      <c r="E1915" s="2"/>
      <c r="F1915" s="2" t="s">
        <v>325</v>
      </c>
      <c r="G1915" s="2" t="s">
        <v>324</v>
      </c>
      <c r="H1915" s="2" t="s">
        <v>323</v>
      </c>
      <c r="I1915" s="2" t="s">
        <v>316</v>
      </c>
      <c r="J1915" s="2" t="s">
        <v>17</v>
      </c>
      <c r="K1915" s="72">
        <v>3124.42</v>
      </c>
      <c r="L1915" s="39"/>
      <c r="M1915" s="72">
        <f t="shared" si="118"/>
        <v>-3124.42</v>
      </c>
      <c r="N1915" s="72">
        <f t="shared" si="119"/>
        <v>494159.47999999975</v>
      </c>
    </row>
    <row r="1916" spans="1:14" x14ac:dyDescent="0.2">
      <c r="A1916" s="73" t="s">
        <v>1225</v>
      </c>
      <c r="B1916" s="3">
        <f t="shared" si="116"/>
        <v>2025</v>
      </c>
      <c r="C1916" s="3">
        <f t="shared" si="117"/>
        <v>9</v>
      </c>
      <c r="D1916" s="73" t="s">
        <v>893</v>
      </c>
      <c r="E1916" s="2"/>
      <c r="F1916" s="2" t="s">
        <v>304</v>
      </c>
      <c r="G1916" s="2" t="s">
        <v>995</v>
      </c>
      <c r="H1916" s="2" t="s">
        <v>992</v>
      </c>
      <c r="I1916" s="2" t="s">
        <v>316</v>
      </c>
      <c r="J1916" s="2" t="s">
        <v>22</v>
      </c>
      <c r="K1916" s="72">
        <v>39.92</v>
      </c>
      <c r="L1916" s="39"/>
      <c r="M1916" s="72">
        <f t="shared" si="118"/>
        <v>-39.92</v>
      </c>
      <c r="N1916" s="72">
        <f t="shared" si="119"/>
        <v>494119.55999999976</v>
      </c>
    </row>
    <row r="1917" spans="1:14" x14ac:dyDescent="0.2">
      <c r="A1917" s="73" t="s">
        <v>1225</v>
      </c>
      <c r="B1917" s="3">
        <f t="shared" si="116"/>
        <v>2025</v>
      </c>
      <c r="C1917" s="3">
        <f t="shared" si="117"/>
        <v>9</v>
      </c>
      <c r="D1917" s="73" t="s">
        <v>300</v>
      </c>
      <c r="E1917" s="2"/>
      <c r="F1917" s="2" t="s">
        <v>325</v>
      </c>
      <c r="G1917" s="2" t="s">
        <v>375</v>
      </c>
      <c r="H1917" s="2" t="s">
        <v>323</v>
      </c>
      <c r="I1917" s="2" t="s">
        <v>316</v>
      </c>
      <c r="J1917" s="2" t="s">
        <v>29</v>
      </c>
      <c r="K1917" s="72">
        <v>2561.5</v>
      </c>
      <c r="L1917" s="39"/>
      <c r="M1917" s="72">
        <f t="shared" si="118"/>
        <v>-2561.5</v>
      </c>
      <c r="N1917" s="72">
        <f t="shared" si="119"/>
        <v>491558.05999999976</v>
      </c>
    </row>
    <row r="1918" spans="1:14" x14ac:dyDescent="0.2">
      <c r="A1918" s="73" t="s">
        <v>1225</v>
      </c>
      <c r="B1918" s="3">
        <f t="shared" si="116"/>
        <v>2025</v>
      </c>
      <c r="C1918" s="3">
        <f t="shared" si="117"/>
        <v>9</v>
      </c>
      <c r="D1918" s="73" t="s">
        <v>300</v>
      </c>
      <c r="E1918" s="2"/>
      <c r="F1918" s="2" t="s">
        <v>325</v>
      </c>
      <c r="G1918" s="2" t="s">
        <v>374</v>
      </c>
      <c r="H1918" s="2" t="s">
        <v>323</v>
      </c>
      <c r="I1918" s="2" t="s">
        <v>316</v>
      </c>
      <c r="J1918" s="2" t="s">
        <v>29</v>
      </c>
      <c r="K1918" s="72">
        <v>5439.5</v>
      </c>
      <c r="L1918" s="39"/>
      <c r="M1918" s="72">
        <f t="shared" si="118"/>
        <v>-5439.5</v>
      </c>
      <c r="N1918" s="72">
        <f t="shared" si="119"/>
        <v>486118.55999999976</v>
      </c>
    </row>
    <row r="1919" spans="1:14" x14ac:dyDescent="0.2">
      <c r="A1919" s="73" t="s">
        <v>1225</v>
      </c>
      <c r="B1919" s="3">
        <f t="shared" si="116"/>
        <v>2025</v>
      </c>
      <c r="C1919" s="3">
        <f t="shared" si="117"/>
        <v>9</v>
      </c>
      <c r="D1919" s="73" t="s">
        <v>300</v>
      </c>
      <c r="E1919" s="2"/>
      <c r="F1919" s="2" t="s">
        <v>299</v>
      </c>
      <c r="G1919" s="2"/>
      <c r="H1919" s="2" t="s">
        <v>298</v>
      </c>
      <c r="I1919" s="2" t="s">
        <v>297</v>
      </c>
      <c r="J1919" s="2" t="s">
        <v>296</v>
      </c>
      <c r="K1919" s="72"/>
      <c r="L1919" s="39">
        <v>11079.72</v>
      </c>
      <c r="M1919" s="72">
        <f t="shared" si="118"/>
        <v>11079.72</v>
      </c>
      <c r="N1919" s="72">
        <f t="shared" si="119"/>
        <v>497198.27999999974</v>
      </c>
    </row>
    <row r="1920" spans="1:14" x14ac:dyDescent="0.2">
      <c r="A1920" s="73" t="s">
        <v>1225</v>
      </c>
      <c r="B1920" s="3">
        <f t="shared" si="116"/>
        <v>2025</v>
      </c>
      <c r="C1920" s="3">
        <f t="shared" si="117"/>
        <v>9</v>
      </c>
      <c r="D1920" s="73" t="s">
        <v>300</v>
      </c>
      <c r="E1920" s="2"/>
      <c r="F1920" s="2" t="s">
        <v>309</v>
      </c>
      <c r="G1920" s="2"/>
      <c r="H1920" s="2" t="s">
        <v>992</v>
      </c>
      <c r="I1920" s="2" t="s">
        <v>316</v>
      </c>
      <c r="J1920" s="2" t="s">
        <v>22</v>
      </c>
      <c r="K1920" s="72"/>
      <c r="L1920" s="39">
        <v>45.7</v>
      </c>
      <c r="M1920" s="72">
        <f t="shared" si="118"/>
        <v>45.7</v>
      </c>
      <c r="N1920" s="72">
        <f t="shared" si="119"/>
        <v>497243.97999999975</v>
      </c>
    </row>
    <row r="1921" spans="1:14" x14ac:dyDescent="0.2">
      <c r="A1921" s="73" t="s">
        <v>1309</v>
      </c>
      <c r="B1921" s="3">
        <f t="shared" si="116"/>
        <v>2025</v>
      </c>
      <c r="C1921" s="3">
        <f t="shared" si="117"/>
        <v>9</v>
      </c>
      <c r="D1921" s="73" t="s">
        <v>893</v>
      </c>
      <c r="E1921" s="2"/>
      <c r="F1921" s="2" t="s">
        <v>304</v>
      </c>
      <c r="G1921" s="2" t="s">
        <v>1008</v>
      </c>
      <c r="H1921" s="2" t="s">
        <v>1007</v>
      </c>
      <c r="I1921" s="1" t="s">
        <v>316</v>
      </c>
      <c r="J1921" s="2" t="s">
        <v>17</v>
      </c>
      <c r="K1921" s="72">
        <v>106</v>
      </c>
      <c r="L1921" s="39"/>
      <c r="M1921" s="72">
        <f t="shared" si="118"/>
        <v>-106</v>
      </c>
      <c r="N1921" s="72">
        <f t="shared" si="119"/>
        <v>497137.97999999975</v>
      </c>
    </row>
    <row r="1922" spans="1:14" x14ac:dyDescent="0.2">
      <c r="A1922" s="73" t="s">
        <v>1309</v>
      </c>
      <c r="B1922" s="3">
        <f t="shared" ref="B1922:B1985" si="120">YEAR(A1922)</f>
        <v>2025</v>
      </c>
      <c r="C1922" s="3">
        <f t="shared" ref="C1922:C1985" si="121">MONTH(A1922)</f>
        <v>9</v>
      </c>
      <c r="D1922" s="73" t="s">
        <v>893</v>
      </c>
      <c r="E1922" s="2"/>
      <c r="F1922" s="2" t="s">
        <v>304</v>
      </c>
      <c r="G1922" s="2" t="s">
        <v>932</v>
      </c>
      <c r="H1922" s="2" t="s">
        <v>1007</v>
      </c>
      <c r="I1922" s="1" t="s">
        <v>316</v>
      </c>
      <c r="J1922" s="2" t="s">
        <v>17</v>
      </c>
      <c r="K1922" s="72">
        <v>95.39</v>
      </c>
      <c r="L1922" s="39"/>
      <c r="M1922" s="72">
        <f t="shared" ref="M1922:M1985" si="122">IF(ISBLANK(L1922),K1922*-1,L1922)</f>
        <v>-95.39</v>
      </c>
      <c r="N1922" s="72">
        <f t="shared" si="119"/>
        <v>497042.58999999973</v>
      </c>
    </row>
    <row r="1923" spans="1:14" x14ac:dyDescent="0.2">
      <c r="A1923" s="73" t="s">
        <v>1310</v>
      </c>
      <c r="B1923" s="3">
        <f t="shared" si="120"/>
        <v>2025</v>
      </c>
      <c r="C1923" s="3">
        <f t="shared" si="121"/>
        <v>9</v>
      </c>
      <c r="D1923" s="73" t="s">
        <v>893</v>
      </c>
      <c r="E1923" s="2"/>
      <c r="F1923" s="2" t="s">
        <v>304</v>
      </c>
      <c r="G1923" s="2" t="s">
        <v>898</v>
      </c>
      <c r="H1923" s="2" t="s">
        <v>1031</v>
      </c>
      <c r="I1923" s="1" t="s">
        <v>316</v>
      </c>
      <c r="J1923" s="1" t="s">
        <v>28</v>
      </c>
      <c r="K1923" s="72">
        <v>54.03</v>
      </c>
      <c r="L1923" s="39"/>
      <c r="M1923" s="72">
        <f t="shared" si="122"/>
        <v>-54.03</v>
      </c>
      <c r="N1923" s="72">
        <f t="shared" ref="N1923:N1986" si="123">+N1922+M1923</f>
        <v>496988.55999999971</v>
      </c>
    </row>
    <row r="1924" spans="1:14" x14ac:dyDescent="0.2">
      <c r="A1924" s="73" t="s">
        <v>1226</v>
      </c>
      <c r="B1924" s="3">
        <f t="shared" si="120"/>
        <v>2025</v>
      </c>
      <c r="C1924" s="3">
        <f t="shared" si="121"/>
        <v>9</v>
      </c>
      <c r="D1924" s="73" t="s">
        <v>300</v>
      </c>
      <c r="E1924" s="2"/>
      <c r="F1924" s="2" t="s">
        <v>309</v>
      </c>
      <c r="G1924" s="2" t="s">
        <v>12</v>
      </c>
      <c r="H1924" s="2" t="s">
        <v>346</v>
      </c>
      <c r="I1924" s="2" t="s">
        <v>315</v>
      </c>
      <c r="J1924" s="2" t="s">
        <v>23</v>
      </c>
      <c r="K1924" s="72"/>
      <c r="L1924" s="39">
        <v>1500</v>
      </c>
      <c r="M1924" s="72">
        <f t="shared" si="122"/>
        <v>1500</v>
      </c>
      <c r="N1924" s="72">
        <f t="shared" si="123"/>
        <v>498488.55999999971</v>
      </c>
    </row>
    <row r="1925" spans="1:14" x14ac:dyDescent="0.2">
      <c r="A1925" s="73" t="s">
        <v>1226</v>
      </c>
      <c r="B1925" s="3">
        <f t="shared" si="120"/>
        <v>2025</v>
      </c>
      <c r="C1925" s="3">
        <f t="shared" si="121"/>
        <v>9</v>
      </c>
      <c r="D1925" s="73" t="s">
        <v>893</v>
      </c>
      <c r="E1925" s="2"/>
      <c r="F1925" s="2" t="s">
        <v>304</v>
      </c>
      <c r="G1925" s="2" t="s">
        <v>1151</v>
      </c>
      <c r="H1925" s="2" t="s">
        <v>917</v>
      </c>
      <c r="I1925" s="1" t="s">
        <v>316</v>
      </c>
      <c r="J1925" s="2" t="s">
        <v>17</v>
      </c>
      <c r="K1925" s="72">
        <v>293.70999999999998</v>
      </c>
      <c r="L1925" s="39"/>
      <c r="M1925" s="72">
        <f t="shared" si="122"/>
        <v>-293.70999999999998</v>
      </c>
      <c r="N1925" s="72">
        <f t="shared" si="123"/>
        <v>498194.84999999969</v>
      </c>
    </row>
    <row r="1926" spans="1:14" x14ac:dyDescent="0.2">
      <c r="A1926" s="73" t="s">
        <v>1226</v>
      </c>
      <c r="B1926" s="3">
        <f t="shared" si="120"/>
        <v>2025</v>
      </c>
      <c r="C1926" s="3">
        <f t="shared" si="121"/>
        <v>9</v>
      </c>
      <c r="D1926" s="73" t="s">
        <v>893</v>
      </c>
      <c r="E1926" s="2"/>
      <c r="F1926" s="2" t="s">
        <v>304</v>
      </c>
      <c r="G1926" s="2" t="s">
        <v>908</v>
      </c>
      <c r="H1926" s="2" t="s">
        <v>901</v>
      </c>
      <c r="I1926" s="1" t="s">
        <v>316</v>
      </c>
      <c r="J1926" s="2" t="s">
        <v>17</v>
      </c>
      <c r="K1926" s="72">
        <v>20</v>
      </c>
      <c r="L1926" s="39"/>
      <c r="M1926" s="72">
        <f t="shared" si="122"/>
        <v>-20</v>
      </c>
      <c r="N1926" s="72">
        <f t="shared" si="123"/>
        <v>498174.84999999969</v>
      </c>
    </row>
    <row r="1927" spans="1:14" x14ac:dyDescent="0.2">
      <c r="A1927" s="73" t="s">
        <v>1226</v>
      </c>
      <c r="B1927" s="3">
        <f t="shared" si="120"/>
        <v>2025</v>
      </c>
      <c r="C1927" s="3">
        <f t="shared" si="121"/>
        <v>9</v>
      </c>
      <c r="D1927" s="73" t="s">
        <v>300</v>
      </c>
      <c r="E1927" s="2"/>
      <c r="F1927" s="2" t="s">
        <v>304</v>
      </c>
      <c r="G1927" s="2" t="s">
        <v>317</v>
      </c>
      <c r="H1927" s="2" t="s">
        <v>349</v>
      </c>
      <c r="I1927" s="2" t="s">
        <v>297</v>
      </c>
      <c r="J1927" s="2" t="s">
        <v>26</v>
      </c>
      <c r="K1927" s="72">
        <v>15</v>
      </c>
      <c r="L1927" s="39"/>
      <c r="M1927" s="72">
        <f t="shared" si="122"/>
        <v>-15</v>
      </c>
      <c r="N1927" s="72">
        <f t="shared" si="123"/>
        <v>498159.84999999969</v>
      </c>
    </row>
    <row r="1928" spans="1:14" x14ac:dyDescent="0.2">
      <c r="A1928" s="73" t="s">
        <v>1226</v>
      </c>
      <c r="B1928" s="3">
        <f t="shared" si="120"/>
        <v>2025</v>
      </c>
      <c r="C1928" s="3">
        <f t="shared" si="121"/>
        <v>9</v>
      </c>
      <c r="D1928" s="73" t="s">
        <v>300</v>
      </c>
      <c r="E1928" s="2"/>
      <c r="F1928" s="2" t="s">
        <v>325</v>
      </c>
      <c r="G1928" s="2" t="s">
        <v>379</v>
      </c>
      <c r="H1928" s="2" t="s">
        <v>323</v>
      </c>
      <c r="I1928" s="2" t="s">
        <v>316</v>
      </c>
      <c r="J1928" s="2" t="s">
        <v>32</v>
      </c>
      <c r="K1928" s="72">
        <v>565</v>
      </c>
      <c r="L1928" s="39"/>
      <c r="M1928" s="72">
        <f t="shared" si="122"/>
        <v>-565</v>
      </c>
      <c r="N1928" s="72">
        <f t="shared" si="123"/>
        <v>497594.84999999969</v>
      </c>
    </row>
    <row r="1929" spans="1:14" x14ac:dyDescent="0.2">
      <c r="A1929" s="73" t="s">
        <v>1226</v>
      </c>
      <c r="B1929" s="3">
        <f t="shared" si="120"/>
        <v>2025</v>
      </c>
      <c r="C1929" s="3">
        <f t="shared" si="121"/>
        <v>9</v>
      </c>
      <c r="D1929" s="73" t="s">
        <v>300</v>
      </c>
      <c r="E1929" s="2"/>
      <c r="F1929" s="2" t="s">
        <v>299</v>
      </c>
      <c r="G1929" s="2"/>
      <c r="H1929" s="2" t="s">
        <v>298</v>
      </c>
      <c r="I1929" s="2" t="s">
        <v>297</v>
      </c>
      <c r="J1929" s="2" t="s">
        <v>296</v>
      </c>
      <c r="K1929" s="72"/>
      <c r="L1929" s="39">
        <v>112711.4</v>
      </c>
      <c r="M1929" s="72">
        <f t="shared" si="122"/>
        <v>112711.4</v>
      </c>
      <c r="N1929" s="72">
        <f t="shared" si="123"/>
        <v>610306.24999999965</v>
      </c>
    </row>
    <row r="1930" spans="1:14" x14ac:dyDescent="0.2">
      <c r="A1930" s="73" t="s">
        <v>1226</v>
      </c>
      <c r="B1930" s="3">
        <f t="shared" si="120"/>
        <v>2025</v>
      </c>
      <c r="C1930" s="3">
        <f t="shared" si="121"/>
        <v>9</v>
      </c>
      <c r="D1930" s="73" t="s">
        <v>300</v>
      </c>
      <c r="E1930" s="2"/>
      <c r="F1930" s="2" t="s">
        <v>304</v>
      </c>
      <c r="G1930" s="2"/>
      <c r="H1930" s="2" t="s">
        <v>516</v>
      </c>
      <c r="I1930" s="2" t="s">
        <v>301</v>
      </c>
      <c r="J1930" s="2" t="s">
        <v>20</v>
      </c>
      <c r="K1930" s="72">
        <v>36264.71</v>
      </c>
      <c r="L1930" s="39"/>
      <c r="M1930" s="72">
        <f t="shared" si="122"/>
        <v>-36264.71</v>
      </c>
      <c r="N1930" s="72">
        <f t="shared" si="123"/>
        <v>574041.53999999969</v>
      </c>
    </row>
    <row r="1931" spans="1:14" x14ac:dyDescent="0.2">
      <c r="A1931" s="73" t="s">
        <v>1226</v>
      </c>
      <c r="B1931" s="3">
        <f t="shared" si="120"/>
        <v>2025</v>
      </c>
      <c r="C1931" s="3">
        <f t="shared" si="121"/>
        <v>9</v>
      </c>
      <c r="D1931" s="73" t="s">
        <v>300</v>
      </c>
      <c r="E1931" s="2"/>
      <c r="F1931" s="2" t="s">
        <v>304</v>
      </c>
      <c r="G1931" s="2"/>
      <c r="H1931" s="2" t="s">
        <v>516</v>
      </c>
      <c r="I1931" s="2" t="s">
        <v>301</v>
      </c>
      <c r="J1931" s="2" t="s">
        <v>24</v>
      </c>
      <c r="K1931" s="72">
        <v>74882.19</v>
      </c>
      <c r="L1931" s="39"/>
      <c r="M1931" s="72">
        <f t="shared" si="122"/>
        <v>-74882.19</v>
      </c>
      <c r="N1931" s="72">
        <f t="shared" si="123"/>
        <v>499159.34999999969</v>
      </c>
    </row>
    <row r="1932" spans="1:14" x14ac:dyDescent="0.2">
      <c r="A1932" s="73" t="s">
        <v>1226</v>
      </c>
      <c r="B1932" s="3">
        <f t="shared" si="120"/>
        <v>2025</v>
      </c>
      <c r="C1932" s="3">
        <f t="shared" si="121"/>
        <v>9</v>
      </c>
      <c r="D1932" s="73" t="s">
        <v>300</v>
      </c>
      <c r="E1932" s="2"/>
      <c r="F1932" s="2" t="s">
        <v>304</v>
      </c>
      <c r="G1932" s="2"/>
      <c r="H1932" s="2" t="s">
        <v>516</v>
      </c>
      <c r="I1932" s="2" t="s">
        <v>301</v>
      </c>
      <c r="J1932" s="2" t="s">
        <v>11</v>
      </c>
      <c r="K1932" s="72">
        <v>999.5</v>
      </c>
      <c r="L1932" s="39"/>
      <c r="M1932" s="72">
        <f t="shared" si="122"/>
        <v>-999.5</v>
      </c>
      <c r="N1932" s="72">
        <f t="shared" si="123"/>
        <v>498159.84999999969</v>
      </c>
    </row>
    <row r="1933" spans="1:14" x14ac:dyDescent="0.2">
      <c r="A1933" s="73" t="s">
        <v>1227</v>
      </c>
      <c r="B1933" s="3">
        <f t="shared" si="120"/>
        <v>2025</v>
      </c>
      <c r="C1933" s="3">
        <f t="shared" si="121"/>
        <v>9</v>
      </c>
      <c r="D1933" s="73" t="s">
        <v>893</v>
      </c>
      <c r="E1933" s="2"/>
      <c r="F1933" s="2" t="s">
        <v>304</v>
      </c>
      <c r="G1933" s="2" t="s">
        <v>1008</v>
      </c>
      <c r="H1933" s="2" t="s">
        <v>1007</v>
      </c>
      <c r="I1933" s="1" t="s">
        <v>316</v>
      </c>
      <c r="J1933" s="2" t="s">
        <v>17</v>
      </c>
      <c r="K1933" s="72">
        <v>25.75</v>
      </c>
      <c r="L1933" s="39"/>
      <c r="M1933" s="72">
        <f t="shared" si="122"/>
        <v>-25.75</v>
      </c>
      <c r="N1933" s="72">
        <f t="shared" si="123"/>
        <v>498134.09999999969</v>
      </c>
    </row>
    <row r="1934" spans="1:14" x14ac:dyDescent="0.2">
      <c r="A1934" s="73" t="s">
        <v>1227</v>
      </c>
      <c r="B1934" s="3">
        <f t="shared" si="120"/>
        <v>2025</v>
      </c>
      <c r="C1934" s="3">
        <f t="shared" si="121"/>
        <v>9</v>
      </c>
      <c r="D1934" s="73" t="s">
        <v>893</v>
      </c>
      <c r="E1934" s="2"/>
      <c r="F1934" s="2" t="s">
        <v>304</v>
      </c>
      <c r="G1934" s="2" t="s">
        <v>1008</v>
      </c>
      <c r="H1934" s="2" t="s">
        <v>1007</v>
      </c>
      <c r="I1934" s="1" t="s">
        <v>316</v>
      </c>
      <c r="J1934" s="2" t="s">
        <v>17</v>
      </c>
      <c r="K1934" s="72">
        <v>127.82</v>
      </c>
      <c r="L1934" s="39"/>
      <c r="M1934" s="72">
        <f t="shared" si="122"/>
        <v>-127.82</v>
      </c>
      <c r="N1934" s="72">
        <f t="shared" si="123"/>
        <v>498006.27999999968</v>
      </c>
    </row>
    <row r="1935" spans="1:14" x14ac:dyDescent="0.2">
      <c r="A1935" s="73" t="s">
        <v>1227</v>
      </c>
      <c r="B1935" s="3">
        <f t="shared" si="120"/>
        <v>2025</v>
      </c>
      <c r="C1935" s="3">
        <f t="shared" si="121"/>
        <v>9</v>
      </c>
      <c r="D1935" s="73" t="s">
        <v>893</v>
      </c>
      <c r="E1935" s="2"/>
      <c r="F1935" s="2" t="s">
        <v>304</v>
      </c>
      <c r="G1935" s="2" t="s">
        <v>1322</v>
      </c>
      <c r="H1935" s="2" t="s">
        <v>1323</v>
      </c>
      <c r="I1935" s="2" t="s">
        <v>316</v>
      </c>
      <c r="J1935" s="2" t="s">
        <v>28</v>
      </c>
      <c r="K1935" s="72">
        <v>1029.1099999999999</v>
      </c>
      <c r="L1935" s="39"/>
      <c r="M1935" s="72">
        <f t="shared" si="122"/>
        <v>-1029.1099999999999</v>
      </c>
      <c r="N1935" s="72">
        <f t="shared" si="123"/>
        <v>496977.16999999969</v>
      </c>
    </row>
    <row r="1936" spans="1:14" x14ac:dyDescent="0.2">
      <c r="A1936" s="73" t="s">
        <v>1227</v>
      </c>
      <c r="B1936" s="3">
        <f t="shared" si="120"/>
        <v>2025</v>
      </c>
      <c r="C1936" s="3">
        <f t="shared" si="121"/>
        <v>9</v>
      </c>
      <c r="D1936" s="73" t="s">
        <v>893</v>
      </c>
      <c r="E1936" s="2"/>
      <c r="F1936" s="2" t="s">
        <v>938</v>
      </c>
      <c r="G1936" s="2" t="s">
        <v>1322</v>
      </c>
      <c r="H1936" s="2" t="s">
        <v>1323</v>
      </c>
      <c r="I1936" s="2" t="s">
        <v>316</v>
      </c>
      <c r="J1936" s="2" t="s">
        <v>28</v>
      </c>
      <c r="K1936" s="72"/>
      <c r="L1936" s="39">
        <v>127.58</v>
      </c>
      <c r="M1936" s="72">
        <f t="shared" si="122"/>
        <v>127.58</v>
      </c>
      <c r="N1936" s="72">
        <f t="shared" si="123"/>
        <v>497104.74999999971</v>
      </c>
    </row>
    <row r="1937" spans="1:16" x14ac:dyDescent="0.2">
      <c r="A1937" s="73" t="s">
        <v>1227</v>
      </c>
      <c r="B1937" s="3">
        <f t="shared" si="120"/>
        <v>2025</v>
      </c>
      <c r="C1937" s="3">
        <f t="shared" si="121"/>
        <v>9</v>
      </c>
      <c r="D1937" s="73" t="s">
        <v>300</v>
      </c>
      <c r="E1937" s="2"/>
      <c r="F1937" s="2" t="s">
        <v>321</v>
      </c>
      <c r="G1937" s="2" t="s">
        <v>737</v>
      </c>
      <c r="H1937" s="2" t="s">
        <v>319</v>
      </c>
      <c r="I1937" s="2" t="s">
        <v>315</v>
      </c>
      <c r="J1937" s="2" t="s">
        <v>23</v>
      </c>
      <c r="K1937" s="72"/>
      <c r="L1937" s="39">
        <v>17500</v>
      </c>
      <c r="M1937" s="72">
        <f t="shared" si="122"/>
        <v>17500</v>
      </c>
      <c r="N1937" s="72">
        <f t="shared" si="123"/>
        <v>514604.74999999971</v>
      </c>
    </row>
    <row r="1938" spans="1:16" x14ac:dyDescent="0.2">
      <c r="A1938" s="73" t="s">
        <v>1227</v>
      </c>
      <c r="B1938" s="3">
        <f t="shared" si="120"/>
        <v>2025</v>
      </c>
      <c r="C1938" s="3">
        <f t="shared" si="121"/>
        <v>9</v>
      </c>
      <c r="D1938" s="73" t="s">
        <v>300</v>
      </c>
      <c r="E1938" s="2"/>
      <c r="F1938" s="2" t="s">
        <v>321</v>
      </c>
      <c r="G1938" s="2" t="s">
        <v>738</v>
      </c>
      <c r="H1938" s="2" t="s">
        <v>319</v>
      </c>
      <c r="I1938" s="2" t="s">
        <v>315</v>
      </c>
      <c r="J1938" s="2" t="s">
        <v>23</v>
      </c>
      <c r="K1938" s="72"/>
      <c r="L1938" s="39">
        <v>10000</v>
      </c>
      <c r="M1938" s="72">
        <f t="shared" si="122"/>
        <v>10000</v>
      </c>
      <c r="N1938" s="72">
        <f t="shared" si="123"/>
        <v>524604.74999999977</v>
      </c>
    </row>
    <row r="1939" spans="1:16" x14ac:dyDescent="0.2">
      <c r="A1939" s="73" t="s">
        <v>1227</v>
      </c>
      <c r="B1939" s="3">
        <f t="shared" si="120"/>
        <v>2025</v>
      </c>
      <c r="C1939" s="3">
        <f t="shared" si="121"/>
        <v>9</v>
      </c>
      <c r="D1939" s="73" t="s">
        <v>300</v>
      </c>
      <c r="E1939" s="2"/>
      <c r="F1939" s="2" t="s">
        <v>304</v>
      </c>
      <c r="G1939" s="2" t="s">
        <v>306</v>
      </c>
      <c r="H1939" s="2" t="s">
        <v>305</v>
      </c>
      <c r="I1939" s="2" t="s">
        <v>301</v>
      </c>
      <c r="J1939" s="2" t="s">
        <v>19</v>
      </c>
      <c r="K1939" s="72">
        <v>304.76</v>
      </c>
      <c r="L1939" s="39"/>
      <c r="M1939" s="72">
        <f t="shared" si="122"/>
        <v>-304.76</v>
      </c>
      <c r="N1939" s="72">
        <f t="shared" si="123"/>
        <v>524299.98999999976</v>
      </c>
      <c r="O1939" s="72">
        <v>527225</v>
      </c>
    </row>
    <row r="1940" spans="1:16" x14ac:dyDescent="0.2">
      <c r="A1940" s="73" t="s">
        <v>1227</v>
      </c>
      <c r="B1940" s="3">
        <f t="shared" si="120"/>
        <v>2025</v>
      </c>
      <c r="C1940" s="3">
        <f t="shared" si="121"/>
        <v>9</v>
      </c>
      <c r="D1940" s="73" t="s">
        <v>300</v>
      </c>
      <c r="E1940" s="2"/>
      <c r="F1940" s="2" t="s">
        <v>299</v>
      </c>
      <c r="G1940" s="2"/>
      <c r="H1940" s="2" t="s">
        <v>298</v>
      </c>
      <c r="I1940" s="2" t="s">
        <v>297</v>
      </c>
      <c r="J1940" s="2" t="s">
        <v>296</v>
      </c>
      <c r="K1940" s="72">
        <v>2538.29</v>
      </c>
      <c r="L1940" s="39"/>
      <c r="M1940" s="72">
        <f t="shared" si="122"/>
        <v>-2538.29</v>
      </c>
      <c r="N1940" s="72">
        <f t="shared" si="123"/>
        <v>521761.69999999978</v>
      </c>
      <c r="O1940" s="72">
        <v>-4380.25</v>
      </c>
    </row>
    <row r="1941" spans="1:16" x14ac:dyDescent="0.2">
      <c r="A1941" s="73" t="s">
        <v>1227</v>
      </c>
      <c r="B1941" s="3">
        <f t="shared" si="120"/>
        <v>2025</v>
      </c>
      <c r="C1941" s="3">
        <f t="shared" si="121"/>
        <v>9</v>
      </c>
      <c r="D1941" s="73" t="s">
        <v>300</v>
      </c>
      <c r="E1941" s="2"/>
      <c r="F1941" s="2" t="s">
        <v>309</v>
      </c>
      <c r="G1941" s="2"/>
      <c r="H1941" s="2" t="s">
        <v>307</v>
      </c>
      <c r="I1941" s="2" t="s">
        <v>297</v>
      </c>
      <c r="J1941" s="2" t="s">
        <v>48</v>
      </c>
      <c r="K1941" s="72"/>
      <c r="L1941" s="39">
        <v>1083.05</v>
      </c>
      <c r="M1941" s="72">
        <f t="shared" si="122"/>
        <v>1083.05</v>
      </c>
      <c r="N1941" s="72">
        <f t="shared" si="123"/>
        <v>522844.74999999977</v>
      </c>
      <c r="O1941" s="72">
        <f>+O1939+O1940</f>
        <v>522844.75</v>
      </c>
      <c r="P1941" s="39">
        <f>+O1941-N1941</f>
        <v>0</v>
      </c>
    </row>
    <row r="1942" spans="1:16" x14ac:dyDescent="0.2">
      <c r="A1942" s="73" t="s">
        <v>1374</v>
      </c>
      <c r="B1942" s="3">
        <f t="shared" si="120"/>
        <v>2025</v>
      </c>
      <c r="C1942" s="3">
        <f t="shared" si="121"/>
        <v>10</v>
      </c>
      <c r="D1942" s="73" t="s">
        <v>893</v>
      </c>
      <c r="E1942" s="2"/>
      <c r="F1942" s="2" t="s">
        <v>304</v>
      </c>
      <c r="G1942" s="2" t="s">
        <v>1008</v>
      </c>
      <c r="H1942" s="2" t="s">
        <v>1311</v>
      </c>
      <c r="I1942" s="1" t="s">
        <v>316</v>
      </c>
      <c r="J1942" s="2" t="s">
        <v>17</v>
      </c>
      <c r="K1942" s="72">
        <v>20</v>
      </c>
      <c r="L1942" s="39"/>
      <c r="M1942" s="72">
        <f t="shared" si="122"/>
        <v>-20</v>
      </c>
      <c r="N1942" s="72">
        <f t="shared" si="123"/>
        <v>522824.74999999977</v>
      </c>
    </row>
    <row r="1943" spans="1:16" x14ac:dyDescent="0.2">
      <c r="A1943" s="73" t="s">
        <v>1374</v>
      </c>
      <c r="B1943" s="3">
        <f t="shared" si="120"/>
        <v>2025</v>
      </c>
      <c r="C1943" s="3">
        <f t="shared" si="121"/>
        <v>10</v>
      </c>
      <c r="D1943" s="73" t="s">
        <v>300</v>
      </c>
      <c r="E1943" s="2"/>
      <c r="F1943" s="2" t="s">
        <v>304</v>
      </c>
      <c r="G1943" s="2" t="s">
        <v>385</v>
      </c>
      <c r="H1943" s="2" t="s">
        <v>326</v>
      </c>
      <c r="I1943" s="2" t="s">
        <v>316</v>
      </c>
      <c r="J1943" s="2" t="s">
        <v>18</v>
      </c>
      <c r="K1943" s="72">
        <v>3797</v>
      </c>
      <c r="L1943" s="39"/>
      <c r="M1943" s="72">
        <f t="shared" si="122"/>
        <v>-3797</v>
      </c>
      <c r="N1943" s="72">
        <f t="shared" si="123"/>
        <v>519027.74999999977</v>
      </c>
    </row>
    <row r="1944" spans="1:16" x14ac:dyDescent="0.2">
      <c r="A1944" s="73" t="s">
        <v>1374</v>
      </c>
      <c r="B1944" s="3">
        <f t="shared" si="120"/>
        <v>2025</v>
      </c>
      <c r="C1944" s="3">
        <f t="shared" si="121"/>
        <v>10</v>
      </c>
      <c r="D1944" s="73" t="s">
        <v>300</v>
      </c>
      <c r="E1944" s="2"/>
      <c r="F1944" s="2" t="s">
        <v>321</v>
      </c>
      <c r="G1944" s="2" t="s">
        <v>527</v>
      </c>
      <c r="H1944" s="2" t="s">
        <v>319</v>
      </c>
      <c r="I1944" s="2" t="s">
        <v>315</v>
      </c>
      <c r="J1944" s="2" t="s">
        <v>23</v>
      </c>
      <c r="K1944" s="72"/>
      <c r="L1944" s="39">
        <v>2200</v>
      </c>
      <c r="M1944" s="72">
        <f t="shared" si="122"/>
        <v>2200</v>
      </c>
      <c r="N1944" s="72">
        <f t="shared" si="123"/>
        <v>521227.74999999977</v>
      </c>
    </row>
    <row r="1945" spans="1:16" x14ac:dyDescent="0.2">
      <c r="A1945" s="73" t="s">
        <v>1374</v>
      </c>
      <c r="B1945" s="3">
        <f t="shared" si="120"/>
        <v>2025</v>
      </c>
      <c r="C1945" s="3">
        <f t="shared" si="121"/>
        <v>10</v>
      </c>
      <c r="D1945" s="73" t="s">
        <v>893</v>
      </c>
      <c r="E1945" s="2"/>
      <c r="F1945" s="2" t="s">
        <v>304</v>
      </c>
      <c r="G1945" s="2" t="s">
        <v>1011</v>
      </c>
      <c r="H1945" s="2" t="s">
        <v>1007</v>
      </c>
      <c r="I1945" s="1" t="s">
        <v>316</v>
      </c>
      <c r="J1945" s="2" t="s">
        <v>17</v>
      </c>
      <c r="K1945" s="72">
        <v>112</v>
      </c>
      <c r="L1945" s="39"/>
      <c r="M1945" s="72">
        <f t="shared" si="122"/>
        <v>-112</v>
      </c>
      <c r="N1945" s="72">
        <f t="shared" si="123"/>
        <v>521115.74999999977</v>
      </c>
    </row>
    <row r="1946" spans="1:16" x14ac:dyDescent="0.2">
      <c r="A1946" s="73" t="s">
        <v>1374</v>
      </c>
      <c r="B1946" s="3">
        <f t="shared" si="120"/>
        <v>2025</v>
      </c>
      <c r="C1946" s="3">
        <f t="shared" si="121"/>
        <v>10</v>
      </c>
      <c r="D1946" s="73" t="s">
        <v>893</v>
      </c>
      <c r="E1946" s="2"/>
      <c r="F1946" s="2" t="s">
        <v>304</v>
      </c>
      <c r="G1946" s="2" t="s">
        <v>1312</v>
      </c>
      <c r="H1946" s="2" t="s">
        <v>1007</v>
      </c>
      <c r="I1946" s="1" t="s">
        <v>316</v>
      </c>
      <c r="J1946" s="2" t="s">
        <v>17</v>
      </c>
      <c r="K1946" s="72">
        <v>17.32</v>
      </c>
      <c r="L1946" s="39"/>
      <c r="M1946" s="72">
        <f t="shared" si="122"/>
        <v>-17.32</v>
      </c>
      <c r="N1946" s="72">
        <f t="shared" si="123"/>
        <v>521098.42999999976</v>
      </c>
    </row>
    <row r="1947" spans="1:16" x14ac:dyDescent="0.2">
      <c r="A1947" s="73" t="s">
        <v>1374</v>
      </c>
      <c r="B1947" s="3">
        <f t="shared" si="120"/>
        <v>2025</v>
      </c>
      <c r="C1947" s="3">
        <f t="shared" si="121"/>
        <v>10</v>
      </c>
      <c r="D1947" s="73" t="s">
        <v>893</v>
      </c>
      <c r="E1947" s="2"/>
      <c r="F1947" s="2" t="s">
        <v>304</v>
      </c>
      <c r="G1947" s="2" t="s">
        <v>1014</v>
      </c>
      <c r="H1947" s="2" t="s">
        <v>1007</v>
      </c>
      <c r="I1947" s="1" t="s">
        <v>316</v>
      </c>
      <c r="J1947" s="2" t="s">
        <v>17</v>
      </c>
      <c r="K1947" s="72">
        <v>258.39</v>
      </c>
      <c r="L1947" s="39"/>
      <c r="M1947" s="72">
        <f t="shared" si="122"/>
        <v>-258.39</v>
      </c>
      <c r="N1947" s="72">
        <f t="shared" si="123"/>
        <v>520840.03999999975</v>
      </c>
    </row>
    <row r="1948" spans="1:16" x14ac:dyDescent="0.2">
      <c r="A1948" s="73" t="s">
        <v>1374</v>
      </c>
      <c r="B1948" s="3">
        <f t="shared" si="120"/>
        <v>2025</v>
      </c>
      <c r="C1948" s="3">
        <f t="shared" si="121"/>
        <v>10</v>
      </c>
      <c r="D1948" s="73" t="s">
        <v>893</v>
      </c>
      <c r="E1948" s="2"/>
      <c r="F1948" s="2" t="s">
        <v>304</v>
      </c>
      <c r="G1948" s="2" t="s">
        <v>1015</v>
      </c>
      <c r="H1948" s="2" t="s">
        <v>1007</v>
      </c>
      <c r="I1948" s="1" t="s">
        <v>316</v>
      </c>
      <c r="J1948" s="2" t="s">
        <v>17</v>
      </c>
      <c r="K1948" s="72">
        <v>283.25</v>
      </c>
      <c r="L1948" s="39"/>
      <c r="M1948" s="72">
        <f t="shared" si="122"/>
        <v>-283.25</v>
      </c>
      <c r="N1948" s="72">
        <f t="shared" si="123"/>
        <v>520556.78999999975</v>
      </c>
    </row>
    <row r="1949" spans="1:16" x14ac:dyDescent="0.2">
      <c r="A1949" s="73" t="s">
        <v>1374</v>
      </c>
      <c r="B1949" s="3">
        <f t="shared" si="120"/>
        <v>2025</v>
      </c>
      <c r="C1949" s="3">
        <f t="shared" si="121"/>
        <v>10</v>
      </c>
      <c r="D1949" s="73" t="s">
        <v>893</v>
      </c>
      <c r="E1949" s="2"/>
      <c r="F1949" s="2" t="s">
        <v>304</v>
      </c>
      <c r="G1949" s="2" t="s">
        <v>1411</v>
      </c>
      <c r="H1949" s="2" t="s">
        <v>933</v>
      </c>
      <c r="I1949" s="1" t="s">
        <v>316</v>
      </c>
      <c r="J1949" s="2" t="s">
        <v>17</v>
      </c>
      <c r="K1949" s="72">
        <v>150</v>
      </c>
      <c r="L1949" s="39"/>
      <c r="M1949" s="72">
        <f t="shared" si="122"/>
        <v>-150</v>
      </c>
      <c r="N1949" s="72">
        <f t="shared" si="123"/>
        <v>520406.78999999975</v>
      </c>
    </row>
    <row r="1950" spans="1:16" x14ac:dyDescent="0.2">
      <c r="A1950" s="73" t="s">
        <v>1374</v>
      </c>
      <c r="B1950" s="3">
        <f t="shared" si="120"/>
        <v>2025</v>
      </c>
      <c r="C1950" s="3">
        <f t="shared" si="121"/>
        <v>10</v>
      </c>
      <c r="D1950" s="73" t="s">
        <v>300</v>
      </c>
      <c r="E1950" s="2"/>
      <c r="F1950" s="2" t="s">
        <v>309</v>
      </c>
      <c r="G1950" s="2" t="s">
        <v>1139</v>
      </c>
      <c r="H1950" s="2" t="s">
        <v>346</v>
      </c>
      <c r="I1950" s="2" t="s">
        <v>315</v>
      </c>
      <c r="J1950" s="2" t="s">
        <v>23</v>
      </c>
      <c r="K1950" s="72"/>
      <c r="L1950" s="39">
        <v>14500</v>
      </c>
      <c r="M1950" s="72">
        <f t="shared" si="122"/>
        <v>14500</v>
      </c>
      <c r="N1950" s="72">
        <f t="shared" si="123"/>
        <v>534906.7899999998</v>
      </c>
    </row>
    <row r="1951" spans="1:16" x14ac:dyDescent="0.2">
      <c r="A1951" s="73" t="s">
        <v>1374</v>
      </c>
      <c r="B1951" s="3">
        <f t="shared" si="120"/>
        <v>2025</v>
      </c>
      <c r="C1951" s="3">
        <f t="shared" si="121"/>
        <v>10</v>
      </c>
      <c r="D1951" s="73" t="s">
        <v>300</v>
      </c>
      <c r="E1951" s="2"/>
      <c r="F1951" s="2" t="s">
        <v>304</v>
      </c>
      <c r="G1951" s="2" t="s">
        <v>317</v>
      </c>
      <c r="H1951" s="2" t="s">
        <v>349</v>
      </c>
      <c r="I1951" s="2" t="s">
        <v>297</v>
      </c>
      <c r="J1951" s="2" t="s">
        <v>26</v>
      </c>
      <c r="K1951" s="72">
        <v>20</v>
      </c>
      <c r="L1951" s="39"/>
      <c r="M1951" s="72">
        <f t="shared" si="122"/>
        <v>-20</v>
      </c>
      <c r="N1951" s="72">
        <f t="shared" si="123"/>
        <v>534886.7899999998</v>
      </c>
    </row>
    <row r="1952" spans="1:16" x14ac:dyDescent="0.2">
      <c r="A1952" s="73" t="s">
        <v>1374</v>
      </c>
      <c r="B1952" s="3">
        <f t="shared" si="120"/>
        <v>2025</v>
      </c>
      <c r="C1952" s="3">
        <f t="shared" si="121"/>
        <v>10</v>
      </c>
      <c r="D1952" s="73" t="s">
        <v>300</v>
      </c>
      <c r="E1952" s="2"/>
      <c r="F1952" s="2" t="s">
        <v>304</v>
      </c>
      <c r="G1952" s="2" t="s">
        <v>344</v>
      </c>
      <c r="H1952" s="2" t="s">
        <v>343</v>
      </c>
      <c r="I1952" s="2" t="s">
        <v>301</v>
      </c>
      <c r="J1952" s="2" t="s">
        <v>11</v>
      </c>
      <c r="K1952" s="72">
        <v>12384.68</v>
      </c>
      <c r="L1952" s="39"/>
      <c r="M1952" s="72">
        <f t="shared" si="122"/>
        <v>-12384.68</v>
      </c>
      <c r="N1952" s="72">
        <f t="shared" si="123"/>
        <v>522502.10999999981</v>
      </c>
    </row>
    <row r="1953" spans="1:14" x14ac:dyDescent="0.2">
      <c r="A1953" s="73" t="s">
        <v>1374</v>
      </c>
      <c r="B1953" s="3">
        <f t="shared" si="120"/>
        <v>2025</v>
      </c>
      <c r="C1953" s="3">
        <f t="shared" si="121"/>
        <v>10</v>
      </c>
      <c r="D1953" s="73" t="s">
        <v>300</v>
      </c>
      <c r="E1953" s="2"/>
      <c r="F1953" s="2" t="s">
        <v>304</v>
      </c>
      <c r="G1953" s="2" t="s">
        <v>303</v>
      </c>
      <c r="H1953" s="2" t="s">
        <v>302</v>
      </c>
      <c r="I1953" s="2" t="s">
        <v>301</v>
      </c>
      <c r="J1953" s="2" t="s">
        <v>11</v>
      </c>
      <c r="K1953" s="72">
        <v>61.46</v>
      </c>
      <c r="L1953" s="39"/>
      <c r="M1953" s="72">
        <f t="shared" si="122"/>
        <v>-61.46</v>
      </c>
      <c r="N1953" s="72">
        <f t="shared" si="123"/>
        <v>522440.64999999979</v>
      </c>
    </row>
    <row r="1954" spans="1:14" x14ac:dyDescent="0.2">
      <c r="A1954" s="73" t="s">
        <v>1374</v>
      </c>
      <c r="B1954" s="3">
        <f t="shared" si="120"/>
        <v>2025</v>
      </c>
      <c r="C1954" s="3">
        <f t="shared" si="121"/>
        <v>10</v>
      </c>
      <c r="D1954" s="73" t="s">
        <v>300</v>
      </c>
      <c r="E1954" s="2"/>
      <c r="F1954" s="2" t="s">
        <v>299</v>
      </c>
      <c r="G1954" s="2"/>
      <c r="H1954" s="2" t="s">
        <v>298</v>
      </c>
      <c r="I1954" s="2" t="s">
        <v>297</v>
      </c>
      <c r="J1954" s="2" t="s">
        <v>296</v>
      </c>
      <c r="K1954" s="72">
        <v>13181.86</v>
      </c>
      <c r="L1954" s="39"/>
      <c r="M1954" s="72">
        <f t="shared" si="122"/>
        <v>-13181.86</v>
      </c>
      <c r="N1954" s="72">
        <f t="shared" si="123"/>
        <v>509258.7899999998</v>
      </c>
    </row>
    <row r="1955" spans="1:14" x14ac:dyDescent="0.2">
      <c r="A1955" s="73" t="s">
        <v>1375</v>
      </c>
      <c r="B1955" s="3">
        <f t="shared" si="120"/>
        <v>2025</v>
      </c>
      <c r="C1955" s="3">
        <f t="shared" si="121"/>
        <v>10</v>
      </c>
      <c r="D1955" s="73" t="s">
        <v>300</v>
      </c>
      <c r="E1955" s="2"/>
      <c r="F1955" s="2" t="s">
        <v>325</v>
      </c>
      <c r="G1955" s="2" t="s">
        <v>1228</v>
      </c>
      <c r="H1955" s="2" t="s">
        <v>323</v>
      </c>
      <c r="I1955" s="2" t="s">
        <v>316</v>
      </c>
      <c r="J1955" s="2" t="s">
        <v>22</v>
      </c>
      <c r="K1955" s="72">
        <v>7453.7</v>
      </c>
      <c r="L1955" s="39"/>
      <c r="M1955" s="72">
        <f t="shared" si="122"/>
        <v>-7453.7</v>
      </c>
      <c r="N1955" s="72">
        <f t="shared" si="123"/>
        <v>501805.08999999979</v>
      </c>
    </row>
    <row r="1956" spans="1:14" x14ac:dyDescent="0.2">
      <c r="A1956" s="73" t="s">
        <v>1375</v>
      </c>
      <c r="B1956" s="3">
        <f t="shared" si="120"/>
        <v>2025</v>
      </c>
      <c r="C1956" s="3">
        <f t="shared" si="121"/>
        <v>10</v>
      </c>
      <c r="D1956" s="73" t="s">
        <v>300</v>
      </c>
      <c r="E1956" s="2"/>
      <c r="F1956" s="2" t="s">
        <v>304</v>
      </c>
      <c r="G1956" s="2" t="s">
        <v>373</v>
      </c>
      <c r="H1956" s="2" t="s">
        <v>372</v>
      </c>
      <c r="I1956" s="2" t="s">
        <v>301</v>
      </c>
      <c r="J1956" s="2" t="s">
        <v>11</v>
      </c>
      <c r="K1956" s="72">
        <v>18918.669999999998</v>
      </c>
      <c r="L1956" s="39"/>
      <c r="M1956" s="72">
        <f t="shared" si="122"/>
        <v>-18918.669999999998</v>
      </c>
      <c r="N1956" s="72">
        <f t="shared" si="123"/>
        <v>482886.41999999981</v>
      </c>
    </row>
    <row r="1957" spans="1:14" x14ac:dyDescent="0.2">
      <c r="A1957" s="73" t="s">
        <v>1375</v>
      </c>
      <c r="B1957" s="3">
        <f t="shared" si="120"/>
        <v>2025</v>
      </c>
      <c r="C1957" s="3">
        <f t="shared" si="121"/>
        <v>10</v>
      </c>
      <c r="D1957" s="73" t="s">
        <v>893</v>
      </c>
      <c r="E1957" s="2"/>
      <c r="F1957" s="2" t="s">
        <v>304</v>
      </c>
      <c r="G1957" s="2" t="s">
        <v>1149</v>
      </c>
      <c r="H1957" s="2" t="s">
        <v>1027</v>
      </c>
      <c r="I1957" s="2" t="s">
        <v>316</v>
      </c>
      <c r="J1957" s="2" t="s">
        <v>17</v>
      </c>
      <c r="K1957" s="72">
        <v>256.69</v>
      </c>
      <c r="L1957" s="39"/>
      <c r="M1957" s="72">
        <f t="shared" si="122"/>
        <v>-256.69</v>
      </c>
      <c r="N1957" s="72">
        <f t="shared" si="123"/>
        <v>482629.72999999981</v>
      </c>
    </row>
    <row r="1958" spans="1:14" x14ac:dyDescent="0.2">
      <c r="A1958" s="73" t="s">
        <v>1375</v>
      </c>
      <c r="B1958" s="3">
        <f t="shared" si="120"/>
        <v>2025</v>
      </c>
      <c r="C1958" s="3">
        <f t="shared" si="121"/>
        <v>10</v>
      </c>
      <c r="D1958" s="73" t="s">
        <v>893</v>
      </c>
      <c r="E1958" s="2"/>
      <c r="F1958" s="2" t="s">
        <v>304</v>
      </c>
      <c r="G1958" s="2" t="s">
        <v>916</v>
      </c>
      <c r="H1958" s="2" t="s">
        <v>917</v>
      </c>
      <c r="I1958" s="2" t="s">
        <v>350</v>
      </c>
      <c r="J1958" s="1" t="s">
        <v>477</v>
      </c>
      <c r="K1958" s="72">
        <v>478.36</v>
      </c>
      <c r="L1958" s="39"/>
      <c r="M1958" s="72">
        <f t="shared" si="122"/>
        <v>-478.36</v>
      </c>
      <c r="N1958" s="72">
        <f t="shared" si="123"/>
        <v>482151.36999999982</v>
      </c>
    </row>
    <row r="1959" spans="1:14" x14ac:dyDescent="0.2">
      <c r="A1959" s="73" t="s">
        <v>1375</v>
      </c>
      <c r="B1959" s="3">
        <f t="shared" si="120"/>
        <v>2025</v>
      </c>
      <c r="C1959" s="3">
        <f t="shared" si="121"/>
        <v>10</v>
      </c>
      <c r="D1959" s="73" t="s">
        <v>300</v>
      </c>
      <c r="E1959" s="2"/>
      <c r="F1959" s="2" t="s">
        <v>325</v>
      </c>
      <c r="G1959" s="2" t="s">
        <v>694</v>
      </c>
      <c r="H1959" s="2" t="s">
        <v>323</v>
      </c>
      <c r="I1959" s="2" t="s">
        <v>316</v>
      </c>
      <c r="J1959" s="2" t="s">
        <v>34</v>
      </c>
      <c r="K1959" s="72">
        <v>3545.63</v>
      </c>
      <c r="L1959" s="39"/>
      <c r="M1959" s="72">
        <f t="shared" si="122"/>
        <v>-3545.63</v>
      </c>
      <c r="N1959" s="72">
        <f t="shared" si="123"/>
        <v>478605.73999999982</v>
      </c>
    </row>
    <row r="1960" spans="1:14" x14ac:dyDescent="0.2">
      <c r="A1960" s="73" t="s">
        <v>1375</v>
      </c>
      <c r="B1960" s="3">
        <f t="shared" si="120"/>
        <v>2025</v>
      </c>
      <c r="C1960" s="3">
        <f t="shared" si="121"/>
        <v>10</v>
      </c>
      <c r="D1960" s="73" t="s">
        <v>300</v>
      </c>
      <c r="E1960" s="2"/>
      <c r="F1960" s="2" t="s">
        <v>321</v>
      </c>
      <c r="G1960" s="2" t="s">
        <v>1395</v>
      </c>
      <c r="H1960" s="2" t="s">
        <v>319</v>
      </c>
      <c r="I1960" s="2" t="s">
        <v>315</v>
      </c>
      <c r="J1960" s="2" t="s">
        <v>23</v>
      </c>
      <c r="K1960" s="72"/>
      <c r="L1960" s="39">
        <v>59654.5</v>
      </c>
      <c r="M1960" s="72">
        <f t="shared" si="122"/>
        <v>59654.5</v>
      </c>
      <c r="N1960" s="72">
        <f t="shared" si="123"/>
        <v>538260.23999999976</v>
      </c>
    </row>
    <row r="1961" spans="1:14" x14ac:dyDescent="0.2">
      <c r="A1961" s="73" t="s">
        <v>1375</v>
      </c>
      <c r="B1961" s="3">
        <f t="shared" si="120"/>
        <v>2025</v>
      </c>
      <c r="C1961" s="3">
        <f t="shared" si="121"/>
        <v>10</v>
      </c>
      <c r="D1961" s="73" t="s">
        <v>300</v>
      </c>
      <c r="E1961" s="2"/>
      <c r="F1961" s="2" t="s">
        <v>299</v>
      </c>
      <c r="G1961" s="2"/>
      <c r="H1961" s="2" t="s">
        <v>298</v>
      </c>
      <c r="I1961" s="2" t="s">
        <v>297</v>
      </c>
      <c r="J1961" s="2" t="s">
        <v>296</v>
      </c>
      <c r="K1961" s="72">
        <v>44216.5</v>
      </c>
      <c r="L1961" s="39"/>
      <c r="M1961" s="72">
        <f t="shared" si="122"/>
        <v>-44216.5</v>
      </c>
      <c r="N1961" s="72">
        <f t="shared" si="123"/>
        <v>494043.73999999976</v>
      </c>
    </row>
    <row r="1962" spans="1:14" x14ac:dyDescent="0.2">
      <c r="A1962" s="73" t="s">
        <v>1376</v>
      </c>
      <c r="B1962" s="3">
        <f t="shared" si="120"/>
        <v>2025</v>
      </c>
      <c r="C1962" s="3">
        <f t="shared" si="121"/>
        <v>10</v>
      </c>
      <c r="D1962" s="73" t="s">
        <v>300</v>
      </c>
      <c r="E1962" s="2"/>
      <c r="F1962" s="2" t="s">
        <v>325</v>
      </c>
      <c r="G1962" s="2" t="s">
        <v>383</v>
      </c>
      <c r="H1962" s="2" t="s">
        <v>323</v>
      </c>
      <c r="I1962" s="2" t="s">
        <v>316</v>
      </c>
      <c r="J1962" s="2" t="s">
        <v>28</v>
      </c>
      <c r="K1962" s="72">
        <v>387.96</v>
      </c>
      <c r="L1962" s="39"/>
      <c r="M1962" s="72">
        <f t="shared" si="122"/>
        <v>-387.96</v>
      </c>
      <c r="N1962" s="72">
        <f t="shared" si="123"/>
        <v>493655.77999999974</v>
      </c>
    </row>
    <row r="1963" spans="1:14" x14ac:dyDescent="0.2">
      <c r="A1963" s="73" t="s">
        <v>1376</v>
      </c>
      <c r="B1963" s="3">
        <f t="shared" si="120"/>
        <v>2025</v>
      </c>
      <c r="C1963" s="3">
        <f t="shared" si="121"/>
        <v>10</v>
      </c>
      <c r="D1963" s="73" t="s">
        <v>300</v>
      </c>
      <c r="E1963" s="2"/>
      <c r="F1963" s="2" t="s">
        <v>325</v>
      </c>
      <c r="G1963" s="2" t="s">
        <v>473</v>
      </c>
      <c r="H1963" s="2" t="s">
        <v>323</v>
      </c>
      <c r="I1963" s="2" t="s">
        <v>350</v>
      </c>
      <c r="J1963" s="2" t="s">
        <v>353</v>
      </c>
      <c r="K1963" s="72">
        <v>3014.88</v>
      </c>
      <c r="L1963" s="39"/>
      <c r="M1963" s="72">
        <f t="shared" si="122"/>
        <v>-3014.88</v>
      </c>
      <c r="N1963" s="72">
        <f t="shared" si="123"/>
        <v>490640.89999999973</v>
      </c>
    </row>
    <row r="1964" spans="1:14" x14ac:dyDescent="0.2">
      <c r="A1964" s="73" t="s">
        <v>1376</v>
      </c>
      <c r="B1964" s="3">
        <f t="shared" si="120"/>
        <v>2025</v>
      </c>
      <c r="C1964" s="3">
        <f t="shared" si="121"/>
        <v>10</v>
      </c>
      <c r="D1964" s="73" t="s">
        <v>893</v>
      </c>
      <c r="E1964" s="2"/>
      <c r="F1964" s="2" t="s">
        <v>304</v>
      </c>
      <c r="G1964" s="2" t="s">
        <v>900</v>
      </c>
      <c r="H1964" s="2" t="s">
        <v>1311</v>
      </c>
      <c r="I1964" s="1" t="s">
        <v>316</v>
      </c>
      <c r="J1964" s="2" t="s">
        <v>17</v>
      </c>
      <c r="K1964" s="72">
        <v>20</v>
      </c>
      <c r="L1964" s="39"/>
      <c r="M1964" s="72">
        <f t="shared" si="122"/>
        <v>-20</v>
      </c>
      <c r="N1964" s="72">
        <f t="shared" si="123"/>
        <v>490620.89999999973</v>
      </c>
    </row>
    <row r="1965" spans="1:14" x14ac:dyDescent="0.2">
      <c r="A1965" s="73" t="s">
        <v>1376</v>
      </c>
      <c r="B1965" s="3">
        <f t="shared" si="120"/>
        <v>2025</v>
      </c>
      <c r="C1965" s="3">
        <f t="shared" si="121"/>
        <v>10</v>
      </c>
      <c r="D1965" s="73" t="s">
        <v>893</v>
      </c>
      <c r="E1965" s="2"/>
      <c r="F1965" s="2" t="s">
        <v>304</v>
      </c>
      <c r="G1965" s="2" t="s">
        <v>925</v>
      </c>
      <c r="H1965" s="2" t="s">
        <v>883</v>
      </c>
      <c r="I1965" s="2" t="s">
        <v>316</v>
      </c>
      <c r="J1965" s="2" t="s">
        <v>22</v>
      </c>
      <c r="K1965" s="72">
        <v>234.96</v>
      </c>
      <c r="L1965" s="39"/>
      <c r="M1965" s="72">
        <f t="shared" si="122"/>
        <v>-234.96</v>
      </c>
      <c r="N1965" s="72">
        <f t="shared" si="123"/>
        <v>490385.93999999971</v>
      </c>
    </row>
    <row r="1966" spans="1:14" x14ac:dyDescent="0.2">
      <c r="A1966" s="73" t="s">
        <v>1376</v>
      </c>
      <c r="B1966" s="3">
        <f t="shared" si="120"/>
        <v>2025</v>
      </c>
      <c r="C1966" s="3">
        <f t="shared" si="121"/>
        <v>10</v>
      </c>
      <c r="D1966" s="73" t="s">
        <v>300</v>
      </c>
      <c r="E1966" s="2"/>
      <c r="F1966" s="2" t="s">
        <v>321</v>
      </c>
      <c r="G1966" s="2" t="s">
        <v>1134</v>
      </c>
      <c r="H1966" s="2" t="s">
        <v>319</v>
      </c>
      <c r="I1966" s="2" t="s">
        <v>315</v>
      </c>
      <c r="J1966" s="2" t="s">
        <v>23</v>
      </c>
      <c r="K1966" s="72"/>
      <c r="L1966" s="39">
        <v>24777.599999999999</v>
      </c>
      <c r="M1966" s="72">
        <f t="shared" si="122"/>
        <v>24777.599999999999</v>
      </c>
      <c r="N1966" s="72">
        <f t="shared" si="123"/>
        <v>515163.53999999969</v>
      </c>
    </row>
    <row r="1967" spans="1:14" x14ac:dyDescent="0.2">
      <c r="A1967" s="73" t="s">
        <v>1376</v>
      </c>
      <c r="B1967" s="3">
        <f t="shared" si="120"/>
        <v>2025</v>
      </c>
      <c r="C1967" s="3">
        <f t="shared" si="121"/>
        <v>10</v>
      </c>
      <c r="D1967" s="73" t="s">
        <v>300</v>
      </c>
      <c r="E1967" s="2"/>
      <c r="F1967" s="2" t="s">
        <v>299</v>
      </c>
      <c r="G1967" s="2"/>
      <c r="H1967" s="2" t="s">
        <v>298</v>
      </c>
      <c r="I1967" s="2" t="s">
        <v>297</v>
      </c>
      <c r="J1967" s="2" t="s">
        <v>296</v>
      </c>
      <c r="K1967" s="72">
        <v>21374.76</v>
      </c>
      <c r="L1967" s="39"/>
      <c r="M1967" s="72">
        <f t="shared" si="122"/>
        <v>-21374.76</v>
      </c>
      <c r="N1967" s="72">
        <f t="shared" si="123"/>
        <v>493788.77999999968</v>
      </c>
    </row>
    <row r="1968" spans="1:14" x14ac:dyDescent="0.2">
      <c r="A1968" s="73" t="s">
        <v>1401</v>
      </c>
      <c r="B1968" s="3">
        <f t="shared" si="120"/>
        <v>2025</v>
      </c>
      <c r="C1968" s="3">
        <f t="shared" si="121"/>
        <v>10</v>
      </c>
      <c r="D1968" s="73" t="s">
        <v>893</v>
      </c>
      <c r="E1968" s="2"/>
      <c r="F1968" s="2" t="s">
        <v>304</v>
      </c>
      <c r="G1968" s="2" t="s">
        <v>1006</v>
      </c>
      <c r="H1968" s="2" t="s">
        <v>1007</v>
      </c>
      <c r="I1968" s="1" t="s">
        <v>316</v>
      </c>
      <c r="J1968" s="2" t="s">
        <v>17</v>
      </c>
      <c r="K1968" s="72">
        <v>21.19</v>
      </c>
      <c r="L1968" s="39"/>
      <c r="M1968" s="72">
        <f t="shared" si="122"/>
        <v>-21.19</v>
      </c>
      <c r="N1968" s="72">
        <f t="shared" si="123"/>
        <v>493767.58999999968</v>
      </c>
    </row>
    <row r="1969" spans="1:14" x14ac:dyDescent="0.2">
      <c r="A1969" s="73" t="s">
        <v>1402</v>
      </c>
      <c r="B1969" s="3">
        <f t="shared" si="120"/>
        <v>2025</v>
      </c>
      <c r="C1969" s="3">
        <f t="shared" si="121"/>
        <v>10</v>
      </c>
      <c r="D1969" s="73" t="s">
        <v>893</v>
      </c>
      <c r="E1969" s="2"/>
      <c r="F1969" s="2" t="s">
        <v>304</v>
      </c>
      <c r="G1969" s="2" t="s">
        <v>1008</v>
      </c>
      <c r="H1969" s="2" t="s">
        <v>1007</v>
      </c>
      <c r="I1969" s="1" t="s">
        <v>316</v>
      </c>
      <c r="J1969" s="2" t="s">
        <v>17</v>
      </c>
      <c r="K1969" s="72">
        <v>206</v>
      </c>
      <c r="L1969" s="39"/>
      <c r="M1969" s="72">
        <f t="shared" si="122"/>
        <v>-206</v>
      </c>
      <c r="N1969" s="72">
        <f t="shared" si="123"/>
        <v>493561.58999999968</v>
      </c>
    </row>
    <row r="1970" spans="1:14" x14ac:dyDescent="0.2">
      <c r="A1970" s="73" t="s">
        <v>1402</v>
      </c>
      <c r="B1970" s="3">
        <f t="shared" si="120"/>
        <v>2025</v>
      </c>
      <c r="C1970" s="3">
        <f t="shared" si="121"/>
        <v>10</v>
      </c>
      <c r="D1970" s="73" t="s">
        <v>893</v>
      </c>
      <c r="E1970" s="2"/>
      <c r="F1970" s="2" t="s">
        <v>304</v>
      </c>
      <c r="G1970" s="2" t="s">
        <v>1008</v>
      </c>
      <c r="H1970" s="2" t="s">
        <v>1007</v>
      </c>
      <c r="I1970" s="1" t="s">
        <v>316</v>
      </c>
      <c r="J1970" s="2" t="s">
        <v>17</v>
      </c>
      <c r="K1970" s="72">
        <v>102.42</v>
      </c>
      <c r="L1970" s="39"/>
      <c r="M1970" s="72">
        <f t="shared" si="122"/>
        <v>-102.42</v>
      </c>
      <c r="N1970" s="72">
        <f t="shared" si="123"/>
        <v>493459.16999999969</v>
      </c>
    </row>
    <row r="1971" spans="1:14" x14ac:dyDescent="0.2">
      <c r="A1971" s="73" t="s">
        <v>1402</v>
      </c>
      <c r="B1971" s="3">
        <f t="shared" si="120"/>
        <v>2025</v>
      </c>
      <c r="C1971" s="3">
        <f t="shared" si="121"/>
        <v>10</v>
      </c>
      <c r="D1971" s="73" t="s">
        <v>893</v>
      </c>
      <c r="E1971" s="2"/>
      <c r="F1971" s="2" t="s">
        <v>304</v>
      </c>
      <c r="G1971" s="2" t="s">
        <v>1412</v>
      </c>
      <c r="H1971" s="2" t="s">
        <v>915</v>
      </c>
      <c r="I1971" s="2" t="s">
        <v>316</v>
      </c>
      <c r="J1971" s="2" t="s">
        <v>22</v>
      </c>
      <c r="K1971" s="72">
        <v>4.82</v>
      </c>
      <c r="L1971" s="39"/>
      <c r="M1971" s="72">
        <f t="shared" si="122"/>
        <v>-4.82</v>
      </c>
      <c r="N1971" s="72">
        <f t="shared" si="123"/>
        <v>493454.34999999969</v>
      </c>
    </row>
    <row r="1972" spans="1:14" x14ac:dyDescent="0.2">
      <c r="A1972" s="73" t="s">
        <v>1402</v>
      </c>
      <c r="B1972" s="3">
        <f t="shared" si="120"/>
        <v>2025</v>
      </c>
      <c r="C1972" s="3">
        <f t="shared" si="121"/>
        <v>10</v>
      </c>
      <c r="D1972" s="73" t="s">
        <v>893</v>
      </c>
      <c r="E1972" s="2"/>
      <c r="F1972" s="2" t="s">
        <v>304</v>
      </c>
      <c r="G1972" s="2" t="s">
        <v>1413</v>
      </c>
      <c r="H1972" s="2" t="s">
        <v>883</v>
      </c>
      <c r="I1972" s="2" t="s">
        <v>316</v>
      </c>
      <c r="J1972" s="2" t="s">
        <v>22</v>
      </c>
      <c r="K1972" s="72">
        <v>610.74</v>
      </c>
      <c r="L1972" s="39"/>
      <c r="M1972" s="72">
        <f t="shared" si="122"/>
        <v>-610.74</v>
      </c>
      <c r="N1972" s="72">
        <f t="shared" si="123"/>
        <v>492843.60999999969</v>
      </c>
    </row>
    <row r="1973" spans="1:14" x14ac:dyDescent="0.2">
      <c r="A1973" s="73" t="s">
        <v>1402</v>
      </c>
      <c r="B1973" s="3">
        <f t="shared" si="120"/>
        <v>2025</v>
      </c>
      <c r="C1973" s="3">
        <f t="shared" si="121"/>
        <v>10</v>
      </c>
      <c r="D1973" s="73" t="s">
        <v>893</v>
      </c>
      <c r="E1973" s="2"/>
      <c r="F1973" s="2" t="s">
        <v>304</v>
      </c>
      <c r="G1973" s="2" t="s">
        <v>1413</v>
      </c>
      <c r="H1973" s="2" t="s">
        <v>883</v>
      </c>
      <c r="I1973" s="2" t="s">
        <v>316</v>
      </c>
      <c r="J1973" s="2" t="s">
        <v>22</v>
      </c>
      <c r="K1973" s="72">
        <v>338.37</v>
      </c>
      <c r="L1973" s="39"/>
      <c r="M1973" s="72">
        <f t="shared" si="122"/>
        <v>-338.37</v>
      </c>
      <c r="N1973" s="72">
        <f t="shared" si="123"/>
        <v>492505.2399999997</v>
      </c>
    </row>
    <row r="1974" spans="1:14" x14ac:dyDescent="0.2">
      <c r="A1974" s="73" t="s">
        <v>1402</v>
      </c>
      <c r="B1974" s="3">
        <f t="shared" si="120"/>
        <v>2025</v>
      </c>
      <c r="C1974" s="3">
        <f t="shared" si="121"/>
        <v>10</v>
      </c>
      <c r="D1974" s="73" t="s">
        <v>893</v>
      </c>
      <c r="E1974" s="2"/>
      <c r="F1974" s="2" t="s">
        <v>304</v>
      </c>
      <c r="G1974" s="2" t="s">
        <v>1023</v>
      </c>
      <c r="H1974" s="2" t="s">
        <v>1007</v>
      </c>
      <c r="I1974" s="1" t="s">
        <v>316</v>
      </c>
      <c r="J1974" s="2" t="s">
        <v>17</v>
      </c>
      <c r="K1974" s="72">
        <v>31.8</v>
      </c>
      <c r="L1974" s="39"/>
      <c r="M1974" s="72">
        <f t="shared" si="122"/>
        <v>-31.8</v>
      </c>
      <c r="N1974" s="72">
        <f t="shared" si="123"/>
        <v>492473.43999999971</v>
      </c>
    </row>
    <row r="1975" spans="1:14" x14ac:dyDescent="0.2">
      <c r="A1975" s="73" t="s">
        <v>1402</v>
      </c>
      <c r="B1975" s="3">
        <f t="shared" si="120"/>
        <v>2025</v>
      </c>
      <c r="C1975" s="3">
        <f t="shared" si="121"/>
        <v>10</v>
      </c>
      <c r="D1975" s="73" t="s">
        <v>893</v>
      </c>
      <c r="E1975" s="2"/>
      <c r="F1975" s="2" t="s">
        <v>304</v>
      </c>
      <c r="G1975" s="2" t="s">
        <v>1414</v>
      </c>
      <c r="H1975" s="2" t="s">
        <v>883</v>
      </c>
      <c r="I1975" s="2" t="s">
        <v>316</v>
      </c>
      <c r="J1975" s="2" t="s">
        <v>22</v>
      </c>
      <c r="K1975" s="72">
        <v>66.58</v>
      </c>
      <c r="L1975" s="39"/>
      <c r="M1975" s="72">
        <f t="shared" si="122"/>
        <v>-66.58</v>
      </c>
      <c r="N1975" s="72">
        <f t="shared" si="123"/>
        <v>492406.85999999969</v>
      </c>
    </row>
    <row r="1976" spans="1:14" x14ac:dyDescent="0.2">
      <c r="A1976" s="73" t="s">
        <v>1377</v>
      </c>
      <c r="B1976" s="3">
        <f t="shared" si="120"/>
        <v>2025</v>
      </c>
      <c r="C1976" s="3">
        <f t="shared" si="121"/>
        <v>10</v>
      </c>
      <c r="D1976" s="73" t="s">
        <v>893</v>
      </c>
      <c r="E1976" s="2"/>
      <c r="F1976" s="2" t="s">
        <v>304</v>
      </c>
      <c r="G1976" s="2" t="s">
        <v>1008</v>
      </c>
      <c r="H1976" s="2" t="s">
        <v>1007</v>
      </c>
      <c r="I1976" s="1" t="s">
        <v>316</v>
      </c>
      <c r="J1976" s="2" t="s">
        <v>17</v>
      </c>
      <c r="K1976" s="72">
        <v>103</v>
      </c>
      <c r="L1976" s="39"/>
      <c r="M1976" s="72">
        <f t="shared" si="122"/>
        <v>-103</v>
      </c>
      <c r="N1976" s="72">
        <f t="shared" si="123"/>
        <v>492303.85999999969</v>
      </c>
    </row>
    <row r="1977" spans="1:14" x14ac:dyDescent="0.2">
      <c r="A1977" s="73" t="s">
        <v>1377</v>
      </c>
      <c r="B1977" s="3">
        <f t="shared" si="120"/>
        <v>2025</v>
      </c>
      <c r="C1977" s="3">
        <f t="shared" si="121"/>
        <v>10</v>
      </c>
      <c r="D1977" s="73" t="s">
        <v>893</v>
      </c>
      <c r="E1977" s="2"/>
      <c r="F1977" s="2" t="s">
        <v>304</v>
      </c>
      <c r="G1977" s="2" t="s">
        <v>1008</v>
      </c>
      <c r="H1977" s="2" t="s">
        <v>901</v>
      </c>
      <c r="I1977" s="1" t="s">
        <v>316</v>
      </c>
      <c r="J1977" s="2" t="s">
        <v>17</v>
      </c>
      <c r="K1977" s="72">
        <v>21.2</v>
      </c>
      <c r="L1977" s="39"/>
      <c r="M1977" s="72">
        <f t="shared" si="122"/>
        <v>-21.2</v>
      </c>
      <c r="N1977" s="72">
        <f t="shared" si="123"/>
        <v>492282.65999999968</v>
      </c>
    </row>
    <row r="1978" spans="1:14" x14ac:dyDescent="0.2">
      <c r="A1978" s="73" t="s">
        <v>1377</v>
      </c>
      <c r="B1978" s="3">
        <f t="shared" si="120"/>
        <v>2025</v>
      </c>
      <c r="C1978" s="3">
        <f t="shared" si="121"/>
        <v>10</v>
      </c>
      <c r="D1978" s="73" t="s">
        <v>893</v>
      </c>
      <c r="E1978" s="2"/>
      <c r="F1978" s="2" t="s">
        <v>304</v>
      </c>
      <c r="G1978" s="2" t="s">
        <v>1008</v>
      </c>
      <c r="H1978" s="2" t="s">
        <v>1007</v>
      </c>
      <c r="I1978" s="1" t="s">
        <v>316</v>
      </c>
      <c r="J1978" s="2" t="s">
        <v>17</v>
      </c>
      <c r="K1978" s="72">
        <v>96.8</v>
      </c>
      <c r="L1978" s="39"/>
      <c r="M1978" s="72">
        <f t="shared" si="122"/>
        <v>-96.8</v>
      </c>
      <c r="N1978" s="72">
        <f t="shared" si="123"/>
        <v>492185.85999999969</v>
      </c>
    </row>
    <row r="1979" spans="1:14" x14ac:dyDescent="0.2">
      <c r="A1979" s="73" t="s">
        <v>1377</v>
      </c>
      <c r="B1979" s="3">
        <f t="shared" si="120"/>
        <v>2025</v>
      </c>
      <c r="C1979" s="3">
        <f t="shared" si="121"/>
        <v>10</v>
      </c>
      <c r="D1979" s="73" t="s">
        <v>300</v>
      </c>
      <c r="E1979" s="2"/>
      <c r="F1979" s="2" t="s">
        <v>325</v>
      </c>
      <c r="G1979" s="2" t="s">
        <v>369</v>
      </c>
      <c r="H1979" s="2" t="s">
        <v>323</v>
      </c>
      <c r="I1979" s="2" t="s">
        <v>316</v>
      </c>
      <c r="J1979" s="2" t="s">
        <v>360</v>
      </c>
      <c r="K1979" s="72">
        <v>1395</v>
      </c>
      <c r="L1979" s="39"/>
      <c r="M1979" s="72">
        <f t="shared" si="122"/>
        <v>-1395</v>
      </c>
      <c r="N1979" s="72">
        <f t="shared" si="123"/>
        <v>490790.85999999969</v>
      </c>
    </row>
    <row r="1980" spans="1:14" x14ac:dyDescent="0.2">
      <c r="A1980" s="73" t="s">
        <v>1377</v>
      </c>
      <c r="B1980" s="3">
        <f t="shared" si="120"/>
        <v>2025</v>
      </c>
      <c r="C1980" s="3">
        <f t="shared" si="121"/>
        <v>10</v>
      </c>
      <c r="D1980" s="73" t="s">
        <v>300</v>
      </c>
      <c r="E1980" s="2"/>
      <c r="F1980" s="2" t="s">
        <v>325</v>
      </c>
      <c r="G1980" s="2" t="s">
        <v>369</v>
      </c>
      <c r="H1980" s="2" t="s">
        <v>323</v>
      </c>
      <c r="I1980" s="2" t="s">
        <v>316</v>
      </c>
      <c r="J1980" s="2" t="s">
        <v>360</v>
      </c>
      <c r="K1980" s="72">
        <v>1590</v>
      </c>
      <c r="L1980" s="39"/>
      <c r="M1980" s="72">
        <f t="shared" si="122"/>
        <v>-1590</v>
      </c>
      <c r="N1980" s="72">
        <f t="shared" si="123"/>
        <v>489200.85999999969</v>
      </c>
    </row>
    <row r="1981" spans="1:14" x14ac:dyDescent="0.2">
      <c r="A1981" s="73" t="s">
        <v>1377</v>
      </c>
      <c r="B1981" s="3">
        <f t="shared" si="120"/>
        <v>2025</v>
      </c>
      <c r="C1981" s="3">
        <f t="shared" si="121"/>
        <v>10</v>
      </c>
      <c r="D1981" s="73" t="s">
        <v>300</v>
      </c>
      <c r="E1981" s="2"/>
      <c r="F1981" s="2" t="s">
        <v>325</v>
      </c>
      <c r="G1981" s="2" t="s">
        <v>369</v>
      </c>
      <c r="H1981" s="2" t="s">
        <v>323</v>
      </c>
      <c r="I1981" s="2" t="s">
        <v>316</v>
      </c>
      <c r="J1981" s="2" t="s">
        <v>360</v>
      </c>
      <c r="K1981" s="72">
        <v>375</v>
      </c>
      <c r="L1981" s="39"/>
      <c r="M1981" s="72">
        <f t="shared" si="122"/>
        <v>-375</v>
      </c>
      <c r="N1981" s="72">
        <f t="shared" si="123"/>
        <v>488825.85999999969</v>
      </c>
    </row>
    <row r="1982" spans="1:14" x14ac:dyDescent="0.2">
      <c r="A1982" s="73" t="s">
        <v>1377</v>
      </c>
      <c r="B1982" s="3">
        <f t="shared" si="120"/>
        <v>2025</v>
      </c>
      <c r="C1982" s="3">
        <f t="shared" si="121"/>
        <v>10</v>
      </c>
      <c r="D1982" s="73" t="s">
        <v>300</v>
      </c>
      <c r="E1982" s="2"/>
      <c r="F1982" s="2" t="s">
        <v>325</v>
      </c>
      <c r="G1982" s="2" t="s">
        <v>369</v>
      </c>
      <c r="H1982" s="2" t="s">
        <v>323</v>
      </c>
      <c r="I1982" s="2" t="s">
        <v>316</v>
      </c>
      <c r="J1982" s="2" t="s">
        <v>360</v>
      </c>
      <c r="K1982" s="72">
        <v>1710</v>
      </c>
      <c r="L1982" s="39"/>
      <c r="M1982" s="72">
        <f t="shared" si="122"/>
        <v>-1710</v>
      </c>
      <c r="N1982" s="72">
        <f t="shared" si="123"/>
        <v>487115.85999999969</v>
      </c>
    </row>
    <row r="1983" spans="1:14" x14ac:dyDescent="0.2">
      <c r="A1983" s="73" t="s">
        <v>1377</v>
      </c>
      <c r="B1983" s="3">
        <f t="shared" si="120"/>
        <v>2025</v>
      </c>
      <c r="C1983" s="3">
        <f t="shared" si="121"/>
        <v>10</v>
      </c>
      <c r="D1983" s="73" t="s">
        <v>300</v>
      </c>
      <c r="E1983" s="2"/>
      <c r="F1983" s="2" t="s">
        <v>325</v>
      </c>
      <c r="G1983" s="2" t="s">
        <v>368</v>
      </c>
      <c r="H1983" s="2" t="s">
        <v>323</v>
      </c>
      <c r="I1983" s="2" t="s">
        <v>350</v>
      </c>
      <c r="J1983" s="2" t="s">
        <v>27</v>
      </c>
      <c r="K1983" s="72">
        <v>15150</v>
      </c>
      <c r="L1983" s="39"/>
      <c r="M1983" s="72">
        <f t="shared" si="122"/>
        <v>-15150</v>
      </c>
      <c r="N1983" s="72">
        <f t="shared" si="123"/>
        <v>471965.85999999969</v>
      </c>
    </row>
    <row r="1984" spans="1:14" x14ac:dyDescent="0.2">
      <c r="A1984" s="73" t="s">
        <v>1377</v>
      </c>
      <c r="B1984" s="3">
        <f t="shared" si="120"/>
        <v>2025</v>
      </c>
      <c r="C1984" s="3">
        <f t="shared" si="121"/>
        <v>10</v>
      </c>
      <c r="D1984" s="73" t="s">
        <v>300</v>
      </c>
      <c r="E1984" s="2"/>
      <c r="F1984" s="2" t="s">
        <v>325</v>
      </c>
      <c r="G1984" s="2" t="s">
        <v>366</v>
      </c>
      <c r="H1984" s="2" t="s">
        <v>323</v>
      </c>
      <c r="I1984" s="2" t="s">
        <v>350</v>
      </c>
      <c r="J1984" s="2" t="s">
        <v>27</v>
      </c>
      <c r="K1984" s="72">
        <v>2677.5</v>
      </c>
      <c r="L1984" s="39"/>
      <c r="M1984" s="72">
        <f t="shared" si="122"/>
        <v>-2677.5</v>
      </c>
      <c r="N1984" s="72">
        <f t="shared" si="123"/>
        <v>469288.35999999969</v>
      </c>
    </row>
    <row r="1985" spans="1:14" x14ac:dyDescent="0.2">
      <c r="A1985" s="73" t="s">
        <v>1377</v>
      </c>
      <c r="B1985" s="3">
        <f t="shared" si="120"/>
        <v>2025</v>
      </c>
      <c r="C1985" s="3">
        <f t="shared" si="121"/>
        <v>10</v>
      </c>
      <c r="D1985" s="73" t="s">
        <v>300</v>
      </c>
      <c r="E1985" s="2"/>
      <c r="F1985" s="2" t="s">
        <v>325</v>
      </c>
      <c r="G1985" s="2" t="s">
        <v>365</v>
      </c>
      <c r="H1985" s="2" t="s">
        <v>323</v>
      </c>
      <c r="I1985" s="2" t="s">
        <v>350</v>
      </c>
      <c r="J1985" s="2" t="s">
        <v>353</v>
      </c>
      <c r="K1985" s="72">
        <v>20000</v>
      </c>
      <c r="L1985" s="39"/>
      <c r="M1985" s="72">
        <f t="shared" si="122"/>
        <v>-20000</v>
      </c>
      <c r="N1985" s="72">
        <f t="shared" si="123"/>
        <v>449288.35999999969</v>
      </c>
    </row>
    <row r="1986" spans="1:14" x14ac:dyDescent="0.2">
      <c r="A1986" s="73" t="s">
        <v>1377</v>
      </c>
      <c r="B1986" s="3">
        <f t="shared" ref="B1986:B2049" si="124">YEAR(A1986)</f>
        <v>2025</v>
      </c>
      <c r="C1986" s="3">
        <f t="shared" ref="C1986:C2049" si="125">MONTH(A1986)</f>
        <v>10</v>
      </c>
      <c r="D1986" s="73" t="s">
        <v>300</v>
      </c>
      <c r="E1986" s="2"/>
      <c r="F1986" s="2" t="s">
        <v>325</v>
      </c>
      <c r="G1986" s="2" t="s">
        <v>1238</v>
      </c>
      <c r="H1986" s="2" t="s">
        <v>323</v>
      </c>
      <c r="I1986" s="2" t="s">
        <v>350</v>
      </c>
      <c r="J1986" s="2" t="s">
        <v>353</v>
      </c>
      <c r="K1986" s="72">
        <v>5400</v>
      </c>
      <c r="L1986" s="39"/>
      <c r="M1986" s="72">
        <f t="shared" ref="M1986:M2049" si="126">IF(ISBLANK(L1986),K1986*-1,L1986)</f>
        <v>-5400</v>
      </c>
      <c r="N1986" s="72">
        <f t="shared" si="123"/>
        <v>443888.35999999969</v>
      </c>
    </row>
    <row r="1987" spans="1:14" x14ac:dyDescent="0.2">
      <c r="A1987" s="73" t="s">
        <v>1377</v>
      </c>
      <c r="B1987" s="3">
        <f t="shared" si="124"/>
        <v>2025</v>
      </c>
      <c r="C1987" s="3">
        <f t="shared" si="125"/>
        <v>10</v>
      </c>
      <c r="D1987" s="73" t="s">
        <v>300</v>
      </c>
      <c r="E1987" s="2"/>
      <c r="F1987" s="2" t="s">
        <v>325</v>
      </c>
      <c r="G1987" s="2" t="s">
        <v>363</v>
      </c>
      <c r="H1987" s="2" t="s">
        <v>323</v>
      </c>
      <c r="I1987" s="2" t="s">
        <v>316</v>
      </c>
      <c r="J1987" s="2" t="s">
        <v>17</v>
      </c>
      <c r="K1987" s="72">
        <v>5</v>
      </c>
      <c r="L1987" s="39"/>
      <c r="M1987" s="72">
        <f t="shared" si="126"/>
        <v>-5</v>
      </c>
      <c r="N1987" s="72">
        <f t="shared" ref="N1987:N2050" si="127">+N1986+M1987</f>
        <v>443883.35999999969</v>
      </c>
    </row>
    <row r="1988" spans="1:14" x14ac:dyDescent="0.2">
      <c r="A1988" s="73" t="s">
        <v>1377</v>
      </c>
      <c r="B1988" s="3">
        <f t="shared" si="124"/>
        <v>2025</v>
      </c>
      <c r="C1988" s="3">
        <f t="shared" si="125"/>
        <v>10</v>
      </c>
      <c r="D1988" s="73" t="s">
        <v>300</v>
      </c>
      <c r="E1988" s="2"/>
      <c r="F1988" s="2" t="s">
        <v>325</v>
      </c>
      <c r="G1988" s="2" t="s">
        <v>363</v>
      </c>
      <c r="H1988" s="2" t="s">
        <v>323</v>
      </c>
      <c r="I1988" s="2" t="s">
        <v>316</v>
      </c>
      <c r="J1988" s="2" t="s">
        <v>17</v>
      </c>
      <c r="K1988" s="72">
        <v>49</v>
      </c>
      <c r="L1988" s="39"/>
      <c r="M1988" s="72">
        <f t="shared" si="126"/>
        <v>-49</v>
      </c>
      <c r="N1988" s="72">
        <f t="shared" si="127"/>
        <v>443834.35999999969</v>
      </c>
    </row>
    <row r="1989" spans="1:14" x14ac:dyDescent="0.2">
      <c r="A1989" s="73" t="s">
        <v>1377</v>
      </c>
      <c r="B1989" s="3">
        <f t="shared" si="124"/>
        <v>2025</v>
      </c>
      <c r="C1989" s="3">
        <f t="shared" si="125"/>
        <v>10</v>
      </c>
      <c r="D1989" s="73" t="s">
        <v>300</v>
      </c>
      <c r="E1989" s="2"/>
      <c r="F1989" s="2" t="s">
        <v>325</v>
      </c>
      <c r="G1989" s="2" t="s">
        <v>363</v>
      </c>
      <c r="H1989" s="2" t="s">
        <v>323</v>
      </c>
      <c r="I1989" s="2" t="s">
        <v>316</v>
      </c>
      <c r="J1989" s="2" t="s">
        <v>17</v>
      </c>
      <c r="K1989" s="72">
        <v>49</v>
      </c>
      <c r="L1989" s="39"/>
      <c r="M1989" s="72">
        <f t="shared" si="126"/>
        <v>-49</v>
      </c>
      <c r="N1989" s="72">
        <f t="shared" si="127"/>
        <v>443785.35999999969</v>
      </c>
    </row>
    <row r="1990" spans="1:14" x14ac:dyDescent="0.2">
      <c r="A1990" s="73" t="s">
        <v>1377</v>
      </c>
      <c r="B1990" s="3">
        <f t="shared" si="124"/>
        <v>2025</v>
      </c>
      <c r="C1990" s="3">
        <f t="shared" si="125"/>
        <v>10</v>
      </c>
      <c r="D1990" s="73" t="s">
        <v>300</v>
      </c>
      <c r="E1990" s="2"/>
      <c r="F1990" s="2" t="s">
        <v>325</v>
      </c>
      <c r="G1990" s="2" t="s">
        <v>363</v>
      </c>
      <c r="H1990" s="2" t="s">
        <v>323</v>
      </c>
      <c r="I1990" s="2" t="s">
        <v>316</v>
      </c>
      <c r="J1990" s="2" t="s">
        <v>17</v>
      </c>
      <c r="K1990" s="72">
        <v>55</v>
      </c>
      <c r="L1990" s="39"/>
      <c r="M1990" s="72">
        <f t="shared" si="126"/>
        <v>-55</v>
      </c>
      <c r="N1990" s="72">
        <f t="shared" si="127"/>
        <v>443730.35999999969</v>
      </c>
    </row>
    <row r="1991" spans="1:14" x14ac:dyDescent="0.2">
      <c r="A1991" s="73" t="s">
        <v>1377</v>
      </c>
      <c r="B1991" s="3">
        <f t="shared" si="124"/>
        <v>2025</v>
      </c>
      <c r="C1991" s="3">
        <f t="shared" si="125"/>
        <v>10</v>
      </c>
      <c r="D1991" s="73" t="s">
        <v>300</v>
      </c>
      <c r="E1991" s="2"/>
      <c r="F1991" s="2" t="s">
        <v>325</v>
      </c>
      <c r="G1991" s="2" t="s">
        <v>363</v>
      </c>
      <c r="H1991" s="2" t="s">
        <v>323</v>
      </c>
      <c r="I1991" s="2" t="s">
        <v>316</v>
      </c>
      <c r="J1991" s="2" t="s">
        <v>17</v>
      </c>
      <c r="K1991" s="72">
        <v>49</v>
      </c>
      <c r="L1991" s="39"/>
      <c r="M1991" s="72">
        <f t="shared" si="126"/>
        <v>-49</v>
      </c>
      <c r="N1991" s="72">
        <f t="shared" si="127"/>
        <v>443681.35999999969</v>
      </c>
    </row>
    <row r="1992" spans="1:14" x14ac:dyDescent="0.2">
      <c r="A1992" s="73" t="s">
        <v>1377</v>
      </c>
      <c r="B1992" s="3">
        <f t="shared" si="124"/>
        <v>2025</v>
      </c>
      <c r="C1992" s="3">
        <f t="shared" si="125"/>
        <v>10</v>
      </c>
      <c r="D1992" s="73" t="s">
        <v>300</v>
      </c>
      <c r="E1992" s="2"/>
      <c r="F1992" s="2" t="s">
        <v>325</v>
      </c>
      <c r="G1992" s="2" t="s">
        <v>363</v>
      </c>
      <c r="H1992" s="2" t="s">
        <v>323</v>
      </c>
      <c r="I1992" s="2" t="s">
        <v>316</v>
      </c>
      <c r="J1992" s="2" t="s">
        <v>17</v>
      </c>
      <c r="K1992" s="72">
        <v>49</v>
      </c>
      <c r="L1992" s="39"/>
      <c r="M1992" s="72">
        <f t="shared" si="126"/>
        <v>-49</v>
      </c>
      <c r="N1992" s="72">
        <f t="shared" si="127"/>
        <v>443632.35999999969</v>
      </c>
    </row>
    <row r="1993" spans="1:14" x14ac:dyDescent="0.2">
      <c r="A1993" s="73" t="s">
        <v>1377</v>
      </c>
      <c r="B1993" s="3">
        <f t="shared" si="124"/>
        <v>2025</v>
      </c>
      <c r="C1993" s="3">
        <f t="shared" si="125"/>
        <v>10</v>
      </c>
      <c r="D1993" s="73" t="s">
        <v>300</v>
      </c>
      <c r="E1993" s="2"/>
      <c r="F1993" s="2" t="s">
        <v>325</v>
      </c>
      <c r="G1993" s="2" t="s">
        <v>363</v>
      </c>
      <c r="H1993" s="2" t="s">
        <v>323</v>
      </c>
      <c r="I1993" s="2" t="s">
        <v>316</v>
      </c>
      <c r="J1993" s="2" t="s">
        <v>17</v>
      </c>
      <c r="K1993" s="72">
        <v>49</v>
      </c>
      <c r="L1993" s="39"/>
      <c r="M1993" s="72">
        <f t="shared" si="126"/>
        <v>-49</v>
      </c>
      <c r="N1993" s="72">
        <f t="shared" si="127"/>
        <v>443583.35999999969</v>
      </c>
    </row>
    <row r="1994" spans="1:14" x14ac:dyDescent="0.2">
      <c r="A1994" s="73" t="s">
        <v>1377</v>
      </c>
      <c r="B1994" s="3">
        <f t="shared" si="124"/>
        <v>2025</v>
      </c>
      <c r="C1994" s="3">
        <f t="shared" si="125"/>
        <v>10</v>
      </c>
      <c r="D1994" s="73" t="s">
        <v>300</v>
      </c>
      <c r="E1994" s="2"/>
      <c r="F1994" s="2" t="s">
        <v>325</v>
      </c>
      <c r="G1994" s="2" t="s">
        <v>363</v>
      </c>
      <c r="H1994" s="2" t="s">
        <v>323</v>
      </c>
      <c r="I1994" s="2" t="s">
        <v>316</v>
      </c>
      <c r="J1994" s="2" t="s">
        <v>17</v>
      </c>
      <c r="K1994" s="72">
        <v>49</v>
      </c>
      <c r="L1994" s="39"/>
      <c r="M1994" s="72">
        <f t="shared" si="126"/>
        <v>-49</v>
      </c>
      <c r="N1994" s="72">
        <f t="shared" si="127"/>
        <v>443534.35999999969</v>
      </c>
    </row>
    <row r="1995" spans="1:14" x14ac:dyDescent="0.2">
      <c r="A1995" s="73" t="s">
        <v>1377</v>
      </c>
      <c r="B1995" s="3">
        <f t="shared" si="124"/>
        <v>2025</v>
      </c>
      <c r="C1995" s="3">
        <f t="shared" si="125"/>
        <v>10</v>
      </c>
      <c r="D1995" s="73" t="s">
        <v>300</v>
      </c>
      <c r="E1995" s="2"/>
      <c r="F1995" s="2" t="s">
        <v>325</v>
      </c>
      <c r="G1995" s="2" t="s">
        <v>363</v>
      </c>
      <c r="H1995" s="2" t="s">
        <v>323</v>
      </c>
      <c r="I1995" s="2" t="s">
        <v>316</v>
      </c>
      <c r="J1995" s="2" t="s">
        <v>17</v>
      </c>
      <c r="K1995" s="72">
        <v>49</v>
      </c>
      <c r="L1995" s="39"/>
      <c r="M1995" s="72">
        <f t="shared" si="126"/>
        <v>-49</v>
      </c>
      <c r="N1995" s="72">
        <f t="shared" si="127"/>
        <v>443485.35999999969</v>
      </c>
    </row>
    <row r="1996" spans="1:14" x14ac:dyDescent="0.2">
      <c r="A1996" s="73" t="s">
        <v>1377</v>
      </c>
      <c r="B1996" s="3">
        <f t="shared" si="124"/>
        <v>2025</v>
      </c>
      <c r="C1996" s="3">
        <f t="shared" si="125"/>
        <v>10</v>
      </c>
      <c r="D1996" s="73" t="s">
        <v>300</v>
      </c>
      <c r="E1996" s="2"/>
      <c r="F1996" s="2" t="s">
        <v>325</v>
      </c>
      <c r="G1996" s="2" t="s">
        <v>363</v>
      </c>
      <c r="H1996" s="2" t="s">
        <v>323</v>
      </c>
      <c r="I1996" s="2" t="s">
        <v>316</v>
      </c>
      <c r="J1996" s="2" t="s">
        <v>17</v>
      </c>
      <c r="K1996" s="72">
        <v>49</v>
      </c>
      <c r="L1996" s="39"/>
      <c r="M1996" s="72">
        <f t="shared" si="126"/>
        <v>-49</v>
      </c>
      <c r="N1996" s="72">
        <f t="shared" si="127"/>
        <v>443436.35999999969</v>
      </c>
    </row>
    <row r="1997" spans="1:14" x14ac:dyDescent="0.2">
      <c r="A1997" s="73" t="s">
        <v>1377</v>
      </c>
      <c r="B1997" s="3">
        <f t="shared" si="124"/>
        <v>2025</v>
      </c>
      <c r="C1997" s="3">
        <f t="shared" si="125"/>
        <v>10</v>
      </c>
      <c r="D1997" s="73" t="s">
        <v>300</v>
      </c>
      <c r="E1997" s="2"/>
      <c r="F1997" s="2" t="s">
        <v>325</v>
      </c>
      <c r="G1997" s="2" t="s">
        <v>363</v>
      </c>
      <c r="H1997" s="2" t="s">
        <v>323</v>
      </c>
      <c r="I1997" s="2" t="s">
        <v>316</v>
      </c>
      <c r="J1997" s="2" t="s">
        <v>17</v>
      </c>
      <c r="K1997" s="72">
        <v>49</v>
      </c>
      <c r="L1997" s="39"/>
      <c r="M1997" s="72">
        <f t="shared" si="126"/>
        <v>-49</v>
      </c>
      <c r="N1997" s="72">
        <f t="shared" si="127"/>
        <v>443387.35999999969</v>
      </c>
    </row>
    <row r="1998" spans="1:14" x14ac:dyDescent="0.2">
      <c r="A1998" s="73" t="s">
        <v>1377</v>
      </c>
      <c r="B1998" s="3">
        <f t="shared" si="124"/>
        <v>2025</v>
      </c>
      <c r="C1998" s="3">
        <f t="shared" si="125"/>
        <v>10</v>
      </c>
      <c r="D1998" s="73" t="s">
        <v>300</v>
      </c>
      <c r="E1998" s="2"/>
      <c r="F1998" s="2" t="s">
        <v>325</v>
      </c>
      <c r="G1998" s="2" t="s">
        <v>363</v>
      </c>
      <c r="H1998" s="2" t="s">
        <v>323</v>
      </c>
      <c r="I1998" s="2" t="s">
        <v>316</v>
      </c>
      <c r="J1998" s="2" t="s">
        <v>17</v>
      </c>
      <c r="K1998" s="72">
        <v>49</v>
      </c>
      <c r="L1998" s="39"/>
      <c r="M1998" s="72">
        <f t="shared" si="126"/>
        <v>-49</v>
      </c>
      <c r="N1998" s="72">
        <f t="shared" si="127"/>
        <v>443338.35999999969</v>
      </c>
    </row>
    <row r="1999" spans="1:14" x14ac:dyDescent="0.2">
      <c r="A1999" s="73" t="s">
        <v>1377</v>
      </c>
      <c r="B1999" s="3">
        <f t="shared" si="124"/>
        <v>2025</v>
      </c>
      <c r="C1999" s="3">
        <f t="shared" si="125"/>
        <v>10</v>
      </c>
      <c r="D1999" s="73" t="s">
        <v>300</v>
      </c>
      <c r="E1999" s="2"/>
      <c r="F1999" s="2" t="s">
        <v>325</v>
      </c>
      <c r="G1999" s="2" t="s">
        <v>363</v>
      </c>
      <c r="H1999" s="2" t="s">
        <v>323</v>
      </c>
      <c r="I1999" s="2" t="s">
        <v>316</v>
      </c>
      <c r="J1999" s="2" t="s">
        <v>17</v>
      </c>
      <c r="K1999" s="72">
        <v>49</v>
      </c>
      <c r="L1999" s="39"/>
      <c r="M1999" s="72">
        <f t="shared" si="126"/>
        <v>-49</v>
      </c>
      <c r="N1999" s="72">
        <f t="shared" si="127"/>
        <v>443289.35999999969</v>
      </c>
    </row>
    <row r="2000" spans="1:14" x14ac:dyDescent="0.2">
      <c r="A2000" s="73" t="s">
        <v>1377</v>
      </c>
      <c r="B2000" s="3">
        <f t="shared" si="124"/>
        <v>2025</v>
      </c>
      <c r="C2000" s="3">
        <f t="shared" si="125"/>
        <v>10</v>
      </c>
      <c r="D2000" s="73" t="s">
        <v>300</v>
      </c>
      <c r="E2000" s="2"/>
      <c r="F2000" s="2" t="s">
        <v>325</v>
      </c>
      <c r="G2000" s="2" t="s">
        <v>363</v>
      </c>
      <c r="H2000" s="2" t="s">
        <v>323</v>
      </c>
      <c r="I2000" s="2" t="s">
        <v>316</v>
      </c>
      <c r="J2000" s="2" t="s">
        <v>17</v>
      </c>
      <c r="K2000" s="72">
        <v>49</v>
      </c>
      <c r="L2000" s="39"/>
      <c r="M2000" s="72">
        <f t="shared" si="126"/>
        <v>-49</v>
      </c>
      <c r="N2000" s="72">
        <f t="shared" si="127"/>
        <v>443240.35999999969</v>
      </c>
    </row>
    <row r="2001" spans="1:14" x14ac:dyDescent="0.2">
      <c r="A2001" s="73" t="s">
        <v>1377</v>
      </c>
      <c r="B2001" s="3">
        <f t="shared" si="124"/>
        <v>2025</v>
      </c>
      <c r="C2001" s="3">
        <f t="shared" si="125"/>
        <v>10</v>
      </c>
      <c r="D2001" s="73" t="s">
        <v>300</v>
      </c>
      <c r="E2001" s="2"/>
      <c r="F2001" s="2" t="s">
        <v>325</v>
      </c>
      <c r="G2001" s="2" t="s">
        <v>363</v>
      </c>
      <c r="H2001" s="2" t="s">
        <v>323</v>
      </c>
      <c r="I2001" s="2" t="s">
        <v>316</v>
      </c>
      <c r="J2001" s="2" t="s">
        <v>17</v>
      </c>
      <c r="K2001" s="72">
        <v>49</v>
      </c>
      <c r="L2001" s="39"/>
      <c r="M2001" s="72">
        <f t="shared" si="126"/>
        <v>-49</v>
      </c>
      <c r="N2001" s="72">
        <f t="shared" si="127"/>
        <v>443191.35999999969</v>
      </c>
    </row>
    <row r="2002" spans="1:14" x14ac:dyDescent="0.2">
      <c r="A2002" s="73" t="s">
        <v>1377</v>
      </c>
      <c r="B2002" s="3">
        <f t="shared" si="124"/>
        <v>2025</v>
      </c>
      <c r="C2002" s="3">
        <f t="shared" si="125"/>
        <v>10</v>
      </c>
      <c r="D2002" s="73" t="s">
        <v>300</v>
      </c>
      <c r="E2002" s="2"/>
      <c r="F2002" s="2" t="s">
        <v>325</v>
      </c>
      <c r="G2002" s="2" t="s">
        <v>363</v>
      </c>
      <c r="H2002" s="2" t="s">
        <v>323</v>
      </c>
      <c r="I2002" s="2" t="s">
        <v>316</v>
      </c>
      <c r="J2002" s="2" t="s">
        <v>17</v>
      </c>
      <c r="K2002" s="72">
        <v>49</v>
      </c>
      <c r="L2002" s="39"/>
      <c r="M2002" s="72">
        <f t="shared" si="126"/>
        <v>-49</v>
      </c>
      <c r="N2002" s="72">
        <f t="shared" si="127"/>
        <v>443142.35999999969</v>
      </c>
    </row>
    <row r="2003" spans="1:14" x14ac:dyDescent="0.2">
      <c r="A2003" s="73" t="s">
        <v>1377</v>
      </c>
      <c r="B2003" s="3">
        <f t="shared" si="124"/>
        <v>2025</v>
      </c>
      <c r="C2003" s="3">
        <f t="shared" si="125"/>
        <v>10</v>
      </c>
      <c r="D2003" s="73" t="s">
        <v>300</v>
      </c>
      <c r="E2003" s="2"/>
      <c r="F2003" s="2" t="s">
        <v>325</v>
      </c>
      <c r="G2003" s="2" t="s">
        <v>363</v>
      </c>
      <c r="H2003" s="2" t="s">
        <v>323</v>
      </c>
      <c r="I2003" s="2" t="s">
        <v>316</v>
      </c>
      <c r="J2003" s="2" t="s">
        <v>17</v>
      </c>
      <c r="K2003" s="72">
        <v>49</v>
      </c>
      <c r="L2003" s="39"/>
      <c r="M2003" s="72">
        <f t="shared" si="126"/>
        <v>-49</v>
      </c>
      <c r="N2003" s="72">
        <f t="shared" si="127"/>
        <v>443093.35999999969</v>
      </c>
    </row>
    <row r="2004" spans="1:14" x14ac:dyDescent="0.2">
      <c r="A2004" s="73" t="s">
        <v>1377</v>
      </c>
      <c r="B2004" s="3">
        <f t="shared" si="124"/>
        <v>2025</v>
      </c>
      <c r="C2004" s="3">
        <f t="shared" si="125"/>
        <v>10</v>
      </c>
      <c r="D2004" s="73" t="s">
        <v>300</v>
      </c>
      <c r="E2004" s="2"/>
      <c r="F2004" s="2" t="s">
        <v>325</v>
      </c>
      <c r="G2004" s="2" t="s">
        <v>363</v>
      </c>
      <c r="H2004" s="2" t="s">
        <v>323</v>
      </c>
      <c r="I2004" s="2" t="s">
        <v>316</v>
      </c>
      <c r="J2004" s="2" t="s">
        <v>17</v>
      </c>
      <c r="K2004" s="72">
        <v>49</v>
      </c>
      <c r="L2004" s="39"/>
      <c r="M2004" s="72">
        <f t="shared" si="126"/>
        <v>-49</v>
      </c>
      <c r="N2004" s="72">
        <f t="shared" si="127"/>
        <v>443044.35999999969</v>
      </c>
    </row>
    <row r="2005" spans="1:14" x14ac:dyDescent="0.2">
      <c r="A2005" s="73" t="s">
        <v>1377</v>
      </c>
      <c r="B2005" s="3">
        <f t="shared" si="124"/>
        <v>2025</v>
      </c>
      <c r="C2005" s="3">
        <f t="shared" si="125"/>
        <v>10</v>
      </c>
      <c r="D2005" s="73" t="s">
        <v>300</v>
      </c>
      <c r="E2005" s="2"/>
      <c r="F2005" s="2" t="s">
        <v>325</v>
      </c>
      <c r="G2005" s="2" t="s">
        <v>363</v>
      </c>
      <c r="H2005" s="2" t="s">
        <v>323</v>
      </c>
      <c r="I2005" s="2" t="s">
        <v>316</v>
      </c>
      <c r="J2005" s="2" t="s">
        <v>17</v>
      </c>
      <c r="K2005" s="72">
        <v>49</v>
      </c>
      <c r="L2005" s="39"/>
      <c r="M2005" s="72">
        <f t="shared" si="126"/>
        <v>-49</v>
      </c>
      <c r="N2005" s="72">
        <f t="shared" si="127"/>
        <v>442995.35999999969</v>
      </c>
    </row>
    <row r="2006" spans="1:14" x14ac:dyDescent="0.2">
      <c r="A2006" s="73" t="s">
        <v>1377</v>
      </c>
      <c r="B2006" s="3">
        <f t="shared" si="124"/>
        <v>2025</v>
      </c>
      <c r="C2006" s="3">
        <f t="shared" si="125"/>
        <v>10</v>
      </c>
      <c r="D2006" s="73" t="s">
        <v>300</v>
      </c>
      <c r="E2006" s="2"/>
      <c r="F2006" s="2" t="s">
        <v>325</v>
      </c>
      <c r="G2006" s="2" t="s">
        <v>363</v>
      </c>
      <c r="H2006" s="2" t="s">
        <v>323</v>
      </c>
      <c r="I2006" s="2" t="s">
        <v>316</v>
      </c>
      <c r="J2006" s="2" t="s">
        <v>17</v>
      </c>
      <c r="K2006" s="72">
        <v>49</v>
      </c>
      <c r="L2006" s="39"/>
      <c r="M2006" s="72">
        <f t="shared" si="126"/>
        <v>-49</v>
      </c>
      <c r="N2006" s="72">
        <f t="shared" si="127"/>
        <v>442946.35999999969</v>
      </c>
    </row>
    <row r="2007" spans="1:14" x14ac:dyDescent="0.2">
      <c r="A2007" s="73" t="s">
        <v>1377</v>
      </c>
      <c r="B2007" s="3">
        <f t="shared" si="124"/>
        <v>2025</v>
      </c>
      <c r="C2007" s="3">
        <f t="shared" si="125"/>
        <v>10</v>
      </c>
      <c r="D2007" s="73" t="s">
        <v>300</v>
      </c>
      <c r="E2007" s="2"/>
      <c r="F2007" s="2" t="s">
        <v>325</v>
      </c>
      <c r="G2007" s="2" t="s">
        <v>363</v>
      </c>
      <c r="H2007" s="2" t="s">
        <v>323</v>
      </c>
      <c r="I2007" s="2" t="s">
        <v>316</v>
      </c>
      <c r="J2007" s="2" t="s">
        <v>17</v>
      </c>
      <c r="K2007" s="72">
        <v>49</v>
      </c>
      <c r="L2007" s="39"/>
      <c r="M2007" s="72">
        <f t="shared" si="126"/>
        <v>-49</v>
      </c>
      <c r="N2007" s="72">
        <f t="shared" si="127"/>
        <v>442897.35999999969</v>
      </c>
    </row>
    <row r="2008" spans="1:14" x14ac:dyDescent="0.2">
      <c r="A2008" s="73" t="s">
        <v>1377</v>
      </c>
      <c r="B2008" s="3">
        <f t="shared" si="124"/>
        <v>2025</v>
      </c>
      <c r="C2008" s="3">
        <f t="shared" si="125"/>
        <v>10</v>
      </c>
      <c r="D2008" s="73" t="s">
        <v>300</v>
      </c>
      <c r="E2008" s="2"/>
      <c r="F2008" s="2" t="s">
        <v>325</v>
      </c>
      <c r="G2008" s="2" t="s">
        <v>363</v>
      </c>
      <c r="H2008" s="2" t="s">
        <v>323</v>
      </c>
      <c r="I2008" s="2" t="s">
        <v>316</v>
      </c>
      <c r="J2008" s="2" t="s">
        <v>17</v>
      </c>
      <c r="K2008" s="72">
        <v>49</v>
      </c>
      <c r="L2008" s="39"/>
      <c r="M2008" s="72">
        <f t="shared" si="126"/>
        <v>-49</v>
      </c>
      <c r="N2008" s="72">
        <f t="shared" si="127"/>
        <v>442848.35999999969</v>
      </c>
    </row>
    <row r="2009" spans="1:14" x14ac:dyDescent="0.2">
      <c r="A2009" s="73" t="s">
        <v>1377</v>
      </c>
      <c r="B2009" s="3">
        <f t="shared" si="124"/>
        <v>2025</v>
      </c>
      <c r="C2009" s="3">
        <f t="shared" si="125"/>
        <v>10</v>
      </c>
      <c r="D2009" s="73" t="s">
        <v>300</v>
      </c>
      <c r="E2009" s="2"/>
      <c r="F2009" s="2" t="s">
        <v>325</v>
      </c>
      <c r="G2009" s="2" t="s">
        <v>363</v>
      </c>
      <c r="H2009" s="2" t="s">
        <v>323</v>
      </c>
      <c r="I2009" s="2" t="s">
        <v>316</v>
      </c>
      <c r="J2009" s="2" t="s">
        <v>17</v>
      </c>
      <c r="K2009" s="72">
        <v>49</v>
      </c>
      <c r="L2009" s="39"/>
      <c r="M2009" s="72">
        <f t="shared" si="126"/>
        <v>-49</v>
      </c>
      <c r="N2009" s="72">
        <f t="shared" si="127"/>
        <v>442799.35999999969</v>
      </c>
    </row>
    <row r="2010" spans="1:14" x14ac:dyDescent="0.2">
      <c r="A2010" s="73" t="s">
        <v>1377</v>
      </c>
      <c r="B2010" s="3">
        <f t="shared" si="124"/>
        <v>2025</v>
      </c>
      <c r="C2010" s="3">
        <f t="shared" si="125"/>
        <v>10</v>
      </c>
      <c r="D2010" s="73" t="s">
        <v>300</v>
      </c>
      <c r="E2010" s="2"/>
      <c r="F2010" s="2" t="s">
        <v>325</v>
      </c>
      <c r="G2010" s="2" t="s">
        <v>363</v>
      </c>
      <c r="H2010" s="2" t="s">
        <v>323</v>
      </c>
      <c r="I2010" s="2" t="s">
        <v>316</v>
      </c>
      <c r="J2010" s="2" t="s">
        <v>17</v>
      </c>
      <c r="K2010" s="72">
        <v>49</v>
      </c>
      <c r="L2010" s="39"/>
      <c r="M2010" s="72">
        <f t="shared" si="126"/>
        <v>-49</v>
      </c>
      <c r="N2010" s="72">
        <f t="shared" si="127"/>
        <v>442750.35999999969</v>
      </c>
    </row>
    <row r="2011" spans="1:14" x14ac:dyDescent="0.2">
      <c r="A2011" s="73" t="s">
        <v>1377</v>
      </c>
      <c r="B2011" s="3">
        <f t="shared" si="124"/>
        <v>2025</v>
      </c>
      <c r="C2011" s="3">
        <f t="shared" si="125"/>
        <v>10</v>
      </c>
      <c r="D2011" s="73" t="s">
        <v>300</v>
      </c>
      <c r="E2011" s="2"/>
      <c r="F2011" s="2" t="s">
        <v>325</v>
      </c>
      <c r="G2011" s="2" t="s">
        <v>363</v>
      </c>
      <c r="H2011" s="2" t="s">
        <v>323</v>
      </c>
      <c r="I2011" s="2" t="s">
        <v>316</v>
      </c>
      <c r="J2011" s="2" t="s">
        <v>17</v>
      </c>
      <c r="K2011" s="72">
        <v>49</v>
      </c>
      <c r="L2011" s="39"/>
      <c r="M2011" s="72">
        <f t="shared" si="126"/>
        <v>-49</v>
      </c>
      <c r="N2011" s="72">
        <f t="shared" si="127"/>
        <v>442701.35999999969</v>
      </c>
    </row>
    <row r="2012" spans="1:14" x14ac:dyDescent="0.2">
      <c r="A2012" s="73" t="s">
        <v>1377</v>
      </c>
      <c r="B2012" s="3">
        <f t="shared" si="124"/>
        <v>2025</v>
      </c>
      <c r="C2012" s="3">
        <f t="shared" si="125"/>
        <v>10</v>
      </c>
      <c r="D2012" s="73" t="s">
        <v>300</v>
      </c>
      <c r="E2012" s="2"/>
      <c r="F2012" s="2" t="s">
        <v>325</v>
      </c>
      <c r="G2012" s="2" t="s">
        <v>363</v>
      </c>
      <c r="H2012" s="2" t="s">
        <v>323</v>
      </c>
      <c r="I2012" s="2" t="s">
        <v>316</v>
      </c>
      <c r="J2012" s="2" t="s">
        <v>17</v>
      </c>
      <c r="K2012" s="72">
        <v>49</v>
      </c>
      <c r="L2012" s="39"/>
      <c r="M2012" s="72">
        <f t="shared" si="126"/>
        <v>-49</v>
      </c>
      <c r="N2012" s="72">
        <f t="shared" si="127"/>
        <v>442652.35999999969</v>
      </c>
    </row>
    <row r="2013" spans="1:14" x14ac:dyDescent="0.2">
      <c r="A2013" s="73" t="s">
        <v>1377</v>
      </c>
      <c r="B2013" s="3">
        <f t="shared" si="124"/>
        <v>2025</v>
      </c>
      <c r="C2013" s="3">
        <f t="shared" si="125"/>
        <v>10</v>
      </c>
      <c r="D2013" s="73" t="s">
        <v>300</v>
      </c>
      <c r="E2013" s="2"/>
      <c r="F2013" s="2" t="s">
        <v>325</v>
      </c>
      <c r="G2013" s="2" t="s">
        <v>363</v>
      </c>
      <c r="H2013" s="2" t="s">
        <v>323</v>
      </c>
      <c r="I2013" s="2" t="s">
        <v>316</v>
      </c>
      <c r="J2013" s="2" t="s">
        <v>17</v>
      </c>
      <c r="K2013" s="72">
        <v>49</v>
      </c>
      <c r="L2013" s="39"/>
      <c r="M2013" s="72">
        <f t="shared" si="126"/>
        <v>-49</v>
      </c>
      <c r="N2013" s="72">
        <f t="shared" si="127"/>
        <v>442603.35999999969</v>
      </c>
    </row>
    <row r="2014" spans="1:14" x14ac:dyDescent="0.2">
      <c r="A2014" s="73" t="s">
        <v>1377</v>
      </c>
      <c r="B2014" s="3">
        <f t="shared" si="124"/>
        <v>2025</v>
      </c>
      <c r="C2014" s="3">
        <f t="shared" si="125"/>
        <v>10</v>
      </c>
      <c r="D2014" s="73" t="s">
        <v>300</v>
      </c>
      <c r="E2014" s="2"/>
      <c r="F2014" s="2" t="s">
        <v>325</v>
      </c>
      <c r="G2014" s="2" t="s">
        <v>363</v>
      </c>
      <c r="H2014" s="2" t="s">
        <v>323</v>
      </c>
      <c r="I2014" s="2" t="s">
        <v>316</v>
      </c>
      <c r="J2014" s="2" t="s">
        <v>17</v>
      </c>
      <c r="K2014" s="72">
        <v>49</v>
      </c>
      <c r="L2014" s="39"/>
      <c r="M2014" s="72">
        <f t="shared" si="126"/>
        <v>-49</v>
      </c>
      <c r="N2014" s="72">
        <f t="shared" si="127"/>
        <v>442554.35999999969</v>
      </c>
    </row>
    <row r="2015" spans="1:14" x14ac:dyDescent="0.2">
      <c r="A2015" s="73" t="s">
        <v>1377</v>
      </c>
      <c r="B2015" s="3">
        <f t="shared" si="124"/>
        <v>2025</v>
      </c>
      <c r="C2015" s="3">
        <f t="shared" si="125"/>
        <v>10</v>
      </c>
      <c r="D2015" s="73" t="s">
        <v>300</v>
      </c>
      <c r="E2015" s="2"/>
      <c r="F2015" s="2" t="s">
        <v>325</v>
      </c>
      <c r="G2015" s="2" t="s">
        <v>363</v>
      </c>
      <c r="H2015" s="2" t="s">
        <v>323</v>
      </c>
      <c r="I2015" s="2" t="s">
        <v>316</v>
      </c>
      <c r="J2015" s="2" t="s">
        <v>17</v>
      </c>
      <c r="K2015" s="72">
        <v>49</v>
      </c>
      <c r="L2015" s="39"/>
      <c r="M2015" s="72">
        <f t="shared" si="126"/>
        <v>-49</v>
      </c>
      <c r="N2015" s="72">
        <f t="shared" si="127"/>
        <v>442505.35999999969</v>
      </c>
    </row>
    <row r="2016" spans="1:14" x14ac:dyDescent="0.2">
      <c r="A2016" s="73" t="s">
        <v>1377</v>
      </c>
      <c r="B2016" s="3">
        <f t="shared" si="124"/>
        <v>2025</v>
      </c>
      <c r="C2016" s="3">
        <f t="shared" si="125"/>
        <v>10</v>
      </c>
      <c r="D2016" s="73" t="s">
        <v>300</v>
      </c>
      <c r="E2016" s="2"/>
      <c r="F2016" s="2" t="s">
        <v>325</v>
      </c>
      <c r="G2016" s="2" t="s">
        <v>363</v>
      </c>
      <c r="H2016" s="2" t="s">
        <v>323</v>
      </c>
      <c r="I2016" s="2" t="s">
        <v>316</v>
      </c>
      <c r="J2016" s="2" t="s">
        <v>17</v>
      </c>
      <c r="K2016" s="72">
        <v>49</v>
      </c>
      <c r="L2016" s="39"/>
      <c r="M2016" s="72">
        <f t="shared" si="126"/>
        <v>-49</v>
      </c>
      <c r="N2016" s="72">
        <f t="shared" si="127"/>
        <v>442456.35999999969</v>
      </c>
    </row>
    <row r="2017" spans="1:14" x14ac:dyDescent="0.2">
      <c r="A2017" s="73" t="s">
        <v>1377</v>
      </c>
      <c r="B2017" s="3">
        <f t="shared" si="124"/>
        <v>2025</v>
      </c>
      <c r="C2017" s="3">
        <f t="shared" si="125"/>
        <v>10</v>
      </c>
      <c r="D2017" s="73" t="s">
        <v>300</v>
      </c>
      <c r="E2017" s="2"/>
      <c r="F2017" s="2" t="s">
        <v>325</v>
      </c>
      <c r="G2017" s="2" t="s">
        <v>363</v>
      </c>
      <c r="H2017" s="2" t="s">
        <v>323</v>
      </c>
      <c r="I2017" s="2" t="s">
        <v>316</v>
      </c>
      <c r="J2017" s="2" t="s">
        <v>17</v>
      </c>
      <c r="K2017" s="72">
        <v>49</v>
      </c>
      <c r="L2017" s="39"/>
      <c r="M2017" s="72">
        <f t="shared" si="126"/>
        <v>-49</v>
      </c>
      <c r="N2017" s="72">
        <f t="shared" si="127"/>
        <v>442407.35999999969</v>
      </c>
    </row>
    <row r="2018" spans="1:14" x14ac:dyDescent="0.2">
      <c r="A2018" s="73" t="s">
        <v>1377</v>
      </c>
      <c r="B2018" s="3">
        <f t="shared" si="124"/>
        <v>2025</v>
      </c>
      <c r="C2018" s="3">
        <f t="shared" si="125"/>
        <v>10</v>
      </c>
      <c r="D2018" s="73" t="s">
        <v>300</v>
      </c>
      <c r="E2018" s="2"/>
      <c r="F2018" s="2" t="s">
        <v>325</v>
      </c>
      <c r="G2018" s="2" t="s">
        <v>363</v>
      </c>
      <c r="H2018" s="2" t="s">
        <v>323</v>
      </c>
      <c r="I2018" s="2" t="s">
        <v>316</v>
      </c>
      <c r="J2018" s="2" t="s">
        <v>17</v>
      </c>
      <c r="K2018" s="72">
        <v>49</v>
      </c>
      <c r="L2018" s="39"/>
      <c r="M2018" s="72">
        <f t="shared" si="126"/>
        <v>-49</v>
      </c>
      <c r="N2018" s="72">
        <f t="shared" si="127"/>
        <v>442358.35999999969</v>
      </c>
    </row>
    <row r="2019" spans="1:14" x14ac:dyDescent="0.2">
      <c r="A2019" s="73" t="s">
        <v>1377</v>
      </c>
      <c r="B2019" s="3">
        <f t="shared" si="124"/>
        <v>2025</v>
      </c>
      <c r="C2019" s="3">
        <f t="shared" si="125"/>
        <v>10</v>
      </c>
      <c r="D2019" s="73" t="s">
        <v>300</v>
      </c>
      <c r="E2019" s="2"/>
      <c r="F2019" s="2" t="s">
        <v>325</v>
      </c>
      <c r="G2019" s="2" t="s">
        <v>363</v>
      </c>
      <c r="H2019" s="2" t="s">
        <v>323</v>
      </c>
      <c r="I2019" s="2" t="s">
        <v>316</v>
      </c>
      <c r="J2019" s="2" t="s">
        <v>17</v>
      </c>
      <c r="K2019" s="72">
        <v>49</v>
      </c>
      <c r="L2019" s="39"/>
      <c r="M2019" s="72">
        <f t="shared" si="126"/>
        <v>-49</v>
      </c>
      <c r="N2019" s="72">
        <f t="shared" si="127"/>
        <v>442309.35999999969</v>
      </c>
    </row>
    <row r="2020" spans="1:14" x14ac:dyDescent="0.2">
      <c r="A2020" s="73" t="s">
        <v>1377</v>
      </c>
      <c r="B2020" s="3">
        <f t="shared" si="124"/>
        <v>2025</v>
      </c>
      <c r="C2020" s="3">
        <f t="shared" si="125"/>
        <v>10</v>
      </c>
      <c r="D2020" s="73" t="s">
        <v>300</v>
      </c>
      <c r="E2020" s="2"/>
      <c r="F2020" s="2" t="s">
        <v>325</v>
      </c>
      <c r="G2020" s="2" t="s">
        <v>363</v>
      </c>
      <c r="H2020" s="2" t="s">
        <v>323</v>
      </c>
      <c r="I2020" s="2" t="s">
        <v>316</v>
      </c>
      <c r="J2020" s="2" t="s">
        <v>17</v>
      </c>
      <c r="K2020" s="72">
        <v>49</v>
      </c>
      <c r="L2020" s="39"/>
      <c r="M2020" s="72">
        <f t="shared" si="126"/>
        <v>-49</v>
      </c>
      <c r="N2020" s="72">
        <f t="shared" si="127"/>
        <v>442260.35999999969</v>
      </c>
    </row>
    <row r="2021" spans="1:14" x14ac:dyDescent="0.2">
      <c r="A2021" s="73" t="s">
        <v>1377</v>
      </c>
      <c r="B2021" s="3">
        <f t="shared" si="124"/>
        <v>2025</v>
      </c>
      <c r="C2021" s="3">
        <f t="shared" si="125"/>
        <v>10</v>
      </c>
      <c r="D2021" s="73" t="s">
        <v>300</v>
      </c>
      <c r="E2021" s="2"/>
      <c r="F2021" s="2" t="s">
        <v>325</v>
      </c>
      <c r="G2021" s="2" t="s">
        <v>363</v>
      </c>
      <c r="H2021" s="2" t="s">
        <v>323</v>
      </c>
      <c r="I2021" s="2" t="s">
        <v>316</v>
      </c>
      <c r="J2021" s="2" t="s">
        <v>17</v>
      </c>
      <c r="K2021" s="72">
        <v>49</v>
      </c>
      <c r="L2021" s="39"/>
      <c r="M2021" s="72">
        <f t="shared" si="126"/>
        <v>-49</v>
      </c>
      <c r="N2021" s="72">
        <f t="shared" si="127"/>
        <v>442211.35999999969</v>
      </c>
    </row>
    <row r="2022" spans="1:14" x14ac:dyDescent="0.2">
      <c r="A2022" s="73" t="s">
        <v>1377</v>
      </c>
      <c r="B2022" s="3">
        <f t="shared" si="124"/>
        <v>2025</v>
      </c>
      <c r="C2022" s="3">
        <f t="shared" si="125"/>
        <v>10</v>
      </c>
      <c r="D2022" s="73" t="s">
        <v>300</v>
      </c>
      <c r="E2022" s="2"/>
      <c r="F2022" s="2" t="s">
        <v>325</v>
      </c>
      <c r="G2022" s="2" t="s">
        <v>363</v>
      </c>
      <c r="H2022" s="2" t="s">
        <v>323</v>
      </c>
      <c r="I2022" s="2" t="s">
        <v>316</v>
      </c>
      <c r="J2022" s="2" t="s">
        <v>17</v>
      </c>
      <c r="K2022" s="72">
        <v>49</v>
      </c>
      <c r="L2022" s="39"/>
      <c r="M2022" s="72">
        <f t="shared" si="126"/>
        <v>-49</v>
      </c>
      <c r="N2022" s="72">
        <f t="shared" si="127"/>
        <v>442162.35999999969</v>
      </c>
    </row>
    <row r="2023" spans="1:14" x14ac:dyDescent="0.2">
      <c r="A2023" s="73" t="s">
        <v>1377</v>
      </c>
      <c r="B2023" s="3">
        <f t="shared" si="124"/>
        <v>2025</v>
      </c>
      <c r="C2023" s="3">
        <f t="shared" si="125"/>
        <v>10</v>
      </c>
      <c r="D2023" s="73" t="s">
        <v>300</v>
      </c>
      <c r="E2023" s="2"/>
      <c r="F2023" s="2" t="s">
        <v>325</v>
      </c>
      <c r="G2023" s="2" t="s">
        <v>362</v>
      </c>
      <c r="H2023" s="2" t="s">
        <v>323</v>
      </c>
      <c r="I2023" s="2" t="s">
        <v>350</v>
      </c>
      <c r="J2023" s="2" t="s">
        <v>353</v>
      </c>
      <c r="K2023" s="72">
        <v>568.75</v>
      </c>
      <c r="L2023" s="39"/>
      <c r="M2023" s="72">
        <f t="shared" si="126"/>
        <v>-568.75</v>
      </c>
      <c r="N2023" s="72">
        <f t="shared" si="127"/>
        <v>441593.60999999969</v>
      </c>
    </row>
    <row r="2024" spans="1:14" x14ac:dyDescent="0.2">
      <c r="A2024" s="73" t="s">
        <v>1377</v>
      </c>
      <c r="B2024" s="3">
        <f t="shared" si="124"/>
        <v>2025</v>
      </c>
      <c r="C2024" s="3">
        <f t="shared" si="125"/>
        <v>10</v>
      </c>
      <c r="D2024" s="73" t="s">
        <v>300</v>
      </c>
      <c r="E2024" s="2"/>
      <c r="F2024" s="2" t="s">
        <v>321</v>
      </c>
      <c r="G2024" s="2" t="s">
        <v>1396</v>
      </c>
      <c r="H2024" s="2" t="s">
        <v>319</v>
      </c>
      <c r="I2024" s="2" t="s">
        <v>315</v>
      </c>
      <c r="J2024" s="2" t="s">
        <v>23</v>
      </c>
      <c r="K2024" s="72"/>
      <c r="L2024" s="39">
        <v>103535</v>
      </c>
      <c r="M2024" s="72">
        <f t="shared" si="126"/>
        <v>103535</v>
      </c>
      <c r="N2024" s="72">
        <f t="shared" si="127"/>
        <v>545128.60999999964</v>
      </c>
    </row>
    <row r="2025" spans="1:14" x14ac:dyDescent="0.2">
      <c r="A2025" s="73" t="s">
        <v>1377</v>
      </c>
      <c r="B2025" s="3">
        <f t="shared" si="124"/>
        <v>2025</v>
      </c>
      <c r="C2025" s="3">
        <f t="shared" si="125"/>
        <v>10</v>
      </c>
      <c r="D2025" s="73" t="s">
        <v>300</v>
      </c>
      <c r="E2025" s="2"/>
      <c r="F2025" s="2" t="s">
        <v>325</v>
      </c>
      <c r="G2025" s="2" t="s">
        <v>361</v>
      </c>
      <c r="H2025" s="2" t="s">
        <v>323</v>
      </c>
      <c r="I2025" s="2" t="s">
        <v>316</v>
      </c>
      <c r="J2025" s="2" t="s">
        <v>360</v>
      </c>
      <c r="K2025" s="72">
        <v>20583.330000000002</v>
      </c>
      <c r="L2025" s="39"/>
      <c r="M2025" s="72">
        <f t="shared" si="126"/>
        <v>-20583.330000000002</v>
      </c>
      <c r="N2025" s="72">
        <f t="shared" si="127"/>
        <v>524545.27999999968</v>
      </c>
    </row>
    <row r="2026" spans="1:14" x14ac:dyDescent="0.2">
      <c r="A2026" s="73" t="s">
        <v>1377</v>
      </c>
      <c r="B2026" s="3">
        <f t="shared" si="124"/>
        <v>2025</v>
      </c>
      <c r="C2026" s="3">
        <f t="shared" si="125"/>
        <v>10</v>
      </c>
      <c r="D2026" s="73" t="s">
        <v>300</v>
      </c>
      <c r="E2026" s="2"/>
      <c r="F2026" s="2" t="s">
        <v>325</v>
      </c>
      <c r="G2026" s="2" t="s">
        <v>361</v>
      </c>
      <c r="H2026" s="2" t="s">
        <v>323</v>
      </c>
      <c r="I2026" s="2" t="s">
        <v>316</v>
      </c>
      <c r="J2026" s="2" t="s">
        <v>360</v>
      </c>
      <c r="K2026" s="72">
        <v>807.5</v>
      </c>
      <c r="L2026" s="39"/>
      <c r="M2026" s="72">
        <f t="shared" si="126"/>
        <v>-807.5</v>
      </c>
      <c r="N2026" s="72">
        <f t="shared" si="127"/>
        <v>523737.77999999968</v>
      </c>
    </row>
    <row r="2027" spans="1:14" x14ac:dyDescent="0.2">
      <c r="A2027" s="73" t="s">
        <v>1377</v>
      </c>
      <c r="B2027" s="3">
        <f t="shared" si="124"/>
        <v>2025</v>
      </c>
      <c r="C2027" s="3">
        <f t="shared" si="125"/>
        <v>10</v>
      </c>
      <c r="D2027" s="73" t="s">
        <v>893</v>
      </c>
      <c r="E2027" s="2"/>
      <c r="F2027" s="2" t="s">
        <v>304</v>
      </c>
      <c r="G2027" s="2" t="s">
        <v>1415</v>
      </c>
      <c r="H2027" s="2" t="s">
        <v>915</v>
      </c>
      <c r="I2027" s="2" t="s">
        <v>316</v>
      </c>
      <c r="J2027" s="2" t="s">
        <v>22</v>
      </c>
      <c r="K2027" s="72">
        <v>78.540000000000006</v>
      </c>
      <c r="L2027" s="39"/>
      <c r="M2027" s="72">
        <f t="shared" si="126"/>
        <v>-78.540000000000006</v>
      </c>
      <c r="N2027" s="72">
        <f t="shared" si="127"/>
        <v>523659.2399999997</v>
      </c>
    </row>
    <row r="2028" spans="1:14" x14ac:dyDescent="0.2">
      <c r="A2028" s="73" t="s">
        <v>1377</v>
      </c>
      <c r="B2028" s="3">
        <f t="shared" si="124"/>
        <v>2025</v>
      </c>
      <c r="C2028" s="3">
        <f t="shared" si="125"/>
        <v>10</v>
      </c>
      <c r="D2028" s="73" t="s">
        <v>300</v>
      </c>
      <c r="E2028" s="2"/>
      <c r="F2028" s="2" t="s">
        <v>325</v>
      </c>
      <c r="G2028" s="2" t="s">
        <v>359</v>
      </c>
      <c r="H2028" s="2" t="s">
        <v>323</v>
      </c>
      <c r="I2028" s="2" t="s">
        <v>350</v>
      </c>
      <c r="J2028" s="2" t="s">
        <v>27</v>
      </c>
      <c r="K2028" s="72">
        <v>8287.5</v>
      </c>
      <c r="L2028" s="39"/>
      <c r="M2028" s="72">
        <f t="shared" si="126"/>
        <v>-8287.5</v>
      </c>
      <c r="N2028" s="72">
        <f t="shared" si="127"/>
        <v>515371.7399999997</v>
      </c>
    </row>
    <row r="2029" spans="1:14" x14ac:dyDescent="0.2">
      <c r="A2029" s="73" t="s">
        <v>1377</v>
      </c>
      <c r="B2029" s="3">
        <f t="shared" si="124"/>
        <v>2025</v>
      </c>
      <c r="C2029" s="3">
        <f t="shared" si="125"/>
        <v>10</v>
      </c>
      <c r="D2029" s="73" t="s">
        <v>300</v>
      </c>
      <c r="E2029" s="2"/>
      <c r="F2029" s="2" t="s">
        <v>325</v>
      </c>
      <c r="G2029" s="2" t="s">
        <v>357</v>
      </c>
      <c r="H2029" s="2" t="s">
        <v>323</v>
      </c>
      <c r="I2029" s="2" t="s">
        <v>350</v>
      </c>
      <c r="J2029" s="2" t="s">
        <v>353</v>
      </c>
      <c r="K2029" s="72">
        <v>10000</v>
      </c>
      <c r="L2029" s="39"/>
      <c r="M2029" s="72">
        <f t="shared" si="126"/>
        <v>-10000</v>
      </c>
      <c r="N2029" s="72">
        <f t="shared" si="127"/>
        <v>505371.7399999997</v>
      </c>
    </row>
    <row r="2030" spans="1:14" x14ac:dyDescent="0.2">
      <c r="A2030" s="73" t="s">
        <v>1377</v>
      </c>
      <c r="B2030" s="3">
        <f t="shared" si="124"/>
        <v>2025</v>
      </c>
      <c r="C2030" s="3">
        <f t="shared" si="125"/>
        <v>10</v>
      </c>
      <c r="D2030" s="73" t="s">
        <v>300</v>
      </c>
      <c r="E2030" s="2"/>
      <c r="F2030" s="2" t="s">
        <v>304</v>
      </c>
      <c r="G2030" s="2" t="s">
        <v>377</v>
      </c>
      <c r="H2030" s="2" t="s">
        <v>376</v>
      </c>
      <c r="I2030" s="2" t="s">
        <v>301</v>
      </c>
      <c r="J2030" s="2" t="s">
        <v>11</v>
      </c>
      <c r="K2030" s="72">
        <v>1127.26</v>
      </c>
      <c r="L2030" s="39"/>
      <c r="M2030" s="72">
        <f t="shared" si="126"/>
        <v>-1127.26</v>
      </c>
      <c r="N2030" s="72">
        <f t="shared" si="127"/>
        <v>504244.47999999969</v>
      </c>
    </row>
    <row r="2031" spans="1:14" x14ac:dyDescent="0.2">
      <c r="A2031" s="73" t="s">
        <v>1377</v>
      </c>
      <c r="B2031" s="3">
        <f t="shared" si="124"/>
        <v>2025</v>
      </c>
      <c r="C2031" s="3">
        <f t="shared" si="125"/>
        <v>10</v>
      </c>
      <c r="D2031" s="73" t="s">
        <v>893</v>
      </c>
      <c r="E2031" s="2"/>
      <c r="F2031" s="2" t="s">
        <v>304</v>
      </c>
      <c r="G2031" s="2" t="s">
        <v>1416</v>
      </c>
      <c r="H2031" s="2" t="s">
        <v>518</v>
      </c>
      <c r="I2031" s="2" t="s">
        <v>316</v>
      </c>
      <c r="J2031" s="2" t="s">
        <v>21</v>
      </c>
      <c r="K2031" s="72">
        <v>38.43</v>
      </c>
      <c r="L2031" s="39"/>
      <c r="M2031" s="72">
        <f t="shared" si="126"/>
        <v>-38.43</v>
      </c>
      <c r="N2031" s="72">
        <f t="shared" si="127"/>
        <v>504206.0499999997</v>
      </c>
    </row>
    <row r="2032" spans="1:14" x14ac:dyDescent="0.2">
      <c r="A2032" s="73" t="s">
        <v>1377</v>
      </c>
      <c r="B2032" s="3">
        <f t="shared" si="124"/>
        <v>2025</v>
      </c>
      <c r="C2032" s="3">
        <f t="shared" si="125"/>
        <v>10</v>
      </c>
      <c r="D2032" s="73" t="s">
        <v>300</v>
      </c>
      <c r="E2032" s="2"/>
      <c r="F2032" s="2" t="s">
        <v>325</v>
      </c>
      <c r="G2032" s="2" t="s">
        <v>428</v>
      </c>
      <c r="H2032" s="2" t="s">
        <v>323</v>
      </c>
      <c r="I2032" s="2" t="s">
        <v>350</v>
      </c>
      <c r="J2032" s="2" t="s">
        <v>353</v>
      </c>
      <c r="K2032" s="72">
        <v>1600</v>
      </c>
      <c r="L2032" s="39"/>
      <c r="M2032" s="72">
        <f t="shared" si="126"/>
        <v>-1600</v>
      </c>
      <c r="N2032" s="72">
        <f t="shared" si="127"/>
        <v>502606.0499999997</v>
      </c>
    </row>
    <row r="2033" spans="1:14" x14ac:dyDescent="0.2">
      <c r="A2033" s="73" t="s">
        <v>1377</v>
      </c>
      <c r="B2033" s="3">
        <f t="shared" si="124"/>
        <v>2025</v>
      </c>
      <c r="C2033" s="3">
        <f t="shared" si="125"/>
        <v>10</v>
      </c>
      <c r="D2033" s="73" t="s">
        <v>300</v>
      </c>
      <c r="E2033" s="2"/>
      <c r="F2033" s="2" t="s">
        <v>325</v>
      </c>
      <c r="G2033" s="2" t="s">
        <v>428</v>
      </c>
      <c r="H2033" s="2" t="s">
        <v>323</v>
      </c>
      <c r="I2033" s="2" t="s">
        <v>350</v>
      </c>
      <c r="J2033" s="2" t="s">
        <v>353</v>
      </c>
      <c r="K2033" s="72">
        <v>199</v>
      </c>
      <c r="L2033" s="39"/>
      <c r="M2033" s="72">
        <f t="shared" si="126"/>
        <v>-199</v>
      </c>
      <c r="N2033" s="72">
        <f t="shared" si="127"/>
        <v>502407.0499999997</v>
      </c>
    </row>
    <row r="2034" spans="1:14" x14ac:dyDescent="0.2">
      <c r="A2034" s="73" t="s">
        <v>1377</v>
      </c>
      <c r="B2034" s="3">
        <f t="shared" si="124"/>
        <v>2025</v>
      </c>
      <c r="C2034" s="3">
        <f t="shared" si="125"/>
        <v>10</v>
      </c>
      <c r="D2034" s="73" t="s">
        <v>893</v>
      </c>
      <c r="E2034" s="2"/>
      <c r="F2034" s="2" t="s">
        <v>304</v>
      </c>
      <c r="G2034" s="2" t="s">
        <v>908</v>
      </c>
      <c r="H2034" s="2" t="s">
        <v>901</v>
      </c>
      <c r="I2034" s="1" t="s">
        <v>316</v>
      </c>
      <c r="J2034" s="2" t="s">
        <v>17</v>
      </c>
      <c r="K2034" s="72">
        <v>21.2</v>
      </c>
      <c r="L2034" s="39"/>
      <c r="M2034" s="72">
        <f t="shared" si="126"/>
        <v>-21.2</v>
      </c>
      <c r="N2034" s="72">
        <f t="shared" si="127"/>
        <v>502385.84999999969</v>
      </c>
    </row>
    <row r="2035" spans="1:14" x14ac:dyDescent="0.2">
      <c r="A2035" s="73" t="s">
        <v>1377</v>
      </c>
      <c r="B2035" s="3">
        <f t="shared" si="124"/>
        <v>2025</v>
      </c>
      <c r="C2035" s="3">
        <f t="shared" si="125"/>
        <v>10</v>
      </c>
      <c r="D2035" s="73" t="s">
        <v>300</v>
      </c>
      <c r="E2035" s="2"/>
      <c r="F2035" s="2" t="s">
        <v>325</v>
      </c>
      <c r="G2035" s="2" t="s">
        <v>354</v>
      </c>
      <c r="H2035" s="2" t="s">
        <v>323</v>
      </c>
      <c r="I2035" s="2" t="s">
        <v>350</v>
      </c>
      <c r="J2035" s="2" t="s">
        <v>353</v>
      </c>
      <c r="K2035" s="72">
        <v>3520</v>
      </c>
      <c r="L2035" s="39"/>
      <c r="M2035" s="72">
        <f t="shared" si="126"/>
        <v>-3520</v>
      </c>
      <c r="N2035" s="72">
        <f t="shared" si="127"/>
        <v>498865.84999999969</v>
      </c>
    </row>
    <row r="2036" spans="1:14" x14ac:dyDescent="0.2">
      <c r="A2036" s="73" t="s">
        <v>1377</v>
      </c>
      <c r="B2036" s="3">
        <f t="shared" si="124"/>
        <v>2025</v>
      </c>
      <c r="C2036" s="3">
        <f t="shared" si="125"/>
        <v>10</v>
      </c>
      <c r="D2036" s="73" t="s">
        <v>300</v>
      </c>
      <c r="E2036" s="2"/>
      <c r="F2036" s="2" t="s">
        <v>325</v>
      </c>
      <c r="G2036" s="2" t="s">
        <v>354</v>
      </c>
      <c r="H2036" s="2" t="s">
        <v>323</v>
      </c>
      <c r="I2036" s="2" t="s">
        <v>350</v>
      </c>
      <c r="J2036" s="2" t="s">
        <v>353</v>
      </c>
      <c r="K2036" s="72">
        <v>6160</v>
      </c>
      <c r="L2036" s="39"/>
      <c r="M2036" s="72">
        <f t="shared" si="126"/>
        <v>-6160</v>
      </c>
      <c r="N2036" s="72">
        <f t="shared" si="127"/>
        <v>492705.84999999969</v>
      </c>
    </row>
    <row r="2037" spans="1:14" x14ac:dyDescent="0.2">
      <c r="A2037" s="73" t="s">
        <v>1377</v>
      </c>
      <c r="B2037" s="3">
        <f t="shared" si="124"/>
        <v>2025</v>
      </c>
      <c r="C2037" s="3">
        <f t="shared" si="125"/>
        <v>10</v>
      </c>
      <c r="D2037" s="73" t="s">
        <v>300</v>
      </c>
      <c r="E2037" s="2"/>
      <c r="F2037" s="2" t="s">
        <v>325</v>
      </c>
      <c r="G2037" s="2" t="s">
        <v>14</v>
      </c>
      <c r="H2037" s="2" t="s">
        <v>323</v>
      </c>
      <c r="I2037" s="2" t="s">
        <v>350</v>
      </c>
      <c r="J2037" s="2" t="s">
        <v>27</v>
      </c>
      <c r="K2037" s="72">
        <v>62.5</v>
      </c>
      <c r="L2037" s="39"/>
      <c r="M2037" s="72">
        <f t="shared" si="126"/>
        <v>-62.5</v>
      </c>
      <c r="N2037" s="72">
        <f t="shared" si="127"/>
        <v>492643.34999999969</v>
      </c>
    </row>
    <row r="2038" spans="1:14" x14ac:dyDescent="0.2">
      <c r="A2038" s="73" t="s">
        <v>1377</v>
      </c>
      <c r="B2038" s="3">
        <f t="shared" si="124"/>
        <v>2025</v>
      </c>
      <c r="C2038" s="3">
        <f t="shared" si="125"/>
        <v>10</v>
      </c>
      <c r="D2038" s="73" t="s">
        <v>300</v>
      </c>
      <c r="E2038" s="2"/>
      <c r="F2038" s="2" t="s">
        <v>325</v>
      </c>
      <c r="G2038" s="2" t="s">
        <v>352</v>
      </c>
      <c r="H2038" s="2" t="s">
        <v>323</v>
      </c>
      <c r="I2038" s="2" t="s">
        <v>350</v>
      </c>
      <c r="J2038" s="2" t="s">
        <v>27</v>
      </c>
      <c r="K2038" s="72">
        <v>4536</v>
      </c>
      <c r="L2038" s="39"/>
      <c r="M2038" s="72">
        <f t="shared" si="126"/>
        <v>-4536</v>
      </c>
      <c r="N2038" s="72">
        <f t="shared" si="127"/>
        <v>488107.34999999969</v>
      </c>
    </row>
    <row r="2039" spans="1:14" x14ac:dyDescent="0.2">
      <c r="A2039" s="73" t="s">
        <v>1377</v>
      </c>
      <c r="B2039" s="3">
        <f t="shared" si="124"/>
        <v>2025</v>
      </c>
      <c r="C2039" s="3">
        <f t="shared" si="125"/>
        <v>10</v>
      </c>
      <c r="D2039" s="73" t="s">
        <v>300</v>
      </c>
      <c r="E2039" s="2"/>
      <c r="F2039" s="2" t="s">
        <v>325</v>
      </c>
      <c r="G2039" s="2" t="s">
        <v>352</v>
      </c>
      <c r="H2039" s="2" t="s">
        <v>323</v>
      </c>
      <c r="I2039" s="2" t="s">
        <v>350</v>
      </c>
      <c r="J2039" s="2" t="s">
        <v>27</v>
      </c>
      <c r="K2039" s="72">
        <v>420</v>
      </c>
      <c r="L2039" s="39"/>
      <c r="M2039" s="72">
        <f t="shared" si="126"/>
        <v>-420</v>
      </c>
      <c r="N2039" s="72">
        <f t="shared" si="127"/>
        <v>487687.34999999969</v>
      </c>
    </row>
    <row r="2040" spans="1:14" x14ac:dyDescent="0.2">
      <c r="A2040" s="73" t="s">
        <v>1377</v>
      </c>
      <c r="B2040" s="3">
        <f t="shared" si="124"/>
        <v>2025</v>
      </c>
      <c r="C2040" s="3">
        <f t="shared" si="125"/>
        <v>10</v>
      </c>
      <c r="D2040" s="73" t="s">
        <v>300</v>
      </c>
      <c r="E2040" s="2"/>
      <c r="F2040" s="2" t="s">
        <v>325</v>
      </c>
      <c r="G2040" s="2" t="s">
        <v>352</v>
      </c>
      <c r="H2040" s="2" t="s">
        <v>323</v>
      </c>
      <c r="I2040" s="2" t="s">
        <v>350</v>
      </c>
      <c r="J2040" s="2" t="s">
        <v>27</v>
      </c>
      <c r="K2040" s="72">
        <v>822.5</v>
      </c>
      <c r="L2040" s="39"/>
      <c r="M2040" s="72">
        <f t="shared" si="126"/>
        <v>-822.5</v>
      </c>
      <c r="N2040" s="72">
        <f t="shared" si="127"/>
        <v>486864.84999999969</v>
      </c>
    </row>
    <row r="2041" spans="1:14" x14ac:dyDescent="0.2">
      <c r="A2041" s="73" t="s">
        <v>1377</v>
      </c>
      <c r="B2041" s="3">
        <f t="shared" si="124"/>
        <v>2025</v>
      </c>
      <c r="C2041" s="3">
        <f t="shared" si="125"/>
        <v>10</v>
      </c>
      <c r="D2041" s="73" t="s">
        <v>300</v>
      </c>
      <c r="E2041" s="2"/>
      <c r="F2041" s="2" t="s">
        <v>325</v>
      </c>
      <c r="G2041" s="2" t="s">
        <v>352</v>
      </c>
      <c r="H2041" s="2" t="s">
        <v>323</v>
      </c>
      <c r="I2041" s="2" t="s">
        <v>350</v>
      </c>
      <c r="J2041" s="2" t="s">
        <v>27</v>
      </c>
      <c r="K2041" s="72">
        <v>4408</v>
      </c>
      <c r="L2041" s="39"/>
      <c r="M2041" s="72">
        <f t="shared" si="126"/>
        <v>-4408</v>
      </c>
      <c r="N2041" s="72">
        <f t="shared" si="127"/>
        <v>482456.84999999969</v>
      </c>
    </row>
    <row r="2042" spans="1:14" x14ac:dyDescent="0.2">
      <c r="A2042" s="73" t="s">
        <v>1377</v>
      </c>
      <c r="B2042" s="3">
        <f t="shared" si="124"/>
        <v>2025</v>
      </c>
      <c r="C2042" s="3">
        <f t="shared" si="125"/>
        <v>10</v>
      </c>
      <c r="D2042" s="73" t="s">
        <v>300</v>
      </c>
      <c r="E2042" s="2"/>
      <c r="F2042" s="2" t="s">
        <v>325</v>
      </c>
      <c r="G2042" s="2" t="s">
        <v>352</v>
      </c>
      <c r="H2042" s="2" t="s">
        <v>323</v>
      </c>
      <c r="I2042" s="2" t="s">
        <v>350</v>
      </c>
      <c r="J2042" s="2" t="s">
        <v>27</v>
      </c>
      <c r="K2042" s="72">
        <v>2207.25</v>
      </c>
      <c r="L2042" s="39"/>
      <c r="M2042" s="72">
        <f t="shared" si="126"/>
        <v>-2207.25</v>
      </c>
      <c r="N2042" s="72">
        <f t="shared" si="127"/>
        <v>480249.59999999969</v>
      </c>
    </row>
    <row r="2043" spans="1:14" x14ac:dyDescent="0.2">
      <c r="A2043" s="73" t="s">
        <v>1377</v>
      </c>
      <c r="B2043" s="3">
        <f t="shared" si="124"/>
        <v>2025</v>
      </c>
      <c r="C2043" s="3">
        <f t="shared" si="125"/>
        <v>10</v>
      </c>
      <c r="D2043" s="73" t="s">
        <v>300</v>
      </c>
      <c r="E2043" s="2"/>
      <c r="F2043" s="2" t="s">
        <v>325</v>
      </c>
      <c r="G2043" s="2" t="s">
        <v>352</v>
      </c>
      <c r="H2043" s="2" t="s">
        <v>323</v>
      </c>
      <c r="I2043" s="2" t="s">
        <v>350</v>
      </c>
      <c r="J2043" s="2" t="s">
        <v>27</v>
      </c>
      <c r="K2043" s="72">
        <v>6265</v>
      </c>
      <c r="L2043" s="39"/>
      <c r="M2043" s="72">
        <f t="shared" si="126"/>
        <v>-6265</v>
      </c>
      <c r="N2043" s="72">
        <f t="shared" si="127"/>
        <v>473984.59999999969</v>
      </c>
    </row>
    <row r="2044" spans="1:14" x14ac:dyDescent="0.2">
      <c r="A2044" s="73" t="s">
        <v>1377</v>
      </c>
      <c r="B2044" s="3">
        <f t="shared" si="124"/>
        <v>2025</v>
      </c>
      <c r="C2044" s="3">
        <f t="shared" si="125"/>
        <v>10</v>
      </c>
      <c r="D2044" s="73" t="s">
        <v>300</v>
      </c>
      <c r="E2044" s="2"/>
      <c r="F2044" s="2" t="s">
        <v>325</v>
      </c>
      <c r="G2044" s="2" t="s">
        <v>352</v>
      </c>
      <c r="H2044" s="2" t="s">
        <v>323</v>
      </c>
      <c r="I2044" s="2" t="s">
        <v>350</v>
      </c>
      <c r="J2044" s="2" t="s">
        <v>27</v>
      </c>
      <c r="K2044" s="72">
        <v>858</v>
      </c>
      <c r="L2044" s="39"/>
      <c r="M2044" s="72">
        <f t="shared" si="126"/>
        <v>-858</v>
      </c>
      <c r="N2044" s="72">
        <f t="shared" si="127"/>
        <v>473126.59999999969</v>
      </c>
    </row>
    <row r="2045" spans="1:14" x14ac:dyDescent="0.2">
      <c r="A2045" s="73" t="s">
        <v>1377</v>
      </c>
      <c r="B2045" s="3">
        <f t="shared" si="124"/>
        <v>2025</v>
      </c>
      <c r="C2045" s="3">
        <f t="shared" si="125"/>
        <v>10</v>
      </c>
      <c r="D2045" s="73" t="s">
        <v>300</v>
      </c>
      <c r="E2045" s="2"/>
      <c r="F2045" s="2" t="s">
        <v>325</v>
      </c>
      <c r="G2045" s="2" t="s">
        <v>352</v>
      </c>
      <c r="H2045" s="2" t="s">
        <v>323</v>
      </c>
      <c r="I2045" s="2" t="s">
        <v>350</v>
      </c>
      <c r="J2045" s="2" t="s">
        <v>27</v>
      </c>
      <c r="K2045" s="72">
        <v>625</v>
      </c>
      <c r="L2045" s="39"/>
      <c r="M2045" s="72">
        <f t="shared" si="126"/>
        <v>-625</v>
      </c>
      <c r="N2045" s="72">
        <f t="shared" si="127"/>
        <v>472501.59999999969</v>
      </c>
    </row>
    <row r="2046" spans="1:14" x14ac:dyDescent="0.2">
      <c r="A2046" s="73" t="s">
        <v>1377</v>
      </c>
      <c r="B2046" s="3">
        <f t="shared" si="124"/>
        <v>2025</v>
      </c>
      <c r="C2046" s="3">
        <f t="shared" si="125"/>
        <v>10</v>
      </c>
      <c r="D2046" s="73" t="s">
        <v>300</v>
      </c>
      <c r="E2046" s="2"/>
      <c r="F2046" s="2" t="s">
        <v>325</v>
      </c>
      <c r="G2046" s="2" t="s">
        <v>352</v>
      </c>
      <c r="H2046" s="2" t="s">
        <v>323</v>
      </c>
      <c r="I2046" s="2" t="s">
        <v>350</v>
      </c>
      <c r="J2046" s="2" t="s">
        <v>27</v>
      </c>
      <c r="K2046" s="72">
        <v>1425</v>
      </c>
      <c r="L2046" s="39"/>
      <c r="M2046" s="72">
        <f t="shared" si="126"/>
        <v>-1425</v>
      </c>
      <c r="N2046" s="72">
        <f t="shared" si="127"/>
        <v>471076.59999999969</v>
      </c>
    </row>
    <row r="2047" spans="1:14" x14ac:dyDescent="0.2">
      <c r="A2047" s="73" t="s">
        <v>1377</v>
      </c>
      <c r="B2047" s="3">
        <f t="shared" si="124"/>
        <v>2025</v>
      </c>
      <c r="C2047" s="3">
        <f t="shared" si="125"/>
        <v>10</v>
      </c>
      <c r="D2047" s="73" t="s">
        <v>300</v>
      </c>
      <c r="E2047" s="2"/>
      <c r="F2047" s="2" t="s">
        <v>325</v>
      </c>
      <c r="G2047" s="2" t="s">
        <v>352</v>
      </c>
      <c r="H2047" s="2" t="s">
        <v>323</v>
      </c>
      <c r="I2047" s="2" t="s">
        <v>350</v>
      </c>
      <c r="J2047" s="2" t="s">
        <v>27</v>
      </c>
      <c r="K2047" s="72">
        <v>2625</v>
      </c>
      <c r="L2047" s="39"/>
      <c r="M2047" s="72">
        <f t="shared" si="126"/>
        <v>-2625</v>
      </c>
      <c r="N2047" s="72">
        <f t="shared" si="127"/>
        <v>468451.59999999969</v>
      </c>
    </row>
    <row r="2048" spans="1:14" x14ac:dyDescent="0.2">
      <c r="A2048" s="73" t="s">
        <v>1377</v>
      </c>
      <c r="B2048" s="3">
        <f t="shared" si="124"/>
        <v>2025</v>
      </c>
      <c r="C2048" s="3">
        <f t="shared" si="125"/>
        <v>10</v>
      </c>
      <c r="D2048" s="73" t="s">
        <v>300</v>
      </c>
      <c r="E2048" s="2"/>
      <c r="F2048" s="2" t="s">
        <v>325</v>
      </c>
      <c r="G2048" s="2" t="s">
        <v>352</v>
      </c>
      <c r="H2048" s="2" t="s">
        <v>323</v>
      </c>
      <c r="I2048" s="2" t="s">
        <v>350</v>
      </c>
      <c r="J2048" s="2" t="s">
        <v>27</v>
      </c>
      <c r="K2048" s="72">
        <v>220</v>
      </c>
      <c r="L2048" s="39"/>
      <c r="M2048" s="72">
        <f t="shared" si="126"/>
        <v>-220</v>
      </c>
      <c r="N2048" s="72">
        <f t="shared" si="127"/>
        <v>468231.59999999969</v>
      </c>
    </row>
    <row r="2049" spans="1:14" x14ac:dyDescent="0.2">
      <c r="A2049" s="73" t="s">
        <v>1377</v>
      </c>
      <c r="B2049" s="3">
        <f t="shared" si="124"/>
        <v>2025</v>
      </c>
      <c r="C2049" s="3">
        <f t="shared" si="125"/>
        <v>10</v>
      </c>
      <c r="D2049" s="73" t="s">
        <v>300</v>
      </c>
      <c r="E2049" s="2"/>
      <c r="F2049" s="2" t="s">
        <v>325</v>
      </c>
      <c r="G2049" s="2" t="s">
        <v>352</v>
      </c>
      <c r="H2049" s="2" t="s">
        <v>323</v>
      </c>
      <c r="I2049" s="2" t="s">
        <v>350</v>
      </c>
      <c r="J2049" s="2" t="s">
        <v>27</v>
      </c>
      <c r="K2049" s="72">
        <v>3948</v>
      </c>
      <c r="L2049" s="39"/>
      <c r="M2049" s="72">
        <f t="shared" si="126"/>
        <v>-3948</v>
      </c>
      <c r="N2049" s="72">
        <f t="shared" si="127"/>
        <v>464283.59999999969</v>
      </c>
    </row>
    <row r="2050" spans="1:14" x14ac:dyDescent="0.2">
      <c r="A2050" s="73" t="s">
        <v>1377</v>
      </c>
      <c r="B2050" s="3">
        <f t="shared" ref="B2050:B2113" si="128">YEAR(A2050)</f>
        <v>2025</v>
      </c>
      <c r="C2050" s="3">
        <f t="shared" ref="C2050:C2113" si="129">MONTH(A2050)</f>
        <v>10</v>
      </c>
      <c r="D2050" s="73" t="s">
        <v>300</v>
      </c>
      <c r="E2050" s="2"/>
      <c r="F2050" s="2" t="s">
        <v>325</v>
      </c>
      <c r="G2050" s="2" t="s">
        <v>352</v>
      </c>
      <c r="H2050" s="2" t="s">
        <v>323</v>
      </c>
      <c r="I2050" s="2" t="s">
        <v>350</v>
      </c>
      <c r="J2050" s="2" t="s">
        <v>27</v>
      </c>
      <c r="K2050" s="72">
        <v>3972.5</v>
      </c>
      <c r="L2050" s="39"/>
      <c r="M2050" s="72">
        <f t="shared" ref="M2050:M2113" si="130">IF(ISBLANK(L2050),K2050*-1,L2050)</f>
        <v>-3972.5</v>
      </c>
      <c r="N2050" s="72">
        <f t="shared" si="127"/>
        <v>460311.09999999969</v>
      </c>
    </row>
    <row r="2051" spans="1:14" x14ac:dyDescent="0.2">
      <c r="A2051" s="73" t="s">
        <v>1377</v>
      </c>
      <c r="B2051" s="3">
        <f t="shared" si="128"/>
        <v>2025</v>
      </c>
      <c r="C2051" s="3">
        <f t="shared" si="129"/>
        <v>10</v>
      </c>
      <c r="D2051" s="73" t="s">
        <v>300</v>
      </c>
      <c r="E2051" s="2"/>
      <c r="F2051" s="2" t="s">
        <v>325</v>
      </c>
      <c r="G2051" s="2" t="s">
        <v>352</v>
      </c>
      <c r="H2051" s="2" t="s">
        <v>323</v>
      </c>
      <c r="I2051" s="2" t="s">
        <v>350</v>
      </c>
      <c r="J2051" s="2" t="s">
        <v>27</v>
      </c>
      <c r="K2051" s="72">
        <v>44</v>
      </c>
      <c r="L2051" s="39"/>
      <c r="M2051" s="72">
        <f t="shared" si="130"/>
        <v>-44</v>
      </c>
      <c r="N2051" s="72">
        <f t="shared" ref="N2051:N2114" si="131">+N2050+M2051</f>
        <v>460267.09999999969</v>
      </c>
    </row>
    <row r="2052" spans="1:14" x14ac:dyDescent="0.2">
      <c r="A2052" s="73" t="s">
        <v>1377</v>
      </c>
      <c r="B2052" s="3">
        <f t="shared" si="128"/>
        <v>2025</v>
      </c>
      <c r="C2052" s="3">
        <f t="shared" si="129"/>
        <v>10</v>
      </c>
      <c r="D2052" s="73" t="s">
        <v>300</v>
      </c>
      <c r="E2052" s="2"/>
      <c r="F2052" s="2" t="s">
        <v>325</v>
      </c>
      <c r="G2052" s="2" t="s">
        <v>352</v>
      </c>
      <c r="H2052" s="2" t="s">
        <v>323</v>
      </c>
      <c r="I2052" s="2" t="s">
        <v>350</v>
      </c>
      <c r="J2052" s="2" t="s">
        <v>27</v>
      </c>
      <c r="K2052" s="72">
        <v>3276</v>
      </c>
      <c r="L2052" s="39"/>
      <c r="M2052" s="72">
        <f t="shared" si="130"/>
        <v>-3276</v>
      </c>
      <c r="N2052" s="72">
        <f t="shared" si="131"/>
        <v>456991.09999999969</v>
      </c>
    </row>
    <row r="2053" spans="1:14" x14ac:dyDescent="0.2">
      <c r="A2053" s="73" t="s">
        <v>1377</v>
      </c>
      <c r="B2053" s="3">
        <f t="shared" si="128"/>
        <v>2025</v>
      </c>
      <c r="C2053" s="3">
        <f t="shared" si="129"/>
        <v>10</v>
      </c>
      <c r="D2053" s="73" t="s">
        <v>300</v>
      </c>
      <c r="E2053" s="2"/>
      <c r="F2053" s="2" t="s">
        <v>325</v>
      </c>
      <c r="G2053" s="2" t="s">
        <v>351</v>
      </c>
      <c r="H2053" s="2" t="s">
        <v>323</v>
      </c>
      <c r="I2053" s="2" t="s">
        <v>350</v>
      </c>
      <c r="J2053" s="2" t="s">
        <v>27</v>
      </c>
      <c r="K2053" s="72">
        <v>18544</v>
      </c>
      <c r="L2053" s="39"/>
      <c r="M2053" s="72">
        <f t="shared" si="130"/>
        <v>-18544</v>
      </c>
      <c r="N2053" s="72">
        <f t="shared" si="131"/>
        <v>438447.09999999969</v>
      </c>
    </row>
    <row r="2054" spans="1:14" x14ac:dyDescent="0.2">
      <c r="A2054" s="73" t="s">
        <v>1377</v>
      </c>
      <c r="B2054" s="3">
        <f t="shared" si="128"/>
        <v>2025</v>
      </c>
      <c r="C2054" s="3">
        <f t="shared" si="129"/>
        <v>10</v>
      </c>
      <c r="D2054" s="73" t="s">
        <v>893</v>
      </c>
      <c r="E2054" s="2"/>
      <c r="F2054" s="2" t="s">
        <v>304</v>
      </c>
      <c r="G2054" s="2" t="s">
        <v>925</v>
      </c>
      <c r="H2054" s="2" t="s">
        <v>883</v>
      </c>
      <c r="I2054" s="2" t="s">
        <v>316</v>
      </c>
      <c r="J2054" s="2" t="s">
        <v>22</v>
      </c>
      <c r="K2054" s="72">
        <v>434.96</v>
      </c>
      <c r="L2054" s="39"/>
      <c r="M2054" s="72">
        <f t="shared" si="130"/>
        <v>-434.96</v>
      </c>
      <c r="N2054" s="72">
        <f t="shared" si="131"/>
        <v>438012.13999999966</v>
      </c>
    </row>
    <row r="2055" spans="1:14" x14ac:dyDescent="0.2">
      <c r="A2055" s="73" t="s">
        <v>1377</v>
      </c>
      <c r="B2055" s="3">
        <f t="shared" si="128"/>
        <v>2025</v>
      </c>
      <c r="C2055" s="3">
        <f t="shared" si="129"/>
        <v>10</v>
      </c>
      <c r="D2055" s="73" t="s">
        <v>893</v>
      </c>
      <c r="E2055" s="2"/>
      <c r="F2055" s="2" t="s">
        <v>304</v>
      </c>
      <c r="G2055" s="2" t="s">
        <v>1417</v>
      </c>
      <c r="H2055" s="2" t="s">
        <v>883</v>
      </c>
      <c r="I2055" s="2" t="s">
        <v>316</v>
      </c>
      <c r="J2055" s="2" t="s">
        <v>22</v>
      </c>
      <c r="K2055" s="72">
        <v>5.16</v>
      </c>
      <c r="L2055" s="39"/>
      <c r="M2055" s="72">
        <f t="shared" si="130"/>
        <v>-5.16</v>
      </c>
      <c r="N2055" s="72">
        <f t="shared" si="131"/>
        <v>438006.97999999969</v>
      </c>
    </row>
    <row r="2056" spans="1:14" x14ac:dyDescent="0.2">
      <c r="A2056" s="73" t="s">
        <v>1377</v>
      </c>
      <c r="B2056" s="3">
        <f t="shared" si="128"/>
        <v>2025</v>
      </c>
      <c r="C2056" s="3">
        <f t="shared" si="129"/>
        <v>10</v>
      </c>
      <c r="D2056" s="73" t="s">
        <v>893</v>
      </c>
      <c r="E2056" s="2"/>
      <c r="F2056" s="2" t="s">
        <v>304</v>
      </c>
      <c r="G2056" s="2" t="s">
        <v>953</v>
      </c>
      <c r="H2056" s="2" t="s">
        <v>883</v>
      </c>
      <c r="I2056" s="2" t="s">
        <v>316</v>
      </c>
      <c r="J2056" s="2" t="s">
        <v>22</v>
      </c>
      <c r="K2056" s="72">
        <v>294.95999999999998</v>
      </c>
      <c r="L2056" s="39"/>
      <c r="M2056" s="72">
        <f t="shared" si="130"/>
        <v>-294.95999999999998</v>
      </c>
      <c r="N2056" s="72">
        <f t="shared" si="131"/>
        <v>437712.01999999967</v>
      </c>
    </row>
    <row r="2057" spans="1:14" x14ac:dyDescent="0.2">
      <c r="A2057" s="73" t="s">
        <v>1377</v>
      </c>
      <c r="B2057" s="3">
        <f t="shared" si="128"/>
        <v>2025</v>
      </c>
      <c r="C2057" s="3">
        <f t="shared" si="129"/>
        <v>10</v>
      </c>
      <c r="D2057" s="73" t="s">
        <v>300</v>
      </c>
      <c r="E2057" s="2"/>
      <c r="F2057" s="2" t="s">
        <v>299</v>
      </c>
      <c r="G2057" s="2"/>
      <c r="H2057" s="2" t="s">
        <v>298</v>
      </c>
      <c r="I2057" s="2" t="s">
        <v>297</v>
      </c>
      <c r="J2057" s="2" t="s">
        <v>296</v>
      </c>
      <c r="K2057" s="72"/>
      <c r="L2057" s="39">
        <v>156860.59</v>
      </c>
      <c r="M2057" s="72">
        <f t="shared" si="130"/>
        <v>156860.59</v>
      </c>
      <c r="N2057" s="72">
        <f t="shared" si="131"/>
        <v>594572.60999999964</v>
      </c>
    </row>
    <row r="2058" spans="1:14" x14ac:dyDescent="0.2">
      <c r="A2058" s="73" t="s">
        <v>1378</v>
      </c>
      <c r="B2058" s="3">
        <f t="shared" si="128"/>
        <v>2025</v>
      </c>
      <c r="C2058" s="3">
        <f t="shared" si="129"/>
        <v>10</v>
      </c>
      <c r="D2058" s="73" t="s">
        <v>893</v>
      </c>
      <c r="E2058" s="2"/>
      <c r="F2058" s="2" t="s">
        <v>304</v>
      </c>
      <c r="G2058" s="2" t="s">
        <v>1008</v>
      </c>
      <c r="H2058" s="2" t="s">
        <v>1007</v>
      </c>
      <c r="I2058" s="1" t="s">
        <v>316</v>
      </c>
      <c r="J2058" s="2" t="s">
        <v>17</v>
      </c>
      <c r="K2058" s="72">
        <v>32.28</v>
      </c>
      <c r="L2058" s="39"/>
      <c r="M2058" s="72">
        <f t="shared" si="130"/>
        <v>-32.28</v>
      </c>
      <c r="N2058" s="72">
        <f t="shared" si="131"/>
        <v>594540.32999999961</v>
      </c>
    </row>
    <row r="2059" spans="1:14" x14ac:dyDescent="0.2">
      <c r="A2059" s="73" t="s">
        <v>1378</v>
      </c>
      <c r="B2059" s="3">
        <f t="shared" si="128"/>
        <v>2025</v>
      </c>
      <c r="C2059" s="3">
        <f t="shared" si="129"/>
        <v>10</v>
      </c>
      <c r="D2059" s="73" t="s">
        <v>893</v>
      </c>
      <c r="E2059" s="2"/>
      <c r="F2059" s="2" t="s">
        <v>304</v>
      </c>
      <c r="G2059" s="2" t="s">
        <v>1008</v>
      </c>
      <c r="H2059" s="2" t="s">
        <v>1007</v>
      </c>
      <c r="I2059" s="1" t="s">
        <v>316</v>
      </c>
      <c r="J2059" s="2" t="s">
        <v>17</v>
      </c>
      <c r="K2059" s="72">
        <v>31.08</v>
      </c>
      <c r="L2059" s="39"/>
      <c r="M2059" s="72">
        <f t="shared" si="130"/>
        <v>-31.08</v>
      </c>
      <c r="N2059" s="72">
        <f t="shared" si="131"/>
        <v>594509.24999999965</v>
      </c>
    </row>
    <row r="2060" spans="1:14" x14ac:dyDescent="0.2">
      <c r="A2060" s="73" t="s">
        <v>1378</v>
      </c>
      <c r="B2060" s="3">
        <f t="shared" si="128"/>
        <v>2025</v>
      </c>
      <c r="C2060" s="3">
        <f t="shared" si="129"/>
        <v>10</v>
      </c>
      <c r="D2060" s="73" t="s">
        <v>893</v>
      </c>
      <c r="E2060" s="2"/>
      <c r="F2060" s="2" t="s">
        <v>304</v>
      </c>
      <c r="G2060" s="2" t="s">
        <v>1008</v>
      </c>
      <c r="H2060" s="2" t="s">
        <v>1007</v>
      </c>
      <c r="I2060" s="1" t="s">
        <v>316</v>
      </c>
      <c r="J2060" s="2" t="s">
        <v>17</v>
      </c>
      <c r="K2060" s="72">
        <v>93.24</v>
      </c>
      <c r="L2060" s="39"/>
      <c r="M2060" s="72">
        <f t="shared" si="130"/>
        <v>-93.24</v>
      </c>
      <c r="N2060" s="72">
        <f t="shared" si="131"/>
        <v>594416.00999999966</v>
      </c>
    </row>
    <row r="2061" spans="1:14" x14ac:dyDescent="0.2">
      <c r="A2061" s="73" t="s">
        <v>1378</v>
      </c>
      <c r="B2061" s="3">
        <f t="shared" si="128"/>
        <v>2025</v>
      </c>
      <c r="C2061" s="3">
        <f t="shared" si="129"/>
        <v>10</v>
      </c>
      <c r="D2061" s="73" t="s">
        <v>893</v>
      </c>
      <c r="E2061" s="2"/>
      <c r="F2061" s="2" t="s">
        <v>304</v>
      </c>
      <c r="G2061" s="2" t="s">
        <v>1008</v>
      </c>
      <c r="H2061" s="2" t="s">
        <v>1007</v>
      </c>
      <c r="I2061" s="1" t="s">
        <v>316</v>
      </c>
      <c r="J2061" s="2" t="s">
        <v>17</v>
      </c>
      <c r="K2061" s="72">
        <v>33.229999999999997</v>
      </c>
      <c r="L2061" s="39"/>
      <c r="M2061" s="72">
        <f t="shared" si="130"/>
        <v>-33.229999999999997</v>
      </c>
      <c r="N2061" s="72">
        <f t="shared" si="131"/>
        <v>594382.77999999968</v>
      </c>
    </row>
    <row r="2062" spans="1:14" x14ac:dyDescent="0.2">
      <c r="A2062" s="73" t="s">
        <v>1378</v>
      </c>
      <c r="B2062" s="3">
        <f t="shared" si="128"/>
        <v>2025</v>
      </c>
      <c r="C2062" s="3">
        <f t="shared" si="129"/>
        <v>10</v>
      </c>
      <c r="D2062" s="73" t="s">
        <v>893</v>
      </c>
      <c r="E2062" s="2"/>
      <c r="F2062" s="2" t="s">
        <v>304</v>
      </c>
      <c r="G2062" s="2" t="s">
        <v>1008</v>
      </c>
      <c r="H2062" s="2" t="s">
        <v>1007</v>
      </c>
      <c r="I2062" s="1" t="s">
        <v>316</v>
      </c>
      <c r="J2062" s="2" t="s">
        <v>17</v>
      </c>
      <c r="K2062" s="72">
        <v>32.229999999999997</v>
      </c>
      <c r="L2062" s="39"/>
      <c r="M2062" s="72">
        <f t="shared" si="130"/>
        <v>-32.229999999999997</v>
      </c>
      <c r="N2062" s="72">
        <f t="shared" si="131"/>
        <v>594350.5499999997</v>
      </c>
    </row>
    <row r="2063" spans="1:14" x14ac:dyDescent="0.2">
      <c r="A2063" s="73" t="s">
        <v>1378</v>
      </c>
      <c r="B2063" s="3">
        <f t="shared" si="128"/>
        <v>2025</v>
      </c>
      <c r="C2063" s="3">
        <f t="shared" si="129"/>
        <v>10</v>
      </c>
      <c r="D2063" s="73" t="s">
        <v>893</v>
      </c>
      <c r="E2063" s="2"/>
      <c r="F2063" s="2" t="s">
        <v>304</v>
      </c>
      <c r="G2063" s="2" t="s">
        <v>1008</v>
      </c>
      <c r="H2063" s="2" t="s">
        <v>1007</v>
      </c>
      <c r="I2063" s="1" t="s">
        <v>316</v>
      </c>
      <c r="J2063" s="2" t="s">
        <v>17</v>
      </c>
      <c r="K2063" s="72">
        <v>32.880000000000003</v>
      </c>
      <c r="L2063" s="39"/>
      <c r="M2063" s="72">
        <f t="shared" si="130"/>
        <v>-32.880000000000003</v>
      </c>
      <c r="N2063" s="72">
        <f t="shared" si="131"/>
        <v>594317.66999999969</v>
      </c>
    </row>
    <row r="2064" spans="1:14" x14ac:dyDescent="0.2">
      <c r="A2064" s="73" t="s">
        <v>1378</v>
      </c>
      <c r="B2064" s="3">
        <f t="shared" si="128"/>
        <v>2025</v>
      </c>
      <c r="C2064" s="3">
        <f t="shared" si="129"/>
        <v>10</v>
      </c>
      <c r="D2064" s="73" t="s">
        <v>893</v>
      </c>
      <c r="E2064" s="2"/>
      <c r="F2064" s="2" t="s">
        <v>304</v>
      </c>
      <c r="G2064" s="2" t="s">
        <v>1008</v>
      </c>
      <c r="H2064" s="2" t="s">
        <v>1007</v>
      </c>
      <c r="I2064" s="1" t="s">
        <v>316</v>
      </c>
      <c r="J2064" s="2" t="s">
        <v>17</v>
      </c>
      <c r="K2064" s="72">
        <v>30.95</v>
      </c>
      <c r="L2064" s="39"/>
      <c r="M2064" s="72">
        <f t="shared" si="130"/>
        <v>-30.95</v>
      </c>
      <c r="N2064" s="72">
        <f t="shared" si="131"/>
        <v>594286.71999999974</v>
      </c>
    </row>
    <row r="2065" spans="1:14" x14ac:dyDescent="0.2">
      <c r="A2065" s="73" t="s">
        <v>1378</v>
      </c>
      <c r="B2065" s="3">
        <f t="shared" si="128"/>
        <v>2025</v>
      </c>
      <c r="C2065" s="3">
        <f t="shared" si="129"/>
        <v>10</v>
      </c>
      <c r="D2065" s="73" t="s">
        <v>893</v>
      </c>
      <c r="E2065" s="2"/>
      <c r="F2065" s="2" t="s">
        <v>304</v>
      </c>
      <c r="G2065" s="2" t="s">
        <v>1008</v>
      </c>
      <c r="H2065" s="2" t="s">
        <v>1007</v>
      </c>
      <c r="I2065" s="1" t="s">
        <v>316</v>
      </c>
      <c r="J2065" s="2" t="s">
        <v>17</v>
      </c>
      <c r="K2065" s="72">
        <v>31.44</v>
      </c>
      <c r="L2065" s="39"/>
      <c r="M2065" s="72">
        <f t="shared" si="130"/>
        <v>-31.44</v>
      </c>
      <c r="N2065" s="72">
        <f t="shared" si="131"/>
        <v>594255.2799999998</v>
      </c>
    </row>
    <row r="2066" spans="1:14" x14ac:dyDescent="0.2">
      <c r="A2066" s="73" t="s">
        <v>1378</v>
      </c>
      <c r="B2066" s="3">
        <f t="shared" si="128"/>
        <v>2025</v>
      </c>
      <c r="C2066" s="3">
        <f t="shared" si="129"/>
        <v>10</v>
      </c>
      <c r="D2066" s="73" t="s">
        <v>893</v>
      </c>
      <c r="E2066" s="2"/>
      <c r="F2066" s="2" t="s">
        <v>304</v>
      </c>
      <c r="G2066" s="2" t="s">
        <v>1008</v>
      </c>
      <c r="H2066" s="2" t="s">
        <v>1007</v>
      </c>
      <c r="I2066" s="1" t="s">
        <v>316</v>
      </c>
      <c r="J2066" s="2" t="s">
        <v>17</v>
      </c>
      <c r="K2066" s="72">
        <v>32.32</v>
      </c>
      <c r="L2066" s="39"/>
      <c r="M2066" s="72">
        <f t="shared" si="130"/>
        <v>-32.32</v>
      </c>
      <c r="N2066" s="72">
        <f t="shared" si="131"/>
        <v>594222.95999999985</v>
      </c>
    </row>
    <row r="2067" spans="1:14" x14ac:dyDescent="0.2">
      <c r="A2067" s="73" t="s">
        <v>1378</v>
      </c>
      <c r="B2067" s="3">
        <f t="shared" si="128"/>
        <v>2025</v>
      </c>
      <c r="C2067" s="3">
        <f t="shared" si="129"/>
        <v>10</v>
      </c>
      <c r="D2067" s="73" t="s">
        <v>893</v>
      </c>
      <c r="E2067" s="2"/>
      <c r="F2067" s="2" t="s">
        <v>304</v>
      </c>
      <c r="G2067" s="2" t="s">
        <v>1008</v>
      </c>
      <c r="H2067" s="2" t="s">
        <v>1007</v>
      </c>
      <c r="I2067" s="1" t="s">
        <v>316</v>
      </c>
      <c r="J2067" s="2" t="s">
        <v>17</v>
      </c>
      <c r="K2067" s="72">
        <v>103</v>
      </c>
      <c r="L2067" s="39"/>
      <c r="M2067" s="72">
        <f t="shared" si="130"/>
        <v>-103</v>
      </c>
      <c r="N2067" s="72">
        <f t="shared" si="131"/>
        <v>594119.95999999985</v>
      </c>
    </row>
    <row r="2068" spans="1:14" x14ac:dyDescent="0.2">
      <c r="A2068" s="73" t="s">
        <v>1378</v>
      </c>
      <c r="B2068" s="3">
        <f t="shared" si="128"/>
        <v>2025</v>
      </c>
      <c r="C2068" s="3">
        <f t="shared" si="129"/>
        <v>10</v>
      </c>
      <c r="D2068" s="73" t="s">
        <v>893</v>
      </c>
      <c r="E2068" s="2"/>
      <c r="F2068" s="2" t="s">
        <v>304</v>
      </c>
      <c r="G2068" s="2" t="s">
        <v>1008</v>
      </c>
      <c r="H2068" s="2" t="s">
        <v>1007</v>
      </c>
      <c r="I2068" s="1" t="s">
        <v>316</v>
      </c>
      <c r="J2068" s="2" t="s">
        <v>17</v>
      </c>
      <c r="K2068" s="72">
        <v>34.549999999999997</v>
      </c>
      <c r="L2068" s="39"/>
      <c r="M2068" s="72">
        <f t="shared" si="130"/>
        <v>-34.549999999999997</v>
      </c>
      <c r="N2068" s="72">
        <f t="shared" si="131"/>
        <v>594085.4099999998</v>
      </c>
    </row>
    <row r="2069" spans="1:14" x14ac:dyDescent="0.2">
      <c r="A2069" s="73" t="s">
        <v>1378</v>
      </c>
      <c r="B2069" s="3">
        <f t="shared" si="128"/>
        <v>2025</v>
      </c>
      <c r="C2069" s="3">
        <f t="shared" si="129"/>
        <v>10</v>
      </c>
      <c r="D2069" s="73" t="s">
        <v>893</v>
      </c>
      <c r="E2069" s="2"/>
      <c r="F2069" s="2" t="s">
        <v>304</v>
      </c>
      <c r="G2069" s="2" t="s">
        <v>1008</v>
      </c>
      <c r="H2069" s="2" t="s">
        <v>1007</v>
      </c>
      <c r="I2069" s="1" t="s">
        <v>316</v>
      </c>
      <c r="J2069" s="2" t="s">
        <v>17</v>
      </c>
      <c r="K2069" s="72">
        <v>31.42</v>
      </c>
      <c r="L2069" s="39"/>
      <c r="M2069" s="72">
        <f t="shared" si="130"/>
        <v>-31.42</v>
      </c>
      <c r="N2069" s="72">
        <f t="shared" si="131"/>
        <v>594053.98999999976</v>
      </c>
    </row>
    <row r="2070" spans="1:14" x14ac:dyDescent="0.2">
      <c r="A2070" s="73" t="s">
        <v>1378</v>
      </c>
      <c r="B2070" s="3">
        <f t="shared" si="128"/>
        <v>2025</v>
      </c>
      <c r="C2070" s="3">
        <f t="shared" si="129"/>
        <v>10</v>
      </c>
      <c r="D2070" s="73" t="s">
        <v>300</v>
      </c>
      <c r="E2070" s="2"/>
      <c r="F2070" s="2" t="s">
        <v>304</v>
      </c>
      <c r="G2070" s="2" t="s">
        <v>311</v>
      </c>
      <c r="H2070" s="2" t="s">
        <v>310</v>
      </c>
      <c r="I2070" s="2" t="s">
        <v>301</v>
      </c>
      <c r="J2070" s="2" t="s">
        <v>11</v>
      </c>
      <c r="K2070" s="72">
        <v>30.78</v>
      </c>
      <c r="L2070" s="39"/>
      <c r="M2070" s="72">
        <f t="shared" si="130"/>
        <v>-30.78</v>
      </c>
      <c r="N2070" s="72">
        <f t="shared" si="131"/>
        <v>594023.20999999973</v>
      </c>
    </row>
    <row r="2071" spans="1:14" x14ac:dyDescent="0.2">
      <c r="A2071" s="73" t="s">
        <v>1378</v>
      </c>
      <c r="B2071" s="3">
        <f t="shared" si="128"/>
        <v>2025</v>
      </c>
      <c r="C2071" s="3">
        <f t="shared" si="129"/>
        <v>10</v>
      </c>
      <c r="D2071" s="73" t="s">
        <v>893</v>
      </c>
      <c r="E2071" s="2"/>
      <c r="F2071" s="2" t="s">
        <v>304</v>
      </c>
      <c r="G2071" s="2" t="s">
        <v>900</v>
      </c>
      <c r="H2071" s="2" t="s">
        <v>901</v>
      </c>
      <c r="I2071" s="1" t="s">
        <v>316</v>
      </c>
      <c r="J2071" s="2" t="s">
        <v>17</v>
      </c>
      <c r="K2071" s="72">
        <v>20</v>
      </c>
      <c r="L2071" s="39"/>
      <c r="M2071" s="72">
        <f t="shared" si="130"/>
        <v>-20</v>
      </c>
      <c r="N2071" s="72">
        <f t="shared" si="131"/>
        <v>594003.20999999973</v>
      </c>
    </row>
    <row r="2072" spans="1:14" x14ac:dyDescent="0.2">
      <c r="A2072" s="73" t="s">
        <v>1378</v>
      </c>
      <c r="B2072" s="3">
        <f t="shared" si="128"/>
        <v>2025</v>
      </c>
      <c r="C2072" s="3">
        <f t="shared" si="129"/>
        <v>10</v>
      </c>
      <c r="D2072" s="73" t="s">
        <v>300</v>
      </c>
      <c r="E2072" s="2"/>
      <c r="F2072" s="2" t="s">
        <v>304</v>
      </c>
      <c r="G2072" s="2" t="s">
        <v>306</v>
      </c>
      <c r="H2072" s="2" t="s">
        <v>384</v>
      </c>
      <c r="I2072" s="2" t="s">
        <v>301</v>
      </c>
      <c r="J2072" s="2" t="s">
        <v>19</v>
      </c>
      <c r="K2072" s="72">
        <v>4</v>
      </c>
      <c r="L2072" s="39"/>
      <c r="M2072" s="72">
        <f t="shared" si="130"/>
        <v>-4</v>
      </c>
      <c r="N2072" s="72">
        <f t="shared" si="131"/>
        <v>593999.20999999973</v>
      </c>
    </row>
    <row r="2073" spans="1:14" x14ac:dyDescent="0.2">
      <c r="A2073" s="73" t="s">
        <v>1378</v>
      </c>
      <c r="B2073" s="3">
        <f t="shared" si="128"/>
        <v>2025</v>
      </c>
      <c r="C2073" s="3">
        <f t="shared" si="129"/>
        <v>10</v>
      </c>
      <c r="D2073" s="73" t="s">
        <v>893</v>
      </c>
      <c r="E2073" s="2"/>
      <c r="F2073" s="2" t="s">
        <v>304</v>
      </c>
      <c r="G2073" s="2" t="s">
        <v>1418</v>
      </c>
      <c r="H2073" s="2" t="s">
        <v>915</v>
      </c>
      <c r="I2073" s="2" t="s">
        <v>316</v>
      </c>
      <c r="J2073" s="2" t="s">
        <v>22</v>
      </c>
      <c r="K2073" s="72">
        <v>38.61</v>
      </c>
      <c r="L2073" s="39"/>
      <c r="M2073" s="72">
        <f t="shared" si="130"/>
        <v>-38.61</v>
      </c>
      <c r="N2073" s="72">
        <f t="shared" si="131"/>
        <v>593960.59999999974</v>
      </c>
    </row>
    <row r="2074" spans="1:14" x14ac:dyDescent="0.2">
      <c r="A2074" s="73" t="s">
        <v>1378</v>
      </c>
      <c r="B2074" s="3">
        <f t="shared" si="128"/>
        <v>2025</v>
      </c>
      <c r="C2074" s="3">
        <f t="shared" si="129"/>
        <v>10</v>
      </c>
      <c r="D2074" s="73" t="s">
        <v>893</v>
      </c>
      <c r="E2074" s="2"/>
      <c r="F2074" s="2" t="s">
        <v>304</v>
      </c>
      <c r="G2074" s="2" t="s">
        <v>913</v>
      </c>
      <c r="H2074" s="2" t="s">
        <v>883</v>
      </c>
      <c r="I2074" s="2" t="s">
        <v>316</v>
      </c>
      <c r="J2074" s="2" t="s">
        <v>22</v>
      </c>
      <c r="K2074" s="72">
        <v>45.92</v>
      </c>
      <c r="L2074" s="39"/>
      <c r="M2074" s="72">
        <f t="shared" si="130"/>
        <v>-45.92</v>
      </c>
      <c r="N2074" s="72">
        <f t="shared" si="131"/>
        <v>593914.6799999997</v>
      </c>
    </row>
    <row r="2075" spans="1:14" x14ac:dyDescent="0.2">
      <c r="A2075" s="73" t="s">
        <v>1378</v>
      </c>
      <c r="B2075" s="3">
        <f t="shared" si="128"/>
        <v>2025</v>
      </c>
      <c r="C2075" s="3">
        <f t="shared" si="129"/>
        <v>10</v>
      </c>
      <c r="D2075" s="73" t="s">
        <v>893</v>
      </c>
      <c r="E2075" s="2"/>
      <c r="F2075" s="2" t="s">
        <v>304</v>
      </c>
      <c r="G2075" s="2" t="s">
        <v>913</v>
      </c>
      <c r="H2075" s="2" t="s">
        <v>883</v>
      </c>
      <c r="I2075" s="2" t="s">
        <v>316</v>
      </c>
      <c r="J2075" s="2" t="s">
        <v>22</v>
      </c>
      <c r="K2075" s="72">
        <v>41.89</v>
      </c>
      <c r="L2075" s="39"/>
      <c r="M2075" s="72">
        <f t="shared" si="130"/>
        <v>-41.89</v>
      </c>
      <c r="N2075" s="72">
        <f t="shared" si="131"/>
        <v>593872.78999999969</v>
      </c>
    </row>
    <row r="2076" spans="1:14" x14ac:dyDescent="0.2">
      <c r="A2076" s="73" t="s">
        <v>1378</v>
      </c>
      <c r="B2076" s="3">
        <f t="shared" si="128"/>
        <v>2025</v>
      </c>
      <c r="C2076" s="3">
        <f t="shared" si="129"/>
        <v>10</v>
      </c>
      <c r="D2076" s="73" t="s">
        <v>300</v>
      </c>
      <c r="E2076" s="2"/>
      <c r="F2076" s="2" t="s">
        <v>321</v>
      </c>
      <c r="G2076" s="2" t="s">
        <v>387</v>
      </c>
      <c r="H2076" s="2" t="s">
        <v>319</v>
      </c>
      <c r="I2076" s="2" t="s">
        <v>315</v>
      </c>
      <c r="J2076" s="2" t="s">
        <v>23</v>
      </c>
      <c r="K2076" s="72"/>
      <c r="L2076" s="39">
        <v>274</v>
      </c>
      <c r="M2076" s="72">
        <f t="shared" si="130"/>
        <v>274</v>
      </c>
      <c r="N2076" s="72">
        <f t="shared" si="131"/>
        <v>594146.78999999969</v>
      </c>
    </row>
    <row r="2077" spans="1:14" x14ac:dyDescent="0.2">
      <c r="A2077" s="73" t="s">
        <v>1378</v>
      </c>
      <c r="B2077" s="3">
        <f t="shared" si="128"/>
        <v>2025</v>
      </c>
      <c r="C2077" s="3">
        <f t="shared" si="129"/>
        <v>10</v>
      </c>
      <c r="D2077" s="73" t="s">
        <v>300</v>
      </c>
      <c r="E2077" s="2"/>
      <c r="F2077" s="2" t="s">
        <v>299</v>
      </c>
      <c r="G2077" s="2"/>
      <c r="H2077" s="2" t="s">
        <v>298</v>
      </c>
      <c r="I2077" s="2" t="s">
        <v>297</v>
      </c>
      <c r="J2077" s="2" t="s">
        <v>296</v>
      </c>
      <c r="K2077" s="72">
        <v>103499.22</v>
      </c>
      <c r="L2077" s="39"/>
      <c r="M2077" s="72">
        <f t="shared" si="130"/>
        <v>-103499.22</v>
      </c>
      <c r="N2077" s="72">
        <f t="shared" si="131"/>
        <v>490647.56999999972</v>
      </c>
    </row>
    <row r="2078" spans="1:14" x14ac:dyDescent="0.2">
      <c r="A2078" s="73" t="s">
        <v>1379</v>
      </c>
      <c r="B2078" s="3">
        <f t="shared" si="128"/>
        <v>2025</v>
      </c>
      <c r="C2078" s="3">
        <f t="shared" si="129"/>
        <v>10</v>
      </c>
      <c r="D2078" s="73" t="s">
        <v>893</v>
      </c>
      <c r="E2078" s="2"/>
      <c r="F2078" s="2" t="s">
        <v>304</v>
      </c>
      <c r="G2078" s="2" t="s">
        <v>1008</v>
      </c>
      <c r="H2078" s="2" t="s">
        <v>1007</v>
      </c>
      <c r="I2078" s="1" t="s">
        <v>316</v>
      </c>
      <c r="J2078" s="2" t="s">
        <v>17</v>
      </c>
      <c r="K2078" s="72">
        <v>28.15</v>
      </c>
      <c r="L2078" s="39"/>
      <c r="M2078" s="72">
        <f t="shared" si="130"/>
        <v>-28.15</v>
      </c>
      <c r="N2078" s="72">
        <f t="shared" si="131"/>
        <v>490619.41999999969</v>
      </c>
    </row>
    <row r="2079" spans="1:14" x14ac:dyDescent="0.2">
      <c r="A2079" s="73" t="s">
        <v>1379</v>
      </c>
      <c r="B2079" s="3">
        <f t="shared" si="128"/>
        <v>2025</v>
      </c>
      <c r="C2079" s="3">
        <f t="shared" si="129"/>
        <v>10</v>
      </c>
      <c r="D2079" s="73" t="s">
        <v>893</v>
      </c>
      <c r="E2079" s="2"/>
      <c r="F2079" s="2" t="s">
        <v>304</v>
      </c>
      <c r="G2079" s="2" t="s">
        <v>1008</v>
      </c>
      <c r="H2079" s="2" t="s">
        <v>1007</v>
      </c>
      <c r="I2079" s="1" t="s">
        <v>316</v>
      </c>
      <c r="J2079" s="2" t="s">
        <v>17</v>
      </c>
      <c r="K2079" s="72">
        <v>43.47</v>
      </c>
      <c r="L2079" s="39"/>
      <c r="M2079" s="72">
        <f t="shared" si="130"/>
        <v>-43.47</v>
      </c>
      <c r="N2079" s="72">
        <f t="shared" si="131"/>
        <v>490575.94999999972</v>
      </c>
    </row>
    <row r="2080" spans="1:14" x14ac:dyDescent="0.2">
      <c r="A2080" s="73" t="s">
        <v>1379</v>
      </c>
      <c r="B2080" s="3">
        <f t="shared" si="128"/>
        <v>2025</v>
      </c>
      <c r="C2080" s="3">
        <f t="shared" si="129"/>
        <v>10</v>
      </c>
      <c r="D2080" s="73" t="s">
        <v>893</v>
      </c>
      <c r="E2080" s="2"/>
      <c r="F2080" s="2" t="s">
        <v>304</v>
      </c>
      <c r="G2080" s="2" t="s">
        <v>1008</v>
      </c>
      <c r="H2080" s="2" t="s">
        <v>1007</v>
      </c>
      <c r="I2080" s="1" t="s">
        <v>316</v>
      </c>
      <c r="J2080" s="2" t="s">
        <v>17</v>
      </c>
      <c r="K2080" s="72">
        <v>26.92</v>
      </c>
      <c r="L2080" s="39"/>
      <c r="M2080" s="72">
        <f t="shared" si="130"/>
        <v>-26.92</v>
      </c>
      <c r="N2080" s="72">
        <f t="shared" si="131"/>
        <v>490549.02999999974</v>
      </c>
    </row>
    <row r="2081" spans="1:14" x14ac:dyDescent="0.2">
      <c r="A2081" s="73" t="s">
        <v>1379</v>
      </c>
      <c r="B2081" s="3">
        <f t="shared" si="128"/>
        <v>2025</v>
      </c>
      <c r="C2081" s="3">
        <f t="shared" si="129"/>
        <v>10</v>
      </c>
      <c r="D2081" s="73" t="s">
        <v>893</v>
      </c>
      <c r="E2081" s="2"/>
      <c r="F2081" s="2" t="s">
        <v>304</v>
      </c>
      <c r="G2081" s="2" t="s">
        <v>932</v>
      </c>
      <c r="H2081" s="2" t="s">
        <v>1007</v>
      </c>
      <c r="I2081" s="1" t="s">
        <v>316</v>
      </c>
      <c r="J2081" s="2" t="s">
        <v>17</v>
      </c>
      <c r="K2081" s="72">
        <v>63.59</v>
      </c>
      <c r="L2081" s="39"/>
      <c r="M2081" s="72">
        <f t="shared" si="130"/>
        <v>-63.59</v>
      </c>
      <c r="N2081" s="72">
        <f t="shared" si="131"/>
        <v>490485.43999999971</v>
      </c>
    </row>
    <row r="2082" spans="1:14" x14ac:dyDescent="0.2">
      <c r="A2082" s="73" t="s">
        <v>1379</v>
      </c>
      <c r="B2082" s="3">
        <f t="shared" si="128"/>
        <v>2025</v>
      </c>
      <c r="C2082" s="3">
        <f t="shared" si="129"/>
        <v>10</v>
      </c>
      <c r="D2082" s="73" t="s">
        <v>300</v>
      </c>
      <c r="E2082" s="2"/>
      <c r="F2082" s="2" t="s">
        <v>304</v>
      </c>
      <c r="G2082" s="2" t="s">
        <v>308</v>
      </c>
      <c r="H2082" s="2" t="s">
        <v>349</v>
      </c>
      <c r="I2082" s="2" t="s">
        <v>297</v>
      </c>
      <c r="J2082" s="2" t="s">
        <v>26</v>
      </c>
      <c r="K2082" s="72">
        <v>313.79000000000002</v>
      </c>
      <c r="L2082" s="39"/>
      <c r="M2082" s="72">
        <f t="shared" si="130"/>
        <v>-313.79000000000002</v>
      </c>
      <c r="N2082" s="72">
        <f t="shared" si="131"/>
        <v>490171.64999999973</v>
      </c>
    </row>
    <row r="2083" spans="1:14" x14ac:dyDescent="0.2">
      <c r="A2083" s="73" t="s">
        <v>1379</v>
      </c>
      <c r="B2083" s="3">
        <f t="shared" si="128"/>
        <v>2025</v>
      </c>
      <c r="C2083" s="3">
        <f t="shared" si="129"/>
        <v>10</v>
      </c>
      <c r="D2083" s="73" t="s">
        <v>893</v>
      </c>
      <c r="E2083" s="2"/>
      <c r="F2083" s="2" t="s">
        <v>304</v>
      </c>
      <c r="G2083" s="2" t="s">
        <v>1419</v>
      </c>
      <c r="H2083" s="2" t="s">
        <v>839</v>
      </c>
      <c r="I2083" s="2" t="s">
        <v>316</v>
      </c>
      <c r="J2083" s="2" t="s">
        <v>17</v>
      </c>
      <c r="K2083" s="72">
        <v>3226.65</v>
      </c>
      <c r="L2083" s="39"/>
      <c r="M2083" s="72">
        <f t="shared" si="130"/>
        <v>-3226.65</v>
      </c>
      <c r="N2083" s="72">
        <f t="shared" si="131"/>
        <v>486944.99999999971</v>
      </c>
    </row>
    <row r="2084" spans="1:14" x14ac:dyDescent="0.2">
      <c r="A2084" s="73" t="s">
        <v>1379</v>
      </c>
      <c r="B2084" s="3">
        <f t="shared" si="128"/>
        <v>2025</v>
      </c>
      <c r="C2084" s="3">
        <f t="shared" si="129"/>
        <v>10</v>
      </c>
      <c r="D2084" s="73" t="s">
        <v>893</v>
      </c>
      <c r="E2084" s="2"/>
      <c r="F2084" s="2" t="s">
        <v>304</v>
      </c>
      <c r="G2084" s="2" t="s">
        <v>925</v>
      </c>
      <c r="H2084" s="2" t="s">
        <v>883</v>
      </c>
      <c r="I2084" s="2" t="s">
        <v>316</v>
      </c>
      <c r="J2084" s="2" t="s">
        <v>22</v>
      </c>
      <c r="K2084" s="72">
        <v>352.96</v>
      </c>
      <c r="L2084" s="39"/>
      <c r="M2084" s="72">
        <f t="shared" si="130"/>
        <v>-352.96</v>
      </c>
      <c r="N2084" s="72">
        <f t="shared" si="131"/>
        <v>486592.03999999969</v>
      </c>
    </row>
    <row r="2085" spans="1:14" x14ac:dyDescent="0.2">
      <c r="A2085" s="73" t="s">
        <v>1379</v>
      </c>
      <c r="B2085" s="3">
        <f t="shared" si="128"/>
        <v>2025</v>
      </c>
      <c r="C2085" s="3">
        <f t="shared" si="129"/>
        <v>10</v>
      </c>
      <c r="D2085" s="73" t="s">
        <v>300</v>
      </c>
      <c r="E2085" s="2"/>
      <c r="F2085" s="2" t="s">
        <v>299</v>
      </c>
      <c r="G2085" s="2"/>
      <c r="H2085" s="2" t="s">
        <v>298</v>
      </c>
      <c r="I2085" s="2" t="s">
        <v>297</v>
      </c>
      <c r="J2085" s="2" t="s">
        <v>296</v>
      </c>
      <c r="K2085" s="72"/>
      <c r="L2085" s="39">
        <v>313.79000000000002</v>
      </c>
      <c r="M2085" s="72">
        <f t="shared" si="130"/>
        <v>313.79000000000002</v>
      </c>
      <c r="N2085" s="72">
        <f t="shared" si="131"/>
        <v>486905.82999999967</v>
      </c>
    </row>
    <row r="2086" spans="1:14" x14ac:dyDescent="0.2">
      <c r="A2086" s="73" t="s">
        <v>1380</v>
      </c>
      <c r="B2086" s="3">
        <f t="shared" si="128"/>
        <v>2025</v>
      </c>
      <c r="C2086" s="3">
        <f t="shared" si="129"/>
        <v>10</v>
      </c>
      <c r="D2086" s="73" t="s">
        <v>893</v>
      </c>
      <c r="E2086" s="2"/>
      <c r="F2086" s="2" t="s">
        <v>304</v>
      </c>
      <c r="G2086" s="2" t="s">
        <v>1008</v>
      </c>
      <c r="H2086" s="2" t="s">
        <v>1007</v>
      </c>
      <c r="I2086" s="1" t="s">
        <v>316</v>
      </c>
      <c r="J2086" s="2" t="s">
        <v>17</v>
      </c>
      <c r="K2086" s="72">
        <v>42.21</v>
      </c>
      <c r="L2086" s="39"/>
      <c r="M2086" s="72">
        <f t="shared" si="130"/>
        <v>-42.21</v>
      </c>
      <c r="N2086" s="72">
        <f t="shared" si="131"/>
        <v>486863.61999999965</v>
      </c>
    </row>
    <row r="2087" spans="1:14" x14ac:dyDescent="0.2">
      <c r="A2087" s="73" t="s">
        <v>1380</v>
      </c>
      <c r="B2087" s="3">
        <f t="shared" si="128"/>
        <v>2025</v>
      </c>
      <c r="C2087" s="3">
        <f t="shared" si="129"/>
        <v>10</v>
      </c>
      <c r="D2087" s="73" t="s">
        <v>893</v>
      </c>
      <c r="E2087" s="2"/>
      <c r="F2087" s="2" t="s">
        <v>304</v>
      </c>
      <c r="G2087" s="2" t="s">
        <v>1008</v>
      </c>
      <c r="H2087" s="2" t="s">
        <v>1007</v>
      </c>
      <c r="I2087" s="1" t="s">
        <v>316</v>
      </c>
      <c r="J2087" s="2" t="s">
        <v>17</v>
      </c>
      <c r="K2087" s="72">
        <v>41.56</v>
      </c>
      <c r="L2087" s="39"/>
      <c r="M2087" s="72">
        <f t="shared" si="130"/>
        <v>-41.56</v>
      </c>
      <c r="N2087" s="72">
        <f t="shared" si="131"/>
        <v>486822.05999999965</v>
      </c>
    </row>
    <row r="2088" spans="1:14" x14ac:dyDescent="0.2">
      <c r="A2088" s="73" t="s">
        <v>1380</v>
      </c>
      <c r="B2088" s="3">
        <f t="shared" si="128"/>
        <v>2025</v>
      </c>
      <c r="C2088" s="3">
        <f t="shared" si="129"/>
        <v>10</v>
      </c>
      <c r="D2088" s="73" t="s">
        <v>893</v>
      </c>
      <c r="E2088" s="2"/>
      <c r="F2088" s="2" t="s">
        <v>304</v>
      </c>
      <c r="G2088" s="2" t="s">
        <v>1008</v>
      </c>
      <c r="H2088" s="2" t="s">
        <v>1007</v>
      </c>
      <c r="I2088" s="1" t="s">
        <v>316</v>
      </c>
      <c r="J2088" s="2" t="s">
        <v>17</v>
      </c>
      <c r="K2088" s="72">
        <v>42</v>
      </c>
      <c r="L2088" s="39"/>
      <c r="M2088" s="72">
        <f t="shared" si="130"/>
        <v>-42</v>
      </c>
      <c r="N2088" s="72">
        <f t="shared" si="131"/>
        <v>486780.05999999965</v>
      </c>
    </row>
    <row r="2089" spans="1:14" x14ac:dyDescent="0.2">
      <c r="A2089" s="73" t="s">
        <v>1380</v>
      </c>
      <c r="B2089" s="3">
        <f t="shared" si="128"/>
        <v>2025</v>
      </c>
      <c r="C2089" s="3">
        <f t="shared" si="129"/>
        <v>10</v>
      </c>
      <c r="D2089" s="73" t="s">
        <v>893</v>
      </c>
      <c r="E2089" s="2"/>
      <c r="F2089" s="2" t="s">
        <v>304</v>
      </c>
      <c r="G2089" s="2" t="s">
        <v>1008</v>
      </c>
      <c r="H2089" s="2" t="s">
        <v>1007</v>
      </c>
      <c r="I2089" s="1" t="s">
        <v>316</v>
      </c>
      <c r="J2089" s="2" t="s">
        <v>17</v>
      </c>
      <c r="K2089" s="72">
        <v>41.53</v>
      </c>
      <c r="L2089" s="39"/>
      <c r="M2089" s="72">
        <f t="shared" si="130"/>
        <v>-41.53</v>
      </c>
      <c r="N2089" s="72">
        <f t="shared" si="131"/>
        <v>486738.52999999962</v>
      </c>
    </row>
    <row r="2090" spans="1:14" x14ac:dyDescent="0.2">
      <c r="A2090" s="73" t="s">
        <v>1380</v>
      </c>
      <c r="B2090" s="3">
        <f t="shared" si="128"/>
        <v>2025</v>
      </c>
      <c r="C2090" s="3">
        <f t="shared" si="129"/>
        <v>10</v>
      </c>
      <c r="D2090" s="73" t="s">
        <v>893</v>
      </c>
      <c r="E2090" s="2"/>
      <c r="F2090" s="2" t="s">
        <v>304</v>
      </c>
      <c r="G2090" s="2" t="s">
        <v>1008</v>
      </c>
      <c r="H2090" s="2" t="s">
        <v>1007</v>
      </c>
      <c r="I2090" s="1" t="s">
        <v>316</v>
      </c>
      <c r="J2090" s="2" t="s">
        <v>17</v>
      </c>
      <c r="K2090" s="72">
        <v>46.34</v>
      </c>
      <c r="L2090" s="39"/>
      <c r="M2090" s="72">
        <f t="shared" si="130"/>
        <v>-46.34</v>
      </c>
      <c r="N2090" s="72">
        <f t="shared" si="131"/>
        <v>486692.18999999959</v>
      </c>
    </row>
    <row r="2091" spans="1:14" x14ac:dyDescent="0.2">
      <c r="A2091" s="73" t="s">
        <v>1380</v>
      </c>
      <c r="B2091" s="3">
        <f t="shared" si="128"/>
        <v>2025</v>
      </c>
      <c r="C2091" s="3">
        <f t="shared" si="129"/>
        <v>10</v>
      </c>
      <c r="D2091" s="73" t="s">
        <v>893</v>
      </c>
      <c r="E2091" s="2"/>
      <c r="F2091" s="2" t="s">
        <v>304</v>
      </c>
      <c r="G2091" s="2" t="s">
        <v>1008</v>
      </c>
      <c r="H2091" s="2" t="s">
        <v>1007</v>
      </c>
      <c r="I2091" s="1" t="s">
        <v>316</v>
      </c>
      <c r="J2091" s="2" t="s">
        <v>17</v>
      </c>
      <c r="K2091" s="72">
        <v>43.55</v>
      </c>
      <c r="L2091" s="39"/>
      <c r="M2091" s="72">
        <f t="shared" si="130"/>
        <v>-43.55</v>
      </c>
      <c r="N2091" s="72">
        <f t="shared" si="131"/>
        <v>486648.63999999961</v>
      </c>
    </row>
    <row r="2092" spans="1:14" x14ac:dyDescent="0.2">
      <c r="A2092" s="73" t="s">
        <v>1380</v>
      </c>
      <c r="B2092" s="3">
        <f t="shared" si="128"/>
        <v>2025</v>
      </c>
      <c r="C2092" s="3">
        <f t="shared" si="129"/>
        <v>10</v>
      </c>
      <c r="D2092" s="73" t="s">
        <v>893</v>
      </c>
      <c r="E2092" s="2"/>
      <c r="F2092" s="2" t="s">
        <v>304</v>
      </c>
      <c r="G2092" s="2" t="s">
        <v>1008</v>
      </c>
      <c r="H2092" s="2" t="s">
        <v>1007</v>
      </c>
      <c r="I2092" s="1" t="s">
        <v>316</v>
      </c>
      <c r="J2092" s="2" t="s">
        <v>17</v>
      </c>
      <c r="K2092" s="72">
        <v>41.23</v>
      </c>
      <c r="L2092" s="39"/>
      <c r="M2092" s="72">
        <f t="shared" si="130"/>
        <v>-41.23</v>
      </c>
      <c r="N2092" s="72">
        <f t="shared" si="131"/>
        <v>486607.40999999963</v>
      </c>
    </row>
    <row r="2093" spans="1:14" x14ac:dyDescent="0.2">
      <c r="A2093" s="73" t="s">
        <v>1380</v>
      </c>
      <c r="B2093" s="3">
        <f t="shared" si="128"/>
        <v>2025</v>
      </c>
      <c r="C2093" s="3">
        <f t="shared" si="129"/>
        <v>10</v>
      </c>
      <c r="D2093" s="73" t="s">
        <v>893</v>
      </c>
      <c r="E2093" s="2"/>
      <c r="F2093" s="2" t="s">
        <v>304</v>
      </c>
      <c r="G2093" s="2" t="s">
        <v>1008</v>
      </c>
      <c r="H2093" s="2" t="s">
        <v>1007</v>
      </c>
      <c r="I2093" s="1" t="s">
        <v>316</v>
      </c>
      <c r="J2093" s="2" t="s">
        <v>17</v>
      </c>
      <c r="K2093" s="72">
        <v>43.4</v>
      </c>
      <c r="L2093" s="39"/>
      <c r="M2093" s="72">
        <f t="shared" si="130"/>
        <v>-43.4</v>
      </c>
      <c r="N2093" s="72">
        <f t="shared" si="131"/>
        <v>486564.0099999996</v>
      </c>
    </row>
    <row r="2094" spans="1:14" x14ac:dyDescent="0.2">
      <c r="A2094" s="73" t="s">
        <v>1380</v>
      </c>
      <c r="B2094" s="3">
        <f t="shared" si="128"/>
        <v>2025</v>
      </c>
      <c r="C2094" s="3">
        <f t="shared" si="129"/>
        <v>10</v>
      </c>
      <c r="D2094" s="73" t="s">
        <v>893</v>
      </c>
      <c r="E2094" s="2"/>
      <c r="F2094" s="2" t="s">
        <v>304</v>
      </c>
      <c r="G2094" s="2" t="s">
        <v>1008</v>
      </c>
      <c r="H2094" s="2" t="s">
        <v>1007</v>
      </c>
      <c r="I2094" s="1" t="s">
        <v>316</v>
      </c>
      <c r="J2094" s="2" t="s">
        <v>17</v>
      </c>
      <c r="K2094" s="72">
        <v>41.62</v>
      </c>
      <c r="L2094" s="39"/>
      <c r="M2094" s="72">
        <f t="shared" si="130"/>
        <v>-41.62</v>
      </c>
      <c r="N2094" s="72">
        <f t="shared" si="131"/>
        <v>486522.38999999961</v>
      </c>
    </row>
    <row r="2095" spans="1:14" x14ac:dyDescent="0.2">
      <c r="A2095" s="73" t="s">
        <v>1380</v>
      </c>
      <c r="B2095" s="3">
        <f t="shared" si="128"/>
        <v>2025</v>
      </c>
      <c r="C2095" s="3">
        <f t="shared" si="129"/>
        <v>10</v>
      </c>
      <c r="D2095" s="73" t="s">
        <v>893</v>
      </c>
      <c r="E2095" s="2"/>
      <c r="F2095" s="2" t="s">
        <v>304</v>
      </c>
      <c r="G2095" s="2" t="s">
        <v>1008</v>
      </c>
      <c r="H2095" s="2" t="s">
        <v>1007</v>
      </c>
      <c r="I2095" s="1" t="s">
        <v>316</v>
      </c>
      <c r="J2095" s="2" t="s">
        <v>17</v>
      </c>
      <c r="K2095" s="72">
        <v>44.82</v>
      </c>
      <c r="L2095" s="39"/>
      <c r="M2095" s="72">
        <f t="shared" si="130"/>
        <v>-44.82</v>
      </c>
      <c r="N2095" s="72">
        <f t="shared" si="131"/>
        <v>486477.5699999996</v>
      </c>
    </row>
    <row r="2096" spans="1:14" x14ac:dyDescent="0.2">
      <c r="A2096" s="73" t="s">
        <v>1380</v>
      </c>
      <c r="B2096" s="3">
        <f t="shared" si="128"/>
        <v>2025</v>
      </c>
      <c r="C2096" s="3">
        <f t="shared" si="129"/>
        <v>10</v>
      </c>
      <c r="D2096" s="73" t="s">
        <v>893</v>
      </c>
      <c r="E2096" s="2"/>
      <c r="F2096" s="2" t="s">
        <v>304</v>
      </c>
      <c r="G2096" s="2" t="s">
        <v>1008</v>
      </c>
      <c r="H2096" s="2" t="s">
        <v>1007</v>
      </c>
      <c r="I2096" s="1" t="s">
        <v>316</v>
      </c>
      <c r="J2096" s="2" t="s">
        <v>17</v>
      </c>
      <c r="K2096" s="72">
        <v>43.16</v>
      </c>
      <c r="L2096" s="39"/>
      <c r="M2096" s="72">
        <f t="shared" si="130"/>
        <v>-43.16</v>
      </c>
      <c r="N2096" s="72">
        <f t="shared" si="131"/>
        <v>486434.40999999963</v>
      </c>
    </row>
    <row r="2097" spans="1:14" x14ac:dyDescent="0.2">
      <c r="A2097" s="73" t="s">
        <v>1380</v>
      </c>
      <c r="B2097" s="3">
        <f t="shared" si="128"/>
        <v>2025</v>
      </c>
      <c r="C2097" s="3">
        <f t="shared" si="129"/>
        <v>10</v>
      </c>
      <c r="D2097" s="73" t="s">
        <v>893</v>
      </c>
      <c r="E2097" s="2"/>
      <c r="F2097" s="2" t="s">
        <v>304</v>
      </c>
      <c r="G2097" s="2" t="s">
        <v>1008</v>
      </c>
      <c r="H2097" s="2" t="s">
        <v>1007</v>
      </c>
      <c r="I2097" s="1" t="s">
        <v>316</v>
      </c>
      <c r="J2097" s="2" t="s">
        <v>17</v>
      </c>
      <c r="K2097" s="72">
        <v>43.16</v>
      </c>
      <c r="L2097" s="39"/>
      <c r="M2097" s="72">
        <f t="shared" si="130"/>
        <v>-43.16</v>
      </c>
      <c r="N2097" s="72">
        <f t="shared" si="131"/>
        <v>486391.24999999965</v>
      </c>
    </row>
    <row r="2098" spans="1:14" x14ac:dyDescent="0.2">
      <c r="A2098" s="73" t="s">
        <v>1380</v>
      </c>
      <c r="B2098" s="3">
        <f t="shared" si="128"/>
        <v>2025</v>
      </c>
      <c r="C2098" s="3">
        <f t="shared" si="129"/>
        <v>10</v>
      </c>
      <c r="D2098" s="73" t="s">
        <v>893</v>
      </c>
      <c r="E2098" s="2"/>
      <c r="F2098" s="2" t="s">
        <v>304</v>
      </c>
      <c r="G2098" s="2" t="s">
        <v>1008</v>
      </c>
      <c r="H2098" s="2" t="s">
        <v>1007</v>
      </c>
      <c r="I2098" s="1" t="s">
        <v>316</v>
      </c>
      <c r="J2098" s="2" t="s">
        <v>17</v>
      </c>
      <c r="K2098" s="72">
        <v>41.92</v>
      </c>
      <c r="L2098" s="39"/>
      <c r="M2098" s="72">
        <f t="shared" si="130"/>
        <v>-41.92</v>
      </c>
      <c r="N2098" s="72">
        <f t="shared" si="131"/>
        <v>486349.32999999967</v>
      </c>
    </row>
    <row r="2099" spans="1:14" x14ac:dyDescent="0.2">
      <c r="A2099" s="73" t="s">
        <v>1380</v>
      </c>
      <c r="B2099" s="3">
        <f t="shared" si="128"/>
        <v>2025</v>
      </c>
      <c r="C2099" s="3">
        <f t="shared" si="129"/>
        <v>10</v>
      </c>
      <c r="D2099" s="73" t="s">
        <v>893</v>
      </c>
      <c r="E2099" s="2"/>
      <c r="F2099" s="2" t="s">
        <v>304</v>
      </c>
      <c r="G2099" s="2" t="s">
        <v>1008</v>
      </c>
      <c r="H2099" s="2" t="s">
        <v>1007</v>
      </c>
      <c r="I2099" s="1" t="s">
        <v>316</v>
      </c>
      <c r="J2099" s="2" t="s">
        <v>17</v>
      </c>
      <c r="K2099" s="72">
        <v>41.45</v>
      </c>
      <c r="L2099" s="39"/>
      <c r="M2099" s="72">
        <f t="shared" si="130"/>
        <v>-41.45</v>
      </c>
      <c r="N2099" s="72">
        <f t="shared" si="131"/>
        <v>486307.87999999966</v>
      </c>
    </row>
    <row r="2100" spans="1:14" x14ac:dyDescent="0.2">
      <c r="A2100" s="73" t="s">
        <v>1380</v>
      </c>
      <c r="B2100" s="3">
        <f t="shared" si="128"/>
        <v>2025</v>
      </c>
      <c r="C2100" s="3">
        <f t="shared" si="129"/>
        <v>10</v>
      </c>
      <c r="D2100" s="73" t="s">
        <v>893</v>
      </c>
      <c r="E2100" s="2"/>
      <c r="F2100" s="2" t="s">
        <v>304</v>
      </c>
      <c r="G2100" s="2" t="s">
        <v>1008</v>
      </c>
      <c r="H2100" s="2" t="s">
        <v>1007</v>
      </c>
      <c r="I2100" s="1" t="s">
        <v>316</v>
      </c>
      <c r="J2100" s="2" t="s">
        <v>17</v>
      </c>
      <c r="K2100" s="72">
        <v>42.43</v>
      </c>
      <c r="L2100" s="39"/>
      <c r="M2100" s="72">
        <f t="shared" si="130"/>
        <v>-42.43</v>
      </c>
      <c r="N2100" s="72">
        <f t="shared" si="131"/>
        <v>486265.44999999966</v>
      </c>
    </row>
    <row r="2101" spans="1:14" x14ac:dyDescent="0.2">
      <c r="A2101" s="73" t="s">
        <v>1380</v>
      </c>
      <c r="B2101" s="3">
        <f t="shared" si="128"/>
        <v>2025</v>
      </c>
      <c r="C2101" s="3">
        <f t="shared" si="129"/>
        <v>10</v>
      </c>
      <c r="D2101" s="73" t="s">
        <v>300</v>
      </c>
      <c r="E2101" s="2"/>
      <c r="F2101" s="2" t="s">
        <v>325</v>
      </c>
      <c r="G2101" s="2" t="s">
        <v>693</v>
      </c>
      <c r="H2101" s="2" t="s">
        <v>323</v>
      </c>
      <c r="I2101" s="2" t="s">
        <v>316</v>
      </c>
      <c r="J2101" s="2" t="s">
        <v>22</v>
      </c>
      <c r="K2101" s="72">
        <v>63.35</v>
      </c>
      <c r="L2101" s="39"/>
      <c r="M2101" s="72">
        <f t="shared" si="130"/>
        <v>-63.35</v>
      </c>
      <c r="N2101" s="72">
        <f t="shared" si="131"/>
        <v>486202.09999999969</v>
      </c>
    </row>
    <row r="2102" spans="1:14" x14ac:dyDescent="0.2">
      <c r="A2102" s="73" t="s">
        <v>1380</v>
      </c>
      <c r="B2102" s="3">
        <f t="shared" si="128"/>
        <v>2025</v>
      </c>
      <c r="C2102" s="3">
        <f t="shared" si="129"/>
        <v>10</v>
      </c>
      <c r="D2102" s="73" t="s">
        <v>893</v>
      </c>
      <c r="E2102" s="2"/>
      <c r="F2102" s="2" t="s">
        <v>304</v>
      </c>
      <c r="G2102" s="2" t="s">
        <v>918</v>
      </c>
      <c r="H2102" s="2" t="s">
        <v>919</v>
      </c>
      <c r="I2102" s="2" t="s">
        <v>350</v>
      </c>
      <c r="J2102" s="1" t="s">
        <v>477</v>
      </c>
      <c r="K2102" s="72">
        <v>99</v>
      </c>
      <c r="L2102" s="39"/>
      <c r="M2102" s="72">
        <f t="shared" si="130"/>
        <v>-99</v>
      </c>
      <c r="N2102" s="72">
        <f t="shared" si="131"/>
        <v>486103.09999999969</v>
      </c>
    </row>
    <row r="2103" spans="1:14" x14ac:dyDescent="0.2">
      <c r="A2103" s="73" t="s">
        <v>1380</v>
      </c>
      <c r="B2103" s="3">
        <f t="shared" si="128"/>
        <v>2025</v>
      </c>
      <c r="C2103" s="3">
        <f t="shared" si="129"/>
        <v>10</v>
      </c>
      <c r="D2103" s="73" t="s">
        <v>893</v>
      </c>
      <c r="E2103" s="2"/>
      <c r="F2103" s="2" t="s">
        <v>304</v>
      </c>
      <c r="G2103" s="2" t="s">
        <v>935</v>
      </c>
      <c r="H2103" s="2" t="s">
        <v>933</v>
      </c>
      <c r="I2103" s="1" t="s">
        <v>316</v>
      </c>
      <c r="J2103" s="2" t="s">
        <v>17</v>
      </c>
      <c r="K2103" s="72">
        <v>24</v>
      </c>
      <c r="L2103" s="39"/>
      <c r="M2103" s="72">
        <f t="shared" si="130"/>
        <v>-24</v>
      </c>
      <c r="N2103" s="72">
        <f t="shared" si="131"/>
        <v>486079.09999999969</v>
      </c>
    </row>
    <row r="2104" spans="1:14" x14ac:dyDescent="0.2">
      <c r="A2104" s="73" t="s">
        <v>1380</v>
      </c>
      <c r="B2104" s="3">
        <f t="shared" si="128"/>
        <v>2025</v>
      </c>
      <c r="C2104" s="3">
        <f t="shared" si="129"/>
        <v>10</v>
      </c>
      <c r="D2104" s="73" t="s">
        <v>300</v>
      </c>
      <c r="E2104" s="2"/>
      <c r="F2104" s="2" t="s">
        <v>299</v>
      </c>
      <c r="G2104" s="2"/>
      <c r="H2104" s="2" t="s">
        <v>298</v>
      </c>
      <c r="I2104" s="2" t="s">
        <v>297</v>
      </c>
      <c r="J2104" s="2" t="s">
        <v>296</v>
      </c>
      <c r="K2104" s="72"/>
      <c r="L2104" s="39">
        <v>63.35</v>
      </c>
      <c r="M2104" s="72">
        <f t="shared" si="130"/>
        <v>63.35</v>
      </c>
      <c r="N2104" s="72">
        <f t="shared" si="131"/>
        <v>486142.44999999966</v>
      </c>
    </row>
    <row r="2105" spans="1:14" x14ac:dyDescent="0.2">
      <c r="A2105" s="73" t="s">
        <v>1381</v>
      </c>
      <c r="B2105" s="3">
        <f t="shared" si="128"/>
        <v>2025</v>
      </c>
      <c r="C2105" s="3">
        <f t="shared" si="129"/>
        <v>10</v>
      </c>
      <c r="D2105" s="73" t="s">
        <v>893</v>
      </c>
      <c r="E2105" s="2"/>
      <c r="F2105" s="2" t="s">
        <v>304</v>
      </c>
      <c r="G2105" s="2" t="s">
        <v>1008</v>
      </c>
      <c r="H2105" s="2" t="s">
        <v>1007</v>
      </c>
      <c r="I2105" s="1" t="s">
        <v>316</v>
      </c>
      <c r="J2105" s="2" t="s">
        <v>17</v>
      </c>
      <c r="K2105" s="72">
        <v>41.31</v>
      </c>
      <c r="L2105" s="39"/>
      <c r="M2105" s="72">
        <f t="shared" si="130"/>
        <v>-41.31</v>
      </c>
      <c r="N2105" s="72">
        <f t="shared" si="131"/>
        <v>486101.13999999966</v>
      </c>
    </row>
    <row r="2106" spans="1:14" x14ac:dyDescent="0.2">
      <c r="A2106" s="73" t="s">
        <v>1381</v>
      </c>
      <c r="B2106" s="3">
        <f t="shared" si="128"/>
        <v>2025</v>
      </c>
      <c r="C2106" s="3">
        <f t="shared" si="129"/>
        <v>10</v>
      </c>
      <c r="D2106" s="73" t="s">
        <v>893</v>
      </c>
      <c r="E2106" s="2"/>
      <c r="F2106" s="2" t="s">
        <v>304</v>
      </c>
      <c r="G2106" s="2" t="s">
        <v>1008</v>
      </c>
      <c r="H2106" s="2" t="s">
        <v>1007</v>
      </c>
      <c r="I2106" s="1" t="s">
        <v>316</v>
      </c>
      <c r="J2106" s="2" t="s">
        <v>17</v>
      </c>
      <c r="K2106" s="72">
        <v>31.14</v>
      </c>
      <c r="L2106" s="39"/>
      <c r="M2106" s="72">
        <f t="shared" si="130"/>
        <v>-31.14</v>
      </c>
      <c r="N2106" s="72">
        <f t="shared" si="131"/>
        <v>486069.99999999965</v>
      </c>
    </row>
    <row r="2107" spans="1:14" x14ac:dyDescent="0.2">
      <c r="A2107" s="73" t="s">
        <v>1381</v>
      </c>
      <c r="B2107" s="3">
        <f t="shared" si="128"/>
        <v>2025</v>
      </c>
      <c r="C2107" s="3">
        <f t="shared" si="129"/>
        <v>10</v>
      </c>
      <c r="D2107" s="73" t="s">
        <v>893</v>
      </c>
      <c r="E2107" s="2"/>
      <c r="F2107" s="2" t="s">
        <v>304</v>
      </c>
      <c r="G2107" s="2" t="s">
        <v>1008</v>
      </c>
      <c r="H2107" s="2" t="s">
        <v>1007</v>
      </c>
      <c r="I2107" s="1" t="s">
        <v>316</v>
      </c>
      <c r="J2107" s="2" t="s">
        <v>17</v>
      </c>
      <c r="K2107" s="72">
        <v>41.21</v>
      </c>
      <c r="L2107" s="39"/>
      <c r="M2107" s="72">
        <f t="shared" si="130"/>
        <v>-41.21</v>
      </c>
      <c r="N2107" s="72">
        <f t="shared" si="131"/>
        <v>486028.78999999963</v>
      </c>
    </row>
    <row r="2108" spans="1:14" x14ac:dyDescent="0.2">
      <c r="A2108" s="73" t="s">
        <v>1381</v>
      </c>
      <c r="B2108" s="3">
        <f t="shared" si="128"/>
        <v>2025</v>
      </c>
      <c r="C2108" s="3">
        <f t="shared" si="129"/>
        <v>10</v>
      </c>
      <c r="D2108" s="73" t="s">
        <v>893</v>
      </c>
      <c r="E2108" s="2"/>
      <c r="F2108" s="2" t="s">
        <v>304</v>
      </c>
      <c r="G2108" s="2" t="s">
        <v>900</v>
      </c>
      <c r="H2108" s="2" t="s">
        <v>1007</v>
      </c>
      <c r="I2108" s="1" t="s">
        <v>316</v>
      </c>
      <c r="J2108" s="2" t="s">
        <v>17</v>
      </c>
      <c r="K2108" s="72">
        <v>212</v>
      </c>
      <c r="L2108" s="39"/>
      <c r="M2108" s="72">
        <f t="shared" si="130"/>
        <v>-212</v>
      </c>
      <c r="N2108" s="72">
        <f t="shared" si="131"/>
        <v>485816.78999999963</v>
      </c>
    </row>
    <row r="2109" spans="1:14" x14ac:dyDescent="0.2">
      <c r="A2109" s="73" t="s">
        <v>1381</v>
      </c>
      <c r="B2109" s="3">
        <f t="shared" si="128"/>
        <v>2025</v>
      </c>
      <c r="C2109" s="3">
        <f t="shared" si="129"/>
        <v>10</v>
      </c>
      <c r="D2109" s="73" t="s">
        <v>300</v>
      </c>
      <c r="E2109" s="2"/>
      <c r="F2109" s="2" t="s">
        <v>304</v>
      </c>
      <c r="G2109" s="2" t="s">
        <v>303</v>
      </c>
      <c r="H2109" s="2" t="s">
        <v>302</v>
      </c>
      <c r="I2109" s="2" t="s">
        <v>301</v>
      </c>
      <c r="J2109" s="2" t="s">
        <v>11</v>
      </c>
      <c r="K2109" s="72">
        <v>146.88</v>
      </c>
      <c r="L2109" s="39"/>
      <c r="M2109" s="72">
        <f t="shared" si="130"/>
        <v>-146.88</v>
      </c>
      <c r="N2109" s="72">
        <f t="shared" si="131"/>
        <v>485669.90999999963</v>
      </c>
    </row>
    <row r="2110" spans="1:14" x14ac:dyDescent="0.2">
      <c r="A2110" s="73" t="s">
        <v>1381</v>
      </c>
      <c r="B2110" s="3">
        <f t="shared" si="128"/>
        <v>2025</v>
      </c>
      <c r="C2110" s="3">
        <f t="shared" si="129"/>
        <v>10</v>
      </c>
      <c r="D2110" s="73" t="s">
        <v>300</v>
      </c>
      <c r="E2110" s="2"/>
      <c r="F2110" s="2" t="s">
        <v>299</v>
      </c>
      <c r="G2110" s="2"/>
      <c r="H2110" s="2" t="s">
        <v>298</v>
      </c>
      <c r="I2110" s="2" t="s">
        <v>297</v>
      </c>
      <c r="J2110" s="2" t="s">
        <v>296</v>
      </c>
      <c r="K2110" s="72"/>
      <c r="L2110" s="39">
        <v>146.88</v>
      </c>
      <c r="M2110" s="72">
        <f t="shared" si="130"/>
        <v>146.88</v>
      </c>
      <c r="N2110" s="72">
        <f t="shared" si="131"/>
        <v>485816.78999999963</v>
      </c>
    </row>
    <row r="2111" spans="1:14" x14ac:dyDescent="0.2">
      <c r="A2111" s="73" t="s">
        <v>1403</v>
      </c>
      <c r="B2111" s="3">
        <f t="shared" si="128"/>
        <v>2025</v>
      </c>
      <c r="C2111" s="3">
        <f t="shared" si="129"/>
        <v>10</v>
      </c>
      <c r="D2111" s="73" t="s">
        <v>893</v>
      </c>
      <c r="E2111" s="2"/>
      <c r="F2111" s="2" t="s">
        <v>304</v>
      </c>
      <c r="G2111" s="2" t="s">
        <v>900</v>
      </c>
      <c r="H2111" s="2" t="s">
        <v>901</v>
      </c>
      <c r="I2111" s="1" t="s">
        <v>316</v>
      </c>
      <c r="J2111" s="2" t="s">
        <v>17</v>
      </c>
      <c r="K2111" s="72">
        <v>21.2</v>
      </c>
      <c r="L2111" s="39"/>
      <c r="M2111" s="72">
        <f t="shared" si="130"/>
        <v>-21.2</v>
      </c>
      <c r="N2111" s="72">
        <f t="shared" si="131"/>
        <v>485795.58999999962</v>
      </c>
    </row>
    <row r="2112" spans="1:14" x14ac:dyDescent="0.2">
      <c r="A2112" s="73" t="s">
        <v>1404</v>
      </c>
      <c r="B2112" s="3">
        <f t="shared" si="128"/>
        <v>2025</v>
      </c>
      <c r="C2112" s="3">
        <f t="shared" si="129"/>
        <v>10</v>
      </c>
      <c r="D2112" s="73" t="s">
        <v>893</v>
      </c>
      <c r="E2112" s="2"/>
      <c r="F2112" s="2" t="s">
        <v>304</v>
      </c>
      <c r="G2112" s="2" t="s">
        <v>1008</v>
      </c>
      <c r="H2112" s="2" t="s">
        <v>1007</v>
      </c>
      <c r="I2112" s="1" t="s">
        <v>316</v>
      </c>
      <c r="J2112" s="2" t="s">
        <v>17</v>
      </c>
      <c r="K2112" s="72">
        <v>31.32</v>
      </c>
      <c r="L2112" s="39"/>
      <c r="M2112" s="72">
        <f t="shared" si="130"/>
        <v>-31.32</v>
      </c>
      <c r="N2112" s="72">
        <f t="shared" si="131"/>
        <v>485764.26999999961</v>
      </c>
    </row>
    <row r="2113" spans="1:14" x14ac:dyDescent="0.2">
      <c r="A2113" s="73" t="s">
        <v>1404</v>
      </c>
      <c r="B2113" s="3">
        <f t="shared" si="128"/>
        <v>2025</v>
      </c>
      <c r="C2113" s="3">
        <f t="shared" si="129"/>
        <v>10</v>
      </c>
      <c r="D2113" s="73" t="s">
        <v>893</v>
      </c>
      <c r="E2113" s="2"/>
      <c r="F2113" s="2" t="s">
        <v>304</v>
      </c>
      <c r="G2113" s="2" t="s">
        <v>1009</v>
      </c>
      <c r="H2113" s="2" t="s">
        <v>1007</v>
      </c>
      <c r="I2113" s="1" t="s">
        <v>316</v>
      </c>
      <c r="J2113" s="2" t="s">
        <v>17</v>
      </c>
      <c r="K2113" s="72">
        <v>1126.0999999999999</v>
      </c>
      <c r="L2113" s="39"/>
      <c r="M2113" s="72">
        <f t="shared" si="130"/>
        <v>-1126.0999999999999</v>
      </c>
      <c r="N2113" s="72">
        <f t="shared" si="131"/>
        <v>484638.16999999963</v>
      </c>
    </row>
    <row r="2114" spans="1:14" x14ac:dyDescent="0.2">
      <c r="A2114" s="73" t="s">
        <v>1404</v>
      </c>
      <c r="B2114" s="3">
        <f t="shared" ref="B2114:B2177" si="132">YEAR(A2114)</f>
        <v>2025</v>
      </c>
      <c r="C2114" s="3">
        <f t="shared" ref="C2114:C2177" si="133">MONTH(A2114)</f>
        <v>10</v>
      </c>
      <c r="D2114" s="73" t="s">
        <v>893</v>
      </c>
      <c r="E2114" s="2"/>
      <c r="F2114" s="2" t="s">
        <v>304</v>
      </c>
      <c r="G2114" s="2" t="s">
        <v>1010</v>
      </c>
      <c r="H2114" s="2" t="s">
        <v>1007</v>
      </c>
      <c r="I2114" s="1" t="s">
        <v>316</v>
      </c>
      <c r="J2114" s="2" t="s">
        <v>17</v>
      </c>
      <c r="K2114" s="72">
        <v>34</v>
      </c>
      <c r="L2114" s="39"/>
      <c r="M2114" s="72">
        <f t="shared" ref="M2114:M2177" si="134">IF(ISBLANK(L2114),K2114*-1,L2114)</f>
        <v>-34</v>
      </c>
      <c r="N2114" s="72">
        <f t="shared" si="131"/>
        <v>484604.16999999963</v>
      </c>
    </row>
    <row r="2115" spans="1:14" x14ac:dyDescent="0.2">
      <c r="A2115" s="73" t="s">
        <v>1404</v>
      </c>
      <c r="B2115" s="3">
        <f t="shared" si="132"/>
        <v>2025</v>
      </c>
      <c r="C2115" s="3">
        <f t="shared" si="133"/>
        <v>10</v>
      </c>
      <c r="D2115" s="73" t="s">
        <v>893</v>
      </c>
      <c r="E2115" s="2"/>
      <c r="F2115" s="2" t="s">
        <v>304</v>
      </c>
      <c r="G2115" s="2" t="s">
        <v>900</v>
      </c>
      <c r="H2115" s="2" t="s">
        <v>1007</v>
      </c>
      <c r="I2115" s="1" t="s">
        <v>316</v>
      </c>
      <c r="J2115" s="2" t="s">
        <v>17</v>
      </c>
      <c r="K2115" s="72">
        <v>200</v>
      </c>
      <c r="L2115" s="39"/>
      <c r="M2115" s="72">
        <f t="shared" si="134"/>
        <v>-200</v>
      </c>
      <c r="N2115" s="72">
        <f t="shared" ref="N2115:N2178" si="135">+N2114+M2115</f>
        <v>484404.16999999963</v>
      </c>
    </row>
    <row r="2116" spans="1:14" x14ac:dyDescent="0.2">
      <c r="A2116" s="73" t="s">
        <v>1404</v>
      </c>
      <c r="B2116" s="3">
        <f t="shared" si="132"/>
        <v>2025</v>
      </c>
      <c r="C2116" s="3">
        <f t="shared" si="133"/>
        <v>10</v>
      </c>
      <c r="D2116" s="73" t="s">
        <v>893</v>
      </c>
      <c r="E2116" s="2"/>
      <c r="F2116" s="2" t="s">
        <v>304</v>
      </c>
      <c r="G2116" s="2" t="s">
        <v>983</v>
      </c>
      <c r="H2116" s="2" t="s">
        <v>984</v>
      </c>
      <c r="I2116" s="1" t="s">
        <v>316</v>
      </c>
      <c r="J2116" s="2" t="s">
        <v>17</v>
      </c>
      <c r="K2116" s="72">
        <v>29</v>
      </c>
      <c r="L2116" s="39"/>
      <c r="M2116" s="72">
        <f t="shared" si="134"/>
        <v>-29</v>
      </c>
      <c r="N2116" s="72">
        <f t="shared" si="135"/>
        <v>484375.16999999963</v>
      </c>
    </row>
    <row r="2117" spans="1:14" x14ac:dyDescent="0.2">
      <c r="A2117" s="73" t="s">
        <v>1405</v>
      </c>
      <c r="B2117" s="3">
        <f t="shared" si="132"/>
        <v>2025</v>
      </c>
      <c r="C2117" s="3">
        <f t="shared" si="133"/>
        <v>10</v>
      </c>
      <c r="D2117" s="73" t="s">
        <v>893</v>
      </c>
      <c r="E2117" s="2"/>
      <c r="F2117" s="2" t="s">
        <v>304</v>
      </c>
      <c r="G2117" s="2" t="s">
        <v>1008</v>
      </c>
      <c r="H2117" s="2" t="s">
        <v>1007</v>
      </c>
      <c r="I2117" s="1" t="s">
        <v>316</v>
      </c>
      <c r="J2117" s="2" t="s">
        <v>17</v>
      </c>
      <c r="K2117" s="72">
        <v>31.31</v>
      </c>
      <c r="L2117" s="39"/>
      <c r="M2117" s="72">
        <f t="shared" si="134"/>
        <v>-31.31</v>
      </c>
      <c r="N2117" s="72">
        <f t="shared" si="135"/>
        <v>484343.85999999964</v>
      </c>
    </row>
    <row r="2118" spans="1:14" x14ac:dyDescent="0.2">
      <c r="A2118" s="73" t="s">
        <v>1405</v>
      </c>
      <c r="B2118" s="3">
        <f t="shared" si="132"/>
        <v>2025</v>
      </c>
      <c r="C2118" s="3">
        <f t="shared" si="133"/>
        <v>10</v>
      </c>
      <c r="D2118" s="73" t="s">
        <v>893</v>
      </c>
      <c r="E2118" s="2"/>
      <c r="F2118" s="2" t="s">
        <v>304</v>
      </c>
      <c r="G2118" s="2" t="s">
        <v>1008</v>
      </c>
      <c r="H2118" s="2" t="s">
        <v>1007</v>
      </c>
      <c r="I2118" s="1" t="s">
        <v>316</v>
      </c>
      <c r="J2118" s="2" t="s">
        <v>17</v>
      </c>
      <c r="K2118" s="72">
        <v>32.01</v>
      </c>
      <c r="L2118" s="39"/>
      <c r="M2118" s="72">
        <f t="shared" si="134"/>
        <v>-32.01</v>
      </c>
      <c r="N2118" s="72">
        <f t="shared" si="135"/>
        <v>484311.84999999963</v>
      </c>
    </row>
    <row r="2119" spans="1:14" x14ac:dyDescent="0.2">
      <c r="A2119" s="73" t="s">
        <v>1405</v>
      </c>
      <c r="B2119" s="3">
        <f t="shared" si="132"/>
        <v>2025</v>
      </c>
      <c r="C2119" s="3">
        <f t="shared" si="133"/>
        <v>10</v>
      </c>
      <c r="D2119" s="73" t="s">
        <v>893</v>
      </c>
      <c r="E2119" s="2"/>
      <c r="F2119" s="2" t="s">
        <v>304</v>
      </c>
      <c r="G2119" s="2" t="s">
        <v>1008</v>
      </c>
      <c r="H2119" s="2" t="s">
        <v>1007</v>
      </c>
      <c r="I2119" s="1" t="s">
        <v>316</v>
      </c>
      <c r="J2119" s="2" t="s">
        <v>17</v>
      </c>
      <c r="K2119" s="72">
        <v>30.93</v>
      </c>
      <c r="L2119" s="39"/>
      <c r="M2119" s="72">
        <f t="shared" si="134"/>
        <v>-30.93</v>
      </c>
      <c r="N2119" s="72">
        <f t="shared" si="135"/>
        <v>484280.91999999963</v>
      </c>
    </row>
    <row r="2120" spans="1:14" x14ac:dyDescent="0.2">
      <c r="A2120" s="73" t="s">
        <v>1405</v>
      </c>
      <c r="B2120" s="3">
        <f t="shared" si="132"/>
        <v>2025</v>
      </c>
      <c r="C2120" s="3">
        <f t="shared" si="133"/>
        <v>10</v>
      </c>
      <c r="D2120" s="73" t="s">
        <v>893</v>
      </c>
      <c r="E2120" s="2"/>
      <c r="F2120" s="2" t="s">
        <v>304</v>
      </c>
      <c r="G2120" s="2" t="s">
        <v>963</v>
      </c>
      <c r="H2120" s="2" t="s">
        <v>1035</v>
      </c>
      <c r="I2120" s="2" t="s">
        <v>316</v>
      </c>
      <c r="J2120" s="2" t="s">
        <v>22</v>
      </c>
      <c r="K2120" s="72">
        <v>11.78</v>
      </c>
      <c r="L2120" s="39"/>
      <c r="M2120" s="72">
        <f t="shared" si="134"/>
        <v>-11.78</v>
      </c>
      <c r="N2120" s="72">
        <f t="shared" si="135"/>
        <v>484269.13999999961</v>
      </c>
    </row>
    <row r="2121" spans="1:14" x14ac:dyDescent="0.2">
      <c r="A2121" s="73" t="s">
        <v>1405</v>
      </c>
      <c r="B2121" s="3">
        <f t="shared" si="132"/>
        <v>2025</v>
      </c>
      <c r="C2121" s="3">
        <f t="shared" si="133"/>
        <v>10</v>
      </c>
      <c r="D2121" s="73" t="s">
        <v>893</v>
      </c>
      <c r="E2121" s="2"/>
      <c r="F2121" s="2" t="s">
        <v>304</v>
      </c>
      <c r="G2121" s="2" t="s">
        <v>1151</v>
      </c>
      <c r="H2121" s="2" t="s">
        <v>917</v>
      </c>
      <c r="I2121" s="1" t="s">
        <v>316</v>
      </c>
      <c r="J2121" s="2" t="s">
        <v>17</v>
      </c>
      <c r="K2121" s="72">
        <v>137.78</v>
      </c>
      <c r="L2121" s="39"/>
      <c r="M2121" s="72">
        <f t="shared" si="134"/>
        <v>-137.78</v>
      </c>
      <c r="N2121" s="72">
        <f t="shared" si="135"/>
        <v>484131.35999999958</v>
      </c>
    </row>
    <row r="2122" spans="1:14" x14ac:dyDescent="0.2">
      <c r="A2122" s="73" t="s">
        <v>1405</v>
      </c>
      <c r="B2122" s="3">
        <f t="shared" si="132"/>
        <v>2025</v>
      </c>
      <c r="C2122" s="3">
        <f t="shared" si="133"/>
        <v>10</v>
      </c>
      <c r="D2122" s="73" t="s">
        <v>893</v>
      </c>
      <c r="E2122" s="2"/>
      <c r="F2122" s="2" t="s">
        <v>304</v>
      </c>
      <c r="G2122" s="2" t="s">
        <v>1420</v>
      </c>
      <c r="H2122" s="2" t="s">
        <v>1001</v>
      </c>
      <c r="I2122" s="2" t="s">
        <v>316</v>
      </c>
      <c r="J2122" s="2" t="s">
        <v>22</v>
      </c>
      <c r="K2122" s="72">
        <v>14.17</v>
      </c>
      <c r="L2122" s="39"/>
      <c r="M2122" s="72">
        <f t="shared" si="134"/>
        <v>-14.17</v>
      </c>
      <c r="N2122" s="72">
        <f t="shared" si="135"/>
        <v>484117.18999999959</v>
      </c>
    </row>
    <row r="2123" spans="1:14" x14ac:dyDescent="0.2">
      <c r="A2123" s="73" t="s">
        <v>1405</v>
      </c>
      <c r="B2123" s="3">
        <f t="shared" si="132"/>
        <v>2025</v>
      </c>
      <c r="C2123" s="3">
        <f t="shared" si="133"/>
        <v>10</v>
      </c>
      <c r="D2123" s="73" t="s">
        <v>893</v>
      </c>
      <c r="E2123" s="2"/>
      <c r="F2123" s="2" t="s">
        <v>304</v>
      </c>
      <c r="G2123" s="2" t="s">
        <v>1315</v>
      </c>
      <c r="H2123" s="2" t="s">
        <v>992</v>
      </c>
      <c r="I2123" s="2" t="s">
        <v>316</v>
      </c>
      <c r="J2123" s="2" t="s">
        <v>22</v>
      </c>
      <c r="K2123" s="72">
        <v>75</v>
      </c>
      <c r="L2123" s="39"/>
      <c r="M2123" s="72">
        <f t="shared" si="134"/>
        <v>-75</v>
      </c>
      <c r="N2123" s="72">
        <f t="shared" si="135"/>
        <v>484042.18999999959</v>
      </c>
    </row>
    <row r="2124" spans="1:14" x14ac:dyDescent="0.2">
      <c r="A2124" s="73" t="s">
        <v>1405</v>
      </c>
      <c r="B2124" s="3">
        <f t="shared" si="132"/>
        <v>2025</v>
      </c>
      <c r="C2124" s="3">
        <f t="shared" si="133"/>
        <v>10</v>
      </c>
      <c r="D2124" s="73" t="s">
        <v>893</v>
      </c>
      <c r="E2124" s="2"/>
      <c r="F2124" s="2" t="s">
        <v>304</v>
      </c>
      <c r="G2124" s="2" t="s">
        <v>1421</v>
      </c>
      <c r="H2124" s="2" t="s">
        <v>927</v>
      </c>
      <c r="I2124" s="2" t="s">
        <v>316</v>
      </c>
      <c r="J2124" s="2" t="s">
        <v>22</v>
      </c>
      <c r="K2124" s="72">
        <v>54.91</v>
      </c>
      <c r="L2124" s="39"/>
      <c r="M2124" s="72">
        <f t="shared" si="134"/>
        <v>-54.91</v>
      </c>
      <c r="N2124" s="72">
        <f t="shared" si="135"/>
        <v>483987.27999999962</v>
      </c>
    </row>
    <row r="2125" spans="1:14" x14ac:dyDescent="0.2">
      <c r="A2125" s="73" t="s">
        <v>1405</v>
      </c>
      <c r="B2125" s="3">
        <f t="shared" si="132"/>
        <v>2025</v>
      </c>
      <c r="C2125" s="3">
        <f t="shared" si="133"/>
        <v>10</v>
      </c>
      <c r="D2125" s="73" t="s">
        <v>893</v>
      </c>
      <c r="E2125" s="2"/>
      <c r="F2125" s="2" t="s">
        <v>304</v>
      </c>
      <c r="G2125" s="2" t="s">
        <v>1422</v>
      </c>
      <c r="H2125" s="2" t="s">
        <v>956</v>
      </c>
      <c r="I2125" s="2" t="s">
        <v>316</v>
      </c>
      <c r="J2125" s="2" t="s">
        <v>22</v>
      </c>
      <c r="K2125" s="72">
        <v>62.13</v>
      </c>
      <c r="L2125" s="39"/>
      <c r="M2125" s="72">
        <f t="shared" si="134"/>
        <v>-62.13</v>
      </c>
      <c r="N2125" s="72">
        <f t="shared" si="135"/>
        <v>483925.14999999962</v>
      </c>
    </row>
    <row r="2126" spans="1:14" x14ac:dyDescent="0.2">
      <c r="A2126" s="73" t="s">
        <v>1405</v>
      </c>
      <c r="B2126" s="3">
        <f t="shared" si="132"/>
        <v>2025</v>
      </c>
      <c r="C2126" s="3">
        <f t="shared" si="133"/>
        <v>10</v>
      </c>
      <c r="D2126" s="73" t="s">
        <v>893</v>
      </c>
      <c r="E2126" s="2"/>
      <c r="F2126" s="2" t="s">
        <v>304</v>
      </c>
      <c r="G2126" s="2" t="s">
        <v>995</v>
      </c>
      <c r="H2126" s="2" t="s">
        <v>992</v>
      </c>
      <c r="I2126" s="2" t="s">
        <v>316</v>
      </c>
      <c r="J2126" s="2" t="s">
        <v>22</v>
      </c>
      <c r="K2126" s="72">
        <v>71.67</v>
      </c>
      <c r="L2126" s="39"/>
      <c r="M2126" s="72">
        <f t="shared" si="134"/>
        <v>-71.67</v>
      </c>
      <c r="N2126" s="72">
        <f t="shared" si="135"/>
        <v>483853.47999999963</v>
      </c>
    </row>
    <row r="2127" spans="1:14" x14ac:dyDescent="0.2">
      <c r="A2127" s="73" t="s">
        <v>1405</v>
      </c>
      <c r="B2127" s="3">
        <f t="shared" si="132"/>
        <v>2025</v>
      </c>
      <c r="C2127" s="3">
        <f t="shared" si="133"/>
        <v>10</v>
      </c>
      <c r="D2127" s="73" t="s">
        <v>893</v>
      </c>
      <c r="E2127" s="2"/>
      <c r="F2127" s="2" t="s">
        <v>304</v>
      </c>
      <c r="G2127" s="2" t="s">
        <v>913</v>
      </c>
      <c r="H2127" s="2" t="s">
        <v>937</v>
      </c>
      <c r="I2127" s="2" t="s">
        <v>316</v>
      </c>
      <c r="J2127" s="2" t="s">
        <v>22</v>
      </c>
      <c r="K2127" s="72">
        <v>67.16</v>
      </c>
      <c r="L2127" s="39"/>
      <c r="M2127" s="72">
        <f t="shared" si="134"/>
        <v>-67.16</v>
      </c>
      <c r="N2127" s="72">
        <f t="shared" si="135"/>
        <v>483786.31999999966</v>
      </c>
    </row>
    <row r="2128" spans="1:14" x14ac:dyDescent="0.2">
      <c r="A2128" s="73" t="s">
        <v>1405</v>
      </c>
      <c r="B2128" s="3">
        <f t="shared" si="132"/>
        <v>2025</v>
      </c>
      <c r="C2128" s="3">
        <f t="shared" si="133"/>
        <v>10</v>
      </c>
      <c r="D2128" s="73" t="s">
        <v>893</v>
      </c>
      <c r="E2128" s="2"/>
      <c r="F2128" s="2" t="s">
        <v>304</v>
      </c>
      <c r="G2128" s="2" t="s">
        <v>913</v>
      </c>
      <c r="H2128" s="2" t="s">
        <v>884</v>
      </c>
      <c r="I2128" s="2" t="s">
        <v>316</v>
      </c>
      <c r="J2128" s="2" t="s">
        <v>22</v>
      </c>
      <c r="K2128" s="72">
        <v>122.75</v>
      </c>
      <c r="L2128" s="39"/>
      <c r="M2128" s="72">
        <f t="shared" si="134"/>
        <v>-122.75</v>
      </c>
      <c r="N2128" s="72">
        <f t="shared" si="135"/>
        <v>483663.56999999966</v>
      </c>
    </row>
    <row r="2129" spans="1:14" x14ac:dyDescent="0.2">
      <c r="A2129" s="73" t="s">
        <v>1405</v>
      </c>
      <c r="B2129" s="3">
        <f t="shared" si="132"/>
        <v>2025</v>
      </c>
      <c r="C2129" s="3">
        <f t="shared" si="133"/>
        <v>10</v>
      </c>
      <c r="D2129" s="73" t="s">
        <v>893</v>
      </c>
      <c r="E2129" s="2"/>
      <c r="F2129" s="2" t="s">
        <v>304</v>
      </c>
      <c r="G2129" s="2" t="s">
        <v>913</v>
      </c>
      <c r="H2129" s="2" t="s">
        <v>923</v>
      </c>
      <c r="I2129" s="2" t="s">
        <v>316</v>
      </c>
      <c r="J2129" s="2" t="s">
        <v>22</v>
      </c>
      <c r="K2129" s="72">
        <v>41.83</v>
      </c>
      <c r="L2129" s="39"/>
      <c r="M2129" s="72">
        <f t="shared" si="134"/>
        <v>-41.83</v>
      </c>
      <c r="N2129" s="72">
        <f t="shared" si="135"/>
        <v>483621.73999999964</v>
      </c>
    </row>
    <row r="2130" spans="1:14" x14ac:dyDescent="0.2">
      <c r="A2130" s="73" t="s">
        <v>1405</v>
      </c>
      <c r="B2130" s="3">
        <f t="shared" si="132"/>
        <v>2025</v>
      </c>
      <c r="C2130" s="3">
        <f t="shared" si="133"/>
        <v>10</v>
      </c>
      <c r="D2130" s="73" t="s">
        <v>893</v>
      </c>
      <c r="E2130" s="2"/>
      <c r="F2130" s="2" t="s">
        <v>304</v>
      </c>
      <c r="G2130" s="2" t="s">
        <v>1423</v>
      </c>
      <c r="H2130" s="2" t="s">
        <v>884</v>
      </c>
      <c r="I2130" s="2" t="s">
        <v>316</v>
      </c>
      <c r="J2130" s="2" t="s">
        <v>22</v>
      </c>
      <c r="K2130" s="72">
        <v>8</v>
      </c>
      <c r="L2130" s="39"/>
      <c r="M2130" s="72">
        <f t="shared" si="134"/>
        <v>-8</v>
      </c>
      <c r="N2130" s="72">
        <f t="shared" si="135"/>
        <v>483613.73999999964</v>
      </c>
    </row>
    <row r="2131" spans="1:14" x14ac:dyDescent="0.2">
      <c r="A2131" s="73" t="s">
        <v>1405</v>
      </c>
      <c r="B2131" s="3">
        <f t="shared" si="132"/>
        <v>2025</v>
      </c>
      <c r="C2131" s="3">
        <f t="shared" si="133"/>
        <v>10</v>
      </c>
      <c r="D2131" s="73" t="s">
        <v>893</v>
      </c>
      <c r="E2131" s="2"/>
      <c r="F2131" s="2" t="s">
        <v>304</v>
      </c>
      <c r="G2131" s="2" t="s">
        <v>1423</v>
      </c>
      <c r="H2131" s="2" t="s">
        <v>884</v>
      </c>
      <c r="I2131" s="2" t="s">
        <v>316</v>
      </c>
      <c r="J2131" s="2" t="s">
        <v>22</v>
      </c>
      <c r="K2131" s="72">
        <v>8</v>
      </c>
      <c r="L2131" s="39"/>
      <c r="M2131" s="72">
        <f t="shared" si="134"/>
        <v>-8</v>
      </c>
      <c r="N2131" s="72">
        <f t="shared" si="135"/>
        <v>483605.73999999964</v>
      </c>
    </row>
    <row r="2132" spans="1:14" x14ac:dyDescent="0.2">
      <c r="A2132" s="73" t="s">
        <v>1382</v>
      </c>
      <c r="B2132" s="3">
        <f t="shared" si="132"/>
        <v>2025</v>
      </c>
      <c r="C2132" s="3">
        <f t="shared" si="133"/>
        <v>10</v>
      </c>
      <c r="D2132" s="73" t="s">
        <v>893</v>
      </c>
      <c r="E2132" s="2"/>
      <c r="F2132" s="2" t="s">
        <v>304</v>
      </c>
      <c r="G2132" s="2" t="s">
        <v>1008</v>
      </c>
      <c r="H2132" s="2" t="s">
        <v>1007</v>
      </c>
      <c r="I2132" s="1" t="s">
        <v>316</v>
      </c>
      <c r="J2132" s="2" t="s">
        <v>17</v>
      </c>
      <c r="K2132" s="72">
        <v>30.93</v>
      </c>
      <c r="L2132" s="39"/>
      <c r="M2132" s="72">
        <f t="shared" si="134"/>
        <v>-30.93</v>
      </c>
      <c r="N2132" s="72">
        <f t="shared" si="135"/>
        <v>483574.80999999965</v>
      </c>
    </row>
    <row r="2133" spans="1:14" x14ac:dyDescent="0.2">
      <c r="A2133" s="73" t="s">
        <v>1382</v>
      </c>
      <c r="B2133" s="3">
        <f t="shared" si="132"/>
        <v>2025</v>
      </c>
      <c r="C2133" s="3">
        <f t="shared" si="133"/>
        <v>10</v>
      </c>
      <c r="D2133" s="73" t="s">
        <v>893</v>
      </c>
      <c r="E2133" s="2"/>
      <c r="F2133" s="2" t="s">
        <v>304</v>
      </c>
      <c r="G2133" s="2" t="s">
        <v>1008</v>
      </c>
      <c r="H2133" s="2" t="s">
        <v>1007</v>
      </c>
      <c r="I2133" s="1" t="s">
        <v>316</v>
      </c>
      <c r="J2133" s="2" t="s">
        <v>17</v>
      </c>
      <c r="K2133" s="72">
        <v>41.21</v>
      </c>
      <c r="L2133" s="39"/>
      <c r="M2133" s="72">
        <f t="shared" si="134"/>
        <v>-41.21</v>
      </c>
      <c r="N2133" s="72">
        <f t="shared" si="135"/>
        <v>483533.59999999963</v>
      </c>
    </row>
    <row r="2134" spans="1:14" x14ac:dyDescent="0.2">
      <c r="A2134" s="73" t="s">
        <v>1382</v>
      </c>
      <c r="B2134" s="3">
        <f t="shared" si="132"/>
        <v>2025</v>
      </c>
      <c r="C2134" s="3">
        <f t="shared" si="133"/>
        <v>10</v>
      </c>
      <c r="D2134" s="73" t="s">
        <v>893</v>
      </c>
      <c r="E2134" s="2"/>
      <c r="F2134" s="2" t="s">
        <v>304</v>
      </c>
      <c r="G2134" s="2" t="s">
        <v>1008</v>
      </c>
      <c r="H2134" s="2" t="s">
        <v>1007</v>
      </c>
      <c r="I2134" s="1" t="s">
        <v>316</v>
      </c>
      <c r="J2134" s="2" t="s">
        <v>17</v>
      </c>
      <c r="K2134" s="72">
        <v>31.06</v>
      </c>
      <c r="L2134" s="39"/>
      <c r="M2134" s="72">
        <f t="shared" si="134"/>
        <v>-31.06</v>
      </c>
      <c r="N2134" s="72">
        <f t="shared" si="135"/>
        <v>483502.53999999963</v>
      </c>
    </row>
    <row r="2135" spans="1:14" x14ac:dyDescent="0.2">
      <c r="A2135" s="73" t="s">
        <v>1382</v>
      </c>
      <c r="B2135" s="3">
        <f t="shared" si="132"/>
        <v>2025</v>
      </c>
      <c r="C2135" s="3">
        <f t="shared" si="133"/>
        <v>10</v>
      </c>
      <c r="D2135" s="73" t="s">
        <v>893</v>
      </c>
      <c r="E2135" s="2"/>
      <c r="F2135" s="2" t="s">
        <v>304</v>
      </c>
      <c r="G2135" s="2" t="s">
        <v>1008</v>
      </c>
      <c r="H2135" s="2" t="s">
        <v>1007</v>
      </c>
      <c r="I2135" s="1" t="s">
        <v>316</v>
      </c>
      <c r="J2135" s="2" t="s">
        <v>17</v>
      </c>
      <c r="K2135" s="72">
        <v>30.91</v>
      </c>
      <c r="L2135" s="39"/>
      <c r="M2135" s="72">
        <f t="shared" si="134"/>
        <v>-30.91</v>
      </c>
      <c r="N2135" s="72">
        <f t="shared" si="135"/>
        <v>483471.62999999966</v>
      </c>
    </row>
    <row r="2136" spans="1:14" x14ac:dyDescent="0.2">
      <c r="A2136" s="73" t="s">
        <v>1382</v>
      </c>
      <c r="B2136" s="3">
        <f t="shared" si="132"/>
        <v>2025</v>
      </c>
      <c r="C2136" s="3">
        <f t="shared" si="133"/>
        <v>10</v>
      </c>
      <c r="D2136" s="73" t="s">
        <v>300</v>
      </c>
      <c r="E2136" s="2"/>
      <c r="F2136" s="2" t="s">
        <v>304</v>
      </c>
      <c r="G2136" s="2" t="s">
        <v>336</v>
      </c>
      <c r="H2136" s="2" t="s">
        <v>766</v>
      </c>
      <c r="I2136" s="2" t="s">
        <v>301</v>
      </c>
      <c r="J2136" s="2" t="s">
        <v>11</v>
      </c>
      <c r="K2136" s="72">
        <v>26.42</v>
      </c>
      <c r="L2136" s="39"/>
      <c r="M2136" s="72">
        <f t="shared" si="134"/>
        <v>-26.42</v>
      </c>
      <c r="N2136" s="72">
        <f t="shared" si="135"/>
        <v>483445.20999999967</v>
      </c>
    </row>
    <row r="2137" spans="1:14" x14ac:dyDescent="0.2">
      <c r="A2137" s="73" t="s">
        <v>1382</v>
      </c>
      <c r="B2137" s="3">
        <f t="shared" si="132"/>
        <v>2025</v>
      </c>
      <c r="C2137" s="3">
        <f t="shared" si="133"/>
        <v>10</v>
      </c>
      <c r="D2137" s="73" t="s">
        <v>893</v>
      </c>
      <c r="E2137" s="2"/>
      <c r="F2137" s="2" t="s">
        <v>304</v>
      </c>
      <c r="G2137" s="2" t="s">
        <v>1424</v>
      </c>
      <c r="H2137" s="2" t="s">
        <v>956</v>
      </c>
      <c r="I2137" s="2" t="s">
        <v>316</v>
      </c>
      <c r="J2137" s="2" t="s">
        <v>22</v>
      </c>
      <c r="K2137" s="72">
        <v>62.57</v>
      </c>
      <c r="L2137" s="39"/>
      <c r="M2137" s="72">
        <f t="shared" si="134"/>
        <v>-62.57</v>
      </c>
      <c r="N2137" s="72">
        <f t="shared" si="135"/>
        <v>483382.63999999966</v>
      </c>
    </row>
    <row r="2138" spans="1:14" x14ac:dyDescent="0.2">
      <c r="A2138" s="73" t="s">
        <v>1382</v>
      </c>
      <c r="B2138" s="3">
        <f t="shared" si="132"/>
        <v>2025</v>
      </c>
      <c r="C2138" s="3">
        <f t="shared" si="133"/>
        <v>10</v>
      </c>
      <c r="D2138" s="73" t="s">
        <v>893</v>
      </c>
      <c r="E2138" s="2"/>
      <c r="F2138" s="2" t="s">
        <v>304</v>
      </c>
      <c r="G2138" s="2" t="s">
        <v>1425</v>
      </c>
      <c r="H2138" s="2" t="s">
        <v>1001</v>
      </c>
      <c r="I2138" s="2" t="s">
        <v>316</v>
      </c>
      <c r="J2138" s="2" t="s">
        <v>22</v>
      </c>
      <c r="K2138" s="72">
        <v>43.12</v>
      </c>
      <c r="L2138" s="39"/>
      <c r="M2138" s="72">
        <f t="shared" si="134"/>
        <v>-43.12</v>
      </c>
      <c r="N2138" s="72">
        <f t="shared" si="135"/>
        <v>483339.51999999967</v>
      </c>
    </row>
    <row r="2139" spans="1:14" x14ac:dyDescent="0.2">
      <c r="A2139" s="73" t="s">
        <v>1382</v>
      </c>
      <c r="B2139" s="3">
        <f t="shared" si="132"/>
        <v>2025</v>
      </c>
      <c r="C2139" s="3">
        <f t="shared" si="133"/>
        <v>10</v>
      </c>
      <c r="D2139" s="73" t="s">
        <v>893</v>
      </c>
      <c r="E2139" s="2"/>
      <c r="F2139" s="2" t="s">
        <v>304</v>
      </c>
      <c r="G2139" s="2" t="s">
        <v>1426</v>
      </c>
      <c r="H2139" s="2" t="s">
        <v>1035</v>
      </c>
      <c r="I2139" s="2" t="s">
        <v>316</v>
      </c>
      <c r="J2139" s="2" t="s">
        <v>22</v>
      </c>
      <c r="K2139" s="72">
        <v>81.53</v>
      </c>
      <c r="L2139" s="39"/>
      <c r="M2139" s="72">
        <f t="shared" si="134"/>
        <v>-81.53</v>
      </c>
      <c r="N2139" s="72">
        <f t="shared" si="135"/>
        <v>483257.98999999964</v>
      </c>
    </row>
    <row r="2140" spans="1:14" x14ac:dyDescent="0.2">
      <c r="A2140" s="73" t="s">
        <v>1382</v>
      </c>
      <c r="B2140" s="3">
        <f t="shared" si="132"/>
        <v>2025</v>
      </c>
      <c r="C2140" s="3">
        <f t="shared" si="133"/>
        <v>10</v>
      </c>
      <c r="D2140" s="73" t="s">
        <v>893</v>
      </c>
      <c r="E2140" s="2"/>
      <c r="F2140" s="2" t="s">
        <v>304</v>
      </c>
      <c r="G2140" s="2" t="s">
        <v>1422</v>
      </c>
      <c r="H2140" s="2" t="s">
        <v>956</v>
      </c>
      <c r="I2140" s="2" t="s">
        <v>316</v>
      </c>
      <c r="J2140" s="2" t="s">
        <v>22</v>
      </c>
      <c r="K2140" s="72">
        <v>18.73</v>
      </c>
      <c r="L2140" s="39"/>
      <c r="M2140" s="72">
        <f t="shared" si="134"/>
        <v>-18.73</v>
      </c>
      <c r="N2140" s="72">
        <f t="shared" si="135"/>
        <v>483239.25999999966</v>
      </c>
    </row>
    <row r="2141" spans="1:14" x14ac:dyDescent="0.2">
      <c r="A2141" s="73" t="s">
        <v>1382</v>
      </c>
      <c r="B2141" s="3">
        <f t="shared" si="132"/>
        <v>2025</v>
      </c>
      <c r="C2141" s="3">
        <f t="shared" si="133"/>
        <v>10</v>
      </c>
      <c r="D2141" s="73" t="s">
        <v>893</v>
      </c>
      <c r="E2141" s="2"/>
      <c r="F2141" s="2" t="s">
        <v>304</v>
      </c>
      <c r="G2141" s="2" t="s">
        <v>995</v>
      </c>
      <c r="H2141" s="2" t="s">
        <v>992</v>
      </c>
      <c r="I2141" s="2" t="s">
        <v>316</v>
      </c>
      <c r="J2141" s="2" t="s">
        <v>22</v>
      </c>
      <c r="K2141" s="72">
        <v>19.88</v>
      </c>
      <c r="L2141" s="39"/>
      <c r="M2141" s="72">
        <f t="shared" si="134"/>
        <v>-19.88</v>
      </c>
      <c r="N2141" s="72">
        <f t="shared" si="135"/>
        <v>483219.37999999966</v>
      </c>
    </row>
    <row r="2142" spans="1:14" x14ac:dyDescent="0.2">
      <c r="A2142" s="73" t="s">
        <v>1382</v>
      </c>
      <c r="B2142" s="3">
        <f t="shared" si="132"/>
        <v>2025</v>
      </c>
      <c r="C2142" s="3">
        <f t="shared" si="133"/>
        <v>10</v>
      </c>
      <c r="D2142" s="73" t="s">
        <v>893</v>
      </c>
      <c r="E2142" s="2"/>
      <c r="F2142" s="2" t="s">
        <v>304</v>
      </c>
      <c r="G2142" s="2" t="s">
        <v>1427</v>
      </c>
      <c r="H2142" s="2" t="s">
        <v>1035</v>
      </c>
      <c r="I2142" s="2" t="s">
        <v>316</v>
      </c>
      <c r="J2142" s="2" t="s">
        <v>22</v>
      </c>
      <c r="K2142" s="72">
        <v>56.79</v>
      </c>
      <c r="L2142" s="39"/>
      <c r="M2142" s="72">
        <f t="shared" si="134"/>
        <v>-56.79</v>
      </c>
      <c r="N2142" s="72">
        <f t="shared" si="135"/>
        <v>483162.58999999968</v>
      </c>
    </row>
    <row r="2143" spans="1:14" x14ac:dyDescent="0.2">
      <c r="A2143" s="73" t="s">
        <v>1382</v>
      </c>
      <c r="B2143" s="3">
        <f t="shared" si="132"/>
        <v>2025</v>
      </c>
      <c r="C2143" s="3">
        <f t="shared" si="133"/>
        <v>10</v>
      </c>
      <c r="D2143" s="73" t="s">
        <v>300</v>
      </c>
      <c r="E2143" s="2"/>
      <c r="F2143" s="2" t="s">
        <v>304</v>
      </c>
      <c r="G2143" s="2" t="s">
        <v>306</v>
      </c>
      <c r="H2143" s="2" t="s">
        <v>516</v>
      </c>
      <c r="I2143" s="2" t="s">
        <v>301</v>
      </c>
      <c r="J2143" s="2" t="s">
        <v>11</v>
      </c>
      <c r="K2143" s="72">
        <v>999.5</v>
      </c>
      <c r="L2143" s="39"/>
      <c r="M2143" s="72">
        <f t="shared" si="134"/>
        <v>-999.5</v>
      </c>
      <c r="N2143" s="72">
        <f t="shared" si="135"/>
        <v>482163.08999999968</v>
      </c>
    </row>
    <row r="2144" spans="1:14" x14ac:dyDescent="0.2">
      <c r="A2144" s="73" t="s">
        <v>1382</v>
      </c>
      <c r="B2144" s="3">
        <f t="shared" si="132"/>
        <v>2025</v>
      </c>
      <c r="C2144" s="3">
        <f t="shared" si="133"/>
        <v>10</v>
      </c>
      <c r="D2144" s="73" t="s">
        <v>300</v>
      </c>
      <c r="E2144" s="2"/>
      <c r="F2144" s="2" t="s">
        <v>304</v>
      </c>
      <c r="G2144" s="2" t="s">
        <v>306</v>
      </c>
      <c r="H2144" s="2" t="s">
        <v>516</v>
      </c>
      <c r="I2144" s="2" t="s">
        <v>301</v>
      </c>
      <c r="J2144" s="2" t="s">
        <v>20</v>
      </c>
      <c r="K2144" s="72">
        <v>35498.07</v>
      </c>
      <c r="L2144" s="39"/>
      <c r="M2144" s="72">
        <f t="shared" si="134"/>
        <v>-35498.07</v>
      </c>
      <c r="N2144" s="72">
        <f t="shared" si="135"/>
        <v>446665.01999999967</v>
      </c>
    </row>
    <row r="2145" spans="1:14" x14ac:dyDescent="0.2">
      <c r="A2145" s="73" t="s">
        <v>1382</v>
      </c>
      <c r="B2145" s="3">
        <f t="shared" si="132"/>
        <v>2025</v>
      </c>
      <c r="C2145" s="3">
        <f t="shared" si="133"/>
        <v>10</v>
      </c>
      <c r="D2145" s="73" t="s">
        <v>300</v>
      </c>
      <c r="E2145" s="2"/>
      <c r="F2145" s="2" t="s">
        <v>304</v>
      </c>
      <c r="G2145" s="2" t="s">
        <v>306</v>
      </c>
      <c r="H2145" s="2" t="s">
        <v>516</v>
      </c>
      <c r="I2145" s="2" t="s">
        <v>301</v>
      </c>
      <c r="J2145" s="2" t="s">
        <v>24</v>
      </c>
      <c r="K2145" s="72">
        <v>74834.14</v>
      </c>
      <c r="L2145" s="39"/>
      <c r="M2145" s="72">
        <f t="shared" si="134"/>
        <v>-74834.14</v>
      </c>
      <c r="N2145" s="72">
        <f t="shared" si="135"/>
        <v>371830.87999999966</v>
      </c>
    </row>
    <row r="2146" spans="1:14" x14ac:dyDescent="0.2">
      <c r="A2146" s="73" t="s">
        <v>1382</v>
      </c>
      <c r="B2146" s="3">
        <f t="shared" si="132"/>
        <v>2025</v>
      </c>
      <c r="C2146" s="3">
        <f t="shared" si="133"/>
        <v>10</v>
      </c>
      <c r="D2146" s="73" t="s">
        <v>893</v>
      </c>
      <c r="E2146" s="2"/>
      <c r="F2146" s="2" t="s">
        <v>304</v>
      </c>
      <c r="G2146" s="2" t="s">
        <v>908</v>
      </c>
      <c r="H2146" s="2" t="s">
        <v>1007</v>
      </c>
      <c r="I2146" s="1" t="s">
        <v>316</v>
      </c>
      <c r="J2146" s="2" t="s">
        <v>17</v>
      </c>
      <c r="K2146" s="72">
        <v>212</v>
      </c>
      <c r="L2146" s="39"/>
      <c r="M2146" s="72">
        <f t="shared" si="134"/>
        <v>-212</v>
      </c>
      <c r="N2146" s="72">
        <f t="shared" si="135"/>
        <v>371618.87999999966</v>
      </c>
    </row>
    <row r="2147" spans="1:14" x14ac:dyDescent="0.2">
      <c r="A2147" s="73" t="s">
        <v>1382</v>
      </c>
      <c r="B2147" s="3">
        <f t="shared" si="132"/>
        <v>2025</v>
      </c>
      <c r="C2147" s="3">
        <f t="shared" si="133"/>
        <v>10</v>
      </c>
      <c r="D2147" s="73" t="s">
        <v>300</v>
      </c>
      <c r="E2147" s="2"/>
      <c r="F2147" s="2" t="s">
        <v>314</v>
      </c>
      <c r="G2147" s="2" t="s">
        <v>728</v>
      </c>
      <c r="H2147" s="2" t="s">
        <v>836</v>
      </c>
      <c r="I2147" s="2" t="s">
        <v>312</v>
      </c>
      <c r="J2147" s="2" t="s">
        <v>840</v>
      </c>
      <c r="K2147" s="72">
        <v>14753.96</v>
      </c>
      <c r="L2147" s="39"/>
      <c r="M2147" s="72">
        <f t="shared" si="134"/>
        <v>-14753.96</v>
      </c>
      <c r="N2147" s="72">
        <f t="shared" si="135"/>
        <v>356864.91999999963</v>
      </c>
    </row>
    <row r="2148" spans="1:14" x14ac:dyDescent="0.2">
      <c r="A2148" s="73" t="s">
        <v>1382</v>
      </c>
      <c r="B2148" s="3">
        <f t="shared" si="132"/>
        <v>2025</v>
      </c>
      <c r="C2148" s="3">
        <f t="shared" si="133"/>
        <v>10</v>
      </c>
      <c r="D2148" s="73" t="s">
        <v>893</v>
      </c>
      <c r="E2148" s="2"/>
      <c r="F2148" s="2" t="s">
        <v>314</v>
      </c>
      <c r="G2148" s="2" t="s">
        <v>728</v>
      </c>
      <c r="H2148" s="2" t="s">
        <v>894</v>
      </c>
      <c r="I2148" s="2" t="s">
        <v>312</v>
      </c>
      <c r="J2148" s="2" t="s">
        <v>840</v>
      </c>
      <c r="K2148" s="72"/>
      <c r="L2148" s="39">
        <v>14753.96</v>
      </c>
      <c r="M2148" s="72">
        <f t="shared" si="134"/>
        <v>14753.96</v>
      </c>
      <c r="N2148" s="72">
        <f t="shared" si="135"/>
        <v>371618.87999999966</v>
      </c>
    </row>
    <row r="2149" spans="1:14" x14ac:dyDescent="0.2">
      <c r="A2149" s="73" t="s">
        <v>1382</v>
      </c>
      <c r="B2149" s="3">
        <f t="shared" si="132"/>
        <v>2025</v>
      </c>
      <c r="C2149" s="3">
        <f t="shared" si="133"/>
        <v>10</v>
      </c>
      <c r="D2149" s="73" t="s">
        <v>893</v>
      </c>
      <c r="E2149" s="2"/>
      <c r="F2149" s="2" t="s">
        <v>304</v>
      </c>
      <c r="G2149" s="2" t="s">
        <v>1428</v>
      </c>
      <c r="H2149" s="2" t="s">
        <v>1035</v>
      </c>
      <c r="I2149" s="2" t="s">
        <v>316</v>
      </c>
      <c r="J2149" s="2" t="s">
        <v>22</v>
      </c>
      <c r="K2149" s="72">
        <v>54.33</v>
      </c>
      <c r="L2149" s="39"/>
      <c r="M2149" s="72">
        <f t="shared" si="134"/>
        <v>-54.33</v>
      </c>
      <c r="N2149" s="72">
        <f t="shared" si="135"/>
        <v>371564.54999999964</v>
      </c>
    </row>
    <row r="2150" spans="1:14" x14ac:dyDescent="0.2">
      <c r="A2150" s="73" t="s">
        <v>1382</v>
      </c>
      <c r="B2150" s="3">
        <f t="shared" si="132"/>
        <v>2025</v>
      </c>
      <c r="C2150" s="3">
        <f t="shared" si="133"/>
        <v>10</v>
      </c>
      <c r="D2150" s="73" t="s">
        <v>893</v>
      </c>
      <c r="E2150" s="2"/>
      <c r="F2150" s="2" t="s">
        <v>304</v>
      </c>
      <c r="G2150" s="2" t="s">
        <v>1429</v>
      </c>
      <c r="H2150" s="2" t="s">
        <v>956</v>
      </c>
      <c r="I2150" s="2" t="s">
        <v>316</v>
      </c>
      <c r="J2150" s="2" t="s">
        <v>18</v>
      </c>
      <c r="K2150" s="72">
        <v>74.56</v>
      </c>
      <c r="L2150" s="39"/>
      <c r="M2150" s="72">
        <f t="shared" si="134"/>
        <v>-74.56</v>
      </c>
      <c r="N2150" s="72">
        <f t="shared" si="135"/>
        <v>371489.98999999964</v>
      </c>
    </row>
    <row r="2151" spans="1:14" x14ac:dyDescent="0.2">
      <c r="A2151" s="73" t="s">
        <v>1382</v>
      </c>
      <c r="B2151" s="3">
        <f t="shared" si="132"/>
        <v>2025</v>
      </c>
      <c r="C2151" s="3">
        <f t="shared" si="133"/>
        <v>10</v>
      </c>
      <c r="D2151" s="73" t="s">
        <v>893</v>
      </c>
      <c r="E2151" s="2"/>
      <c r="F2151" s="2" t="s">
        <v>304</v>
      </c>
      <c r="G2151" s="2" t="s">
        <v>913</v>
      </c>
      <c r="H2151" s="2" t="s">
        <v>992</v>
      </c>
      <c r="I2151" s="2" t="s">
        <v>316</v>
      </c>
      <c r="J2151" s="2" t="s">
        <v>22</v>
      </c>
      <c r="K2151" s="72">
        <v>39.07</v>
      </c>
      <c r="L2151" s="39"/>
      <c r="M2151" s="72">
        <f t="shared" si="134"/>
        <v>-39.07</v>
      </c>
      <c r="N2151" s="72">
        <f t="shared" si="135"/>
        <v>371450.91999999963</v>
      </c>
    </row>
    <row r="2152" spans="1:14" x14ac:dyDescent="0.2">
      <c r="A2152" s="73" t="s">
        <v>1382</v>
      </c>
      <c r="B2152" s="3">
        <f t="shared" si="132"/>
        <v>2025</v>
      </c>
      <c r="C2152" s="3">
        <f t="shared" si="133"/>
        <v>10</v>
      </c>
      <c r="D2152" s="73" t="s">
        <v>893</v>
      </c>
      <c r="E2152" s="2"/>
      <c r="F2152" s="2" t="s">
        <v>304</v>
      </c>
      <c r="G2152" s="2" t="s">
        <v>913</v>
      </c>
      <c r="H2152" s="2" t="s">
        <v>923</v>
      </c>
      <c r="I2152" s="2" t="s">
        <v>316</v>
      </c>
      <c r="J2152" s="2" t="s">
        <v>22</v>
      </c>
      <c r="K2152" s="72">
        <v>53.93</v>
      </c>
      <c r="L2152" s="39"/>
      <c r="M2152" s="72">
        <f t="shared" si="134"/>
        <v>-53.93</v>
      </c>
      <c r="N2152" s="72">
        <f t="shared" si="135"/>
        <v>371396.98999999964</v>
      </c>
    </row>
    <row r="2153" spans="1:14" x14ac:dyDescent="0.2">
      <c r="A2153" s="73" t="s">
        <v>1382</v>
      </c>
      <c r="B2153" s="3">
        <f t="shared" si="132"/>
        <v>2025</v>
      </c>
      <c r="C2153" s="3">
        <f t="shared" si="133"/>
        <v>10</v>
      </c>
      <c r="D2153" s="73" t="s">
        <v>893</v>
      </c>
      <c r="E2153" s="2"/>
      <c r="F2153" s="2" t="s">
        <v>304</v>
      </c>
      <c r="G2153" s="2" t="s">
        <v>913</v>
      </c>
      <c r="H2153" s="2" t="s">
        <v>923</v>
      </c>
      <c r="I2153" s="2" t="s">
        <v>316</v>
      </c>
      <c r="J2153" s="2" t="s">
        <v>22</v>
      </c>
      <c r="K2153" s="72">
        <v>70.37</v>
      </c>
      <c r="L2153" s="39"/>
      <c r="M2153" s="72">
        <f t="shared" si="134"/>
        <v>-70.37</v>
      </c>
      <c r="N2153" s="72">
        <f t="shared" si="135"/>
        <v>371326.61999999965</v>
      </c>
    </row>
    <row r="2154" spans="1:14" x14ac:dyDescent="0.2">
      <c r="A2154" s="73" t="s">
        <v>1382</v>
      </c>
      <c r="B2154" s="3">
        <f t="shared" si="132"/>
        <v>2025</v>
      </c>
      <c r="C2154" s="3">
        <f t="shared" si="133"/>
        <v>10</v>
      </c>
      <c r="D2154" s="73" t="s">
        <v>893</v>
      </c>
      <c r="E2154" s="2"/>
      <c r="F2154" s="2" t="s">
        <v>304</v>
      </c>
      <c r="G2154" s="2" t="s">
        <v>1430</v>
      </c>
      <c r="H2154" s="2" t="s">
        <v>956</v>
      </c>
      <c r="I2154" s="2" t="s">
        <v>316</v>
      </c>
      <c r="J2154" s="2" t="s">
        <v>22</v>
      </c>
      <c r="K2154" s="72">
        <v>108.52</v>
      </c>
      <c r="L2154" s="39"/>
      <c r="M2154" s="72">
        <f t="shared" si="134"/>
        <v>-108.52</v>
      </c>
      <c r="N2154" s="72">
        <f t="shared" si="135"/>
        <v>371218.09999999963</v>
      </c>
    </row>
    <row r="2155" spans="1:14" x14ac:dyDescent="0.2">
      <c r="A2155" s="73" t="s">
        <v>1382</v>
      </c>
      <c r="B2155" s="3">
        <f t="shared" si="132"/>
        <v>2025</v>
      </c>
      <c r="C2155" s="3">
        <f t="shared" si="133"/>
        <v>10</v>
      </c>
      <c r="D2155" s="73" t="s">
        <v>893</v>
      </c>
      <c r="E2155" s="2"/>
      <c r="F2155" s="2" t="s">
        <v>304</v>
      </c>
      <c r="G2155" s="2" t="s">
        <v>1430</v>
      </c>
      <c r="H2155" s="2" t="s">
        <v>1001</v>
      </c>
      <c r="I2155" s="2" t="s">
        <v>316</v>
      </c>
      <c r="J2155" s="2" t="s">
        <v>22</v>
      </c>
      <c r="K2155" s="72">
        <v>37.979999999999997</v>
      </c>
      <c r="L2155" s="39"/>
      <c r="M2155" s="72">
        <f t="shared" si="134"/>
        <v>-37.979999999999997</v>
      </c>
      <c r="N2155" s="72">
        <f t="shared" si="135"/>
        <v>371180.11999999965</v>
      </c>
    </row>
    <row r="2156" spans="1:14" x14ac:dyDescent="0.2">
      <c r="A2156" s="73" t="s">
        <v>1382</v>
      </c>
      <c r="B2156" s="3">
        <f t="shared" si="132"/>
        <v>2025</v>
      </c>
      <c r="C2156" s="3">
        <f t="shared" si="133"/>
        <v>10</v>
      </c>
      <c r="D2156" s="73" t="s">
        <v>893</v>
      </c>
      <c r="E2156" s="2"/>
      <c r="F2156" s="2" t="s">
        <v>304</v>
      </c>
      <c r="G2156" s="2" t="s">
        <v>1430</v>
      </c>
      <c r="H2156" s="2" t="s">
        <v>1001</v>
      </c>
      <c r="I2156" s="2" t="s">
        <v>316</v>
      </c>
      <c r="J2156" s="2" t="s">
        <v>22</v>
      </c>
      <c r="K2156" s="72">
        <v>24.2</v>
      </c>
      <c r="L2156" s="39"/>
      <c r="M2156" s="72">
        <f t="shared" si="134"/>
        <v>-24.2</v>
      </c>
      <c r="N2156" s="72">
        <f t="shared" si="135"/>
        <v>371155.91999999963</v>
      </c>
    </row>
    <row r="2157" spans="1:14" x14ac:dyDescent="0.2">
      <c r="A2157" s="73" t="s">
        <v>1382</v>
      </c>
      <c r="B2157" s="3">
        <f t="shared" si="132"/>
        <v>2025</v>
      </c>
      <c r="C2157" s="3">
        <f t="shared" si="133"/>
        <v>10</v>
      </c>
      <c r="D2157" s="73" t="s">
        <v>893</v>
      </c>
      <c r="E2157" s="2"/>
      <c r="F2157" s="2" t="s">
        <v>304</v>
      </c>
      <c r="G2157" s="2" t="s">
        <v>1431</v>
      </c>
      <c r="H2157" s="2" t="s">
        <v>1035</v>
      </c>
      <c r="I2157" s="2" t="s">
        <v>316</v>
      </c>
      <c r="J2157" s="2" t="s">
        <v>22</v>
      </c>
      <c r="K2157" s="72">
        <v>73.16</v>
      </c>
      <c r="L2157" s="39"/>
      <c r="M2157" s="72">
        <f t="shared" si="134"/>
        <v>-73.16</v>
      </c>
      <c r="N2157" s="72">
        <f t="shared" si="135"/>
        <v>371082.75999999966</v>
      </c>
    </row>
    <row r="2158" spans="1:14" x14ac:dyDescent="0.2">
      <c r="A2158" s="73" t="s">
        <v>1382</v>
      </c>
      <c r="B2158" s="3">
        <f t="shared" si="132"/>
        <v>2025</v>
      </c>
      <c r="C2158" s="3">
        <f t="shared" si="133"/>
        <v>10</v>
      </c>
      <c r="D2158" s="73" t="s">
        <v>300</v>
      </c>
      <c r="E2158" s="2"/>
      <c r="F2158" s="2" t="s">
        <v>299</v>
      </c>
      <c r="G2158" s="2"/>
      <c r="H2158" s="2" t="s">
        <v>298</v>
      </c>
      <c r="I2158" s="2" t="s">
        <v>297</v>
      </c>
      <c r="J2158" s="2" t="s">
        <v>296</v>
      </c>
      <c r="K2158" s="72"/>
      <c r="L2158" s="39">
        <v>126112.09</v>
      </c>
      <c r="M2158" s="72">
        <f t="shared" si="134"/>
        <v>126112.09</v>
      </c>
      <c r="N2158" s="72">
        <f t="shared" si="135"/>
        <v>497194.84999999963</v>
      </c>
    </row>
    <row r="2159" spans="1:14" x14ac:dyDescent="0.2">
      <c r="A2159" s="73" t="s">
        <v>1383</v>
      </c>
      <c r="B2159" s="3">
        <f t="shared" si="132"/>
        <v>2025</v>
      </c>
      <c r="C2159" s="3">
        <f t="shared" si="133"/>
        <v>10</v>
      </c>
      <c r="D2159" s="73" t="s">
        <v>300</v>
      </c>
      <c r="E2159" s="2"/>
      <c r="F2159" s="2" t="s">
        <v>309</v>
      </c>
      <c r="G2159" s="2" t="s">
        <v>381</v>
      </c>
      <c r="H2159" s="2" t="s">
        <v>380</v>
      </c>
      <c r="I2159" s="2" t="s">
        <v>301</v>
      </c>
      <c r="J2159" s="2" t="s">
        <v>11</v>
      </c>
      <c r="K2159" s="72"/>
      <c r="L2159" s="39">
        <v>476.36</v>
      </c>
      <c r="M2159" s="72">
        <f t="shared" si="134"/>
        <v>476.36</v>
      </c>
      <c r="N2159" s="72">
        <f t="shared" si="135"/>
        <v>497671.20999999961</v>
      </c>
    </row>
    <row r="2160" spans="1:14" x14ac:dyDescent="0.2">
      <c r="A2160" s="73" t="s">
        <v>1383</v>
      </c>
      <c r="B2160" s="3">
        <f t="shared" si="132"/>
        <v>2025</v>
      </c>
      <c r="C2160" s="3">
        <f t="shared" si="133"/>
        <v>10</v>
      </c>
      <c r="D2160" s="73" t="s">
        <v>893</v>
      </c>
      <c r="E2160" s="2"/>
      <c r="F2160" s="2" t="s">
        <v>304</v>
      </c>
      <c r="G2160" s="2" t="s">
        <v>1008</v>
      </c>
      <c r="H2160" s="2" t="s">
        <v>1007</v>
      </c>
      <c r="I2160" s="1" t="s">
        <v>316</v>
      </c>
      <c r="J2160" s="2" t="s">
        <v>17</v>
      </c>
      <c r="K2160" s="72">
        <v>31.27</v>
      </c>
      <c r="L2160" s="39"/>
      <c r="M2160" s="72">
        <f t="shared" si="134"/>
        <v>-31.27</v>
      </c>
      <c r="N2160" s="72">
        <f t="shared" si="135"/>
        <v>497639.93999999959</v>
      </c>
    </row>
    <row r="2161" spans="1:14" x14ac:dyDescent="0.2">
      <c r="A2161" s="73" t="s">
        <v>1383</v>
      </c>
      <c r="B2161" s="3">
        <f t="shared" si="132"/>
        <v>2025</v>
      </c>
      <c r="C2161" s="3">
        <f t="shared" si="133"/>
        <v>10</v>
      </c>
      <c r="D2161" s="73" t="s">
        <v>893</v>
      </c>
      <c r="E2161" s="2"/>
      <c r="F2161" s="2" t="s">
        <v>304</v>
      </c>
      <c r="G2161" s="2" t="s">
        <v>1008</v>
      </c>
      <c r="H2161" s="2" t="s">
        <v>1007</v>
      </c>
      <c r="I2161" s="1" t="s">
        <v>316</v>
      </c>
      <c r="J2161" s="2" t="s">
        <v>17</v>
      </c>
      <c r="K2161" s="72">
        <v>31.35</v>
      </c>
      <c r="L2161" s="39"/>
      <c r="M2161" s="72">
        <f t="shared" si="134"/>
        <v>-31.35</v>
      </c>
      <c r="N2161" s="72">
        <f t="shared" si="135"/>
        <v>497608.58999999962</v>
      </c>
    </row>
    <row r="2162" spans="1:14" x14ac:dyDescent="0.2">
      <c r="A2162" s="73" t="s">
        <v>1383</v>
      </c>
      <c r="B2162" s="3">
        <f t="shared" si="132"/>
        <v>2025</v>
      </c>
      <c r="C2162" s="3">
        <f t="shared" si="133"/>
        <v>10</v>
      </c>
      <c r="D2162" s="73" t="s">
        <v>893</v>
      </c>
      <c r="E2162" s="2"/>
      <c r="F2162" s="2" t="s">
        <v>304</v>
      </c>
      <c r="G2162" s="2" t="s">
        <v>1009</v>
      </c>
      <c r="H2162" s="2" t="s">
        <v>1007</v>
      </c>
      <c r="I2162" s="1" t="s">
        <v>316</v>
      </c>
      <c r="J2162" s="2" t="s">
        <v>17</v>
      </c>
      <c r="K2162" s="72">
        <v>81.58</v>
      </c>
      <c r="L2162" s="39"/>
      <c r="M2162" s="72">
        <f t="shared" si="134"/>
        <v>-81.58</v>
      </c>
      <c r="N2162" s="72">
        <f t="shared" si="135"/>
        <v>497527.0099999996</v>
      </c>
    </row>
    <row r="2163" spans="1:14" x14ac:dyDescent="0.2">
      <c r="A2163" s="73" t="s">
        <v>1383</v>
      </c>
      <c r="B2163" s="3">
        <f t="shared" si="132"/>
        <v>2025</v>
      </c>
      <c r="C2163" s="3">
        <f t="shared" si="133"/>
        <v>10</v>
      </c>
      <c r="D2163" s="73" t="s">
        <v>893</v>
      </c>
      <c r="E2163" s="2"/>
      <c r="F2163" s="2" t="s">
        <v>304</v>
      </c>
      <c r="G2163" s="2" t="s">
        <v>1432</v>
      </c>
      <c r="H2163" s="2" t="s">
        <v>927</v>
      </c>
      <c r="I2163" s="2" t="s">
        <v>316</v>
      </c>
      <c r="J2163" s="2" t="s">
        <v>22</v>
      </c>
      <c r="K2163" s="72">
        <v>37.53</v>
      </c>
      <c r="L2163" s="39"/>
      <c r="M2163" s="72">
        <f t="shared" si="134"/>
        <v>-37.53</v>
      </c>
      <c r="N2163" s="72">
        <f t="shared" si="135"/>
        <v>497489.47999999957</v>
      </c>
    </row>
    <row r="2164" spans="1:14" x14ac:dyDescent="0.2">
      <c r="A2164" s="73" t="s">
        <v>1383</v>
      </c>
      <c r="B2164" s="3">
        <f t="shared" si="132"/>
        <v>2025</v>
      </c>
      <c r="C2164" s="3">
        <f t="shared" si="133"/>
        <v>10</v>
      </c>
      <c r="D2164" s="73" t="s">
        <v>893</v>
      </c>
      <c r="E2164" s="2"/>
      <c r="F2164" s="2" t="s">
        <v>304</v>
      </c>
      <c r="G2164" s="2" t="s">
        <v>1433</v>
      </c>
      <c r="H2164" s="2" t="s">
        <v>956</v>
      </c>
      <c r="I2164" s="2" t="s">
        <v>316</v>
      </c>
      <c r="J2164" s="2" t="s">
        <v>22</v>
      </c>
      <c r="K2164" s="72">
        <v>103.2</v>
      </c>
      <c r="L2164" s="39"/>
      <c r="M2164" s="72">
        <f t="shared" si="134"/>
        <v>-103.2</v>
      </c>
      <c r="N2164" s="72">
        <f t="shared" si="135"/>
        <v>497386.27999999956</v>
      </c>
    </row>
    <row r="2165" spans="1:14" x14ac:dyDescent="0.2">
      <c r="A2165" s="73" t="s">
        <v>1383</v>
      </c>
      <c r="B2165" s="3">
        <f t="shared" si="132"/>
        <v>2025</v>
      </c>
      <c r="C2165" s="3">
        <f t="shared" si="133"/>
        <v>10</v>
      </c>
      <c r="D2165" s="73" t="s">
        <v>893</v>
      </c>
      <c r="E2165" s="2"/>
      <c r="F2165" s="2" t="s">
        <v>304</v>
      </c>
      <c r="G2165" s="2" t="s">
        <v>1424</v>
      </c>
      <c r="H2165" s="2" t="s">
        <v>956</v>
      </c>
      <c r="I2165" s="2" t="s">
        <v>316</v>
      </c>
      <c r="J2165" s="2" t="s">
        <v>22</v>
      </c>
      <c r="K2165" s="72">
        <v>46.61</v>
      </c>
      <c r="L2165" s="39"/>
      <c r="M2165" s="72">
        <f t="shared" si="134"/>
        <v>-46.61</v>
      </c>
      <c r="N2165" s="72">
        <f t="shared" si="135"/>
        <v>497339.66999999958</v>
      </c>
    </row>
    <row r="2166" spans="1:14" x14ac:dyDescent="0.2">
      <c r="A2166" s="73" t="s">
        <v>1383</v>
      </c>
      <c r="B2166" s="3">
        <f t="shared" si="132"/>
        <v>2025</v>
      </c>
      <c r="C2166" s="3">
        <f t="shared" si="133"/>
        <v>10</v>
      </c>
      <c r="D2166" s="73" t="s">
        <v>893</v>
      </c>
      <c r="E2166" s="2"/>
      <c r="F2166" s="2" t="s">
        <v>304</v>
      </c>
      <c r="G2166" s="2" t="s">
        <v>1434</v>
      </c>
      <c r="H2166" s="2" t="s">
        <v>1035</v>
      </c>
      <c r="I2166" s="2" t="s">
        <v>316</v>
      </c>
      <c r="J2166" s="2" t="s">
        <v>22</v>
      </c>
      <c r="K2166" s="72">
        <v>21.67</v>
      </c>
      <c r="L2166" s="39"/>
      <c r="M2166" s="72">
        <f t="shared" si="134"/>
        <v>-21.67</v>
      </c>
      <c r="N2166" s="72">
        <f t="shared" si="135"/>
        <v>497317.99999999959</v>
      </c>
    </row>
    <row r="2167" spans="1:14" x14ac:dyDescent="0.2">
      <c r="A2167" s="73" t="s">
        <v>1383</v>
      </c>
      <c r="B2167" s="3">
        <f t="shared" si="132"/>
        <v>2025</v>
      </c>
      <c r="C2167" s="3">
        <f t="shared" si="133"/>
        <v>10</v>
      </c>
      <c r="D2167" s="73" t="s">
        <v>300</v>
      </c>
      <c r="E2167" s="2"/>
      <c r="F2167" s="2" t="s">
        <v>321</v>
      </c>
      <c r="G2167" s="2" t="s">
        <v>1301</v>
      </c>
      <c r="H2167" s="2" t="s">
        <v>319</v>
      </c>
      <c r="I2167" s="2" t="s">
        <v>315</v>
      </c>
      <c r="J2167" s="2" t="s">
        <v>23</v>
      </c>
      <c r="K2167" s="72"/>
      <c r="L2167" s="39">
        <v>10000</v>
      </c>
      <c r="M2167" s="72">
        <f t="shared" si="134"/>
        <v>10000</v>
      </c>
      <c r="N2167" s="72">
        <f t="shared" si="135"/>
        <v>507317.99999999959</v>
      </c>
    </row>
    <row r="2168" spans="1:14" x14ac:dyDescent="0.2">
      <c r="A2168" s="73" t="s">
        <v>1383</v>
      </c>
      <c r="B2168" s="3">
        <f t="shared" si="132"/>
        <v>2025</v>
      </c>
      <c r="C2168" s="3">
        <f t="shared" si="133"/>
        <v>10</v>
      </c>
      <c r="D2168" s="73" t="s">
        <v>300</v>
      </c>
      <c r="E2168" s="2"/>
      <c r="F2168" s="2" t="s">
        <v>321</v>
      </c>
      <c r="G2168" s="2" t="s">
        <v>664</v>
      </c>
      <c r="H2168" s="2" t="s">
        <v>319</v>
      </c>
      <c r="I2168" s="2" t="s">
        <v>315</v>
      </c>
      <c r="J2168" s="2" t="s">
        <v>23</v>
      </c>
      <c r="K2168" s="72"/>
      <c r="L2168" s="39">
        <v>12000</v>
      </c>
      <c r="M2168" s="72">
        <f t="shared" si="134"/>
        <v>12000</v>
      </c>
      <c r="N2168" s="72">
        <f t="shared" si="135"/>
        <v>519317.99999999959</v>
      </c>
    </row>
    <row r="2169" spans="1:14" x14ac:dyDescent="0.2">
      <c r="A2169" s="73" t="s">
        <v>1383</v>
      </c>
      <c r="B2169" s="3">
        <f t="shared" si="132"/>
        <v>2025</v>
      </c>
      <c r="C2169" s="3">
        <f t="shared" si="133"/>
        <v>10</v>
      </c>
      <c r="D2169" s="73" t="s">
        <v>893</v>
      </c>
      <c r="E2169" s="2"/>
      <c r="F2169" s="2" t="s">
        <v>304</v>
      </c>
      <c r="G2169" s="2" t="s">
        <v>1435</v>
      </c>
      <c r="H2169" s="2" t="s">
        <v>956</v>
      </c>
      <c r="I2169" s="2" t="s">
        <v>316</v>
      </c>
      <c r="J2169" s="2" t="s">
        <v>22</v>
      </c>
      <c r="K2169" s="72">
        <v>425.03</v>
      </c>
      <c r="L2169" s="39"/>
      <c r="M2169" s="72">
        <f t="shared" si="134"/>
        <v>-425.03</v>
      </c>
      <c r="N2169" s="72">
        <f t="shared" si="135"/>
        <v>518892.96999999956</v>
      </c>
    </row>
    <row r="2170" spans="1:14" x14ac:dyDescent="0.2">
      <c r="A2170" s="73" t="s">
        <v>1383</v>
      </c>
      <c r="B2170" s="3">
        <f t="shared" si="132"/>
        <v>2025</v>
      </c>
      <c r="C2170" s="3">
        <f t="shared" si="133"/>
        <v>10</v>
      </c>
      <c r="D2170" s="73" t="s">
        <v>893</v>
      </c>
      <c r="E2170" s="2"/>
      <c r="F2170" s="2" t="s">
        <v>304</v>
      </c>
      <c r="G2170" s="2" t="s">
        <v>995</v>
      </c>
      <c r="H2170" s="2" t="s">
        <v>992</v>
      </c>
      <c r="I2170" s="2" t="s">
        <v>316</v>
      </c>
      <c r="J2170" s="2" t="s">
        <v>22</v>
      </c>
      <c r="K2170" s="72">
        <v>9.89</v>
      </c>
      <c r="L2170" s="39"/>
      <c r="M2170" s="72">
        <f t="shared" si="134"/>
        <v>-9.89</v>
      </c>
      <c r="N2170" s="72">
        <f t="shared" si="135"/>
        <v>518883.07999999955</v>
      </c>
    </row>
    <row r="2171" spans="1:14" x14ac:dyDescent="0.2">
      <c r="A2171" s="73" t="s">
        <v>1383</v>
      </c>
      <c r="B2171" s="3">
        <f t="shared" si="132"/>
        <v>2025</v>
      </c>
      <c r="C2171" s="3">
        <f t="shared" si="133"/>
        <v>10</v>
      </c>
      <c r="D2171" s="73" t="s">
        <v>893</v>
      </c>
      <c r="E2171" s="2"/>
      <c r="F2171" s="2" t="s">
        <v>304</v>
      </c>
      <c r="G2171" s="2" t="s">
        <v>995</v>
      </c>
      <c r="H2171" s="2" t="s">
        <v>992</v>
      </c>
      <c r="I2171" s="2" t="s">
        <v>316</v>
      </c>
      <c r="J2171" s="2" t="s">
        <v>22</v>
      </c>
      <c r="K2171" s="72">
        <v>1.46</v>
      </c>
      <c r="L2171" s="39"/>
      <c r="M2171" s="72">
        <f t="shared" si="134"/>
        <v>-1.46</v>
      </c>
      <c r="N2171" s="72">
        <f t="shared" si="135"/>
        <v>518881.61999999953</v>
      </c>
    </row>
    <row r="2172" spans="1:14" x14ac:dyDescent="0.2">
      <c r="A2172" s="73" t="s">
        <v>1383</v>
      </c>
      <c r="B2172" s="3">
        <f t="shared" si="132"/>
        <v>2025</v>
      </c>
      <c r="C2172" s="3">
        <f t="shared" si="133"/>
        <v>10</v>
      </c>
      <c r="D2172" s="73" t="s">
        <v>893</v>
      </c>
      <c r="E2172" s="2"/>
      <c r="F2172" s="2" t="s">
        <v>304</v>
      </c>
      <c r="G2172" s="2" t="s">
        <v>1436</v>
      </c>
      <c r="H2172" s="2" t="s">
        <v>956</v>
      </c>
      <c r="I2172" s="2" t="s">
        <v>316</v>
      </c>
      <c r="J2172" s="2" t="s">
        <v>22</v>
      </c>
      <c r="K2172" s="72">
        <v>31.36</v>
      </c>
      <c r="L2172" s="39"/>
      <c r="M2172" s="72">
        <f t="shared" si="134"/>
        <v>-31.36</v>
      </c>
      <c r="N2172" s="72">
        <f t="shared" si="135"/>
        <v>518850.25999999954</v>
      </c>
    </row>
    <row r="2173" spans="1:14" x14ac:dyDescent="0.2">
      <c r="A2173" s="73" t="s">
        <v>1383</v>
      </c>
      <c r="B2173" s="3">
        <f t="shared" si="132"/>
        <v>2025</v>
      </c>
      <c r="C2173" s="3">
        <f t="shared" si="133"/>
        <v>10</v>
      </c>
      <c r="D2173" s="73" t="s">
        <v>893</v>
      </c>
      <c r="E2173" s="2"/>
      <c r="F2173" s="2" t="s">
        <v>304</v>
      </c>
      <c r="G2173" s="2" t="s">
        <v>1150</v>
      </c>
      <c r="H2173" s="2" t="s">
        <v>1007</v>
      </c>
      <c r="I2173" s="1" t="s">
        <v>316</v>
      </c>
      <c r="J2173" s="2" t="s">
        <v>17</v>
      </c>
      <c r="K2173" s="72">
        <v>25.75</v>
      </c>
      <c r="L2173" s="39"/>
      <c r="M2173" s="72">
        <f t="shared" si="134"/>
        <v>-25.75</v>
      </c>
      <c r="N2173" s="72">
        <f t="shared" si="135"/>
        <v>518824.50999999954</v>
      </c>
    </row>
    <row r="2174" spans="1:14" x14ac:dyDescent="0.2">
      <c r="A2174" s="73" t="s">
        <v>1383</v>
      </c>
      <c r="B2174" s="3">
        <f t="shared" si="132"/>
        <v>2025</v>
      </c>
      <c r="C2174" s="3">
        <f t="shared" si="133"/>
        <v>10</v>
      </c>
      <c r="D2174" s="73" t="s">
        <v>893</v>
      </c>
      <c r="E2174" s="2"/>
      <c r="F2174" s="2" t="s">
        <v>304</v>
      </c>
      <c r="G2174" s="2" t="s">
        <v>1437</v>
      </c>
      <c r="H2174" s="2" t="s">
        <v>956</v>
      </c>
      <c r="I2174" s="2" t="s">
        <v>316</v>
      </c>
      <c r="J2174" s="2" t="s">
        <v>22</v>
      </c>
      <c r="K2174" s="72">
        <v>96.21</v>
      </c>
      <c r="L2174" s="39"/>
      <c r="M2174" s="72">
        <f t="shared" si="134"/>
        <v>-96.21</v>
      </c>
      <c r="N2174" s="72">
        <f t="shared" si="135"/>
        <v>518728.29999999952</v>
      </c>
    </row>
    <row r="2175" spans="1:14" x14ac:dyDescent="0.2">
      <c r="A2175" s="73" t="s">
        <v>1383</v>
      </c>
      <c r="B2175" s="3">
        <f t="shared" si="132"/>
        <v>2025</v>
      </c>
      <c r="C2175" s="3">
        <f t="shared" si="133"/>
        <v>10</v>
      </c>
      <c r="D2175" s="73" t="s">
        <v>893</v>
      </c>
      <c r="E2175" s="2"/>
      <c r="F2175" s="2" t="s">
        <v>304</v>
      </c>
      <c r="G2175" s="2" t="s">
        <v>913</v>
      </c>
      <c r="H2175" s="2" t="s">
        <v>884</v>
      </c>
      <c r="I2175" s="2" t="s">
        <v>316</v>
      </c>
      <c r="J2175" s="2" t="s">
        <v>22</v>
      </c>
      <c r="K2175" s="72">
        <v>18.7</v>
      </c>
      <c r="L2175" s="39"/>
      <c r="M2175" s="72">
        <f t="shared" si="134"/>
        <v>-18.7</v>
      </c>
      <c r="N2175" s="72">
        <f t="shared" si="135"/>
        <v>518709.59999999951</v>
      </c>
    </row>
    <row r="2176" spans="1:14" x14ac:dyDescent="0.2">
      <c r="A2176" s="73" t="s">
        <v>1383</v>
      </c>
      <c r="B2176" s="3">
        <f t="shared" si="132"/>
        <v>2025</v>
      </c>
      <c r="C2176" s="3">
        <f t="shared" si="133"/>
        <v>10</v>
      </c>
      <c r="D2176" s="73" t="s">
        <v>893</v>
      </c>
      <c r="E2176" s="2"/>
      <c r="F2176" s="2" t="s">
        <v>304</v>
      </c>
      <c r="G2176" s="2" t="s">
        <v>913</v>
      </c>
      <c r="H2176" s="2" t="s">
        <v>937</v>
      </c>
      <c r="I2176" s="2" t="s">
        <v>316</v>
      </c>
      <c r="J2176" s="2" t="s">
        <v>22</v>
      </c>
      <c r="K2176" s="72">
        <v>20.97</v>
      </c>
      <c r="L2176" s="39"/>
      <c r="M2176" s="72">
        <f t="shared" si="134"/>
        <v>-20.97</v>
      </c>
      <c r="N2176" s="72">
        <f t="shared" si="135"/>
        <v>518688.62999999954</v>
      </c>
    </row>
    <row r="2177" spans="1:14" x14ac:dyDescent="0.2">
      <c r="A2177" s="73" t="s">
        <v>1383</v>
      </c>
      <c r="B2177" s="3">
        <f t="shared" si="132"/>
        <v>2025</v>
      </c>
      <c r="C2177" s="3">
        <f t="shared" si="133"/>
        <v>10</v>
      </c>
      <c r="D2177" s="73" t="s">
        <v>893</v>
      </c>
      <c r="E2177" s="2"/>
      <c r="F2177" s="2" t="s">
        <v>304</v>
      </c>
      <c r="G2177" s="2" t="s">
        <v>913</v>
      </c>
      <c r="H2177" s="2" t="s">
        <v>937</v>
      </c>
      <c r="I2177" s="2" t="s">
        <v>316</v>
      </c>
      <c r="J2177" s="2" t="s">
        <v>22</v>
      </c>
      <c r="K2177" s="72">
        <v>57.15</v>
      </c>
      <c r="L2177" s="39"/>
      <c r="M2177" s="72">
        <f t="shared" si="134"/>
        <v>-57.15</v>
      </c>
      <c r="N2177" s="72">
        <f t="shared" si="135"/>
        <v>518631.47999999952</v>
      </c>
    </row>
    <row r="2178" spans="1:14" x14ac:dyDescent="0.2">
      <c r="A2178" s="73" t="s">
        <v>1383</v>
      </c>
      <c r="B2178" s="3">
        <f t="shared" ref="B2178:B2241" si="136">YEAR(A2178)</f>
        <v>2025</v>
      </c>
      <c r="C2178" s="3">
        <f t="shared" ref="C2178:C2241" si="137">MONTH(A2178)</f>
        <v>10</v>
      </c>
      <c r="D2178" s="73" t="s">
        <v>893</v>
      </c>
      <c r="E2178" s="2"/>
      <c r="F2178" s="2" t="s">
        <v>304</v>
      </c>
      <c r="G2178" s="2" t="s">
        <v>913</v>
      </c>
      <c r="H2178" s="2" t="s">
        <v>937</v>
      </c>
      <c r="I2178" s="2" t="s">
        <v>316</v>
      </c>
      <c r="J2178" s="2" t="s">
        <v>22</v>
      </c>
      <c r="K2178" s="72">
        <v>23.29</v>
      </c>
      <c r="L2178" s="39"/>
      <c r="M2178" s="72">
        <f t="shared" ref="M2178:M2241" si="138">IF(ISBLANK(L2178),K2178*-1,L2178)</f>
        <v>-23.29</v>
      </c>
      <c r="N2178" s="72">
        <f t="shared" si="135"/>
        <v>518608.18999999954</v>
      </c>
    </row>
    <row r="2179" spans="1:14" x14ac:dyDescent="0.2">
      <c r="A2179" s="73" t="s">
        <v>1383</v>
      </c>
      <c r="B2179" s="3">
        <f t="shared" si="136"/>
        <v>2025</v>
      </c>
      <c r="C2179" s="3">
        <f t="shared" si="137"/>
        <v>10</v>
      </c>
      <c r="D2179" s="73" t="s">
        <v>893</v>
      </c>
      <c r="E2179" s="2"/>
      <c r="F2179" s="2" t="s">
        <v>304</v>
      </c>
      <c r="G2179" s="2" t="s">
        <v>913</v>
      </c>
      <c r="H2179" s="2" t="s">
        <v>992</v>
      </c>
      <c r="I2179" s="2" t="s">
        <v>316</v>
      </c>
      <c r="J2179" s="2" t="s">
        <v>22</v>
      </c>
      <c r="K2179" s="72">
        <v>22.92</v>
      </c>
      <c r="L2179" s="39"/>
      <c r="M2179" s="72">
        <f t="shared" si="138"/>
        <v>-22.92</v>
      </c>
      <c r="N2179" s="72">
        <f t="shared" ref="N2179:N2242" si="139">+N2178+M2179</f>
        <v>518585.26999999955</v>
      </c>
    </row>
    <row r="2180" spans="1:14" x14ac:dyDescent="0.2">
      <c r="A2180" s="73" t="s">
        <v>1383</v>
      </c>
      <c r="B2180" s="3">
        <f t="shared" si="136"/>
        <v>2025</v>
      </c>
      <c r="C2180" s="3">
        <f t="shared" si="137"/>
        <v>10</v>
      </c>
      <c r="D2180" s="73" t="s">
        <v>893</v>
      </c>
      <c r="E2180" s="2"/>
      <c r="F2180" s="2" t="s">
        <v>304</v>
      </c>
      <c r="G2180" s="2" t="s">
        <v>913</v>
      </c>
      <c r="H2180" s="2" t="s">
        <v>937</v>
      </c>
      <c r="I2180" s="2" t="s">
        <v>316</v>
      </c>
      <c r="J2180" s="2" t="s">
        <v>22</v>
      </c>
      <c r="K2180" s="72">
        <v>29.55</v>
      </c>
      <c r="L2180" s="39"/>
      <c r="M2180" s="72">
        <f t="shared" si="138"/>
        <v>-29.55</v>
      </c>
      <c r="N2180" s="72">
        <f t="shared" si="139"/>
        <v>518555.71999999956</v>
      </c>
    </row>
    <row r="2181" spans="1:14" x14ac:dyDescent="0.2">
      <c r="A2181" s="73" t="s">
        <v>1383</v>
      </c>
      <c r="B2181" s="3">
        <f t="shared" si="136"/>
        <v>2025</v>
      </c>
      <c r="C2181" s="3">
        <f t="shared" si="137"/>
        <v>10</v>
      </c>
      <c r="D2181" s="73" t="s">
        <v>893</v>
      </c>
      <c r="E2181" s="2"/>
      <c r="F2181" s="2" t="s">
        <v>304</v>
      </c>
      <c r="G2181" s="2" t="s">
        <v>913</v>
      </c>
      <c r="H2181" s="2" t="s">
        <v>923</v>
      </c>
      <c r="I2181" s="2" t="s">
        <v>316</v>
      </c>
      <c r="J2181" s="2" t="s">
        <v>22</v>
      </c>
      <c r="K2181" s="72">
        <v>16.149999999999999</v>
      </c>
      <c r="L2181" s="39"/>
      <c r="M2181" s="72">
        <f t="shared" si="138"/>
        <v>-16.149999999999999</v>
      </c>
      <c r="N2181" s="72">
        <f t="shared" si="139"/>
        <v>518539.56999999954</v>
      </c>
    </row>
    <row r="2182" spans="1:14" x14ac:dyDescent="0.2">
      <c r="A2182" s="73" t="s">
        <v>1383</v>
      </c>
      <c r="B2182" s="3">
        <f t="shared" si="136"/>
        <v>2025</v>
      </c>
      <c r="C2182" s="3">
        <f t="shared" si="137"/>
        <v>10</v>
      </c>
      <c r="D2182" s="73" t="s">
        <v>893</v>
      </c>
      <c r="E2182" s="2"/>
      <c r="F2182" s="2" t="s">
        <v>304</v>
      </c>
      <c r="G2182" s="2" t="s">
        <v>913</v>
      </c>
      <c r="H2182" s="2" t="s">
        <v>937</v>
      </c>
      <c r="I2182" s="2" t="s">
        <v>316</v>
      </c>
      <c r="J2182" s="2" t="s">
        <v>22</v>
      </c>
      <c r="K2182" s="72">
        <v>39.94</v>
      </c>
      <c r="L2182" s="39"/>
      <c r="M2182" s="72">
        <f t="shared" si="138"/>
        <v>-39.94</v>
      </c>
      <c r="N2182" s="72">
        <f t="shared" si="139"/>
        <v>518499.62999999954</v>
      </c>
    </row>
    <row r="2183" spans="1:14" x14ac:dyDescent="0.2">
      <c r="A2183" s="73" t="s">
        <v>1383</v>
      </c>
      <c r="B2183" s="3">
        <f t="shared" si="136"/>
        <v>2025</v>
      </c>
      <c r="C2183" s="3">
        <f t="shared" si="137"/>
        <v>10</v>
      </c>
      <c r="D2183" s="73" t="s">
        <v>893</v>
      </c>
      <c r="E2183" s="2"/>
      <c r="F2183" s="2" t="s">
        <v>304</v>
      </c>
      <c r="G2183" s="2" t="s">
        <v>913</v>
      </c>
      <c r="H2183" s="2" t="s">
        <v>923</v>
      </c>
      <c r="I2183" s="2" t="s">
        <v>316</v>
      </c>
      <c r="J2183" s="2" t="s">
        <v>22</v>
      </c>
      <c r="K2183" s="72">
        <v>45.2</v>
      </c>
      <c r="L2183" s="39"/>
      <c r="M2183" s="72">
        <f t="shared" si="138"/>
        <v>-45.2</v>
      </c>
      <c r="N2183" s="72">
        <f t="shared" si="139"/>
        <v>518454.42999999953</v>
      </c>
    </row>
    <row r="2184" spans="1:14" x14ac:dyDescent="0.2">
      <c r="A2184" s="73" t="s">
        <v>1383</v>
      </c>
      <c r="B2184" s="3">
        <f t="shared" si="136"/>
        <v>2025</v>
      </c>
      <c r="C2184" s="3">
        <f t="shared" si="137"/>
        <v>10</v>
      </c>
      <c r="D2184" s="73" t="s">
        <v>893</v>
      </c>
      <c r="E2184" s="2"/>
      <c r="F2184" s="2" t="s">
        <v>304</v>
      </c>
      <c r="G2184" s="2" t="s">
        <v>913</v>
      </c>
      <c r="H2184" s="2" t="s">
        <v>937</v>
      </c>
      <c r="I2184" s="2" t="s">
        <v>316</v>
      </c>
      <c r="J2184" s="2" t="s">
        <v>22</v>
      </c>
      <c r="K2184" s="72">
        <v>66.34</v>
      </c>
      <c r="L2184" s="39"/>
      <c r="M2184" s="72">
        <f t="shared" si="138"/>
        <v>-66.34</v>
      </c>
      <c r="N2184" s="72">
        <f t="shared" si="139"/>
        <v>518388.0899999995</v>
      </c>
    </row>
    <row r="2185" spans="1:14" x14ac:dyDescent="0.2">
      <c r="A2185" s="73" t="s">
        <v>1383</v>
      </c>
      <c r="B2185" s="3">
        <f t="shared" si="136"/>
        <v>2025</v>
      </c>
      <c r="C2185" s="3">
        <f t="shared" si="137"/>
        <v>10</v>
      </c>
      <c r="D2185" s="73" t="s">
        <v>893</v>
      </c>
      <c r="E2185" s="2"/>
      <c r="F2185" s="2" t="s">
        <v>304</v>
      </c>
      <c r="G2185" s="2" t="s">
        <v>913</v>
      </c>
      <c r="H2185" s="2" t="s">
        <v>923</v>
      </c>
      <c r="I2185" s="2" t="s">
        <v>316</v>
      </c>
      <c r="J2185" s="2" t="s">
        <v>22</v>
      </c>
      <c r="K2185" s="72">
        <v>25.09</v>
      </c>
      <c r="L2185" s="39"/>
      <c r="M2185" s="72">
        <f t="shared" si="138"/>
        <v>-25.09</v>
      </c>
      <c r="N2185" s="72">
        <f t="shared" si="139"/>
        <v>518362.99999999948</v>
      </c>
    </row>
    <row r="2186" spans="1:14" x14ac:dyDescent="0.2">
      <c r="A2186" s="73" t="s">
        <v>1383</v>
      </c>
      <c r="B2186" s="3">
        <f t="shared" si="136"/>
        <v>2025</v>
      </c>
      <c r="C2186" s="3">
        <f t="shared" si="137"/>
        <v>10</v>
      </c>
      <c r="D2186" s="73" t="s">
        <v>893</v>
      </c>
      <c r="E2186" s="2"/>
      <c r="F2186" s="2" t="s">
        <v>304</v>
      </c>
      <c r="G2186" s="2" t="s">
        <v>1431</v>
      </c>
      <c r="H2186" s="2" t="s">
        <v>1035</v>
      </c>
      <c r="I2186" s="2" t="s">
        <v>316</v>
      </c>
      <c r="J2186" s="2" t="s">
        <v>22</v>
      </c>
      <c r="K2186" s="72">
        <v>7.72</v>
      </c>
      <c r="L2186" s="39"/>
      <c r="M2186" s="72">
        <f t="shared" si="138"/>
        <v>-7.72</v>
      </c>
      <c r="N2186" s="72">
        <f t="shared" si="139"/>
        <v>518355.2799999995</v>
      </c>
    </row>
    <row r="2187" spans="1:14" x14ac:dyDescent="0.2">
      <c r="A2187" s="73" t="s">
        <v>1383</v>
      </c>
      <c r="B2187" s="3">
        <f t="shared" si="136"/>
        <v>2025</v>
      </c>
      <c r="C2187" s="3">
        <f t="shared" si="137"/>
        <v>10</v>
      </c>
      <c r="D2187" s="73" t="s">
        <v>300</v>
      </c>
      <c r="E2187" s="2"/>
      <c r="F2187" s="2" t="s">
        <v>299</v>
      </c>
      <c r="G2187" s="2"/>
      <c r="H2187" s="2" t="s">
        <v>298</v>
      </c>
      <c r="I2187" s="2" t="s">
        <v>297</v>
      </c>
      <c r="J2187" s="2" t="s">
        <v>296</v>
      </c>
      <c r="K2187" s="72">
        <v>22476.36</v>
      </c>
      <c r="L2187" s="39"/>
      <c r="M2187" s="72">
        <f t="shared" si="138"/>
        <v>-22476.36</v>
      </c>
      <c r="N2187" s="72">
        <f t="shared" si="139"/>
        <v>495878.91999999952</v>
      </c>
    </row>
    <row r="2188" spans="1:14" x14ac:dyDescent="0.2">
      <c r="A2188" s="73" t="s">
        <v>1384</v>
      </c>
      <c r="B2188" s="3">
        <f t="shared" si="136"/>
        <v>2025</v>
      </c>
      <c r="C2188" s="3">
        <f t="shared" si="137"/>
        <v>10</v>
      </c>
      <c r="D2188" s="73" t="s">
        <v>893</v>
      </c>
      <c r="E2188" s="2"/>
      <c r="F2188" s="2" t="s">
        <v>304</v>
      </c>
      <c r="G2188" s="2" t="s">
        <v>1438</v>
      </c>
      <c r="H2188" s="2" t="s">
        <v>1001</v>
      </c>
      <c r="I2188" s="2" t="s">
        <v>316</v>
      </c>
      <c r="J2188" s="2" t="s">
        <v>22</v>
      </c>
      <c r="K2188" s="72">
        <v>4.82</v>
      </c>
      <c r="L2188" s="39"/>
      <c r="M2188" s="72">
        <f t="shared" si="138"/>
        <v>-4.82</v>
      </c>
      <c r="N2188" s="72">
        <f t="shared" si="139"/>
        <v>495874.09999999951</v>
      </c>
    </row>
    <row r="2189" spans="1:14" x14ac:dyDescent="0.2">
      <c r="A2189" s="73" t="s">
        <v>1384</v>
      </c>
      <c r="B2189" s="3">
        <f t="shared" si="136"/>
        <v>2025</v>
      </c>
      <c r="C2189" s="3">
        <f t="shared" si="137"/>
        <v>10</v>
      </c>
      <c r="D2189" s="73" t="s">
        <v>893</v>
      </c>
      <c r="E2189" s="2"/>
      <c r="F2189" s="2" t="s">
        <v>304</v>
      </c>
      <c r="G2189" s="2" t="s">
        <v>1438</v>
      </c>
      <c r="H2189" s="2" t="s">
        <v>1001</v>
      </c>
      <c r="I2189" s="2" t="s">
        <v>316</v>
      </c>
      <c r="J2189" s="2" t="s">
        <v>22</v>
      </c>
      <c r="K2189" s="72">
        <v>39.1</v>
      </c>
      <c r="L2189" s="39"/>
      <c r="M2189" s="72">
        <f t="shared" si="138"/>
        <v>-39.1</v>
      </c>
      <c r="N2189" s="72">
        <f t="shared" si="139"/>
        <v>495834.99999999953</v>
      </c>
    </row>
    <row r="2190" spans="1:14" x14ac:dyDescent="0.2">
      <c r="A2190" s="73" t="s">
        <v>1384</v>
      </c>
      <c r="B2190" s="3">
        <f t="shared" si="136"/>
        <v>2025</v>
      </c>
      <c r="C2190" s="3">
        <f t="shared" si="137"/>
        <v>10</v>
      </c>
      <c r="D2190" s="73" t="s">
        <v>893</v>
      </c>
      <c r="E2190" s="2"/>
      <c r="F2190" s="2" t="s">
        <v>304</v>
      </c>
      <c r="G2190" s="2" t="s">
        <v>1008</v>
      </c>
      <c r="H2190" s="2" t="s">
        <v>1007</v>
      </c>
      <c r="I2190" s="1" t="s">
        <v>316</v>
      </c>
      <c r="J2190" s="2" t="s">
        <v>17</v>
      </c>
      <c r="K2190" s="72">
        <v>34.119999999999997</v>
      </c>
      <c r="L2190" s="39"/>
      <c r="M2190" s="72">
        <f t="shared" si="138"/>
        <v>-34.119999999999997</v>
      </c>
      <c r="N2190" s="72">
        <f t="shared" si="139"/>
        <v>495800.87999999954</v>
      </c>
    </row>
    <row r="2191" spans="1:14" x14ac:dyDescent="0.2">
      <c r="A2191" s="73" t="s">
        <v>1384</v>
      </c>
      <c r="B2191" s="3">
        <f t="shared" si="136"/>
        <v>2025</v>
      </c>
      <c r="C2191" s="3">
        <f t="shared" si="137"/>
        <v>10</v>
      </c>
      <c r="D2191" s="73" t="s">
        <v>893</v>
      </c>
      <c r="E2191" s="2"/>
      <c r="F2191" s="2" t="s">
        <v>304</v>
      </c>
      <c r="G2191" s="2" t="s">
        <v>1439</v>
      </c>
      <c r="H2191" s="2" t="s">
        <v>956</v>
      </c>
      <c r="I2191" s="2" t="s">
        <v>316</v>
      </c>
      <c r="J2191" s="2" t="s">
        <v>22</v>
      </c>
      <c r="K2191" s="72">
        <v>110.85</v>
      </c>
      <c r="L2191" s="39"/>
      <c r="M2191" s="72">
        <f t="shared" si="138"/>
        <v>-110.85</v>
      </c>
      <c r="N2191" s="72">
        <f t="shared" si="139"/>
        <v>495690.02999999956</v>
      </c>
    </row>
    <row r="2192" spans="1:14" x14ac:dyDescent="0.2">
      <c r="A2192" s="73" t="s">
        <v>1384</v>
      </c>
      <c r="B2192" s="3">
        <f t="shared" si="136"/>
        <v>2025</v>
      </c>
      <c r="C2192" s="3">
        <f t="shared" si="137"/>
        <v>10</v>
      </c>
      <c r="D2192" s="73" t="s">
        <v>300</v>
      </c>
      <c r="E2192" s="2"/>
      <c r="F2192" s="2" t="s">
        <v>321</v>
      </c>
      <c r="G2192" s="2" t="s">
        <v>49</v>
      </c>
      <c r="H2192" s="2" t="s">
        <v>319</v>
      </c>
      <c r="I2192" s="2" t="s">
        <v>315</v>
      </c>
      <c r="J2192" s="2" t="s">
        <v>23</v>
      </c>
      <c r="K2192" s="72"/>
      <c r="L2192" s="39">
        <v>1930</v>
      </c>
      <c r="M2192" s="72">
        <f t="shared" si="138"/>
        <v>1930</v>
      </c>
      <c r="N2192" s="72">
        <f t="shared" si="139"/>
        <v>497620.02999999956</v>
      </c>
    </row>
    <row r="2193" spans="1:14" x14ac:dyDescent="0.2">
      <c r="A2193" s="73" t="s">
        <v>1384</v>
      </c>
      <c r="B2193" s="3">
        <f t="shared" si="136"/>
        <v>2025</v>
      </c>
      <c r="C2193" s="3">
        <f t="shared" si="137"/>
        <v>10</v>
      </c>
      <c r="D2193" s="73" t="s">
        <v>893</v>
      </c>
      <c r="E2193" s="2"/>
      <c r="F2193" s="2" t="s">
        <v>304</v>
      </c>
      <c r="G2193" s="2" t="s">
        <v>1440</v>
      </c>
      <c r="H2193" s="2" t="s">
        <v>927</v>
      </c>
      <c r="I2193" s="2" t="s">
        <v>316</v>
      </c>
      <c r="J2193" s="2" t="s">
        <v>22</v>
      </c>
      <c r="K2193" s="72">
        <v>35.72</v>
      </c>
      <c r="L2193" s="39"/>
      <c r="M2193" s="72">
        <f t="shared" si="138"/>
        <v>-35.72</v>
      </c>
      <c r="N2193" s="72">
        <f t="shared" si="139"/>
        <v>497584.30999999959</v>
      </c>
    </row>
    <row r="2194" spans="1:14" x14ac:dyDescent="0.2">
      <c r="A2194" s="73" t="s">
        <v>1384</v>
      </c>
      <c r="B2194" s="3">
        <f t="shared" si="136"/>
        <v>2025</v>
      </c>
      <c r="C2194" s="3">
        <f t="shared" si="137"/>
        <v>10</v>
      </c>
      <c r="D2194" s="73" t="s">
        <v>893</v>
      </c>
      <c r="E2194" s="2"/>
      <c r="F2194" s="2" t="s">
        <v>304</v>
      </c>
      <c r="G2194" s="2" t="s">
        <v>1441</v>
      </c>
      <c r="H2194" s="2" t="s">
        <v>1035</v>
      </c>
      <c r="I2194" s="2" t="s">
        <v>316</v>
      </c>
      <c r="J2194" s="2" t="s">
        <v>22</v>
      </c>
      <c r="K2194" s="72">
        <v>86.78</v>
      </c>
      <c r="L2194" s="39"/>
      <c r="M2194" s="72">
        <f t="shared" si="138"/>
        <v>-86.78</v>
      </c>
      <c r="N2194" s="72">
        <f t="shared" si="139"/>
        <v>497497.52999999956</v>
      </c>
    </row>
    <row r="2195" spans="1:14" x14ac:dyDescent="0.2">
      <c r="A2195" s="73" t="s">
        <v>1384</v>
      </c>
      <c r="B2195" s="3">
        <f t="shared" si="136"/>
        <v>2025</v>
      </c>
      <c r="C2195" s="3">
        <f t="shared" si="137"/>
        <v>10</v>
      </c>
      <c r="D2195" s="73" t="s">
        <v>893</v>
      </c>
      <c r="E2195" s="2"/>
      <c r="F2195" s="2" t="s">
        <v>304</v>
      </c>
      <c r="G2195" s="2" t="s">
        <v>1442</v>
      </c>
      <c r="H2195" s="2" t="s">
        <v>1001</v>
      </c>
      <c r="I2195" s="2" t="s">
        <v>316</v>
      </c>
      <c r="J2195" s="2" t="s">
        <v>22</v>
      </c>
      <c r="K2195" s="72">
        <v>198.27</v>
      </c>
      <c r="L2195" s="39"/>
      <c r="M2195" s="72">
        <f t="shared" si="138"/>
        <v>-198.27</v>
      </c>
      <c r="N2195" s="72">
        <f t="shared" si="139"/>
        <v>497299.25999999954</v>
      </c>
    </row>
    <row r="2196" spans="1:14" x14ac:dyDescent="0.2">
      <c r="A2196" s="73" t="s">
        <v>1384</v>
      </c>
      <c r="B2196" s="3">
        <f t="shared" si="136"/>
        <v>2025</v>
      </c>
      <c r="C2196" s="3">
        <f t="shared" si="137"/>
        <v>10</v>
      </c>
      <c r="D2196" s="73" t="s">
        <v>893</v>
      </c>
      <c r="E2196" s="2"/>
      <c r="F2196" s="2" t="s">
        <v>304</v>
      </c>
      <c r="G2196" s="2" t="s">
        <v>1443</v>
      </c>
      <c r="H2196" s="2" t="s">
        <v>956</v>
      </c>
      <c r="I2196" s="2" t="s">
        <v>316</v>
      </c>
      <c r="J2196" s="2" t="s">
        <v>22</v>
      </c>
      <c r="K2196" s="72">
        <v>25</v>
      </c>
      <c r="L2196" s="39"/>
      <c r="M2196" s="72">
        <f t="shared" si="138"/>
        <v>-25</v>
      </c>
      <c r="N2196" s="72">
        <f t="shared" si="139"/>
        <v>497274.25999999954</v>
      </c>
    </row>
    <row r="2197" spans="1:14" x14ac:dyDescent="0.2">
      <c r="A2197" s="73" t="s">
        <v>1384</v>
      </c>
      <c r="B2197" s="3">
        <f t="shared" si="136"/>
        <v>2025</v>
      </c>
      <c r="C2197" s="3">
        <f t="shared" si="137"/>
        <v>10</v>
      </c>
      <c r="D2197" s="73" t="s">
        <v>893</v>
      </c>
      <c r="E2197" s="2"/>
      <c r="F2197" s="2" t="s">
        <v>304</v>
      </c>
      <c r="G2197" s="2" t="s">
        <v>1444</v>
      </c>
      <c r="H2197" s="2" t="s">
        <v>1035</v>
      </c>
      <c r="I2197" s="2" t="s">
        <v>316</v>
      </c>
      <c r="J2197" s="2" t="s">
        <v>22</v>
      </c>
      <c r="K2197" s="72">
        <v>844.36</v>
      </c>
      <c r="L2197" s="39"/>
      <c r="M2197" s="72">
        <f t="shared" si="138"/>
        <v>-844.36</v>
      </c>
      <c r="N2197" s="72">
        <f t="shared" si="139"/>
        <v>496429.89999999956</v>
      </c>
    </row>
    <row r="2198" spans="1:14" x14ac:dyDescent="0.2">
      <c r="A2198" s="73" t="s">
        <v>1384</v>
      </c>
      <c r="B2198" s="3">
        <f t="shared" si="136"/>
        <v>2025</v>
      </c>
      <c r="C2198" s="3">
        <f t="shared" si="137"/>
        <v>10</v>
      </c>
      <c r="D2198" s="73" t="s">
        <v>300</v>
      </c>
      <c r="E2198" s="2"/>
      <c r="F2198" s="2" t="s">
        <v>304</v>
      </c>
      <c r="G2198" s="2" t="s">
        <v>344</v>
      </c>
      <c r="H2198" s="2" t="s">
        <v>343</v>
      </c>
      <c r="I2198" s="2" t="s">
        <v>301</v>
      </c>
      <c r="J2198" s="2" t="s">
        <v>11</v>
      </c>
      <c r="K2198" s="72">
        <v>10372.15</v>
      </c>
      <c r="L2198" s="39"/>
      <c r="M2198" s="72">
        <f t="shared" si="138"/>
        <v>-10372.15</v>
      </c>
      <c r="N2198" s="72">
        <f t="shared" si="139"/>
        <v>486057.74999999953</v>
      </c>
    </row>
    <row r="2199" spans="1:14" x14ac:dyDescent="0.2">
      <c r="A2199" s="73" t="s">
        <v>1384</v>
      </c>
      <c r="B2199" s="3">
        <f t="shared" si="136"/>
        <v>2025</v>
      </c>
      <c r="C2199" s="3">
        <f t="shared" si="137"/>
        <v>10</v>
      </c>
      <c r="D2199" s="73" t="s">
        <v>893</v>
      </c>
      <c r="E2199" s="2"/>
      <c r="F2199" s="2" t="s">
        <v>304</v>
      </c>
      <c r="G2199" s="2" t="s">
        <v>913</v>
      </c>
      <c r="H2199" s="2" t="s">
        <v>992</v>
      </c>
      <c r="I2199" s="2" t="s">
        <v>316</v>
      </c>
      <c r="J2199" s="2" t="s">
        <v>22</v>
      </c>
      <c r="K2199" s="72">
        <v>21.94</v>
      </c>
      <c r="L2199" s="39"/>
      <c r="M2199" s="72">
        <f t="shared" si="138"/>
        <v>-21.94</v>
      </c>
      <c r="N2199" s="72">
        <f t="shared" si="139"/>
        <v>486035.80999999953</v>
      </c>
    </row>
    <row r="2200" spans="1:14" x14ac:dyDescent="0.2">
      <c r="A2200" s="73" t="s">
        <v>1384</v>
      </c>
      <c r="B2200" s="3">
        <f t="shared" si="136"/>
        <v>2025</v>
      </c>
      <c r="C2200" s="3">
        <f t="shared" si="137"/>
        <v>10</v>
      </c>
      <c r="D2200" s="73" t="s">
        <v>893</v>
      </c>
      <c r="E2200" s="2"/>
      <c r="F2200" s="2" t="s">
        <v>304</v>
      </c>
      <c r="G2200" s="2" t="s">
        <v>913</v>
      </c>
      <c r="H2200" s="2" t="s">
        <v>923</v>
      </c>
      <c r="I2200" s="2" t="s">
        <v>316</v>
      </c>
      <c r="J2200" s="2" t="s">
        <v>22</v>
      </c>
      <c r="K2200" s="72">
        <v>54.82</v>
      </c>
      <c r="L2200" s="39"/>
      <c r="M2200" s="72">
        <f t="shared" si="138"/>
        <v>-54.82</v>
      </c>
      <c r="N2200" s="72">
        <f t="shared" si="139"/>
        <v>485980.98999999953</v>
      </c>
    </row>
    <row r="2201" spans="1:14" x14ac:dyDescent="0.2">
      <c r="A2201" s="73" t="s">
        <v>1384</v>
      </c>
      <c r="B2201" s="3">
        <f t="shared" si="136"/>
        <v>2025</v>
      </c>
      <c r="C2201" s="3">
        <f t="shared" si="137"/>
        <v>10</v>
      </c>
      <c r="D2201" s="73" t="s">
        <v>893</v>
      </c>
      <c r="E2201" s="2"/>
      <c r="F2201" s="2" t="s">
        <v>304</v>
      </c>
      <c r="G2201" s="2" t="s">
        <v>913</v>
      </c>
      <c r="H2201" s="2" t="s">
        <v>937</v>
      </c>
      <c r="I2201" s="2" t="s">
        <v>316</v>
      </c>
      <c r="J2201" s="2" t="s">
        <v>22</v>
      </c>
      <c r="K2201" s="72">
        <v>36.94</v>
      </c>
      <c r="L2201" s="39"/>
      <c r="M2201" s="72">
        <f t="shared" si="138"/>
        <v>-36.94</v>
      </c>
      <c r="N2201" s="72">
        <f t="shared" si="139"/>
        <v>485944.04999999952</v>
      </c>
    </row>
    <row r="2202" spans="1:14" x14ac:dyDescent="0.2">
      <c r="A2202" s="73" t="s">
        <v>1384</v>
      </c>
      <c r="B2202" s="3">
        <f t="shared" si="136"/>
        <v>2025</v>
      </c>
      <c r="C2202" s="3">
        <f t="shared" si="137"/>
        <v>10</v>
      </c>
      <c r="D2202" s="73" t="s">
        <v>893</v>
      </c>
      <c r="E2202" s="2"/>
      <c r="F2202" s="2" t="s">
        <v>304</v>
      </c>
      <c r="G2202" s="2" t="s">
        <v>913</v>
      </c>
      <c r="H2202" s="2" t="s">
        <v>923</v>
      </c>
      <c r="I2202" s="2" t="s">
        <v>316</v>
      </c>
      <c r="J2202" s="2" t="s">
        <v>22</v>
      </c>
      <c r="K2202" s="72">
        <v>35.44</v>
      </c>
      <c r="L2202" s="39"/>
      <c r="M2202" s="72">
        <f t="shared" si="138"/>
        <v>-35.44</v>
      </c>
      <c r="N2202" s="72">
        <f t="shared" si="139"/>
        <v>485908.60999999952</v>
      </c>
    </row>
    <row r="2203" spans="1:14" x14ac:dyDescent="0.2">
      <c r="A2203" s="73" t="s">
        <v>1384</v>
      </c>
      <c r="B2203" s="3">
        <f t="shared" si="136"/>
        <v>2025</v>
      </c>
      <c r="C2203" s="3">
        <f t="shared" si="137"/>
        <v>10</v>
      </c>
      <c r="D2203" s="73" t="s">
        <v>893</v>
      </c>
      <c r="E2203" s="2"/>
      <c r="F2203" s="2" t="s">
        <v>304</v>
      </c>
      <c r="G2203" s="2" t="s">
        <v>913</v>
      </c>
      <c r="H2203" s="2" t="s">
        <v>883</v>
      </c>
      <c r="I2203" s="2" t="s">
        <v>316</v>
      </c>
      <c r="J2203" s="2" t="s">
        <v>22</v>
      </c>
      <c r="K2203" s="72">
        <v>9.18</v>
      </c>
      <c r="L2203" s="39"/>
      <c r="M2203" s="72">
        <f t="shared" si="138"/>
        <v>-9.18</v>
      </c>
      <c r="N2203" s="72">
        <f t="shared" si="139"/>
        <v>485899.42999999953</v>
      </c>
    </row>
    <row r="2204" spans="1:14" x14ac:dyDescent="0.2">
      <c r="A2204" s="73" t="s">
        <v>1384</v>
      </c>
      <c r="B2204" s="3">
        <f t="shared" si="136"/>
        <v>2025</v>
      </c>
      <c r="C2204" s="3">
        <f t="shared" si="137"/>
        <v>10</v>
      </c>
      <c r="D2204" s="73" t="s">
        <v>893</v>
      </c>
      <c r="E2204" s="2"/>
      <c r="F2204" s="2" t="s">
        <v>304</v>
      </c>
      <c r="G2204" s="2" t="s">
        <v>913</v>
      </c>
      <c r="H2204" s="2" t="s">
        <v>937</v>
      </c>
      <c r="I2204" s="2" t="s">
        <v>316</v>
      </c>
      <c r="J2204" s="2" t="s">
        <v>22</v>
      </c>
      <c r="K2204" s="72">
        <v>17.96</v>
      </c>
      <c r="L2204" s="39"/>
      <c r="M2204" s="72">
        <f t="shared" si="138"/>
        <v>-17.96</v>
      </c>
      <c r="N2204" s="72">
        <f t="shared" si="139"/>
        <v>485881.46999999951</v>
      </c>
    </row>
    <row r="2205" spans="1:14" x14ac:dyDescent="0.2">
      <c r="A2205" s="73" t="s">
        <v>1384</v>
      </c>
      <c r="B2205" s="3">
        <f t="shared" si="136"/>
        <v>2025</v>
      </c>
      <c r="C2205" s="3">
        <f t="shared" si="137"/>
        <v>10</v>
      </c>
      <c r="D2205" s="73" t="s">
        <v>893</v>
      </c>
      <c r="E2205" s="2"/>
      <c r="F2205" s="2" t="s">
        <v>304</v>
      </c>
      <c r="G2205" s="2" t="s">
        <v>913</v>
      </c>
      <c r="H2205" s="2" t="s">
        <v>884</v>
      </c>
      <c r="I2205" s="2" t="s">
        <v>316</v>
      </c>
      <c r="J2205" s="2" t="s">
        <v>22</v>
      </c>
      <c r="K2205" s="72">
        <v>31.16</v>
      </c>
      <c r="L2205" s="39"/>
      <c r="M2205" s="72">
        <f t="shared" si="138"/>
        <v>-31.16</v>
      </c>
      <c r="N2205" s="72">
        <f t="shared" si="139"/>
        <v>485850.30999999953</v>
      </c>
    </row>
    <row r="2206" spans="1:14" x14ac:dyDescent="0.2">
      <c r="A2206" s="73" t="s">
        <v>1384</v>
      </c>
      <c r="B2206" s="3">
        <f t="shared" si="136"/>
        <v>2025</v>
      </c>
      <c r="C2206" s="3">
        <f t="shared" si="137"/>
        <v>10</v>
      </c>
      <c r="D2206" s="73" t="s">
        <v>893</v>
      </c>
      <c r="E2206" s="2"/>
      <c r="F2206" s="2" t="s">
        <v>304</v>
      </c>
      <c r="G2206" s="2" t="s">
        <v>913</v>
      </c>
      <c r="H2206" s="2" t="s">
        <v>884</v>
      </c>
      <c r="I2206" s="2" t="s">
        <v>316</v>
      </c>
      <c r="J2206" s="2" t="s">
        <v>22</v>
      </c>
      <c r="K2206" s="72">
        <v>74.12</v>
      </c>
      <c r="L2206" s="39"/>
      <c r="M2206" s="72">
        <f t="shared" si="138"/>
        <v>-74.12</v>
      </c>
      <c r="N2206" s="72">
        <f t="shared" si="139"/>
        <v>485776.18999999954</v>
      </c>
    </row>
    <row r="2207" spans="1:14" x14ac:dyDescent="0.2">
      <c r="A2207" s="73" t="s">
        <v>1384</v>
      </c>
      <c r="B2207" s="3">
        <f t="shared" si="136"/>
        <v>2025</v>
      </c>
      <c r="C2207" s="3">
        <f t="shared" si="137"/>
        <v>10</v>
      </c>
      <c r="D2207" s="73" t="s">
        <v>893</v>
      </c>
      <c r="E2207" s="2"/>
      <c r="F2207" s="2" t="s">
        <v>304</v>
      </c>
      <c r="G2207" s="2" t="s">
        <v>913</v>
      </c>
      <c r="H2207" s="2" t="s">
        <v>884</v>
      </c>
      <c r="I2207" s="2" t="s">
        <v>316</v>
      </c>
      <c r="J2207" s="2" t="s">
        <v>22</v>
      </c>
      <c r="K2207" s="72">
        <v>27.6</v>
      </c>
      <c r="L2207" s="39"/>
      <c r="M2207" s="72">
        <f t="shared" si="138"/>
        <v>-27.6</v>
      </c>
      <c r="N2207" s="72">
        <f t="shared" si="139"/>
        <v>485748.58999999956</v>
      </c>
    </row>
    <row r="2208" spans="1:14" x14ac:dyDescent="0.2">
      <c r="A2208" s="73" t="s">
        <v>1384</v>
      </c>
      <c r="B2208" s="3">
        <f t="shared" si="136"/>
        <v>2025</v>
      </c>
      <c r="C2208" s="3">
        <f t="shared" si="137"/>
        <v>10</v>
      </c>
      <c r="D2208" s="73" t="s">
        <v>893</v>
      </c>
      <c r="E2208" s="2"/>
      <c r="F2208" s="2" t="s">
        <v>304</v>
      </c>
      <c r="G2208" s="2" t="s">
        <v>913</v>
      </c>
      <c r="H2208" s="2" t="s">
        <v>992</v>
      </c>
      <c r="I2208" s="2" t="s">
        <v>316</v>
      </c>
      <c r="J2208" s="2" t="s">
        <v>22</v>
      </c>
      <c r="K2208" s="72">
        <v>31.94</v>
      </c>
      <c r="L2208" s="39"/>
      <c r="M2208" s="72">
        <f t="shared" si="138"/>
        <v>-31.94</v>
      </c>
      <c r="N2208" s="72">
        <f t="shared" si="139"/>
        <v>485716.64999999956</v>
      </c>
    </row>
    <row r="2209" spans="1:14" x14ac:dyDescent="0.2">
      <c r="A2209" s="73" t="s">
        <v>1384</v>
      </c>
      <c r="B2209" s="3">
        <f t="shared" si="136"/>
        <v>2025</v>
      </c>
      <c r="C2209" s="3">
        <f t="shared" si="137"/>
        <v>10</v>
      </c>
      <c r="D2209" s="73" t="s">
        <v>893</v>
      </c>
      <c r="E2209" s="2"/>
      <c r="F2209" s="2" t="s">
        <v>304</v>
      </c>
      <c r="G2209" s="2" t="s">
        <v>913</v>
      </c>
      <c r="H2209" s="2" t="s">
        <v>992</v>
      </c>
      <c r="I2209" s="2" t="s">
        <v>316</v>
      </c>
      <c r="J2209" s="2" t="s">
        <v>22</v>
      </c>
      <c r="K2209" s="72">
        <v>5</v>
      </c>
      <c r="L2209" s="39"/>
      <c r="M2209" s="72">
        <f t="shared" si="138"/>
        <v>-5</v>
      </c>
      <c r="N2209" s="72">
        <f t="shared" si="139"/>
        <v>485711.64999999956</v>
      </c>
    </row>
    <row r="2210" spans="1:14" x14ac:dyDescent="0.2">
      <c r="A2210" s="73" t="s">
        <v>1384</v>
      </c>
      <c r="B2210" s="3">
        <f t="shared" si="136"/>
        <v>2025</v>
      </c>
      <c r="C2210" s="3">
        <f t="shared" si="137"/>
        <v>10</v>
      </c>
      <c r="D2210" s="73" t="s">
        <v>893</v>
      </c>
      <c r="E2210" s="2"/>
      <c r="F2210" s="2" t="s">
        <v>304</v>
      </c>
      <c r="G2210" s="2" t="s">
        <v>913</v>
      </c>
      <c r="H2210" s="2" t="s">
        <v>992</v>
      </c>
      <c r="I2210" s="2" t="s">
        <v>316</v>
      </c>
      <c r="J2210" s="2" t="s">
        <v>22</v>
      </c>
      <c r="K2210" s="72">
        <v>5</v>
      </c>
      <c r="L2210" s="39"/>
      <c r="M2210" s="72">
        <f t="shared" si="138"/>
        <v>-5</v>
      </c>
      <c r="N2210" s="72">
        <f t="shared" si="139"/>
        <v>485706.64999999956</v>
      </c>
    </row>
    <row r="2211" spans="1:14" x14ac:dyDescent="0.2">
      <c r="A2211" s="73" t="s">
        <v>1384</v>
      </c>
      <c r="B2211" s="3">
        <f t="shared" si="136"/>
        <v>2025</v>
      </c>
      <c r="C2211" s="3">
        <f t="shared" si="137"/>
        <v>10</v>
      </c>
      <c r="D2211" s="73" t="s">
        <v>893</v>
      </c>
      <c r="E2211" s="2"/>
      <c r="F2211" s="2" t="s">
        <v>304</v>
      </c>
      <c r="G2211" s="2" t="s">
        <v>913</v>
      </c>
      <c r="H2211" s="2" t="s">
        <v>992</v>
      </c>
      <c r="I2211" s="2" t="s">
        <v>316</v>
      </c>
      <c r="J2211" s="2" t="s">
        <v>22</v>
      </c>
      <c r="K2211" s="72">
        <v>20.94</v>
      </c>
      <c r="L2211" s="39"/>
      <c r="M2211" s="72">
        <f t="shared" si="138"/>
        <v>-20.94</v>
      </c>
      <c r="N2211" s="72">
        <f t="shared" si="139"/>
        <v>485685.70999999956</v>
      </c>
    </row>
    <row r="2212" spans="1:14" x14ac:dyDescent="0.2">
      <c r="A2212" s="73" t="s">
        <v>1384</v>
      </c>
      <c r="B2212" s="3">
        <f t="shared" si="136"/>
        <v>2025</v>
      </c>
      <c r="C2212" s="3">
        <f t="shared" si="137"/>
        <v>10</v>
      </c>
      <c r="D2212" s="73" t="s">
        <v>893</v>
      </c>
      <c r="E2212" s="2"/>
      <c r="F2212" s="2" t="s">
        <v>304</v>
      </c>
      <c r="G2212" s="2" t="s">
        <v>913</v>
      </c>
      <c r="H2212" s="2" t="s">
        <v>937</v>
      </c>
      <c r="I2212" s="2" t="s">
        <v>316</v>
      </c>
      <c r="J2212" s="2" t="s">
        <v>22</v>
      </c>
      <c r="K2212" s="72">
        <v>46.66</v>
      </c>
      <c r="L2212" s="39"/>
      <c r="M2212" s="72">
        <f t="shared" si="138"/>
        <v>-46.66</v>
      </c>
      <c r="N2212" s="72">
        <f t="shared" si="139"/>
        <v>485639.04999999958</v>
      </c>
    </row>
    <row r="2213" spans="1:14" x14ac:dyDescent="0.2">
      <c r="A2213" s="73" t="s">
        <v>1384</v>
      </c>
      <c r="B2213" s="3">
        <f t="shared" si="136"/>
        <v>2025</v>
      </c>
      <c r="C2213" s="3">
        <f t="shared" si="137"/>
        <v>10</v>
      </c>
      <c r="D2213" s="73" t="s">
        <v>893</v>
      </c>
      <c r="E2213" s="2"/>
      <c r="F2213" s="2" t="s">
        <v>304</v>
      </c>
      <c r="G2213" s="2" t="s">
        <v>913</v>
      </c>
      <c r="H2213" s="2" t="s">
        <v>992</v>
      </c>
      <c r="I2213" s="2" t="s">
        <v>316</v>
      </c>
      <c r="J2213" s="2" t="s">
        <v>22</v>
      </c>
      <c r="K2213" s="72">
        <v>20.96</v>
      </c>
      <c r="L2213" s="39"/>
      <c r="M2213" s="72">
        <f t="shared" si="138"/>
        <v>-20.96</v>
      </c>
      <c r="N2213" s="72">
        <f t="shared" si="139"/>
        <v>485618.08999999956</v>
      </c>
    </row>
    <row r="2214" spans="1:14" x14ac:dyDescent="0.2">
      <c r="A2214" s="73" t="s">
        <v>1384</v>
      </c>
      <c r="B2214" s="3">
        <f t="shared" si="136"/>
        <v>2025</v>
      </c>
      <c r="C2214" s="3">
        <f t="shared" si="137"/>
        <v>10</v>
      </c>
      <c r="D2214" s="73" t="s">
        <v>893</v>
      </c>
      <c r="E2214" s="2"/>
      <c r="F2214" s="2" t="s">
        <v>304</v>
      </c>
      <c r="G2214" s="2" t="s">
        <v>953</v>
      </c>
      <c r="H2214" s="2" t="s">
        <v>884</v>
      </c>
      <c r="I2214" s="2" t="s">
        <v>316</v>
      </c>
      <c r="J2214" s="2" t="s">
        <v>22</v>
      </c>
      <c r="K2214" s="72">
        <v>10</v>
      </c>
      <c r="L2214" s="39"/>
      <c r="M2214" s="72">
        <f t="shared" si="138"/>
        <v>-10</v>
      </c>
      <c r="N2214" s="72">
        <f t="shared" si="139"/>
        <v>485608.08999999956</v>
      </c>
    </row>
    <row r="2215" spans="1:14" x14ac:dyDescent="0.2">
      <c r="A2215" s="73" t="s">
        <v>1384</v>
      </c>
      <c r="B2215" s="3">
        <f t="shared" si="136"/>
        <v>2025</v>
      </c>
      <c r="C2215" s="3">
        <f t="shared" si="137"/>
        <v>10</v>
      </c>
      <c r="D2215" s="73" t="s">
        <v>893</v>
      </c>
      <c r="E2215" s="2"/>
      <c r="F2215" s="2" t="s">
        <v>304</v>
      </c>
      <c r="G2215" s="2" t="s">
        <v>953</v>
      </c>
      <c r="H2215" s="2" t="s">
        <v>884</v>
      </c>
      <c r="I2215" s="2" t="s">
        <v>316</v>
      </c>
      <c r="J2215" s="2" t="s">
        <v>22</v>
      </c>
      <c r="K2215" s="72">
        <v>10</v>
      </c>
      <c r="L2215" s="39"/>
      <c r="M2215" s="72">
        <f t="shared" si="138"/>
        <v>-10</v>
      </c>
      <c r="N2215" s="72">
        <f t="shared" si="139"/>
        <v>485598.08999999956</v>
      </c>
    </row>
    <row r="2216" spans="1:14" x14ac:dyDescent="0.2">
      <c r="A2216" s="73" t="s">
        <v>1384</v>
      </c>
      <c r="B2216" s="3">
        <f t="shared" si="136"/>
        <v>2025</v>
      </c>
      <c r="C2216" s="3">
        <f t="shared" si="137"/>
        <v>10</v>
      </c>
      <c r="D2216" s="73" t="s">
        <v>893</v>
      </c>
      <c r="E2216" s="2"/>
      <c r="F2216" s="2" t="s">
        <v>304</v>
      </c>
      <c r="G2216" s="2" t="s">
        <v>1431</v>
      </c>
      <c r="H2216" s="2" t="s">
        <v>1035</v>
      </c>
      <c r="I2216" s="2" t="s">
        <v>316</v>
      </c>
      <c r="J2216" s="2" t="s">
        <v>22</v>
      </c>
      <c r="K2216" s="72">
        <v>45.03</v>
      </c>
      <c r="L2216" s="39"/>
      <c r="M2216" s="72">
        <f t="shared" si="138"/>
        <v>-45.03</v>
      </c>
      <c r="N2216" s="72">
        <f t="shared" si="139"/>
        <v>485553.05999999953</v>
      </c>
    </row>
    <row r="2217" spans="1:14" x14ac:dyDescent="0.2">
      <c r="A2217" s="73" t="s">
        <v>1384</v>
      </c>
      <c r="B2217" s="3">
        <f t="shared" si="136"/>
        <v>2025</v>
      </c>
      <c r="C2217" s="3">
        <f t="shared" si="137"/>
        <v>10</v>
      </c>
      <c r="D2217" s="73" t="s">
        <v>893</v>
      </c>
      <c r="E2217" s="2"/>
      <c r="F2217" s="2" t="s">
        <v>304</v>
      </c>
      <c r="G2217" s="2" t="s">
        <v>1445</v>
      </c>
      <c r="H2217" s="2" t="s">
        <v>992</v>
      </c>
      <c r="I2217" s="2" t="s">
        <v>316</v>
      </c>
      <c r="J2217" s="2" t="s">
        <v>22</v>
      </c>
      <c r="K2217" s="72">
        <v>20.16</v>
      </c>
      <c r="L2217" s="39"/>
      <c r="M2217" s="72">
        <f t="shared" si="138"/>
        <v>-20.16</v>
      </c>
      <c r="N2217" s="72">
        <f t="shared" si="139"/>
        <v>485532.89999999956</v>
      </c>
    </row>
    <row r="2218" spans="1:14" x14ac:dyDescent="0.2">
      <c r="A2218" s="73" t="s">
        <v>1384</v>
      </c>
      <c r="B2218" s="3">
        <f t="shared" si="136"/>
        <v>2025</v>
      </c>
      <c r="C2218" s="3">
        <f t="shared" si="137"/>
        <v>10</v>
      </c>
      <c r="D2218" s="73" t="s">
        <v>300</v>
      </c>
      <c r="E2218" s="2"/>
      <c r="F2218" s="2" t="s">
        <v>304</v>
      </c>
      <c r="G2218" s="2" t="s">
        <v>303</v>
      </c>
      <c r="H2218" s="2" t="s">
        <v>302</v>
      </c>
      <c r="I2218" s="2" t="s">
        <v>301</v>
      </c>
      <c r="J2218" s="2" t="s">
        <v>11</v>
      </c>
      <c r="K2218" s="72">
        <v>208.34</v>
      </c>
      <c r="L2218" s="39"/>
      <c r="M2218" s="72">
        <f t="shared" si="138"/>
        <v>-208.34</v>
      </c>
      <c r="N2218" s="72">
        <f t="shared" si="139"/>
        <v>485324.55999999953</v>
      </c>
    </row>
    <row r="2219" spans="1:14" x14ac:dyDescent="0.2">
      <c r="A2219" s="73" t="s">
        <v>1384</v>
      </c>
      <c r="B2219" s="3">
        <f t="shared" si="136"/>
        <v>2025</v>
      </c>
      <c r="C2219" s="3">
        <f t="shared" si="137"/>
        <v>10</v>
      </c>
      <c r="D2219" s="73" t="s">
        <v>300</v>
      </c>
      <c r="E2219" s="2"/>
      <c r="F2219" s="2" t="s">
        <v>299</v>
      </c>
      <c r="G2219" s="2"/>
      <c r="H2219" s="2" t="s">
        <v>298</v>
      </c>
      <c r="I2219" s="2" t="s">
        <v>297</v>
      </c>
      <c r="J2219" s="2" t="s">
        <v>296</v>
      </c>
      <c r="K2219" s="72"/>
      <c r="L2219" s="39">
        <v>8650.49</v>
      </c>
      <c r="M2219" s="72">
        <f t="shared" si="138"/>
        <v>8650.49</v>
      </c>
      <c r="N2219" s="72">
        <f t="shared" si="139"/>
        <v>493975.04999999952</v>
      </c>
    </row>
    <row r="2220" spans="1:14" x14ac:dyDescent="0.2">
      <c r="A2220" s="73" t="s">
        <v>1385</v>
      </c>
      <c r="B2220" s="3">
        <f t="shared" si="136"/>
        <v>2025</v>
      </c>
      <c r="C2220" s="3">
        <f t="shared" si="137"/>
        <v>10</v>
      </c>
      <c r="D2220" s="73" t="s">
        <v>893</v>
      </c>
      <c r="E2220" s="2"/>
      <c r="F2220" s="2" t="s">
        <v>304</v>
      </c>
      <c r="G2220" s="2" t="s">
        <v>1446</v>
      </c>
      <c r="H2220" s="2" t="s">
        <v>992</v>
      </c>
      <c r="I2220" s="2" t="s">
        <v>316</v>
      </c>
      <c r="J2220" s="2" t="s">
        <v>22</v>
      </c>
      <c r="K2220" s="72">
        <v>58.75</v>
      </c>
      <c r="L2220" s="39"/>
      <c r="M2220" s="72">
        <f t="shared" si="138"/>
        <v>-58.75</v>
      </c>
      <c r="N2220" s="72">
        <f t="shared" si="139"/>
        <v>493916.29999999952</v>
      </c>
    </row>
    <row r="2221" spans="1:14" x14ac:dyDescent="0.2">
      <c r="A2221" s="73" t="s">
        <v>1385</v>
      </c>
      <c r="B2221" s="3">
        <f t="shared" si="136"/>
        <v>2025</v>
      </c>
      <c r="C2221" s="3">
        <f t="shared" si="137"/>
        <v>10</v>
      </c>
      <c r="D2221" s="73" t="s">
        <v>893</v>
      </c>
      <c r="E2221" s="2"/>
      <c r="F2221" s="2" t="s">
        <v>304</v>
      </c>
      <c r="G2221" s="2" t="s">
        <v>1447</v>
      </c>
      <c r="H2221" s="2" t="s">
        <v>884</v>
      </c>
      <c r="I2221" s="2" t="s">
        <v>316</v>
      </c>
      <c r="J2221" s="2" t="s">
        <v>22</v>
      </c>
      <c r="K2221" s="72">
        <v>81.44</v>
      </c>
      <c r="L2221" s="39"/>
      <c r="M2221" s="72">
        <f t="shared" si="138"/>
        <v>-81.44</v>
      </c>
      <c r="N2221" s="72">
        <f t="shared" si="139"/>
        <v>493834.85999999952</v>
      </c>
    </row>
    <row r="2222" spans="1:14" x14ac:dyDescent="0.2">
      <c r="A2222" s="73" t="s">
        <v>1385</v>
      </c>
      <c r="B2222" s="3">
        <f t="shared" si="136"/>
        <v>2025</v>
      </c>
      <c r="C2222" s="3">
        <f t="shared" si="137"/>
        <v>10</v>
      </c>
      <c r="D2222" s="73" t="s">
        <v>893</v>
      </c>
      <c r="E2222" s="2"/>
      <c r="F2222" s="2" t="s">
        <v>938</v>
      </c>
      <c r="G2222" s="2" t="s">
        <v>1322</v>
      </c>
      <c r="H2222" s="2" t="s">
        <v>1323</v>
      </c>
      <c r="I2222" s="2" t="s">
        <v>316</v>
      </c>
      <c r="J2222" s="2" t="s">
        <v>28</v>
      </c>
      <c r="K2222" s="72"/>
      <c r="L2222" s="39">
        <v>345.51</v>
      </c>
      <c r="M2222" s="72">
        <f t="shared" si="138"/>
        <v>345.51</v>
      </c>
      <c r="N2222" s="72">
        <f t="shared" si="139"/>
        <v>494180.36999999953</v>
      </c>
    </row>
    <row r="2223" spans="1:14" x14ac:dyDescent="0.2">
      <c r="A2223" s="73" t="s">
        <v>1385</v>
      </c>
      <c r="B2223" s="3">
        <f t="shared" si="136"/>
        <v>2025</v>
      </c>
      <c r="C2223" s="3">
        <f t="shared" si="137"/>
        <v>10</v>
      </c>
      <c r="D2223" s="73" t="s">
        <v>893</v>
      </c>
      <c r="E2223" s="2"/>
      <c r="F2223" s="2" t="s">
        <v>304</v>
      </c>
      <c r="G2223" s="2" t="s">
        <v>1181</v>
      </c>
      <c r="H2223" s="2" t="s">
        <v>1007</v>
      </c>
      <c r="I2223" s="1" t="s">
        <v>316</v>
      </c>
      <c r="J2223" s="2" t="s">
        <v>17</v>
      </c>
      <c r="K2223" s="72">
        <v>73.86</v>
      </c>
      <c r="L2223" s="39"/>
      <c r="M2223" s="72">
        <f t="shared" si="138"/>
        <v>-73.86</v>
      </c>
      <c r="N2223" s="72">
        <f t="shared" si="139"/>
        <v>494106.50999999954</v>
      </c>
    </row>
    <row r="2224" spans="1:14" x14ac:dyDescent="0.2">
      <c r="A2224" s="73" t="s">
        <v>1385</v>
      </c>
      <c r="B2224" s="3">
        <f t="shared" si="136"/>
        <v>2025</v>
      </c>
      <c r="C2224" s="3">
        <f t="shared" si="137"/>
        <v>10</v>
      </c>
      <c r="D2224" s="73" t="s">
        <v>300</v>
      </c>
      <c r="E2224" s="2"/>
      <c r="F2224" s="2" t="s">
        <v>325</v>
      </c>
      <c r="G2224" s="2" t="s">
        <v>1397</v>
      </c>
      <c r="H2224" s="2" t="s">
        <v>323</v>
      </c>
      <c r="I2224" s="2" t="s">
        <v>316</v>
      </c>
      <c r="J2224" s="2" t="s">
        <v>22</v>
      </c>
      <c r="K2224" s="72">
        <v>126.43</v>
      </c>
      <c r="L2224" s="39"/>
      <c r="M2224" s="72">
        <f t="shared" si="138"/>
        <v>-126.43</v>
      </c>
      <c r="N2224" s="72">
        <f t="shared" si="139"/>
        <v>493980.07999999955</v>
      </c>
    </row>
    <row r="2225" spans="1:14" x14ac:dyDescent="0.2">
      <c r="A2225" s="73" t="s">
        <v>1385</v>
      </c>
      <c r="B2225" s="3">
        <f t="shared" si="136"/>
        <v>2025</v>
      </c>
      <c r="C2225" s="3">
        <f t="shared" si="137"/>
        <v>10</v>
      </c>
      <c r="D2225" s="73" t="s">
        <v>893</v>
      </c>
      <c r="E2225" s="2"/>
      <c r="F2225" s="2" t="s">
        <v>304</v>
      </c>
      <c r="G2225" s="2" t="s">
        <v>1448</v>
      </c>
      <c r="H2225" s="2" t="s">
        <v>956</v>
      </c>
      <c r="I2225" s="2" t="s">
        <v>316</v>
      </c>
      <c r="J2225" s="2" t="s">
        <v>22</v>
      </c>
      <c r="K2225" s="72">
        <v>18.41</v>
      </c>
      <c r="L2225" s="39"/>
      <c r="M2225" s="72">
        <f t="shared" si="138"/>
        <v>-18.41</v>
      </c>
      <c r="N2225" s="72">
        <f t="shared" si="139"/>
        <v>493961.66999999958</v>
      </c>
    </row>
    <row r="2226" spans="1:14" x14ac:dyDescent="0.2">
      <c r="A2226" s="73" t="s">
        <v>1385</v>
      </c>
      <c r="B2226" s="3">
        <f t="shared" si="136"/>
        <v>2025</v>
      </c>
      <c r="C2226" s="3">
        <f t="shared" si="137"/>
        <v>10</v>
      </c>
      <c r="D2226" s="73" t="s">
        <v>300</v>
      </c>
      <c r="E2226" s="2"/>
      <c r="F2226" s="2" t="s">
        <v>325</v>
      </c>
      <c r="G2226" s="2" t="s">
        <v>1398</v>
      </c>
      <c r="H2226" s="2" t="s">
        <v>323</v>
      </c>
      <c r="I2226" s="2" t="s">
        <v>316</v>
      </c>
      <c r="J2226" s="2" t="s">
        <v>22</v>
      </c>
      <c r="K2226" s="72">
        <v>200</v>
      </c>
      <c r="L2226" s="39"/>
      <c r="M2226" s="72">
        <f t="shared" si="138"/>
        <v>-200</v>
      </c>
      <c r="N2226" s="72">
        <f t="shared" si="139"/>
        <v>493761.66999999958</v>
      </c>
    </row>
    <row r="2227" spans="1:14" x14ac:dyDescent="0.2">
      <c r="A2227" s="73" t="s">
        <v>1385</v>
      </c>
      <c r="B2227" s="3">
        <f t="shared" si="136"/>
        <v>2025</v>
      </c>
      <c r="C2227" s="3">
        <f t="shared" si="137"/>
        <v>10</v>
      </c>
      <c r="D2227" s="73" t="s">
        <v>893</v>
      </c>
      <c r="E2227" s="2"/>
      <c r="F2227" s="2" t="s">
        <v>304</v>
      </c>
      <c r="G2227" s="2" t="s">
        <v>925</v>
      </c>
      <c r="H2227" s="2" t="s">
        <v>992</v>
      </c>
      <c r="I2227" s="2" t="s">
        <v>316</v>
      </c>
      <c r="J2227" s="2" t="s">
        <v>22</v>
      </c>
      <c r="K2227" s="72">
        <v>35</v>
      </c>
      <c r="L2227" s="39"/>
      <c r="M2227" s="72">
        <f t="shared" si="138"/>
        <v>-35</v>
      </c>
      <c r="N2227" s="72">
        <f t="shared" si="139"/>
        <v>493726.66999999958</v>
      </c>
    </row>
    <row r="2228" spans="1:14" x14ac:dyDescent="0.2">
      <c r="A2228" s="73" t="s">
        <v>1385</v>
      </c>
      <c r="B2228" s="3">
        <f t="shared" si="136"/>
        <v>2025</v>
      </c>
      <c r="C2228" s="3">
        <f t="shared" si="137"/>
        <v>10</v>
      </c>
      <c r="D2228" s="73" t="s">
        <v>893</v>
      </c>
      <c r="E2228" s="2"/>
      <c r="F2228" s="2" t="s">
        <v>304</v>
      </c>
      <c r="G2228" s="2" t="s">
        <v>1449</v>
      </c>
      <c r="H2228" s="2" t="s">
        <v>927</v>
      </c>
      <c r="I2228" s="2" t="s">
        <v>316</v>
      </c>
      <c r="J2228" s="2" t="s">
        <v>22</v>
      </c>
      <c r="K2228" s="72">
        <v>102.6</v>
      </c>
      <c r="L2228" s="39"/>
      <c r="M2228" s="72">
        <f t="shared" si="138"/>
        <v>-102.6</v>
      </c>
      <c r="N2228" s="72">
        <f t="shared" si="139"/>
        <v>493624.0699999996</v>
      </c>
    </row>
    <row r="2229" spans="1:14" x14ac:dyDescent="0.2">
      <c r="A2229" s="73" t="s">
        <v>1385</v>
      </c>
      <c r="B2229" s="3">
        <f t="shared" si="136"/>
        <v>2025</v>
      </c>
      <c r="C2229" s="3">
        <f t="shared" si="137"/>
        <v>10</v>
      </c>
      <c r="D2229" s="73" t="s">
        <v>893</v>
      </c>
      <c r="E2229" s="2"/>
      <c r="F2229" s="2" t="s">
        <v>304</v>
      </c>
      <c r="G2229" s="2" t="s">
        <v>1450</v>
      </c>
      <c r="H2229" s="2" t="s">
        <v>1001</v>
      </c>
      <c r="I2229" s="2" t="s">
        <v>316</v>
      </c>
      <c r="J2229" s="2" t="s">
        <v>22</v>
      </c>
      <c r="K2229" s="72">
        <v>14.02</v>
      </c>
      <c r="L2229" s="39"/>
      <c r="M2229" s="72">
        <f t="shared" si="138"/>
        <v>-14.02</v>
      </c>
      <c r="N2229" s="72">
        <f t="shared" si="139"/>
        <v>493610.04999999958</v>
      </c>
    </row>
    <row r="2230" spans="1:14" x14ac:dyDescent="0.2">
      <c r="A2230" s="73" t="s">
        <v>1385</v>
      </c>
      <c r="B2230" s="3">
        <f t="shared" si="136"/>
        <v>2025</v>
      </c>
      <c r="C2230" s="3">
        <f t="shared" si="137"/>
        <v>10</v>
      </c>
      <c r="D2230" s="73" t="s">
        <v>893</v>
      </c>
      <c r="E2230" s="2"/>
      <c r="F2230" s="2" t="s">
        <v>304</v>
      </c>
      <c r="G2230" s="2" t="s">
        <v>1451</v>
      </c>
      <c r="H2230" s="2" t="s">
        <v>1001</v>
      </c>
      <c r="I2230" s="2" t="s">
        <v>316</v>
      </c>
      <c r="J2230" s="2" t="s">
        <v>22</v>
      </c>
      <c r="K2230" s="72">
        <v>15.39</v>
      </c>
      <c r="L2230" s="39"/>
      <c r="M2230" s="72">
        <f t="shared" si="138"/>
        <v>-15.39</v>
      </c>
      <c r="N2230" s="72">
        <f t="shared" si="139"/>
        <v>493594.65999999957</v>
      </c>
    </row>
    <row r="2231" spans="1:14" x14ac:dyDescent="0.2">
      <c r="A2231" s="73" t="s">
        <v>1385</v>
      </c>
      <c r="B2231" s="3">
        <f t="shared" si="136"/>
        <v>2025</v>
      </c>
      <c r="C2231" s="3">
        <f t="shared" si="137"/>
        <v>10</v>
      </c>
      <c r="D2231" s="73" t="s">
        <v>893</v>
      </c>
      <c r="E2231" s="2"/>
      <c r="F2231" s="2" t="s">
        <v>304</v>
      </c>
      <c r="G2231" s="2" t="s">
        <v>1451</v>
      </c>
      <c r="H2231" s="2" t="s">
        <v>1001</v>
      </c>
      <c r="I2231" s="2" t="s">
        <v>316</v>
      </c>
      <c r="J2231" s="2" t="s">
        <v>22</v>
      </c>
      <c r="K2231" s="72">
        <v>34.94</v>
      </c>
      <c r="L2231" s="39"/>
      <c r="M2231" s="72">
        <f t="shared" si="138"/>
        <v>-34.94</v>
      </c>
      <c r="N2231" s="72">
        <f t="shared" si="139"/>
        <v>493559.71999999956</v>
      </c>
    </row>
    <row r="2232" spans="1:14" x14ac:dyDescent="0.2">
      <c r="A2232" s="73" t="s">
        <v>1385</v>
      </c>
      <c r="B2232" s="3">
        <f t="shared" si="136"/>
        <v>2025</v>
      </c>
      <c r="C2232" s="3">
        <f t="shared" si="137"/>
        <v>10</v>
      </c>
      <c r="D2232" s="73" t="s">
        <v>893</v>
      </c>
      <c r="E2232" s="2"/>
      <c r="F2232" s="2" t="s">
        <v>304</v>
      </c>
      <c r="G2232" s="2" t="s">
        <v>913</v>
      </c>
      <c r="H2232" s="2" t="s">
        <v>923</v>
      </c>
      <c r="I2232" s="2" t="s">
        <v>316</v>
      </c>
      <c r="J2232" s="2" t="s">
        <v>22</v>
      </c>
      <c r="K2232" s="72">
        <v>37.79</v>
      </c>
      <c r="L2232" s="39"/>
      <c r="M2232" s="72">
        <f t="shared" si="138"/>
        <v>-37.79</v>
      </c>
      <c r="N2232" s="72">
        <f t="shared" si="139"/>
        <v>493521.92999999959</v>
      </c>
    </row>
    <row r="2233" spans="1:14" x14ac:dyDescent="0.2">
      <c r="A2233" s="73" t="s">
        <v>1385</v>
      </c>
      <c r="B2233" s="3">
        <f t="shared" si="136"/>
        <v>2025</v>
      </c>
      <c r="C2233" s="3">
        <f t="shared" si="137"/>
        <v>10</v>
      </c>
      <c r="D2233" s="73" t="s">
        <v>893</v>
      </c>
      <c r="E2233" s="2"/>
      <c r="F2233" s="2" t="s">
        <v>304</v>
      </c>
      <c r="G2233" s="2" t="s">
        <v>1445</v>
      </c>
      <c r="H2233" s="2" t="s">
        <v>992</v>
      </c>
      <c r="I2233" s="2" t="s">
        <v>316</v>
      </c>
      <c r="J2233" s="2" t="s">
        <v>22</v>
      </c>
      <c r="K2233" s="72">
        <v>12.36</v>
      </c>
      <c r="L2233" s="39"/>
      <c r="M2233" s="72">
        <f t="shared" si="138"/>
        <v>-12.36</v>
      </c>
      <c r="N2233" s="72">
        <f t="shared" si="139"/>
        <v>493509.5699999996</v>
      </c>
    </row>
    <row r="2234" spans="1:14" x14ac:dyDescent="0.2">
      <c r="A2234" s="73" t="s">
        <v>1385</v>
      </c>
      <c r="B2234" s="3">
        <f t="shared" si="136"/>
        <v>2025</v>
      </c>
      <c r="C2234" s="3">
        <f t="shared" si="137"/>
        <v>10</v>
      </c>
      <c r="D2234" s="73" t="s">
        <v>300</v>
      </c>
      <c r="E2234" s="2"/>
      <c r="F2234" s="2" t="s">
        <v>299</v>
      </c>
      <c r="G2234" s="2"/>
      <c r="H2234" s="2" t="s">
        <v>298</v>
      </c>
      <c r="I2234" s="2" t="s">
        <v>297</v>
      </c>
      <c r="J2234" s="2" t="s">
        <v>296</v>
      </c>
      <c r="K2234" s="72"/>
      <c r="L2234" s="39">
        <v>326.43</v>
      </c>
      <c r="M2234" s="72">
        <f t="shared" si="138"/>
        <v>326.43</v>
      </c>
      <c r="N2234" s="72">
        <f t="shared" si="139"/>
        <v>493835.99999999959</v>
      </c>
    </row>
    <row r="2235" spans="1:14" x14ac:dyDescent="0.2">
      <c r="A2235" s="73" t="s">
        <v>1406</v>
      </c>
      <c r="B2235" s="3">
        <f t="shared" si="136"/>
        <v>2025</v>
      </c>
      <c r="C2235" s="3">
        <f t="shared" si="137"/>
        <v>10</v>
      </c>
      <c r="D2235" s="73" t="s">
        <v>893</v>
      </c>
      <c r="E2235" s="2"/>
      <c r="F2235" s="2" t="s">
        <v>304</v>
      </c>
      <c r="G2235" s="2" t="s">
        <v>932</v>
      </c>
      <c r="H2235" s="2" t="s">
        <v>1007</v>
      </c>
      <c r="I2235" s="1" t="s">
        <v>316</v>
      </c>
      <c r="J2235" s="2" t="s">
        <v>17</v>
      </c>
      <c r="K2235" s="72">
        <v>32.86</v>
      </c>
      <c r="L2235" s="39"/>
      <c r="M2235" s="72">
        <f t="shared" si="138"/>
        <v>-32.86</v>
      </c>
      <c r="N2235" s="72">
        <f t="shared" si="139"/>
        <v>493803.13999999961</v>
      </c>
    </row>
    <row r="2236" spans="1:14" x14ac:dyDescent="0.2">
      <c r="A2236" s="73" t="s">
        <v>1406</v>
      </c>
      <c r="B2236" s="3">
        <f t="shared" si="136"/>
        <v>2025</v>
      </c>
      <c r="C2236" s="3">
        <f t="shared" si="137"/>
        <v>10</v>
      </c>
      <c r="D2236" s="73" t="s">
        <v>893</v>
      </c>
      <c r="E2236" s="2"/>
      <c r="F2236" s="2" t="s">
        <v>304</v>
      </c>
      <c r="G2236" s="2" t="s">
        <v>1452</v>
      </c>
      <c r="H2236" s="2" t="s">
        <v>992</v>
      </c>
      <c r="I2236" s="2" t="s">
        <v>316</v>
      </c>
      <c r="J2236" s="2" t="s">
        <v>22</v>
      </c>
      <c r="K2236" s="72">
        <v>18.760000000000002</v>
      </c>
      <c r="L2236" s="39"/>
      <c r="M2236" s="72">
        <f t="shared" si="138"/>
        <v>-18.760000000000002</v>
      </c>
      <c r="N2236" s="72">
        <f t="shared" si="139"/>
        <v>493784.3799999996</v>
      </c>
    </row>
    <row r="2237" spans="1:14" x14ac:dyDescent="0.2">
      <c r="A2237" s="73" t="s">
        <v>1407</v>
      </c>
      <c r="B2237" s="3">
        <f t="shared" si="136"/>
        <v>2025</v>
      </c>
      <c r="C2237" s="3">
        <f t="shared" si="137"/>
        <v>10</v>
      </c>
      <c r="D2237" s="73" t="s">
        <v>893</v>
      </c>
      <c r="E2237" s="2"/>
      <c r="F2237" s="2" t="s">
        <v>304</v>
      </c>
      <c r="G2237" s="2" t="s">
        <v>1008</v>
      </c>
      <c r="H2237" s="2" t="s">
        <v>1007</v>
      </c>
      <c r="I2237" s="1" t="s">
        <v>316</v>
      </c>
      <c r="J2237" s="2" t="s">
        <v>17</v>
      </c>
      <c r="K2237" s="72">
        <v>30.98</v>
      </c>
      <c r="L2237" s="39"/>
      <c r="M2237" s="72">
        <f t="shared" si="138"/>
        <v>-30.98</v>
      </c>
      <c r="N2237" s="72">
        <f t="shared" si="139"/>
        <v>493753.39999999962</v>
      </c>
    </row>
    <row r="2238" spans="1:14" x14ac:dyDescent="0.2">
      <c r="A2238" s="73" t="s">
        <v>1407</v>
      </c>
      <c r="B2238" s="3">
        <f t="shared" si="136"/>
        <v>2025</v>
      </c>
      <c r="C2238" s="3">
        <f t="shared" si="137"/>
        <v>10</v>
      </c>
      <c r="D2238" s="73" t="s">
        <v>893</v>
      </c>
      <c r="E2238" s="2"/>
      <c r="F2238" s="2" t="s">
        <v>304</v>
      </c>
      <c r="G2238" s="2" t="s">
        <v>1012</v>
      </c>
      <c r="H2238" s="2" t="s">
        <v>1007</v>
      </c>
      <c r="I2238" s="1" t="s">
        <v>316</v>
      </c>
      <c r="J2238" s="2" t="s">
        <v>17</v>
      </c>
      <c r="K2238" s="72">
        <v>5.3</v>
      </c>
      <c r="L2238" s="39"/>
      <c r="M2238" s="72">
        <f t="shared" si="138"/>
        <v>-5.3</v>
      </c>
      <c r="N2238" s="72">
        <f t="shared" si="139"/>
        <v>493748.09999999963</v>
      </c>
    </row>
    <row r="2239" spans="1:14" x14ac:dyDescent="0.2">
      <c r="A2239" s="73" t="s">
        <v>1386</v>
      </c>
      <c r="B2239" s="3">
        <f t="shared" si="136"/>
        <v>2025</v>
      </c>
      <c r="C2239" s="3">
        <f t="shared" si="137"/>
        <v>10</v>
      </c>
      <c r="D2239" s="73" t="s">
        <v>893</v>
      </c>
      <c r="E2239" s="2"/>
      <c r="F2239" s="2" t="s">
        <v>304</v>
      </c>
      <c r="G2239" s="2" t="s">
        <v>1021</v>
      </c>
      <c r="H2239" s="2" t="s">
        <v>1007</v>
      </c>
      <c r="I2239" s="1" t="s">
        <v>316</v>
      </c>
      <c r="J2239" s="2" t="s">
        <v>17</v>
      </c>
      <c r="K2239" s="72">
        <v>93</v>
      </c>
      <c r="L2239" s="39"/>
      <c r="M2239" s="72">
        <f t="shared" si="138"/>
        <v>-93</v>
      </c>
      <c r="N2239" s="72">
        <f t="shared" si="139"/>
        <v>493655.09999999963</v>
      </c>
    </row>
    <row r="2240" spans="1:14" x14ac:dyDescent="0.2">
      <c r="A2240" s="73" t="s">
        <v>1386</v>
      </c>
      <c r="B2240" s="3">
        <f t="shared" si="136"/>
        <v>2025</v>
      </c>
      <c r="C2240" s="3">
        <f t="shared" si="137"/>
        <v>10</v>
      </c>
      <c r="D2240" s="73" t="s">
        <v>300</v>
      </c>
      <c r="E2240" s="2"/>
      <c r="F2240" s="2" t="s">
        <v>304</v>
      </c>
      <c r="G2240" s="2" t="s">
        <v>327</v>
      </c>
      <c r="H2240" s="2" t="s">
        <v>326</v>
      </c>
      <c r="I2240" s="2" t="s">
        <v>316</v>
      </c>
      <c r="J2240" s="2" t="s">
        <v>18</v>
      </c>
      <c r="K2240" s="72">
        <v>1332.89</v>
      </c>
      <c r="L2240" s="39"/>
      <c r="M2240" s="72">
        <f t="shared" si="138"/>
        <v>-1332.89</v>
      </c>
      <c r="N2240" s="72">
        <f t="shared" si="139"/>
        <v>492322.20999999961</v>
      </c>
    </row>
    <row r="2241" spans="1:14" x14ac:dyDescent="0.2">
      <c r="A2241" s="73" t="s">
        <v>1386</v>
      </c>
      <c r="B2241" s="3">
        <f t="shared" si="136"/>
        <v>2025</v>
      </c>
      <c r="C2241" s="3">
        <f t="shared" si="137"/>
        <v>10</v>
      </c>
      <c r="D2241" s="73" t="s">
        <v>300</v>
      </c>
      <c r="E2241" s="2"/>
      <c r="F2241" s="2" t="s">
        <v>299</v>
      </c>
      <c r="G2241" s="2"/>
      <c r="H2241" s="2" t="s">
        <v>298</v>
      </c>
      <c r="I2241" s="2" t="s">
        <v>297</v>
      </c>
      <c r="J2241" s="2" t="s">
        <v>296</v>
      </c>
      <c r="K2241" s="72"/>
      <c r="L2241" s="39">
        <v>1332.89</v>
      </c>
      <c r="M2241" s="72">
        <f t="shared" si="138"/>
        <v>1332.89</v>
      </c>
      <c r="N2241" s="72">
        <f t="shared" si="139"/>
        <v>493655.09999999963</v>
      </c>
    </row>
    <row r="2242" spans="1:14" x14ac:dyDescent="0.2">
      <c r="A2242" s="73" t="s">
        <v>1387</v>
      </c>
      <c r="B2242" s="3">
        <f t="shared" ref="B2242:B2305" si="140">YEAR(A2242)</f>
        <v>2025</v>
      </c>
      <c r="C2242" s="3">
        <f t="shared" ref="C2242:C2305" si="141">MONTH(A2242)</f>
        <v>10</v>
      </c>
      <c r="D2242" s="73" t="s">
        <v>893</v>
      </c>
      <c r="E2242" s="2"/>
      <c r="F2242" s="2" t="s">
        <v>304</v>
      </c>
      <c r="G2242" s="2" t="s">
        <v>1453</v>
      </c>
      <c r="H2242" s="2" t="s">
        <v>992</v>
      </c>
      <c r="I2242" s="2" t="s">
        <v>316</v>
      </c>
      <c r="J2242" s="2" t="s">
        <v>22</v>
      </c>
      <c r="K2242" s="72">
        <v>40</v>
      </c>
      <c r="L2242" s="39"/>
      <c r="M2242" s="72">
        <f t="shared" ref="M2242:M2305" si="142">IF(ISBLANK(L2242),K2242*-1,L2242)</f>
        <v>-40</v>
      </c>
      <c r="N2242" s="72">
        <f t="shared" si="139"/>
        <v>493615.09999999963</v>
      </c>
    </row>
    <row r="2243" spans="1:14" x14ac:dyDescent="0.2">
      <c r="A2243" s="73" t="s">
        <v>1387</v>
      </c>
      <c r="B2243" s="3">
        <f t="shared" si="140"/>
        <v>2025</v>
      </c>
      <c r="C2243" s="3">
        <f t="shared" si="141"/>
        <v>10</v>
      </c>
      <c r="D2243" s="73" t="s">
        <v>893</v>
      </c>
      <c r="E2243" s="2"/>
      <c r="F2243" s="2" t="s">
        <v>304</v>
      </c>
      <c r="G2243" s="2" t="s">
        <v>1008</v>
      </c>
      <c r="H2243" s="2" t="s">
        <v>1007</v>
      </c>
      <c r="I2243" s="1" t="s">
        <v>316</v>
      </c>
      <c r="J2243" s="2" t="s">
        <v>17</v>
      </c>
      <c r="K2243" s="72">
        <v>31</v>
      </c>
      <c r="L2243" s="39"/>
      <c r="M2243" s="72">
        <f t="shared" si="142"/>
        <v>-31</v>
      </c>
      <c r="N2243" s="72">
        <f t="shared" ref="N2243:N2306" si="143">+N2242+M2243</f>
        <v>493584.09999999963</v>
      </c>
    </row>
    <row r="2244" spans="1:14" x14ac:dyDescent="0.2">
      <c r="A2244" s="73" t="s">
        <v>1387</v>
      </c>
      <c r="B2244" s="3">
        <f t="shared" si="140"/>
        <v>2025</v>
      </c>
      <c r="C2244" s="3">
        <f t="shared" si="141"/>
        <v>10</v>
      </c>
      <c r="D2244" s="73" t="s">
        <v>893</v>
      </c>
      <c r="E2244" s="2"/>
      <c r="F2244" s="2" t="s">
        <v>304</v>
      </c>
      <c r="G2244" s="2" t="s">
        <v>1008</v>
      </c>
      <c r="H2244" s="2" t="s">
        <v>1007</v>
      </c>
      <c r="I2244" s="1" t="s">
        <v>316</v>
      </c>
      <c r="J2244" s="2" t="s">
        <v>17</v>
      </c>
      <c r="K2244" s="72">
        <v>30.95</v>
      </c>
      <c r="L2244" s="39"/>
      <c r="M2244" s="72">
        <f t="shared" si="142"/>
        <v>-30.95</v>
      </c>
      <c r="N2244" s="72">
        <f t="shared" si="143"/>
        <v>493553.14999999962</v>
      </c>
    </row>
    <row r="2245" spans="1:14" x14ac:dyDescent="0.2">
      <c r="A2245" s="73" t="s">
        <v>1387</v>
      </c>
      <c r="B2245" s="3">
        <f t="shared" si="140"/>
        <v>2025</v>
      </c>
      <c r="C2245" s="3">
        <f t="shared" si="141"/>
        <v>10</v>
      </c>
      <c r="D2245" s="73" t="s">
        <v>300</v>
      </c>
      <c r="E2245" s="2"/>
      <c r="F2245" s="2" t="s">
        <v>304</v>
      </c>
      <c r="G2245" s="2" t="s">
        <v>334</v>
      </c>
      <c r="H2245" s="2" t="s">
        <v>333</v>
      </c>
      <c r="I2245" s="2" t="s">
        <v>301</v>
      </c>
      <c r="J2245" s="2" t="s">
        <v>11</v>
      </c>
      <c r="K2245" s="72">
        <v>1221.48</v>
      </c>
      <c r="L2245" s="39"/>
      <c r="M2245" s="72">
        <f t="shared" si="142"/>
        <v>-1221.48</v>
      </c>
      <c r="N2245" s="72">
        <f t="shared" si="143"/>
        <v>492331.66999999963</v>
      </c>
    </row>
    <row r="2246" spans="1:14" x14ac:dyDescent="0.2">
      <c r="A2246" s="73" t="s">
        <v>1387</v>
      </c>
      <c r="B2246" s="3">
        <f t="shared" si="140"/>
        <v>2025</v>
      </c>
      <c r="C2246" s="3">
        <f t="shared" si="141"/>
        <v>10</v>
      </c>
      <c r="D2246" s="73" t="s">
        <v>893</v>
      </c>
      <c r="E2246" s="2"/>
      <c r="F2246" s="2" t="s">
        <v>304</v>
      </c>
      <c r="G2246" s="2" t="s">
        <v>941</v>
      </c>
      <c r="H2246" s="2" t="s">
        <v>992</v>
      </c>
      <c r="I2246" s="2" t="s">
        <v>316</v>
      </c>
      <c r="J2246" s="2" t="s">
        <v>22</v>
      </c>
      <c r="K2246" s="72">
        <v>288.97000000000003</v>
      </c>
      <c r="L2246" s="39"/>
      <c r="M2246" s="72">
        <f t="shared" si="142"/>
        <v>-288.97000000000003</v>
      </c>
      <c r="N2246" s="72">
        <f t="shared" si="143"/>
        <v>492042.69999999966</v>
      </c>
    </row>
    <row r="2247" spans="1:14" x14ac:dyDescent="0.2">
      <c r="A2247" s="73" t="s">
        <v>1387</v>
      </c>
      <c r="B2247" s="3">
        <f t="shared" si="140"/>
        <v>2025</v>
      </c>
      <c r="C2247" s="3">
        <f t="shared" si="141"/>
        <v>10</v>
      </c>
      <c r="D2247" s="73" t="s">
        <v>893</v>
      </c>
      <c r="E2247" s="2"/>
      <c r="F2247" s="2" t="s">
        <v>304</v>
      </c>
      <c r="G2247" s="2" t="s">
        <v>1454</v>
      </c>
      <c r="H2247" s="2" t="s">
        <v>1455</v>
      </c>
      <c r="I2247" s="2" t="s">
        <v>301</v>
      </c>
      <c r="J2247" s="2" t="s">
        <v>11</v>
      </c>
      <c r="K2247" s="72">
        <v>65</v>
      </c>
      <c r="L2247" s="39"/>
      <c r="M2247" s="72">
        <f t="shared" si="142"/>
        <v>-65</v>
      </c>
      <c r="N2247" s="72">
        <f t="shared" si="143"/>
        <v>491977.69999999966</v>
      </c>
    </row>
    <row r="2248" spans="1:14" x14ac:dyDescent="0.2">
      <c r="A2248" s="73" t="s">
        <v>1387</v>
      </c>
      <c r="B2248" s="3">
        <f t="shared" si="140"/>
        <v>2025</v>
      </c>
      <c r="C2248" s="3">
        <f t="shared" si="141"/>
        <v>10</v>
      </c>
      <c r="D2248" s="73" t="s">
        <v>893</v>
      </c>
      <c r="E2248" s="2"/>
      <c r="F2248" s="2" t="s">
        <v>304</v>
      </c>
      <c r="G2248" s="2" t="s">
        <v>1454</v>
      </c>
      <c r="H2248" s="2" t="s">
        <v>1455</v>
      </c>
      <c r="I2248" s="2" t="s">
        <v>301</v>
      </c>
      <c r="J2248" s="2" t="s">
        <v>11</v>
      </c>
      <c r="K2248" s="72">
        <v>4.42</v>
      </c>
      <c r="L2248" s="39"/>
      <c r="M2248" s="72">
        <f t="shared" si="142"/>
        <v>-4.42</v>
      </c>
      <c r="N2248" s="72">
        <f t="shared" si="143"/>
        <v>491973.27999999968</v>
      </c>
    </row>
    <row r="2249" spans="1:14" x14ac:dyDescent="0.2">
      <c r="A2249" s="73" t="s">
        <v>1387</v>
      </c>
      <c r="B2249" s="3">
        <f t="shared" si="140"/>
        <v>2025</v>
      </c>
      <c r="C2249" s="3">
        <f t="shared" si="141"/>
        <v>10</v>
      </c>
      <c r="D2249" s="73" t="s">
        <v>300</v>
      </c>
      <c r="E2249" s="2"/>
      <c r="F2249" s="2" t="s">
        <v>304</v>
      </c>
      <c r="G2249" s="2" t="s">
        <v>311</v>
      </c>
      <c r="H2249" s="2" t="s">
        <v>310</v>
      </c>
      <c r="I2249" s="2" t="s">
        <v>301</v>
      </c>
      <c r="J2249" s="2" t="s">
        <v>11</v>
      </c>
      <c r="K2249" s="72">
        <v>5.64</v>
      </c>
      <c r="L2249" s="39"/>
      <c r="M2249" s="72">
        <f t="shared" si="142"/>
        <v>-5.64</v>
      </c>
      <c r="N2249" s="72">
        <f t="shared" si="143"/>
        <v>491967.63999999966</v>
      </c>
    </row>
    <row r="2250" spans="1:14" x14ac:dyDescent="0.2">
      <c r="A2250" s="73" t="s">
        <v>1387</v>
      </c>
      <c r="B2250" s="3">
        <f t="shared" si="140"/>
        <v>2025</v>
      </c>
      <c r="C2250" s="3">
        <f t="shared" si="141"/>
        <v>10</v>
      </c>
      <c r="D2250" s="73" t="s">
        <v>893</v>
      </c>
      <c r="E2250" s="2"/>
      <c r="F2250" s="2" t="s">
        <v>304</v>
      </c>
      <c r="G2250" s="2" t="s">
        <v>1456</v>
      </c>
      <c r="H2250" s="2" t="s">
        <v>1457</v>
      </c>
      <c r="I2250" s="2" t="s">
        <v>350</v>
      </c>
      <c r="J2250" s="1" t="s">
        <v>477</v>
      </c>
      <c r="K2250" s="72">
        <v>500</v>
      </c>
      <c r="L2250" s="39"/>
      <c r="M2250" s="72">
        <f t="shared" si="142"/>
        <v>-500</v>
      </c>
      <c r="N2250" s="72">
        <f t="shared" si="143"/>
        <v>491467.63999999966</v>
      </c>
    </row>
    <row r="2251" spans="1:14" x14ac:dyDescent="0.2">
      <c r="A2251" s="73" t="s">
        <v>1387</v>
      </c>
      <c r="B2251" s="3">
        <f t="shared" si="140"/>
        <v>2025</v>
      </c>
      <c r="C2251" s="3">
        <f t="shared" si="141"/>
        <v>10</v>
      </c>
      <c r="D2251" s="73" t="s">
        <v>893</v>
      </c>
      <c r="E2251" s="2"/>
      <c r="F2251" s="2" t="s">
        <v>304</v>
      </c>
      <c r="G2251" s="2" t="s">
        <v>1320</v>
      </c>
      <c r="H2251" s="2" t="s">
        <v>1007</v>
      </c>
      <c r="I2251" s="1" t="s">
        <v>316</v>
      </c>
      <c r="J2251" s="2" t="s">
        <v>17</v>
      </c>
      <c r="K2251" s="72">
        <v>361.74</v>
      </c>
      <c r="L2251" s="39"/>
      <c r="M2251" s="72">
        <f t="shared" si="142"/>
        <v>-361.74</v>
      </c>
      <c r="N2251" s="72">
        <f t="shared" si="143"/>
        <v>491105.89999999967</v>
      </c>
    </row>
    <row r="2252" spans="1:14" x14ac:dyDescent="0.2">
      <c r="A2252" s="73" t="s">
        <v>1387</v>
      </c>
      <c r="B2252" s="3">
        <f t="shared" si="140"/>
        <v>2025</v>
      </c>
      <c r="C2252" s="3">
        <f t="shared" si="141"/>
        <v>10</v>
      </c>
      <c r="D2252" s="73" t="s">
        <v>300</v>
      </c>
      <c r="E2252" s="2"/>
      <c r="F2252" s="2" t="s">
        <v>304</v>
      </c>
      <c r="G2252" s="2" t="s">
        <v>327</v>
      </c>
      <c r="H2252" s="2" t="s">
        <v>326</v>
      </c>
      <c r="I2252" s="2" t="s">
        <v>316</v>
      </c>
      <c r="J2252" s="2" t="s">
        <v>18</v>
      </c>
      <c r="K2252" s="72">
        <v>613.35</v>
      </c>
      <c r="L2252" s="39"/>
      <c r="M2252" s="72">
        <f t="shared" si="142"/>
        <v>-613.35</v>
      </c>
      <c r="N2252" s="72">
        <f t="shared" si="143"/>
        <v>490492.5499999997</v>
      </c>
    </row>
    <row r="2253" spans="1:14" x14ac:dyDescent="0.2">
      <c r="A2253" s="73" t="s">
        <v>1387</v>
      </c>
      <c r="B2253" s="3">
        <f t="shared" si="140"/>
        <v>2025</v>
      </c>
      <c r="C2253" s="3">
        <f t="shared" si="141"/>
        <v>10</v>
      </c>
      <c r="D2253" s="73" t="s">
        <v>893</v>
      </c>
      <c r="E2253" s="2"/>
      <c r="F2253" s="2" t="s">
        <v>304</v>
      </c>
      <c r="G2253" s="2" t="s">
        <v>1026</v>
      </c>
      <c r="H2253" s="2" t="s">
        <v>1007</v>
      </c>
      <c r="I2253" s="1" t="s">
        <v>316</v>
      </c>
      <c r="J2253" s="2" t="s">
        <v>17</v>
      </c>
      <c r="K2253" s="72">
        <v>17.5</v>
      </c>
      <c r="L2253" s="39"/>
      <c r="M2253" s="72">
        <f t="shared" si="142"/>
        <v>-17.5</v>
      </c>
      <c r="N2253" s="72">
        <f t="shared" si="143"/>
        <v>490475.0499999997</v>
      </c>
    </row>
    <row r="2254" spans="1:14" x14ac:dyDescent="0.2">
      <c r="A2254" s="73" t="s">
        <v>1387</v>
      </c>
      <c r="B2254" s="3">
        <f t="shared" si="140"/>
        <v>2025</v>
      </c>
      <c r="C2254" s="3">
        <f t="shared" si="141"/>
        <v>10</v>
      </c>
      <c r="D2254" s="73" t="s">
        <v>300</v>
      </c>
      <c r="E2254" s="2"/>
      <c r="F2254" s="2" t="s">
        <v>299</v>
      </c>
      <c r="G2254" s="2"/>
      <c r="H2254" s="2" t="s">
        <v>298</v>
      </c>
      <c r="I2254" s="2" t="s">
        <v>297</v>
      </c>
      <c r="J2254" s="2" t="s">
        <v>296</v>
      </c>
      <c r="K2254" s="72"/>
      <c r="L2254" s="39">
        <v>1840.47</v>
      </c>
      <c r="M2254" s="72">
        <f t="shared" si="142"/>
        <v>1840.47</v>
      </c>
      <c r="N2254" s="72">
        <f t="shared" si="143"/>
        <v>492315.51999999967</v>
      </c>
    </row>
    <row r="2255" spans="1:14" x14ac:dyDescent="0.2">
      <c r="A2255" s="73" t="s">
        <v>1388</v>
      </c>
      <c r="B2255" s="3">
        <f t="shared" si="140"/>
        <v>2025</v>
      </c>
      <c r="C2255" s="3">
        <f t="shared" si="141"/>
        <v>10</v>
      </c>
      <c r="D2255" s="73" t="s">
        <v>893</v>
      </c>
      <c r="E2255" s="2"/>
      <c r="F2255" s="2" t="s">
        <v>304</v>
      </c>
      <c r="G2255" s="2" t="s">
        <v>936</v>
      </c>
      <c r="H2255" s="2" t="s">
        <v>937</v>
      </c>
      <c r="I2255" s="2" t="s">
        <v>316</v>
      </c>
      <c r="J2255" s="2" t="s">
        <v>22</v>
      </c>
      <c r="K2255" s="72">
        <v>238.18</v>
      </c>
      <c r="L2255" s="39"/>
      <c r="M2255" s="72">
        <f t="shared" si="142"/>
        <v>-238.18</v>
      </c>
      <c r="N2255" s="72">
        <f t="shared" si="143"/>
        <v>492077.33999999968</v>
      </c>
    </row>
    <row r="2256" spans="1:14" x14ac:dyDescent="0.2">
      <c r="A2256" s="73" t="s">
        <v>1388</v>
      </c>
      <c r="B2256" s="3">
        <f t="shared" si="140"/>
        <v>2025</v>
      </c>
      <c r="C2256" s="3">
        <f t="shared" si="141"/>
        <v>10</v>
      </c>
      <c r="D2256" s="73" t="s">
        <v>893</v>
      </c>
      <c r="E2256" s="2"/>
      <c r="F2256" s="2" t="s">
        <v>304</v>
      </c>
      <c r="G2256" s="2" t="s">
        <v>1008</v>
      </c>
      <c r="H2256" s="2" t="s">
        <v>1007</v>
      </c>
      <c r="I2256" s="1" t="s">
        <v>316</v>
      </c>
      <c r="J2256" s="2" t="s">
        <v>17</v>
      </c>
      <c r="K2256" s="72">
        <v>31.22</v>
      </c>
      <c r="L2256" s="39"/>
      <c r="M2256" s="72">
        <f t="shared" si="142"/>
        <v>-31.22</v>
      </c>
      <c r="N2256" s="72">
        <f t="shared" si="143"/>
        <v>492046.1199999997</v>
      </c>
    </row>
    <row r="2257" spans="1:14" x14ac:dyDescent="0.2">
      <c r="A2257" s="73" t="s">
        <v>1388</v>
      </c>
      <c r="B2257" s="3">
        <f t="shared" si="140"/>
        <v>2025</v>
      </c>
      <c r="C2257" s="3">
        <f t="shared" si="141"/>
        <v>10</v>
      </c>
      <c r="D2257" s="73" t="s">
        <v>893</v>
      </c>
      <c r="E2257" s="2"/>
      <c r="F2257" s="2" t="s">
        <v>304</v>
      </c>
      <c r="G2257" s="2" t="s">
        <v>922</v>
      </c>
      <c r="H2257" s="2" t="s">
        <v>884</v>
      </c>
      <c r="I2257" s="2" t="s">
        <v>316</v>
      </c>
      <c r="J2257" s="2" t="s">
        <v>22</v>
      </c>
      <c r="K2257" s="72">
        <v>1470</v>
      </c>
      <c r="L2257" s="39"/>
      <c r="M2257" s="72">
        <f t="shared" si="142"/>
        <v>-1470</v>
      </c>
      <c r="N2257" s="72">
        <f t="shared" si="143"/>
        <v>490576.1199999997</v>
      </c>
    </row>
    <row r="2258" spans="1:14" x14ac:dyDescent="0.2">
      <c r="A2258" s="73" t="s">
        <v>1388</v>
      </c>
      <c r="B2258" s="3">
        <f t="shared" si="140"/>
        <v>2025</v>
      </c>
      <c r="C2258" s="3">
        <f t="shared" si="141"/>
        <v>10</v>
      </c>
      <c r="D2258" s="73" t="s">
        <v>300</v>
      </c>
      <c r="E2258" s="2"/>
      <c r="F2258" s="2" t="s">
        <v>325</v>
      </c>
      <c r="G2258" s="2" t="s">
        <v>1136</v>
      </c>
      <c r="H2258" s="2" t="s">
        <v>323</v>
      </c>
      <c r="I2258" s="2" t="s">
        <v>316</v>
      </c>
      <c r="J2258" s="2" t="s">
        <v>22</v>
      </c>
      <c r="K2258" s="72">
        <v>85</v>
      </c>
      <c r="L2258" s="39"/>
      <c r="M2258" s="72">
        <f t="shared" si="142"/>
        <v>-85</v>
      </c>
      <c r="N2258" s="72">
        <f t="shared" si="143"/>
        <v>490491.1199999997</v>
      </c>
    </row>
    <row r="2259" spans="1:14" x14ac:dyDescent="0.2">
      <c r="A2259" s="73" t="s">
        <v>1388</v>
      </c>
      <c r="B2259" s="3">
        <f t="shared" si="140"/>
        <v>2025</v>
      </c>
      <c r="C2259" s="3">
        <f t="shared" si="141"/>
        <v>10</v>
      </c>
      <c r="D2259" s="73" t="s">
        <v>893</v>
      </c>
      <c r="E2259" s="2"/>
      <c r="F2259" s="2" t="s">
        <v>304</v>
      </c>
      <c r="G2259" s="2" t="s">
        <v>900</v>
      </c>
      <c r="H2259" s="2" t="s">
        <v>901</v>
      </c>
      <c r="I2259" s="1" t="s">
        <v>316</v>
      </c>
      <c r="J2259" s="2" t="s">
        <v>17</v>
      </c>
      <c r="K2259" s="72">
        <v>20</v>
      </c>
      <c r="L2259" s="39"/>
      <c r="M2259" s="72">
        <f t="shared" si="142"/>
        <v>-20</v>
      </c>
      <c r="N2259" s="72">
        <f t="shared" si="143"/>
        <v>490471.1199999997</v>
      </c>
    </row>
    <row r="2260" spans="1:14" x14ac:dyDescent="0.2">
      <c r="A2260" s="73" t="s">
        <v>1388</v>
      </c>
      <c r="B2260" s="3">
        <f t="shared" si="140"/>
        <v>2025</v>
      </c>
      <c r="C2260" s="3">
        <f t="shared" si="141"/>
        <v>10</v>
      </c>
      <c r="D2260" s="73" t="s">
        <v>893</v>
      </c>
      <c r="E2260" s="2"/>
      <c r="F2260" s="2" t="s">
        <v>304</v>
      </c>
      <c r="G2260" s="2" t="s">
        <v>953</v>
      </c>
      <c r="H2260" s="2" t="s">
        <v>937</v>
      </c>
      <c r="I2260" s="2" t="s">
        <v>316</v>
      </c>
      <c r="J2260" s="2" t="s">
        <v>22</v>
      </c>
      <c r="K2260" s="72">
        <v>273.19</v>
      </c>
      <c r="L2260" s="39"/>
      <c r="M2260" s="72">
        <f t="shared" si="142"/>
        <v>-273.19</v>
      </c>
      <c r="N2260" s="72">
        <f t="shared" si="143"/>
        <v>490197.9299999997</v>
      </c>
    </row>
    <row r="2261" spans="1:14" x14ac:dyDescent="0.2">
      <c r="A2261" s="73" t="s">
        <v>1388</v>
      </c>
      <c r="B2261" s="3">
        <f t="shared" si="140"/>
        <v>2025</v>
      </c>
      <c r="C2261" s="3">
        <f t="shared" si="141"/>
        <v>10</v>
      </c>
      <c r="D2261" s="73" t="s">
        <v>300</v>
      </c>
      <c r="E2261" s="2"/>
      <c r="F2261" s="2" t="s">
        <v>299</v>
      </c>
      <c r="G2261" s="2"/>
      <c r="H2261" s="2" t="s">
        <v>298</v>
      </c>
      <c r="I2261" s="2" t="s">
        <v>297</v>
      </c>
      <c r="J2261" s="2" t="s">
        <v>296</v>
      </c>
      <c r="K2261" s="72"/>
      <c r="L2261" s="39">
        <v>85</v>
      </c>
      <c r="M2261" s="72">
        <f t="shared" si="142"/>
        <v>85</v>
      </c>
      <c r="N2261" s="72">
        <f t="shared" si="143"/>
        <v>490282.9299999997</v>
      </c>
    </row>
    <row r="2262" spans="1:14" x14ac:dyDescent="0.2">
      <c r="A2262" s="73" t="s">
        <v>1408</v>
      </c>
      <c r="B2262" s="3">
        <f t="shared" si="140"/>
        <v>2025</v>
      </c>
      <c r="C2262" s="3">
        <f t="shared" si="141"/>
        <v>10</v>
      </c>
      <c r="D2262" s="73" t="s">
        <v>893</v>
      </c>
      <c r="E2262" s="2"/>
      <c r="F2262" s="2" t="s">
        <v>304</v>
      </c>
      <c r="G2262" s="2" t="s">
        <v>1458</v>
      </c>
      <c r="H2262" s="2" t="s">
        <v>992</v>
      </c>
      <c r="I2262" s="2" t="s">
        <v>316</v>
      </c>
      <c r="J2262" s="2" t="s">
        <v>22</v>
      </c>
      <c r="K2262" s="72">
        <v>7.26</v>
      </c>
      <c r="L2262" s="39"/>
      <c r="M2262" s="72">
        <f t="shared" si="142"/>
        <v>-7.26</v>
      </c>
      <c r="N2262" s="72">
        <f t="shared" si="143"/>
        <v>490275.66999999969</v>
      </c>
    </row>
    <row r="2263" spans="1:14" x14ac:dyDescent="0.2">
      <c r="A2263" s="73" t="s">
        <v>1408</v>
      </c>
      <c r="B2263" s="3">
        <f t="shared" si="140"/>
        <v>2025</v>
      </c>
      <c r="C2263" s="3">
        <f t="shared" si="141"/>
        <v>10</v>
      </c>
      <c r="D2263" s="73" t="s">
        <v>893</v>
      </c>
      <c r="E2263" s="2"/>
      <c r="F2263" s="2" t="s">
        <v>304</v>
      </c>
      <c r="G2263" s="2" t="s">
        <v>993</v>
      </c>
      <c r="H2263" s="2" t="s">
        <v>992</v>
      </c>
      <c r="I2263" s="2" t="s">
        <v>316</v>
      </c>
      <c r="J2263" s="2" t="s">
        <v>22</v>
      </c>
      <c r="K2263" s="72">
        <v>157</v>
      </c>
      <c r="L2263" s="39"/>
      <c r="M2263" s="72">
        <f t="shared" si="142"/>
        <v>-157</v>
      </c>
      <c r="N2263" s="72">
        <f t="shared" si="143"/>
        <v>490118.66999999969</v>
      </c>
    </row>
    <row r="2264" spans="1:14" x14ac:dyDescent="0.2">
      <c r="A2264" s="73" t="s">
        <v>1408</v>
      </c>
      <c r="B2264" s="3">
        <f t="shared" si="140"/>
        <v>2025</v>
      </c>
      <c r="C2264" s="3">
        <f t="shared" si="141"/>
        <v>10</v>
      </c>
      <c r="D2264" s="73" t="s">
        <v>893</v>
      </c>
      <c r="E2264" s="2"/>
      <c r="F2264" s="2" t="s">
        <v>304</v>
      </c>
      <c r="G2264" s="2" t="s">
        <v>1008</v>
      </c>
      <c r="H2264" s="2" t="s">
        <v>901</v>
      </c>
      <c r="I2264" s="1" t="s">
        <v>316</v>
      </c>
      <c r="J2264" s="2" t="s">
        <v>17</v>
      </c>
      <c r="K2264" s="72">
        <v>106</v>
      </c>
      <c r="L2264" s="39"/>
      <c r="M2264" s="72">
        <f t="shared" si="142"/>
        <v>-106</v>
      </c>
      <c r="N2264" s="72">
        <f t="shared" si="143"/>
        <v>490012.66999999969</v>
      </c>
    </row>
    <row r="2265" spans="1:14" x14ac:dyDescent="0.2">
      <c r="A2265" s="73" t="s">
        <v>1408</v>
      </c>
      <c r="B2265" s="3">
        <f t="shared" si="140"/>
        <v>2025</v>
      </c>
      <c r="C2265" s="3">
        <f t="shared" si="141"/>
        <v>10</v>
      </c>
      <c r="D2265" s="73" t="s">
        <v>893</v>
      </c>
      <c r="E2265" s="2"/>
      <c r="F2265" s="2" t="s">
        <v>304</v>
      </c>
      <c r="G2265" s="2" t="s">
        <v>1008</v>
      </c>
      <c r="H2265" s="2" t="s">
        <v>1007</v>
      </c>
      <c r="I2265" s="1" t="s">
        <v>316</v>
      </c>
      <c r="J2265" s="2" t="s">
        <v>17</v>
      </c>
      <c r="K2265" s="72">
        <v>33.49</v>
      </c>
      <c r="L2265" s="39"/>
      <c r="M2265" s="72">
        <f t="shared" si="142"/>
        <v>-33.49</v>
      </c>
      <c r="N2265" s="72">
        <f t="shared" si="143"/>
        <v>489979.1799999997</v>
      </c>
    </row>
    <row r="2266" spans="1:14" x14ac:dyDescent="0.2">
      <c r="A2266" s="73" t="s">
        <v>1408</v>
      </c>
      <c r="B2266" s="3">
        <f t="shared" si="140"/>
        <v>2025</v>
      </c>
      <c r="C2266" s="3">
        <f t="shared" si="141"/>
        <v>10</v>
      </c>
      <c r="D2266" s="73" t="s">
        <v>893</v>
      </c>
      <c r="E2266" s="2"/>
      <c r="F2266" s="2" t="s">
        <v>304</v>
      </c>
      <c r="G2266" s="2" t="s">
        <v>926</v>
      </c>
      <c r="H2266" s="2" t="s">
        <v>1035</v>
      </c>
      <c r="I2266" s="2" t="s">
        <v>316</v>
      </c>
      <c r="J2266" s="2" t="s">
        <v>22</v>
      </c>
      <c r="K2266" s="72">
        <v>115.64</v>
      </c>
      <c r="L2266" s="39"/>
      <c r="M2266" s="72">
        <f t="shared" si="142"/>
        <v>-115.64</v>
      </c>
      <c r="N2266" s="72">
        <f t="shared" si="143"/>
        <v>489863.53999999969</v>
      </c>
    </row>
    <row r="2267" spans="1:14" x14ac:dyDescent="0.2">
      <c r="A2267" s="73" t="s">
        <v>1408</v>
      </c>
      <c r="B2267" s="3">
        <f t="shared" si="140"/>
        <v>2025</v>
      </c>
      <c r="C2267" s="3">
        <f t="shared" si="141"/>
        <v>10</v>
      </c>
      <c r="D2267" s="73" t="s">
        <v>893</v>
      </c>
      <c r="E2267" s="2"/>
      <c r="F2267" s="2" t="s">
        <v>304</v>
      </c>
      <c r="G2267" s="2" t="s">
        <v>925</v>
      </c>
      <c r="H2267" s="2" t="s">
        <v>923</v>
      </c>
      <c r="I2267" s="2" t="s">
        <v>316</v>
      </c>
      <c r="J2267" s="2" t="s">
        <v>22</v>
      </c>
      <c r="K2267" s="72">
        <v>347.96</v>
      </c>
      <c r="L2267" s="39"/>
      <c r="M2267" s="72">
        <f t="shared" si="142"/>
        <v>-347.96</v>
      </c>
      <c r="N2267" s="72">
        <f t="shared" si="143"/>
        <v>489515.57999999967</v>
      </c>
    </row>
    <row r="2268" spans="1:14" x14ac:dyDescent="0.2">
      <c r="A2268" s="73" t="s">
        <v>1389</v>
      </c>
      <c r="B2268" s="3">
        <f t="shared" si="140"/>
        <v>2025</v>
      </c>
      <c r="C2268" s="3">
        <f t="shared" si="141"/>
        <v>10</v>
      </c>
      <c r="D2268" s="73" t="s">
        <v>893</v>
      </c>
      <c r="E2268" s="2"/>
      <c r="F2268" s="2" t="s">
        <v>304</v>
      </c>
      <c r="G2268" s="2" t="s">
        <v>1008</v>
      </c>
      <c r="H2268" s="2" t="s">
        <v>1007</v>
      </c>
      <c r="I2268" s="1" t="s">
        <v>316</v>
      </c>
      <c r="J2268" s="2" t="s">
        <v>17</v>
      </c>
      <c r="K2268" s="72">
        <v>31.19</v>
      </c>
      <c r="L2268" s="39"/>
      <c r="M2268" s="72">
        <f t="shared" si="142"/>
        <v>-31.19</v>
      </c>
      <c r="N2268" s="72">
        <f t="shared" si="143"/>
        <v>489484.38999999966</v>
      </c>
    </row>
    <row r="2269" spans="1:14" x14ac:dyDescent="0.2">
      <c r="A2269" s="73" t="s">
        <v>1389</v>
      </c>
      <c r="B2269" s="3">
        <f t="shared" si="140"/>
        <v>2025</v>
      </c>
      <c r="C2269" s="3">
        <f t="shared" si="141"/>
        <v>10</v>
      </c>
      <c r="D2269" s="73" t="s">
        <v>893</v>
      </c>
      <c r="E2269" s="2"/>
      <c r="F2269" s="2" t="s">
        <v>304</v>
      </c>
      <c r="G2269" s="2" t="s">
        <v>1456</v>
      </c>
      <c r="H2269" s="2" t="s">
        <v>1457</v>
      </c>
      <c r="I2269" s="2" t="s">
        <v>350</v>
      </c>
      <c r="J2269" s="1" t="s">
        <v>477</v>
      </c>
      <c r="K2269" s="72">
        <v>1000</v>
      </c>
      <c r="L2269" s="39"/>
      <c r="M2269" s="72">
        <f t="shared" si="142"/>
        <v>-1000</v>
      </c>
      <c r="N2269" s="72">
        <f t="shared" si="143"/>
        <v>488484.38999999966</v>
      </c>
    </row>
    <row r="2270" spans="1:14" x14ac:dyDescent="0.2">
      <c r="A2270" s="73" t="s">
        <v>1389</v>
      </c>
      <c r="B2270" s="3">
        <f t="shared" si="140"/>
        <v>2025</v>
      </c>
      <c r="C2270" s="3">
        <f t="shared" si="141"/>
        <v>10</v>
      </c>
      <c r="D2270" s="73" t="s">
        <v>893</v>
      </c>
      <c r="E2270" s="2"/>
      <c r="F2270" s="2" t="s">
        <v>304</v>
      </c>
      <c r="G2270" s="2" t="s">
        <v>1459</v>
      </c>
      <c r="H2270" s="2" t="s">
        <v>987</v>
      </c>
      <c r="I2270" s="2" t="s">
        <v>316</v>
      </c>
      <c r="J2270" s="2" t="s">
        <v>22</v>
      </c>
      <c r="K2270" s="72">
        <v>969.06</v>
      </c>
      <c r="L2270" s="39"/>
      <c r="M2270" s="72">
        <f t="shared" si="142"/>
        <v>-969.06</v>
      </c>
      <c r="N2270" s="72">
        <f t="shared" si="143"/>
        <v>487515.32999999967</v>
      </c>
    </row>
    <row r="2271" spans="1:14" x14ac:dyDescent="0.2">
      <c r="A2271" s="73" t="s">
        <v>1389</v>
      </c>
      <c r="B2271" s="3">
        <f t="shared" si="140"/>
        <v>2025</v>
      </c>
      <c r="C2271" s="3">
        <f t="shared" si="141"/>
        <v>10</v>
      </c>
      <c r="D2271" s="73" t="s">
        <v>300</v>
      </c>
      <c r="E2271" s="2"/>
      <c r="F2271" s="2" t="s">
        <v>325</v>
      </c>
      <c r="G2271" s="2" t="s">
        <v>324</v>
      </c>
      <c r="H2271" s="2" t="s">
        <v>323</v>
      </c>
      <c r="I2271" s="2" t="s">
        <v>316</v>
      </c>
      <c r="J2271" s="2" t="s">
        <v>17</v>
      </c>
      <c r="K2271" s="72">
        <v>3158.29</v>
      </c>
      <c r="L2271" s="39"/>
      <c r="M2271" s="72">
        <f t="shared" si="142"/>
        <v>-3158.29</v>
      </c>
      <c r="N2271" s="72">
        <f t="shared" si="143"/>
        <v>484357.03999999969</v>
      </c>
    </row>
    <row r="2272" spans="1:14" x14ac:dyDescent="0.2">
      <c r="A2272" s="73" t="s">
        <v>1389</v>
      </c>
      <c r="B2272" s="3">
        <f t="shared" si="140"/>
        <v>2025</v>
      </c>
      <c r="C2272" s="3">
        <f t="shared" si="141"/>
        <v>10</v>
      </c>
      <c r="D2272" s="73" t="s">
        <v>300</v>
      </c>
      <c r="E2272" s="2"/>
      <c r="F2272" s="2" t="s">
        <v>325</v>
      </c>
      <c r="G2272" s="2" t="s">
        <v>473</v>
      </c>
      <c r="H2272" s="2" t="s">
        <v>323</v>
      </c>
      <c r="I2272" s="2" t="s">
        <v>350</v>
      </c>
      <c r="J2272" s="2" t="s">
        <v>353</v>
      </c>
      <c r="K2272" s="72">
        <v>880.75</v>
      </c>
      <c r="L2272" s="39"/>
      <c r="M2272" s="72">
        <f t="shared" si="142"/>
        <v>-880.75</v>
      </c>
      <c r="N2272" s="72">
        <f t="shared" si="143"/>
        <v>483476.28999999969</v>
      </c>
    </row>
    <row r="2273" spans="1:14" x14ac:dyDescent="0.2">
      <c r="A2273" s="73" t="s">
        <v>1389</v>
      </c>
      <c r="B2273" s="3">
        <f t="shared" si="140"/>
        <v>2025</v>
      </c>
      <c r="C2273" s="3">
        <f t="shared" si="141"/>
        <v>10</v>
      </c>
      <c r="D2273" s="73" t="s">
        <v>300</v>
      </c>
      <c r="E2273" s="2"/>
      <c r="F2273" s="2" t="s">
        <v>325</v>
      </c>
      <c r="G2273" s="2" t="s">
        <v>1136</v>
      </c>
      <c r="H2273" s="2" t="s">
        <v>323</v>
      </c>
      <c r="I2273" s="2" t="s">
        <v>316</v>
      </c>
      <c r="J2273" s="2" t="s">
        <v>22</v>
      </c>
      <c r="K2273" s="72">
        <v>134.82</v>
      </c>
      <c r="L2273" s="39"/>
      <c r="M2273" s="72">
        <f t="shared" si="142"/>
        <v>-134.82</v>
      </c>
      <c r="N2273" s="72">
        <f t="shared" si="143"/>
        <v>483341.46999999968</v>
      </c>
    </row>
    <row r="2274" spans="1:14" x14ac:dyDescent="0.2">
      <c r="A2274" s="73" t="s">
        <v>1389</v>
      </c>
      <c r="B2274" s="3">
        <f t="shared" si="140"/>
        <v>2025</v>
      </c>
      <c r="C2274" s="3">
        <f t="shared" si="141"/>
        <v>10</v>
      </c>
      <c r="D2274" s="73" t="s">
        <v>893</v>
      </c>
      <c r="E2274" s="2"/>
      <c r="F2274" s="2" t="s">
        <v>304</v>
      </c>
      <c r="G2274" s="2" t="s">
        <v>1190</v>
      </c>
      <c r="H2274" s="2" t="s">
        <v>1007</v>
      </c>
      <c r="I2274" s="1" t="s">
        <v>316</v>
      </c>
      <c r="J2274" s="2" t="s">
        <v>17</v>
      </c>
      <c r="K2274" s="72">
        <v>25.75</v>
      </c>
      <c r="L2274" s="39"/>
      <c r="M2274" s="72">
        <f t="shared" si="142"/>
        <v>-25.75</v>
      </c>
      <c r="N2274" s="72">
        <f t="shared" si="143"/>
        <v>483315.71999999968</v>
      </c>
    </row>
    <row r="2275" spans="1:14" x14ac:dyDescent="0.2">
      <c r="A2275" s="73" t="s">
        <v>1389</v>
      </c>
      <c r="B2275" s="3">
        <f t="shared" si="140"/>
        <v>2025</v>
      </c>
      <c r="C2275" s="3">
        <f t="shared" si="141"/>
        <v>10</v>
      </c>
      <c r="D2275" s="73" t="s">
        <v>300</v>
      </c>
      <c r="E2275" s="2"/>
      <c r="F2275" s="2" t="s">
        <v>325</v>
      </c>
      <c r="G2275" s="2" t="s">
        <v>1399</v>
      </c>
      <c r="H2275" s="2" t="s">
        <v>323</v>
      </c>
      <c r="I2275" s="2" t="s">
        <v>316</v>
      </c>
      <c r="J2275" s="2" t="s">
        <v>21</v>
      </c>
      <c r="K2275" s="72">
        <v>150</v>
      </c>
      <c r="L2275" s="39"/>
      <c r="M2275" s="72">
        <f t="shared" si="142"/>
        <v>-150</v>
      </c>
      <c r="N2275" s="72">
        <f t="shared" si="143"/>
        <v>483165.71999999968</v>
      </c>
    </row>
    <row r="2276" spans="1:14" x14ac:dyDescent="0.2">
      <c r="A2276" s="73" t="s">
        <v>1389</v>
      </c>
      <c r="B2276" s="3">
        <f t="shared" si="140"/>
        <v>2025</v>
      </c>
      <c r="C2276" s="3">
        <f t="shared" si="141"/>
        <v>10</v>
      </c>
      <c r="D2276" s="73" t="s">
        <v>300</v>
      </c>
      <c r="E2276" s="2"/>
      <c r="F2276" s="2" t="s">
        <v>304</v>
      </c>
      <c r="G2276" s="2" t="s">
        <v>306</v>
      </c>
      <c r="H2276" s="2" t="s">
        <v>305</v>
      </c>
      <c r="I2276" s="2" t="s">
        <v>301</v>
      </c>
      <c r="J2276" s="2" t="s">
        <v>19</v>
      </c>
      <c r="K2276" s="72">
        <v>309.27</v>
      </c>
      <c r="L2276" s="39"/>
      <c r="M2276" s="72">
        <f t="shared" si="142"/>
        <v>-309.27</v>
      </c>
      <c r="N2276" s="72">
        <f t="shared" si="143"/>
        <v>482856.44999999966</v>
      </c>
    </row>
    <row r="2277" spans="1:14" x14ac:dyDescent="0.2">
      <c r="A2277" s="73" t="s">
        <v>1389</v>
      </c>
      <c r="B2277" s="3">
        <f t="shared" si="140"/>
        <v>2025</v>
      </c>
      <c r="C2277" s="3">
        <f t="shared" si="141"/>
        <v>10</v>
      </c>
      <c r="D2277" s="73" t="s">
        <v>300</v>
      </c>
      <c r="E2277" s="2"/>
      <c r="F2277" s="2" t="s">
        <v>321</v>
      </c>
      <c r="G2277" s="2" t="s">
        <v>1134</v>
      </c>
      <c r="H2277" s="2" t="s">
        <v>319</v>
      </c>
      <c r="I2277" s="2" t="s">
        <v>315</v>
      </c>
      <c r="J2277" s="2" t="s">
        <v>23</v>
      </c>
      <c r="K2277" s="72"/>
      <c r="L2277" s="39">
        <v>24777.599999999999</v>
      </c>
      <c r="M2277" s="72">
        <f t="shared" si="142"/>
        <v>24777.599999999999</v>
      </c>
      <c r="N2277" s="72">
        <f t="shared" si="143"/>
        <v>507634.04999999964</v>
      </c>
    </row>
    <row r="2278" spans="1:14" x14ac:dyDescent="0.2">
      <c r="A2278" s="73" t="s">
        <v>1389</v>
      </c>
      <c r="B2278" s="3">
        <f t="shared" si="140"/>
        <v>2025</v>
      </c>
      <c r="C2278" s="3">
        <f t="shared" si="141"/>
        <v>10</v>
      </c>
      <c r="D2278" s="73" t="s">
        <v>893</v>
      </c>
      <c r="E2278" s="2"/>
      <c r="F2278" s="2" t="s">
        <v>304</v>
      </c>
      <c r="G2278" s="2" t="s">
        <v>913</v>
      </c>
      <c r="H2278" s="2" t="s">
        <v>884</v>
      </c>
      <c r="I2278" s="2" t="s">
        <v>316</v>
      </c>
      <c r="J2278" s="2" t="s">
        <v>22</v>
      </c>
      <c r="K2278" s="72">
        <v>4.3499999999999996</v>
      </c>
      <c r="L2278" s="39"/>
      <c r="M2278" s="72">
        <f t="shared" si="142"/>
        <v>-4.3499999999999996</v>
      </c>
      <c r="N2278" s="72">
        <f t="shared" si="143"/>
        <v>507629.69999999966</v>
      </c>
    </row>
    <row r="2279" spans="1:14" x14ac:dyDescent="0.2">
      <c r="A2279" s="73" t="s">
        <v>1389</v>
      </c>
      <c r="B2279" s="3">
        <f t="shared" si="140"/>
        <v>2025</v>
      </c>
      <c r="C2279" s="3">
        <f t="shared" si="141"/>
        <v>10</v>
      </c>
      <c r="D2279" s="73" t="s">
        <v>893</v>
      </c>
      <c r="E2279" s="2"/>
      <c r="F2279" s="2" t="s">
        <v>304</v>
      </c>
      <c r="G2279" s="2" t="s">
        <v>913</v>
      </c>
      <c r="H2279" s="2" t="s">
        <v>884</v>
      </c>
      <c r="I2279" s="2" t="s">
        <v>316</v>
      </c>
      <c r="J2279" s="2" t="s">
        <v>22</v>
      </c>
      <c r="K2279" s="72">
        <v>39.92</v>
      </c>
      <c r="L2279" s="39"/>
      <c r="M2279" s="72">
        <f t="shared" si="142"/>
        <v>-39.92</v>
      </c>
      <c r="N2279" s="72">
        <f t="shared" si="143"/>
        <v>507589.77999999968</v>
      </c>
    </row>
    <row r="2280" spans="1:14" x14ac:dyDescent="0.2">
      <c r="A2280" s="73" t="s">
        <v>1389</v>
      </c>
      <c r="B2280" s="3">
        <f t="shared" si="140"/>
        <v>2025</v>
      </c>
      <c r="C2280" s="3">
        <f t="shared" si="141"/>
        <v>10</v>
      </c>
      <c r="D2280" s="73" t="s">
        <v>300</v>
      </c>
      <c r="E2280" s="2"/>
      <c r="F2280" s="2" t="s">
        <v>304</v>
      </c>
      <c r="G2280" s="2" t="s">
        <v>303</v>
      </c>
      <c r="H2280" s="2" t="s">
        <v>302</v>
      </c>
      <c r="I2280" s="2" t="s">
        <v>301</v>
      </c>
      <c r="J2280" s="2" t="s">
        <v>11</v>
      </c>
      <c r="K2280" s="72">
        <v>68.959999999999994</v>
      </c>
      <c r="L2280" s="39"/>
      <c r="M2280" s="72">
        <f t="shared" si="142"/>
        <v>-68.959999999999994</v>
      </c>
      <c r="N2280" s="72">
        <f t="shared" si="143"/>
        <v>507520.81999999966</v>
      </c>
    </row>
    <row r="2281" spans="1:14" x14ac:dyDescent="0.2">
      <c r="A2281" s="73" t="s">
        <v>1389</v>
      </c>
      <c r="B2281" s="3">
        <f t="shared" si="140"/>
        <v>2025</v>
      </c>
      <c r="C2281" s="3">
        <f t="shared" si="141"/>
        <v>10</v>
      </c>
      <c r="D2281" s="73" t="s">
        <v>300</v>
      </c>
      <c r="E2281" s="2"/>
      <c r="F2281" s="2" t="s">
        <v>325</v>
      </c>
      <c r="G2281" s="2" t="s">
        <v>374</v>
      </c>
      <c r="H2281" s="2" t="s">
        <v>323</v>
      </c>
      <c r="I2281" s="2" t="s">
        <v>316</v>
      </c>
      <c r="J2281" s="2" t="s">
        <v>29</v>
      </c>
      <c r="K2281" s="72">
        <v>4534.5</v>
      </c>
      <c r="L2281" s="39"/>
      <c r="M2281" s="72">
        <f t="shared" si="142"/>
        <v>-4534.5</v>
      </c>
      <c r="N2281" s="72">
        <f t="shared" si="143"/>
        <v>502986.31999999966</v>
      </c>
    </row>
    <row r="2282" spans="1:14" x14ac:dyDescent="0.2">
      <c r="A2282" s="73" t="s">
        <v>1389</v>
      </c>
      <c r="B2282" s="3">
        <f t="shared" si="140"/>
        <v>2025</v>
      </c>
      <c r="C2282" s="3">
        <f t="shared" si="141"/>
        <v>10</v>
      </c>
      <c r="D2282" s="73" t="s">
        <v>300</v>
      </c>
      <c r="E2282" s="2"/>
      <c r="F2282" s="2" t="s">
        <v>299</v>
      </c>
      <c r="G2282" s="2"/>
      <c r="H2282" s="2" t="s">
        <v>298</v>
      </c>
      <c r="I2282" s="2" t="s">
        <v>297</v>
      </c>
      <c r="J2282" s="2" t="s">
        <v>296</v>
      </c>
      <c r="K2282" s="72">
        <v>15541.01</v>
      </c>
      <c r="L2282" s="39"/>
      <c r="M2282" s="72">
        <f t="shared" si="142"/>
        <v>-15541.01</v>
      </c>
      <c r="N2282" s="72">
        <f t="shared" si="143"/>
        <v>487445.30999999965</v>
      </c>
    </row>
    <row r="2283" spans="1:14" x14ac:dyDescent="0.2">
      <c r="A2283" s="73" t="s">
        <v>1409</v>
      </c>
      <c r="B2283" s="3">
        <f t="shared" si="140"/>
        <v>2025</v>
      </c>
      <c r="C2283" s="3">
        <f t="shared" si="141"/>
        <v>10</v>
      </c>
      <c r="D2283" s="73" t="s">
        <v>893</v>
      </c>
      <c r="E2283" s="2"/>
      <c r="F2283" s="2" t="s">
        <v>304</v>
      </c>
      <c r="G2283" s="2" t="s">
        <v>1008</v>
      </c>
      <c r="H2283" s="2" t="s">
        <v>1007</v>
      </c>
      <c r="I2283" s="1" t="s">
        <v>316</v>
      </c>
      <c r="J2283" s="2" t="s">
        <v>17</v>
      </c>
      <c r="K2283" s="72">
        <v>1514.1</v>
      </c>
      <c r="L2283" s="39"/>
      <c r="M2283" s="72">
        <f t="shared" si="142"/>
        <v>-1514.1</v>
      </c>
      <c r="N2283" s="72">
        <f t="shared" si="143"/>
        <v>485931.20999999967</v>
      </c>
    </row>
    <row r="2284" spans="1:14" x14ac:dyDescent="0.2">
      <c r="A2284" s="73" t="s">
        <v>1409</v>
      </c>
      <c r="B2284" s="3">
        <f t="shared" si="140"/>
        <v>2025</v>
      </c>
      <c r="C2284" s="3">
        <f t="shared" si="141"/>
        <v>10</v>
      </c>
      <c r="D2284" s="73" t="s">
        <v>893</v>
      </c>
      <c r="E2284" s="2"/>
      <c r="F2284" s="2" t="s">
        <v>304</v>
      </c>
      <c r="G2284" s="2" t="s">
        <v>900</v>
      </c>
      <c r="H2284" s="2" t="s">
        <v>901</v>
      </c>
      <c r="I2284" s="1" t="s">
        <v>316</v>
      </c>
      <c r="J2284" s="2" t="s">
        <v>17</v>
      </c>
      <c r="K2284" s="72">
        <v>21.4</v>
      </c>
      <c r="L2284" s="39"/>
      <c r="M2284" s="72">
        <f t="shared" si="142"/>
        <v>-21.4</v>
      </c>
      <c r="N2284" s="72">
        <f t="shared" si="143"/>
        <v>485909.80999999965</v>
      </c>
    </row>
    <row r="2285" spans="1:14" x14ac:dyDescent="0.2">
      <c r="A2285" s="73" t="s">
        <v>1409</v>
      </c>
      <c r="B2285" s="3">
        <f t="shared" si="140"/>
        <v>2025</v>
      </c>
      <c r="C2285" s="3">
        <f t="shared" si="141"/>
        <v>10</v>
      </c>
      <c r="D2285" s="73" t="s">
        <v>893</v>
      </c>
      <c r="E2285" s="2"/>
      <c r="F2285" s="2" t="s">
        <v>304</v>
      </c>
      <c r="G2285" s="2" t="s">
        <v>913</v>
      </c>
      <c r="H2285" s="2" t="s">
        <v>884</v>
      </c>
      <c r="I2285" s="2" t="s">
        <v>316</v>
      </c>
      <c r="J2285" s="2" t="s">
        <v>22</v>
      </c>
      <c r="K2285" s="72">
        <v>5.98</v>
      </c>
      <c r="L2285" s="39"/>
      <c r="M2285" s="72">
        <f t="shared" si="142"/>
        <v>-5.98</v>
      </c>
      <c r="N2285" s="72">
        <f t="shared" si="143"/>
        <v>485903.82999999967</v>
      </c>
    </row>
    <row r="2286" spans="1:14" x14ac:dyDescent="0.2">
      <c r="A2286" s="73" t="s">
        <v>1410</v>
      </c>
      <c r="B2286" s="3">
        <f t="shared" si="140"/>
        <v>2025</v>
      </c>
      <c r="C2286" s="3">
        <f t="shared" si="141"/>
        <v>10</v>
      </c>
      <c r="D2286" s="73" t="s">
        <v>893</v>
      </c>
      <c r="E2286" s="2"/>
      <c r="F2286" s="2" t="s">
        <v>304</v>
      </c>
      <c r="G2286" s="2" t="s">
        <v>1460</v>
      </c>
      <c r="H2286" s="2" t="s">
        <v>1007</v>
      </c>
      <c r="I2286" s="1" t="s">
        <v>316</v>
      </c>
      <c r="J2286" s="2" t="s">
        <v>17</v>
      </c>
      <c r="K2286" s="72">
        <v>15</v>
      </c>
      <c r="L2286" s="39"/>
      <c r="M2286" s="72">
        <f t="shared" si="142"/>
        <v>-15</v>
      </c>
      <c r="N2286" s="72">
        <f t="shared" si="143"/>
        <v>485888.82999999967</v>
      </c>
    </row>
    <row r="2287" spans="1:14" x14ac:dyDescent="0.2">
      <c r="A2287" s="73" t="s">
        <v>1390</v>
      </c>
      <c r="B2287" s="3">
        <f t="shared" si="140"/>
        <v>2025</v>
      </c>
      <c r="C2287" s="3">
        <f t="shared" si="141"/>
        <v>10</v>
      </c>
      <c r="D2287" s="73" t="s">
        <v>893</v>
      </c>
      <c r="E2287" s="2"/>
      <c r="F2287" s="2" t="s">
        <v>304</v>
      </c>
      <c r="G2287" s="2" t="s">
        <v>898</v>
      </c>
      <c r="H2287" s="2" t="s">
        <v>1031</v>
      </c>
      <c r="I2287" s="1" t="s">
        <v>316</v>
      </c>
      <c r="J2287" s="1" t="s">
        <v>28</v>
      </c>
      <c r="K2287" s="72">
        <v>19.07</v>
      </c>
      <c r="L2287" s="39"/>
      <c r="M2287" s="72">
        <f t="shared" si="142"/>
        <v>-19.07</v>
      </c>
      <c r="N2287" s="72">
        <f t="shared" si="143"/>
        <v>485869.75999999966</v>
      </c>
    </row>
    <row r="2288" spans="1:14" x14ac:dyDescent="0.2">
      <c r="A2288" s="73" t="s">
        <v>1390</v>
      </c>
      <c r="B2288" s="3">
        <f t="shared" si="140"/>
        <v>2025</v>
      </c>
      <c r="C2288" s="3">
        <f t="shared" si="141"/>
        <v>10</v>
      </c>
      <c r="D2288" s="73" t="s">
        <v>893</v>
      </c>
      <c r="E2288" s="2"/>
      <c r="F2288" s="2" t="s">
        <v>304</v>
      </c>
      <c r="G2288" s="2" t="s">
        <v>898</v>
      </c>
      <c r="H2288" s="2" t="s">
        <v>1031</v>
      </c>
      <c r="I2288" s="1" t="s">
        <v>316</v>
      </c>
      <c r="J2288" s="1" t="s">
        <v>28</v>
      </c>
      <c r="K2288" s="72">
        <v>84.78</v>
      </c>
      <c r="L2288" s="39"/>
      <c r="M2288" s="72">
        <f t="shared" si="142"/>
        <v>-84.78</v>
      </c>
      <c r="N2288" s="72">
        <f t="shared" si="143"/>
        <v>485784.97999999963</v>
      </c>
    </row>
    <row r="2289" spans="1:14" x14ac:dyDescent="0.2">
      <c r="A2289" s="73" t="s">
        <v>1390</v>
      </c>
      <c r="B2289" s="3">
        <f t="shared" si="140"/>
        <v>2025</v>
      </c>
      <c r="C2289" s="3">
        <f t="shared" si="141"/>
        <v>10</v>
      </c>
      <c r="D2289" s="73" t="s">
        <v>893</v>
      </c>
      <c r="E2289" s="2"/>
      <c r="F2289" s="2" t="s">
        <v>304</v>
      </c>
      <c r="G2289" s="2" t="s">
        <v>1008</v>
      </c>
      <c r="H2289" s="2" t="s">
        <v>1007</v>
      </c>
      <c r="I2289" s="1" t="s">
        <v>316</v>
      </c>
      <c r="J2289" s="2" t="s">
        <v>17</v>
      </c>
      <c r="K2289" s="72">
        <v>21.2</v>
      </c>
      <c r="L2289" s="39"/>
      <c r="M2289" s="72">
        <f t="shared" si="142"/>
        <v>-21.2</v>
      </c>
      <c r="N2289" s="72">
        <f t="shared" si="143"/>
        <v>485763.77999999962</v>
      </c>
    </row>
    <row r="2290" spans="1:14" x14ac:dyDescent="0.2">
      <c r="A2290" s="73" t="s">
        <v>1390</v>
      </c>
      <c r="B2290" s="3">
        <f t="shared" si="140"/>
        <v>2025</v>
      </c>
      <c r="C2290" s="3">
        <f t="shared" si="141"/>
        <v>10</v>
      </c>
      <c r="D2290" s="73" t="s">
        <v>300</v>
      </c>
      <c r="E2290" s="2"/>
      <c r="F2290" s="2" t="s">
        <v>304</v>
      </c>
      <c r="G2290" s="2" t="s">
        <v>336</v>
      </c>
      <c r="H2290" s="2" t="s">
        <v>766</v>
      </c>
      <c r="I2290" s="2" t="s">
        <v>301</v>
      </c>
      <c r="J2290" s="2" t="s">
        <v>11</v>
      </c>
      <c r="K2290" s="72">
        <v>25</v>
      </c>
      <c r="L2290" s="39"/>
      <c r="M2290" s="72">
        <f t="shared" si="142"/>
        <v>-25</v>
      </c>
      <c r="N2290" s="72">
        <f t="shared" si="143"/>
        <v>485738.77999999962</v>
      </c>
    </row>
    <row r="2291" spans="1:14" x14ac:dyDescent="0.2">
      <c r="A2291" s="73" t="s">
        <v>1390</v>
      </c>
      <c r="B2291" s="3">
        <f t="shared" si="140"/>
        <v>2025</v>
      </c>
      <c r="C2291" s="3">
        <f t="shared" si="141"/>
        <v>10</v>
      </c>
      <c r="D2291" s="73" t="s">
        <v>300</v>
      </c>
      <c r="E2291" s="2"/>
      <c r="F2291" s="2" t="s">
        <v>325</v>
      </c>
      <c r="G2291" s="2" t="s">
        <v>693</v>
      </c>
      <c r="H2291" s="2" t="s">
        <v>323</v>
      </c>
      <c r="I2291" s="2" t="s">
        <v>316</v>
      </c>
      <c r="J2291" s="2" t="s">
        <v>22</v>
      </c>
      <c r="K2291" s="72">
        <v>30</v>
      </c>
      <c r="L2291" s="39"/>
      <c r="M2291" s="72">
        <f t="shared" si="142"/>
        <v>-30</v>
      </c>
      <c r="N2291" s="72">
        <f t="shared" si="143"/>
        <v>485708.77999999962</v>
      </c>
    </row>
    <row r="2292" spans="1:14" x14ac:dyDescent="0.2">
      <c r="A2292" s="73" t="s">
        <v>1390</v>
      </c>
      <c r="B2292" s="3">
        <f t="shared" si="140"/>
        <v>2025</v>
      </c>
      <c r="C2292" s="3">
        <f t="shared" si="141"/>
        <v>10</v>
      </c>
      <c r="D2292" s="73" t="s">
        <v>893</v>
      </c>
      <c r="E2292" s="2"/>
      <c r="F2292" s="2" t="s">
        <v>304</v>
      </c>
      <c r="G2292" s="2" t="s">
        <v>1461</v>
      </c>
      <c r="H2292" s="2" t="s">
        <v>987</v>
      </c>
      <c r="I2292" s="2" t="s">
        <v>316</v>
      </c>
      <c r="J2292" s="2" t="s">
        <v>22</v>
      </c>
      <c r="K2292" s="72">
        <v>385.2</v>
      </c>
      <c r="L2292" s="39"/>
      <c r="M2292" s="72">
        <f t="shared" si="142"/>
        <v>-385.2</v>
      </c>
      <c r="N2292" s="72">
        <f t="shared" si="143"/>
        <v>485323.57999999961</v>
      </c>
    </row>
    <row r="2293" spans="1:14" x14ac:dyDescent="0.2">
      <c r="A2293" s="73" t="s">
        <v>1390</v>
      </c>
      <c r="B2293" s="3">
        <f t="shared" si="140"/>
        <v>2025</v>
      </c>
      <c r="C2293" s="3">
        <f t="shared" si="141"/>
        <v>10</v>
      </c>
      <c r="D2293" s="73" t="s">
        <v>893</v>
      </c>
      <c r="E2293" s="2"/>
      <c r="F2293" s="2" t="s">
        <v>304</v>
      </c>
      <c r="G2293" s="2" t="s">
        <v>1461</v>
      </c>
      <c r="H2293" s="2" t="s">
        <v>987</v>
      </c>
      <c r="I2293" s="2" t="s">
        <v>316</v>
      </c>
      <c r="J2293" s="2" t="s">
        <v>22</v>
      </c>
      <c r="K2293" s="72">
        <v>577.79999999999995</v>
      </c>
      <c r="L2293" s="39"/>
      <c r="M2293" s="72">
        <f t="shared" si="142"/>
        <v>-577.79999999999995</v>
      </c>
      <c r="N2293" s="72">
        <f t="shared" si="143"/>
        <v>484745.77999999962</v>
      </c>
    </row>
    <row r="2294" spans="1:14" x14ac:dyDescent="0.2">
      <c r="A2294" s="73" t="s">
        <v>1390</v>
      </c>
      <c r="B2294" s="3">
        <f t="shared" si="140"/>
        <v>2025</v>
      </c>
      <c r="C2294" s="3">
        <f t="shared" si="141"/>
        <v>10</v>
      </c>
      <c r="D2294" s="73" t="s">
        <v>893</v>
      </c>
      <c r="E2294" s="2"/>
      <c r="F2294" s="2" t="s">
        <v>304</v>
      </c>
      <c r="G2294" s="2" t="s">
        <v>932</v>
      </c>
      <c r="H2294" s="2" t="s">
        <v>1007</v>
      </c>
      <c r="I2294" s="1" t="s">
        <v>316</v>
      </c>
      <c r="J2294" s="2" t="s">
        <v>17</v>
      </c>
      <c r="K2294" s="72">
        <v>95.39</v>
      </c>
      <c r="L2294" s="39"/>
      <c r="M2294" s="72">
        <f t="shared" si="142"/>
        <v>-95.39</v>
      </c>
      <c r="N2294" s="72">
        <f t="shared" si="143"/>
        <v>484650.38999999961</v>
      </c>
    </row>
    <row r="2295" spans="1:14" x14ac:dyDescent="0.2">
      <c r="A2295" s="73" t="s">
        <v>1390</v>
      </c>
      <c r="B2295" s="3">
        <f t="shared" si="140"/>
        <v>2025</v>
      </c>
      <c r="C2295" s="3">
        <f t="shared" si="141"/>
        <v>10</v>
      </c>
      <c r="D2295" s="73" t="s">
        <v>300</v>
      </c>
      <c r="E2295" s="2"/>
      <c r="F2295" s="2" t="s">
        <v>325</v>
      </c>
      <c r="G2295" s="2" t="s">
        <v>1398</v>
      </c>
      <c r="H2295" s="2" t="s">
        <v>323</v>
      </c>
      <c r="I2295" s="2" t="s">
        <v>316</v>
      </c>
      <c r="J2295" s="2" t="s">
        <v>22</v>
      </c>
      <c r="K2295" s="72">
        <v>514.66999999999996</v>
      </c>
      <c r="L2295" s="39"/>
      <c r="M2295" s="72">
        <f t="shared" si="142"/>
        <v>-514.66999999999996</v>
      </c>
      <c r="N2295" s="72">
        <f t="shared" si="143"/>
        <v>484135.71999999962</v>
      </c>
    </row>
    <row r="2296" spans="1:14" x14ac:dyDescent="0.2">
      <c r="A2296" s="73" t="s">
        <v>1390</v>
      </c>
      <c r="B2296" s="3">
        <f t="shared" si="140"/>
        <v>2025</v>
      </c>
      <c r="C2296" s="3">
        <f t="shared" si="141"/>
        <v>10</v>
      </c>
      <c r="D2296" s="73" t="s">
        <v>300</v>
      </c>
      <c r="E2296" s="2"/>
      <c r="F2296" s="2" t="s">
        <v>299</v>
      </c>
      <c r="G2296" s="2"/>
      <c r="H2296" s="2" t="s">
        <v>298</v>
      </c>
      <c r="I2296" s="2" t="s">
        <v>297</v>
      </c>
      <c r="J2296" s="2" t="s">
        <v>296</v>
      </c>
      <c r="K2296" s="72"/>
      <c r="L2296" s="39">
        <v>25</v>
      </c>
      <c r="M2296" s="72">
        <f t="shared" si="142"/>
        <v>25</v>
      </c>
      <c r="N2296" s="72">
        <f t="shared" si="143"/>
        <v>484160.71999999962</v>
      </c>
    </row>
    <row r="2297" spans="1:14" x14ac:dyDescent="0.2">
      <c r="A2297" s="73" t="s">
        <v>1391</v>
      </c>
      <c r="B2297" s="3">
        <f t="shared" si="140"/>
        <v>2025</v>
      </c>
      <c r="C2297" s="3">
        <f t="shared" si="141"/>
        <v>10</v>
      </c>
      <c r="D2297" s="73" t="s">
        <v>893</v>
      </c>
      <c r="E2297" s="2"/>
      <c r="F2297" s="2" t="s">
        <v>304</v>
      </c>
      <c r="G2297" s="2" t="s">
        <v>898</v>
      </c>
      <c r="H2297" s="2" t="s">
        <v>1318</v>
      </c>
      <c r="I2297" s="1" t="s">
        <v>316</v>
      </c>
      <c r="J2297" s="2" t="s">
        <v>17</v>
      </c>
      <c r="K2297" s="72">
        <v>123.61</v>
      </c>
      <c r="L2297" s="39"/>
      <c r="M2297" s="72">
        <f t="shared" si="142"/>
        <v>-123.61</v>
      </c>
      <c r="N2297" s="72">
        <f t="shared" si="143"/>
        <v>484037.10999999964</v>
      </c>
    </row>
    <row r="2298" spans="1:14" x14ac:dyDescent="0.2">
      <c r="A2298" s="73" t="s">
        <v>1391</v>
      </c>
      <c r="B2298" s="3">
        <f t="shared" si="140"/>
        <v>2025</v>
      </c>
      <c r="C2298" s="3">
        <f t="shared" si="141"/>
        <v>10</v>
      </c>
      <c r="D2298" s="73" t="s">
        <v>893</v>
      </c>
      <c r="E2298" s="2"/>
      <c r="F2298" s="2" t="s">
        <v>304</v>
      </c>
      <c r="G2298" s="2" t="s">
        <v>1008</v>
      </c>
      <c r="H2298" s="2" t="s">
        <v>1007</v>
      </c>
      <c r="I2298" s="1" t="s">
        <v>316</v>
      </c>
      <c r="J2298" s="2" t="s">
        <v>17</v>
      </c>
      <c r="K2298" s="72">
        <v>31.36</v>
      </c>
      <c r="L2298" s="39"/>
      <c r="M2298" s="72">
        <f t="shared" si="142"/>
        <v>-31.36</v>
      </c>
      <c r="N2298" s="72">
        <f t="shared" si="143"/>
        <v>484005.74999999965</v>
      </c>
    </row>
    <row r="2299" spans="1:14" x14ac:dyDescent="0.2">
      <c r="A2299" s="73" t="s">
        <v>1391</v>
      </c>
      <c r="B2299" s="3">
        <f t="shared" si="140"/>
        <v>2025</v>
      </c>
      <c r="C2299" s="3">
        <f t="shared" si="141"/>
        <v>10</v>
      </c>
      <c r="D2299" s="73" t="s">
        <v>893</v>
      </c>
      <c r="E2299" s="2"/>
      <c r="F2299" s="2" t="s">
        <v>304</v>
      </c>
      <c r="G2299" s="2" t="s">
        <v>1008</v>
      </c>
      <c r="H2299" s="2" t="s">
        <v>1007</v>
      </c>
      <c r="I2299" s="1" t="s">
        <v>316</v>
      </c>
      <c r="J2299" s="2" t="s">
        <v>17</v>
      </c>
      <c r="K2299" s="72">
        <v>31.66</v>
      </c>
      <c r="L2299" s="39"/>
      <c r="M2299" s="72">
        <f t="shared" si="142"/>
        <v>-31.66</v>
      </c>
      <c r="N2299" s="72">
        <f t="shared" si="143"/>
        <v>483974.08999999968</v>
      </c>
    </row>
    <row r="2300" spans="1:14" x14ac:dyDescent="0.2">
      <c r="A2300" s="73" t="s">
        <v>1391</v>
      </c>
      <c r="B2300" s="3">
        <f t="shared" si="140"/>
        <v>2025</v>
      </c>
      <c r="C2300" s="3">
        <f t="shared" si="141"/>
        <v>10</v>
      </c>
      <c r="D2300" s="73" t="s">
        <v>893</v>
      </c>
      <c r="E2300" s="2"/>
      <c r="F2300" s="2" t="s">
        <v>304</v>
      </c>
      <c r="G2300" s="2" t="s">
        <v>1008</v>
      </c>
      <c r="H2300" s="2" t="s">
        <v>1007</v>
      </c>
      <c r="I2300" s="1" t="s">
        <v>316</v>
      </c>
      <c r="J2300" s="2" t="s">
        <v>17</v>
      </c>
      <c r="K2300" s="72">
        <v>31.36</v>
      </c>
      <c r="L2300" s="39"/>
      <c r="M2300" s="72">
        <f t="shared" si="142"/>
        <v>-31.36</v>
      </c>
      <c r="N2300" s="72">
        <f t="shared" si="143"/>
        <v>483942.72999999969</v>
      </c>
    </row>
    <row r="2301" spans="1:14" x14ac:dyDescent="0.2">
      <c r="A2301" s="73" t="s">
        <v>1391</v>
      </c>
      <c r="B2301" s="3">
        <f t="shared" si="140"/>
        <v>2025</v>
      </c>
      <c r="C2301" s="3">
        <f t="shared" si="141"/>
        <v>10</v>
      </c>
      <c r="D2301" s="73" t="s">
        <v>893</v>
      </c>
      <c r="E2301" s="2"/>
      <c r="F2301" s="2" t="s">
        <v>304</v>
      </c>
      <c r="G2301" s="2" t="s">
        <v>1008</v>
      </c>
      <c r="H2301" s="2" t="s">
        <v>1007</v>
      </c>
      <c r="I2301" s="1" t="s">
        <v>316</v>
      </c>
      <c r="J2301" s="2" t="s">
        <v>17</v>
      </c>
      <c r="K2301" s="72">
        <v>31.87</v>
      </c>
      <c r="L2301" s="39"/>
      <c r="M2301" s="72">
        <f t="shared" si="142"/>
        <v>-31.87</v>
      </c>
      <c r="N2301" s="72">
        <f t="shared" si="143"/>
        <v>483910.85999999969</v>
      </c>
    </row>
    <row r="2302" spans="1:14" x14ac:dyDescent="0.2">
      <c r="A2302" s="73" t="s">
        <v>1391</v>
      </c>
      <c r="B2302" s="3">
        <f t="shared" si="140"/>
        <v>2025</v>
      </c>
      <c r="C2302" s="3">
        <f t="shared" si="141"/>
        <v>10</v>
      </c>
      <c r="D2302" s="73" t="s">
        <v>300</v>
      </c>
      <c r="E2302" s="2"/>
      <c r="F2302" s="2" t="s">
        <v>304</v>
      </c>
      <c r="G2302" s="2" t="s">
        <v>311</v>
      </c>
      <c r="H2302" s="2" t="s">
        <v>310</v>
      </c>
      <c r="I2302" s="2" t="s">
        <v>301</v>
      </c>
      <c r="J2302" s="2" t="s">
        <v>11</v>
      </c>
      <c r="K2302" s="72">
        <v>17.100000000000001</v>
      </c>
      <c r="L2302" s="39"/>
      <c r="M2302" s="72">
        <f t="shared" si="142"/>
        <v>-17.100000000000001</v>
      </c>
      <c r="N2302" s="72">
        <f t="shared" si="143"/>
        <v>483893.75999999972</v>
      </c>
    </row>
    <row r="2303" spans="1:14" x14ac:dyDescent="0.2">
      <c r="A2303" s="73" t="s">
        <v>1391</v>
      </c>
      <c r="B2303" s="3">
        <f t="shared" si="140"/>
        <v>2025</v>
      </c>
      <c r="C2303" s="3">
        <f t="shared" si="141"/>
        <v>10</v>
      </c>
      <c r="D2303" s="73" t="s">
        <v>893</v>
      </c>
      <c r="E2303" s="2"/>
      <c r="F2303" s="2" t="s">
        <v>304</v>
      </c>
      <c r="G2303" s="2" t="s">
        <v>1181</v>
      </c>
      <c r="H2303" s="2" t="s">
        <v>1007</v>
      </c>
      <c r="I2303" s="1" t="s">
        <v>316</v>
      </c>
      <c r="J2303" s="2" t="s">
        <v>17</v>
      </c>
      <c r="K2303" s="72">
        <v>71.17</v>
      </c>
      <c r="L2303" s="39"/>
      <c r="M2303" s="72">
        <f t="shared" si="142"/>
        <v>-71.17</v>
      </c>
      <c r="N2303" s="72">
        <f t="shared" si="143"/>
        <v>483822.58999999973</v>
      </c>
    </row>
    <row r="2304" spans="1:14" x14ac:dyDescent="0.2">
      <c r="A2304" s="73" t="s">
        <v>1391</v>
      </c>
      <c r="B2304" s="3">
        <f t="shared" si="140"/>
        <v>2025</v>
      </c>
      <c r="C2304" s="3">
        <f t="shared" si="141"/>
        <v>10</v>
      </c>
      <c r="D2304" s="73" t="s">
        <v>300</v>
      </c>
      <c r="E2304" s="2"/>
      <c r="F2304" s="2" t="s">
        <v>299</v>
      </c>
      <c r="G2304" s="2"/>
      <c r="H2304" s="2" t="s">
        <v>298</v>
      </c>
      <c r="I2304" s="2" t="s">
        <v>297</v>
      </c>
      <c r="J2304" s="2" t="s">
        <v>296</v>
      </c>
      <c r="K2304" s="72"/>
      <c r="L2304" s="39">
        <v>561.77</v>
      </c>
      <c r="M2304" s="72">
        <f t="shared" si="142"/>
        <v>561.77</v>
      </c>
      <c r="N2304" s="72">
        <f t="shared" si="143"/>
        <v>484384.35999999975</v>
      </c>
    </row>
    <row r="2305" spans="1:14" x14ac:dyDescent="0.2">
      <c r="A2305" s="73" t="s">
        <v>1392</v>
      </c>
      <c r="B2305" s="3">
        <f t="shared" si="140"/>
        <v>2025</v>
      </c>
      <c r="C2305" s="3">
        <f t="shared" si="141"/>
        <v>10</v>
      </c>
      <c r="D2305" s="73" t="s">
        <v>893</v>
      </c>
      <c r="E2305" s="2"/>
      <c r="F2305" s="2" t="s">
        <v>304</v>
      </c>
      <c r="G2305" s="2" t="s">
        <v>1008</v>
      </c>
      <c r="H2305" s="2" t="s">
        <v>1007</v>
      </c>
      <c r="I2305" s="1" t="s">
        <v>316</v>
      </c>
      <c r="J2305" s="2" t="s">
        <v>17</v>
      </c>
      <c r="K2305" s="72">
        <v>31.83</v>
      </c>
      <c r="L2305" s="39"/>
      <c r="M2305" s="72">
        <f t="shared" si="142"/>
        <v>-31.83</v>
      </c>
      <c r="N2305" s="72">
        <f t="shared" si="143"/>
        <v>484352.52999999974</v>
      </c>
    </row>
    <row r="2306" spans="1:14" x14ac:dyDescent="0.2">
      <c r="A2306" s="73" t="s">
        <v>1392</v>
      </c>
      <c r="B2306" s="3">
        <f t="shared" ref="B2306:B2369" si="144">YEAR(A2306)</f>
        <v>2025</v>
      </c>
      <c r="C2306" s="3">
        <f t="shared" ref="C2306:C2369" si="145">MONTH(A2306)</f>
        <v>10</v>
      </c>
      <c r="D2306" s="73" t="s">
        <v>893</v>
      </c>
      <c r="E2306" s="2"/>
      <c r="F2306" s="2" t="s">
        <v>304</v>
      </c>
      <c r="G2306" s="2" t="s">
        <v>1008</v>
      </c>
      <c r="H2306" s="2" t="s">
        <v>1007</v>
      </c>
      <c r="I2306" s="1" t="s">
        <v>316</v>
      </c>
      <c r="J2306" s="2" t="s">
        <v>17</v>
      </c>
      <c r="K2306" s="72">
        <v>31.3</v>
      </c>
      <c r="L2306" s="39"/>
      <c r="M2306" s="72">
        <f t="shared" ref="M2306:M2369" si="146">IF(ISBLANK(L2306),K2306*-1,L2306)</f>
        <v>-31.3</v>
      </c>
      <c r="N2306" s="72">
        <f t="shared" si="143"/>
        <v>484321.22999999975</v>
      </c>
    </row>
    <row r="2307" spans="1:14" x14ac:dyDescent="0.2">
      <c r="A2307" s="73" t="s">
        <v>1392</v>
      </c>
      <c r="B2307" s="3">
        <f t="shared" si="144"/>
        <v>2025</v>
      </c>
      <c r="C2307" s="3">
        <f t="shared" si="145"/>
        <v>10</v>
      </c>
      <c r="D2307" s="73" t="s">
        <v>893</v>
      </c>
      <c r="E2307" s="2"/>
      <c r="F2307" s="2" t="s">
        <v>304</v>
      </c>
      <c r="G2307" s="2" t="s">
        <v>1008</v>
      </c>
      <c r="H2307" s="2" t="s">
        <v>1007</v>
      </c>
      <c r="I2307" s="1" t="s">
        <v>316</v>
      </c>
      <c r="J2307" s="2" t="s">
        <v>17</v>
      </c>
      <c r="K2307" s="72">
        <v>31.71</v>
      </c>
      <c r="L2307" s="39"/>
      <c r="M2307" s="72">
        <f t="shared" si="146"/>
        <v>-31.71</v>
      </c>
      <c r="N2307" s="72">
        <f t="shared" ref="N2307:N2370" si="147">+N2306+M2307</f>
        <v>484289.51999999973</v>
      </c>
    </row>
    <row r="2308" spans="1:14" x14ac:dyDescent="0.2">
      <c r="A2308" s="73" t="s">
        <v>1392</v>
      </c>
      <c r="B2308" s="3">
        <f t="shared" si="144"/>
        <v>2025</v>
      </c>
      <c r="C2308" s="3">
        <f t="shared" si="145"/>
        <v>10</v>
      </c>
      <c r="D2308" s="73" t="s">
        <v>893</v>
      </c>
      <c r="E2308" s="2"/>
      <c r="F2308" s="2" t="s">
        <v>304</v>
      </c>
      <c r="G2308" s="2" t="s">
        <v>1008</v>
      </c>
      <c r="H2308" s="2" t="s">
        <v>1007</v>
      </c>
      <c r="I2308" s="1" t="s">
        <v>316</v>
      </c>
      <c r="J2308" s="2" t="s">
        <v>17</v>
      </c>
      <c r="K2308" s="72">
        <v>41.24</v>
      </c>
      <c r="L2308" s="39"/>
      <c r="M2308" s="72">
        <f t="shared" si="146"/>
        <v>-41.24</v>
      </c>
      <c r="N2308" s="72">
        <f t="shared" si="147"/>
        <v>484248.27999999974</v>
      </c>
    </row>
    <row r="2309" spans="1:14" x14ac:dyDescent="0.2">
      <c r="A2309" s="73" t="s">
        <v>1392</v>
      </c>
      <c r="B2309" s="3">
        <f t="shared" si="144"/>
        <v>2025</v>
      </c>
      <c r="C2309" s="3">
        <f t="shared" si="145"/>
        <v>10</v>
      </c>
      <c r="D2309" s="73" t="s">
        <v>893</v>
      </c>
      <c r="E2309" s="2"/>
      <c r="F2309" s="2" t="s">
        <v>304</v>
      </c>
      <c r="G2309" s="2" t="s">
        <v>1008</v>
      </c>
      <c r="H2309" s="2" t="s">
        <v>1007</v>
      </c>
      <c r="I2309" s="1" t="s">
        <v>316</v>
      </c>
      <c r="J2309" s="2" t="s">
        <v>17</v>
      </c>
      <c r="K2309" s="72">
        <v>31.14</v>
      </c>
      <c r="L2309" s="39"/>
      <c r="M2309" s="72">
        <f t="shared" si="146"/>
        <v>-31.14</v>
      </c>
      <c r="N2309" s="72">
        <f t="shared" si="147"/>
        <v>484217.13999999972</v>
      </c>
    </row>
    <row r="2310" spans="1:14" x14ac:dyDescent="0.2">
      <c r="A2310" s="73" t="s">
        <v>1392</v>
      </c>
      <c r="B2310" s="3">
        <f t="shared" si="144"/>
        <v>2025</v>
      </c>
      <c r="C2310" s="3">
        <f t="shared" si="145"/>
        <v>10</v>
      </c>
      <c r="D2310" s="73" t="s">
        <v>300</v>
      </c>
      <c r="E2310" s="2"/>
      <c r="F2310" s="2" t="s">
        <v>309</v>
      </c>
      <c r="G2310" s="2" t="s">
        <v>12</v>
      </c>
      <c r="H2310" s="2" t="s">
        <v>346</v>
      </c>
      <c r="I2310" s="2" t="s">
        <v>315</v>
      </c>
      <c r="J2310" s="2" t="s">
        <v>23</v>
      </c>
      <c r="K2310" s="72"/>
      <c r="L2310" s="39">
        <v>750</v>
      </c>
      <c r="M2310" s="72">
        <f t="shared" si="146"/>
        <v>750</v>
      </c>
      <c r="N2310" s="72">
        <f t="shared" si="147"/>
        <v>484967.13999999972</v>
      </c>
    </row>
    <row r="2311" spans="1:14" x14ac:dyDescent="0.2">
      <c r="A2311" s="73" t="s">
        <v>1392</v>
      </c>
      <c r="B2311" s="3">
        <f t="shared" si="144"/>
        <v>2025</v>
      </c>
      <c r="C2311" s="3">
        <f t="shared" si="145"/>
        <v>10</v>
      </c>
      <c r="D2311" s="73" t="s">
        <v>893</v>
      </c>
      <c r="E2311" s="2"/>
      <c r="F2311" s="2" t="s">
        <v>304</v>
      </c>
      <c r="G2311" s="2" t="s">
        <v>908</v>
      </c>
      <c r="H2311" s="2" t="s">
        <v>901</v>
      </c>
      <c r="I2311" s="1" t="s">
        <v>316</v>
      </c>
      <c r="J2311" s="2" t="s">
        <v>17</v>
      </c>
      <c r="K2311" s="72">
        <v>20</v>
      </c>
      <c r="L2311" s="39"/>
      <c r="M2311" s="72">
        <f t="shared" si="146"/>
        <v>-20</v>
      </c>
      <c r="N2311" s="72">
        <f t="shared" si="147"/>
        <v>484947.13999999972</v>
      </c>
    </row>
    <row r="2312" spans="1:14" x14ac:dyDescent="0.2">
      <c r="A2312" s="73" t="s">
        <v>1392</v>
      </c>
      <c r="B2312" s="3">
        <f t="shared" si="144"/>
        <v>2025</v>
      </c>
      <c r="C2312" s="3">
        <f t="shared" si="145"/>
        <v>10</v>
      </c>
      <c r="D2312" s="73" t="s">
        <v>300</v>
      </c>
      <c r="E2312" s="2"/>
      <c r="F2312" s="2" t="s">
        <v>304</v>
      </c>
      <c r="G2312" s="2" t="s">
        <v>317</v>
      </c>
      <c r="H2312" s="2" t="s">
        <v>349</v>
      </c>
      <c r="I2312" s="2" t="s">
        <v>297</v>
      </c>
      <c r="J2312" s="2" t="s">
        <v>26</v>
      </c>
      <c r="K2312" s="72">
        <v>7.5</v>
      </c>
      <c r="L2312" s="39"/>
      <c r="M2312" s="72">
        <f t="shared" si="146"/>
        <v>-7.5</v>
      </c>
      <c r="N2312" s="72">
        <f t="shared" si="147"/>
        <v>484939.63999999972</v>
      </c>
    </row>
    <row r="2313" spans="1:14" x14ac:dyDescent="0.2">
      <c r="A2313" s="73" t="s">
        <v>1393</v>
      </c>
      <c r="B2313" s="3">
        <f t="shared" si="144"/>
        <v>2025</v>
      </c>
      <c r="C2313" s="3">
        <f t="shared" si="145"/>
        <v>10</v>
      </c>
      <c r="D2313" s="73" t="s">
        <v>893</v>
      </c>
      <c r="E2313" s="2"/>
      <c r="F2313" s="2" t="s">
        <v>304</v>
      </c>
      <c r="G2313" s="2" t="s">
        <v>936</v>
      </c>
      <c r="H2313" s="2" t="s">
        <v>937</v>
      </c>
      <c r="I2313" s="2" t="s">
        <v>316</v>
      </c>
      <c r="J2313" s="2" t="s">
        <v>22</v>
      </c>
      <c r="K2313" s="72">
        <v>360.37</v>
      </c>
      <c r="L2313" s="39"/>
      <c r="M2313" s="72">
        <f t="shared" si="146"/>
        <v>-360.37</v>
      </c>
      <c r="N2313" s="72">
        <f t="shared" si="147"/>
        <v>484579.26999999973</v>
      </c>
    </row>
    <row r="2314" spans="1:14" x14ac:dyDescent="0.2">
      <c r="A2314" s="73" t="s">
        <v>1393</v>
      </c>
      <c r="B2314" s="3">
        <f t="shared" si="144"/>
        <v>2025</v>
      </c>
      <c r="C2314" s="3">
        <f t="shared" si="145"/>
        <v>10</v>
      </c>
      <c r="D2314" s="73" t="s">
        <v>893</v>
      </c>
      <c r="E2314" s="2"/>
      <c r="F2314" s="2" t="s">
        <v>304</v>
      </c>
      <c r="G2314" s="2" t="s">
        <v>1008</v>
      </c>
      <c r="H2314" s="2" t="s">
        <v>1007</v>
      </c>
      <c r="I2314" s="1" t="s">
        <v>316</v>
      </c>
      <c r="J2314" s="2" t="s">
        <v>17</v>
      </c>
      <c r="K2314" s="72">
        <v>33.71</v>
      </c>
      <c r="L2314" s="39"/>
      <c r="M2314" s="72">
        <f t="shared" si="146"/>
        <v>-33.71</v>
      </c>
      <c r="N2314" s="72">
        <f t="shared" si="147"/>
        <v>484545.55999999971</v>
      </c>
    </row>
    <row r="2315" spans="1:14" x14ac:dyDescent="0.2">
      <c r="A2315" s="73" t="s">
        <v>1393</v>
      </c>
      <c r="B2315" s="3">
        <f t="shared" si="144"/>
        <v>2025</v>
      </c>
      <c r="C2315" s="3">
        <f t="shared" si="145"/>
        <v>10</v>
      </c>
      <c r="D2315" s="73" t="s">
        <v>893</v>
      </c>
      <c r="E2315" s="2"/>
      <c r="F2315" s="2" t="s">
        <v>304</v>
      </c>
      <c r="G2315" s="2" t="s">
        <v>1008</v>
      </c>
      <c r="H2315" s="2" t="s">
        <v>1007</v>
      </c>
      <c r="I2315" s="1" t="s">
        <v>316</v>
      </c>
      <c r="J2315" s="2" t="s">
        <v>17</v>
      </c>
      <c r="K2315" s="72">
        <v>131.53</v>
      </c>
      <c r="L2315" s="39"/>
      <c r="M2315" s="72">
        <f t="shared" si="146"/>
        <v>-131.53</v>
      </c>
      <c r="N2315" s="72">
        <f t="shared" si="147"/>
        <v>484414.02999999968</v>
      </c>
    </row>
    <row r="2316" spans="1:14" x14ac:dyDescent="0.2">
      <c r="A2316" s="73" t="s">
        <v>1393</v>
      </c>
      <c r="B2316" s="3">
        <f t="shared" si="144"/>
        <v>2025</v>
      </c>
      <c r="C2316" s="3">
        <f t="shared" si="145"/>
        <v>10</v>
      </c>
      <c r="D2316" s="73" t="s">
        <v>893</v>
      </c>
      <c r="E2316" s="2"/>
      <c r="F2316" s="2" t="s">
        <v>304</v>
      </c>
      <c r="G2316" s="2" t="s">
        <v>1008</v>
      </c>
      <c r="H2316" s="2" t="s">
        <v>1007</v>
      </c>
      <c r="I2316" s="1" t="s">
        <v>316</v>
      </c>
      <c r="J2316" s="2" t="s">
        <v>17</v>
      </c>
      <c r="K2316" s="72">
        <v>31.45</v>
      </c>
      <c r="L2316" s="39"/>
      <c r="M2316" s="72">
        <f t="shared" si="146"/>
        <v>-31.45</v>
      </c>
      <c r="N2316" s="72">
        <f t="shared" si="147"/>
        <v>484382.57999999967</v>
      </c>
    </row>
    <row r="2317" spans="1:14" x14ac:dyDescent="0.2">
      <c r="A2317" s="73" t="s">
        <v>1393</v>
      </c>
      <c r="B2317" s="3">
        <f t="shared" si="144"/>
        <v>2025</v>
      </c>
      <c r="C2317" s="3">
        <f t="shared" si="145"/>
        <v>10</v>
      </c>
      <c r="D2317" s="73" t="s">
        <v>300</v>
      </c>
      <c r="E2317" s="2"/>
      <c r="F2317" s="2" t="s">
        <v>304</v>
      </c>
      <c r="G2317" s="2" t="s">
        <v>306</v>
      </c>
      <c r="H2317" s="2" t="s">
        <v>516</v>
      </c>
      <c r="I2317" s="2" t="s">
        <v>301</v>
      </c>
      <c r="J2317" s="2" t="s">
        <v>20</v>
      </c>
      <c r="K2317" s="72">
        <v>35168.69</v>
      </c>
      <c r="L2317" s="39"/>
      <c r="M2317" s="72">
        <f t="shared" si="146"/>
        <v>-35168.69</v>
      </c>
      <c r="N2317" s="72">
        <f t="shared" si="147"/>
        <v>449213.88999999966</v>
      </c>
    </row>
    <row r="2318" spans="1:14" x14ac:dyDescent="0.2">
      <c r="A2318" s="73" t="s">
        <v>1393</v>
      </c>
      <c r="B2318" s="3">
        <f t="shared" si="144"/>
        <v>2025</v>
      </c>
      <c r="C2318" s="3">
        <f t="shared" si="145"/>
        <v>10</v>
      </c>
      <c r="D2318" s="73" t="s">
        <v>300</v>
      </c>
      <c r="E2318" s="2"/>
      <c r="F2318" s="2" t="s">
        <v>304</v>
      </c>
      <c r="G2318" s="2" t="s">
        <v>306</v>
      </c>
      <c r="H2318" s="2" t="s">
        <v>516</v>
      </c>
      <c r="I2318" s="2" t="s">
        <v>301</v>
      </c>
      <c r="J2318" s="2" t="s">
        <v>11</v>
      </c>
      <c r="K2318" s="72">
        <v>999.5</v>
      </c>
      <c r="L2318" s="39"/>
      <c r="M2318" s="72">
        <f t="shared" si="146"/>
        <v>-999.5</v>
      </c>
      <c r="N2318" s="72">
        <f t="shared" si="147"/>
        <v>448214.38999999966</v>
      </c>
    </row>
    <row r="2319" spans="1:14" x14ac:dyDescent="0.2">
      <c r="A2319" s="73" t="s">
        <v>1393</v>
      </c>
      <c r="B2319" s="3">
        <f t="shared" si="144"/>
        <v>2025</v>
      </c>
      <c r="C2319" s="3">
        <f t="shared" si="145"/>
        <v>10</v>
      </c>
      <c r="D2319" s="73" t="s">
        <v>300</v>
      </c>
      <c r="E2319" s="2"/>
      <c r="F2319" s="2" t="s">
        <v>304</v>
      </c>
      <c r="G2319" s="2" t="s">
        <v>306</v>
      </c>
      <c r="H2319" s="2" t="s">
        <v>516</v>
      </c>
      <c r="I2319" s="2" t="s">
        <v>301</v>
      </c>
      <c r="J2319" s="2" t="s">
        <v>24</v>
      </c>
      <c r="K2319" s="72">
        <v>75359.64</v>
      </c>
      <c r="L2319" s="39"/>
      <c r="M2319" s="72">
        <f t="shared" si="146"/>
        <v>-75359.64</v>
      </c>
      <c r="N2319" s="72">
        <f t="shared" si="147"/>
        <v>372854.74999999965</v>
      </c>
    </row>
    <row r="2320" spans="1:14" x14ac:dyDescent="0.2">
      <c r="A2320" s="73" t="s">
        <v>1393</v>
      </c>
      <c r="B2320" s="3">
        <f t="shared" si="144"/>
        <v>2025</v>
      </c>
      <c r="C2320" s="3">
        <f t="shared" si="145"/>
        <v>10</v>
      </c>
      <c r="D2320" s="73" t="s">
        <v>300</v>
      </c>
      <c r="E2320" s="2"/>
      <c r="F2320" s="2" t="s">
        <v>321</v>
      </c>
      <c r="G2320" s="2" t="s">
        <v>387</v>
      </c>
      <c r="H2320" s="2" t="s">
        <v>319</v>
      </c>
      <c r="I2320" s="2" t="s">
        <v>315</v>
      </c>
      <c r="J2320" s="2" t="s">
        <v>23</v>
      </c>
      <c r="K2320" s="72"/>
      <c r="L2320" s="39">
        <v>8400</v>
      </c>
      <c r="M2320" s="72">
        <f t="shared" si="146"/>
        <v>8400</v>
      </c>
      <c r="N2320" s="72">
        <f t="shared" si="147"/>
        <v>381254.74999999965</v>
      </c>
    </row>
    <row r="2321" spans="1:16" x14ac:dyDescent="0.2">
      <c r="A2321" s="73" t="s">
        <v>1393</v>
      </c>
      <c r="B2321" s="3">
        <f t="shared" si="144"/>
        <v>2025</v>
      </c>
      <c r="C2321" s="3">
        <f t="shared" si="145"/>
        <v>10</v>
      </c>
      <c r="D2321" s="73" t="s">
        <v>300</v>
      </c>
      <c r="E2321" s="2"/>
      <c r="F2321" s="2" t="s">
        <v>321</v>
      </c>
      <c r="G2321" s="2" t="s">
        <v>387</v>
      </c>
      <c r="H2321" s="2" t="s">
        <v>319</v>
      </c>
      <c r="I2321" s="2" t="s">
        <v>315</v>
      </c>
      <c r="J2321" s="2" t="s">
        <v>23</v>
      </c>
      <c r="K2321" s="72"/>
      <c r="L2321" s="39">
        <v>11534.5</v>
      </c>
      <c r="M2321" s="72">
        <f t="shared" si="146"/>
        <v>11534.5</v>
      </c>
      <c r="N2321" s="72">
        <f t="shared" si="147"/>
        <v>392789.24999999965</v>
      </c>
    </row>
    <row r="2322" spans="1:16" x14ac:dyDescent="0.2">
      <c r="A2322" s="73" t="s">
        <v>1393</v>
      </c>
      <c r="B2322" s="3">
        <f t="shared" si="144"/>
        <v>2025</v>
      </c>
      <c r="C2322" s="3">
        <f t="shared" si="145"/>
        <v>10</v>
      </c>
      <c r="D2322" s="73" t="s">
        <v>300</v>
      </c>
      <c r="E2322" s="2"/>
      <c r="F2322" s="2" t="s">
        <v>299</v>
      </c>
      <c r="G2322" s="2"/>
      <c r="H2322" s="2" t="s">
        <v>298</v>
      </c>
      <c r="I2322" s="2" t="s">
        <v>297</v>
      </c>
      <c r="J2322" s="2" t="s">
        <v>296</v>
      </c>
      <c r="K2322" s="72"/>
      <c r="L2322" s="39">
        <v>90850.83</v>
      </c>
      <c r="M2322" s="72">
        <f t="shared" si="146"/>
        <v>90850.83</v>
      </c>
      <c r="N2322" s="72">
        <f t="shared" si="147"/>
        <v>483640.07999999967</v>
      </c>
    </row>
    <row r="2323" spans="1:16" x14ac:dyDescent="0.2">
      <c r="A2323" s="73" t="s">
        <v>1394</v>
      </c>
      <c r="B2323" s="3">
        <f t="shared" si="144"/>
        <v>2025</v>
      </c>
      <c r="C2323" s="3">
        <f t="shared" si="145"/>
        <v>10</v>
      </c>
      <c r="D2323" s="73" t="s">
        <v>893</v>
      </c>
      <c r="E2323" s="2"/>
      <c r="F2323" s="2" t="s">
        <v>938</v>
      </c>
      <c r="G2323" s="2" t="s">
        <v>898</v>
      </c>
      <c r="H2323" s="2" t="s">
        <v>1031</v>
      </c>
      <c r="I2323" s="1" t="s">
        <v>316</v>
      </c>
      <c r="J2323" s="1" t="s">
        <v>28</v>
      </c>
      <c r="K2323" s="72"/>
      <c r="L2323" s="39">
        <v>19.07</v>
      </c>
      <c r="M2323" s="72">
        <f t="shared" si="146"/>
        <v>19.07</v>
      </c>
      <c r="N2323" s="72">
        <f t="shared" si="147"/>
        <v>483659.14999999967</v>
      </c>
    </row>
    <row r="2324" spans="1:16" x14ac:dyDescent="0.2">
      <c r="A2324" s="73" t="s">
        <v>1394</v>
      </c>
      <c r="B2324" s="3">
        <f t="shared" si="144"/>
        <v>2025</v>
      </c>
      <c r="C2324" s="3">
        <f t="shared" si="145"/>
        <v>10</v>
      </c>
      <c r="D2324" s="73" t="s">
        <v>300</v>
      </c>
      <c r="E2324" s="2"/>
      <c r="F2324" s="2" t="s">
        <v>325</v>
      </c>
      <c r="G2324" s="2" t="s">
        <v>1400</v>
      </c>
      <c r="H2324" s="2" t="s">
        <v>323</v>
      </c>
      <c r="I2324" s="1" t="s">
        <v>316</v>
      </c>
      <c r="J2324" s="2" t="s">
        <v>17</v>
      </c>
      <c r="K2324" s="72">
        <v>7207.94</v>
      </c>
      <c r="L2324" s="39"/>
      <c r="M2324" s="72">
        <f t="shared" si="146"/>
        <v>-7207.94</v>
      </c>
      <c r="N2324" s="72">
        <f t="shared" si="147"/>
        <v>476451.20999999967</v>
      </c>
    </row>
    <row r="2325" spans="1:16" x14ac:dyDescent="0.2">
      <c r="A2325" s="73" t="s">
        <v>1394</v>
      </c>
      <c r="B2325" s="3">
        <f t="shared" si="144"/>
        <v>2025</v>
      </c>
      <c r="C2325" s="3">
        <f t="shared" si="145"/>
        <v>10</v>
      </c>
      <c r="D2325" s="73" t="s">
        <v>300</v>
      </c>
      <c r="E2325" s="2"/>
      <c r="F2325" s="2" t="s">
        <v>325</v>
      </c>
      <c r="G2325" s="2" t="s">
        <v>892</v>
      </c>
      <c r="H2325" s="2" t="s">
        <v>323</v>
      </c>
      <c r="I2325" s="2" t="s">
        <v>316</v>
      </c>
      <c r="J2325" s="2" t="s">
        <v>22</v>
      </c>
      <c r="K2325" s="72">
        <v>69.709999999999994</v>
      </c>
      <c r="L2325" s="39"/>
      <c r="M2325" s="72">
        <f t="shared" si="146"/>
        <v>-69.709999999999994</v>
      </c>
      <c r="N2325" s="72">
        <f t="shared" si="147"/>
        <v>476381.49999999965</v>
      </c>
    </row>
    <row r="2326" spans="1:16" x14ac:dyDescent="0.2">
      <c r="A2326" s="73" t="s">
        <v>1394</v>
      </c>
      <c r="B2326" s="3">
        <f t="shared" si="144"/>
        <v>2025</v>
      </c>
      <c r="C2326" s="3">
        <f t="shared" si="145"/>
        <v>10</v>
      </c>
      <c r="D2326" s="73" t="s">
        <v>300</v>
      </c>
      <c r="E2326" s="2"/>
      <c r="F2326" s="2" t="s">
        <v>309</v>
      </c>
      <c r="G2326" s="2" t="s">
        <v>308</v>
      </c>
      <c r="H2326" s="2" t="s">
        <v>307</v>
      </c>
      <c r="I2326" s="2" t="s">
        <v>297</v>
      </c>
      <c r="J2326" s="2" t="s">
        <v>48</v>
      </c>
      <c r="K2326" s="72"/>
      <c r="L2326" s="39">
        <v>613.20000000000005</v>
      </c>
      <c r="M2326" s="72">
        <f t="shared" si="146"/>
        <v>613.20000000000005</v>
      </c>
      <c r="N2326" s="72">
        <f t="shared" si="147"/>
        <v>476994.69999999966</v>
      </c>
    </row>
    <row r="2327" spans="1:16" x14ac:dyDescent="0.2">
      <c r="A2327" s="73" t="s">
        <v>1394</v>
      </c>
      <c r="B2327" s="3">
        <f t="shared" si="144"/>
        <v>2025</v>
      </c>
      <c r="C2327" s="3">
        <f t="shared" si="145"/>
        <v>10</v>
      </c>
      <c r="D2327" s="73" t="s">
        <v>300</v>
      </c>
      <c r="E2327" s="2"/>
      <c r="F2327" s="2" t="s">
        <v>325</v>
      </c>
      <c r="G2327" s="2" t="s">
        <v>375</v>
      </c>
      <c r="H2327" s="2" t="s">
        <v>323</v>
      </c>
      <c r="I2327" s="2" t="s">
        <v>316</v>
      </c>
      <c r="J2327" s="2" t="s">
        <v>29</v>
      </c>
      <c r="K2327" s="72">
        <v>4666.2</v>
      </c>
      <c r="L2327" s="39"/>
      <c r="M2327" s="72">
        <f t="shared" si="146"/>
        <v>-4666.2</v>
      </c>
      <c r="N2327" s="72">
        <f t="shared" si="147"/>
        <v>472328.49999999965</v>
      </c>
      <c r="O2327" s="72">
        <v>500000</v>
      </c>
    </row>
    <row r="2328" spans="1:16" x14ac:dyDescent="0.2">
      <c r="A2328" s="73" t="s">
        <v>1394</v>
      </c>
      <c r="B2328" s="3">
        <f t="shared" si="144"/>
        <v>2025</v>
      </c>
      <c r="C2328" s="3">
        <f t="shared" si="145"/>
        <v>10</v>
      </c>
      <c r="D2328" s="73" t="s">
        <v>893</v>
      </c>
      <c r="E2328" s="2"/>
      <c r="F2328" s="2" t="s">
        <v>304</v>
      </c>
      <c r="G2328" s="2" t="s">
        <v>1462</v>
      </c>
      <c r="H2328" s="2" t="s">
        <v>1463</v>
      </c>
      <c r="I2328" s="2" t="s">
        <v>316</v>
      </c>
      <c r="J2328" s="2" t="s">
        <v>22</v>
      </c>
      <c r="K2328" s="72">
        <v>230.7</v>
      </c>
      <c r="L2328" s="39"/>
      <c r="M2328" s="72">
        <f t="shared" si="146"/>
        <v>-230.7</v>
      </c>
      <c r="N2328" s="72">
        <f t="shared" si="147"/>
        <v>472097.79999999964</v>
      </c>
      <c r="O2328" s="72">
        <v>-16571.55</v>
      </c>
    </row>
    <row r="2329" spans="1:16" x14ac:dyDescent="0.2">
      <c r="A2329" s="73" t="s">
        <v>1394</v>
      </c>
      <c r="B2329" s="3">
        <f t="shared" si="144"/>
        <v>2025</v>
      </c>
      <c r="C2329" s="3">
        <f t="shared" si="145"/>
        <v>10</v>
      </c>
      <c r="D2329" s="73" t="s">
        <v>300</v>
      </c>
      <c r="E2329" s="2"/>
      <c r="F2329" s="2" t="s">
        <v>299</v>
      </c>
      <c r="G2329" s="2"/>
      <c r="H2329" s="2" t="s">
        <v>298</v>
      </c>
      <c r="I2329" s="2" t="s">
        <v>297</v>
      </c>
      <c r="J2329" s="2" t="s">
        <v>296</v>
      </c>
      <c r="K2329" s="72"/>
      <c r="L2329" s="39">
        <v>11330.65</v>
      </c>
      <c r="M2329" s="72">
        <f t="shared" si="146"/>
        <v>11330.65</v>
      </c>
      <c r="N2329" s="72">
        <f t="shared" si="147"/>
        <v>483428.44999999966</v>
      </c>
      <c r="O2329" s="72">
        <f>+O2327+O2328</f>
        <v>483428.45</v>
      </c>
      <c r="P2329" s="39">
        <f>+N2329-O2329</f>
        <v>0</v>
      </c>
    </row>
    <row r="2330" spans="1:16" x14ac:dyDescent="0.2">
      <c r="A2330" s="73" t="s">
        <v>1470</v>
      </c>
      <c r="B2330" s="3">
        <f t="shared" si="144"/>
        <v>2025</v>
      </c>
      <c r="C2330" s="3">
        <f t="shared" si="145"/>
        <v>11</v>
      </c>
      <c r="D2330" s="73" t="s">
        <v>893</v>
      </c>
      <c r="E2330" s="2"/>
      <c r="F2330" s="2" t="s">
        <v>304</v>
      </c>
      <c r="G2330" s="2" t="s">
        <v>1008</v>
      </c>
      <c r="H2330" s="2" t="s">
        <v>1311</v>
      </c>
      <c r="I2330" s="1" t="s">
        <v>316</v>
      </c>
      <c r="J2330" s="2" t="s">
        <v>17</v>
      </c>
      <c r="K2330" s="72">
        <v>20</v>
      </c>
      <c r="L2330" s="39"/>
      <c r="M2330" s="72">
        <f t="shared" si="146"/>
        <v>-20</v>
      </c>
      <c r="N2330" s="72">
        <f t="shared" si="147"/>
        <v>483408.44999999966</v>
      </c>
    </row>
    <row r="2331" spans="1:16" x14ac:dyDescent="0.2">
      <c r="A2331" s="73" t="s">
        <v>1470</v>
      </c>
      <c r="B2331" s="3">
        <f t="shared" si="144"/>
        <v>2025</v>
      </c>
      <c r="C2331" s="3">
        <f t="shared" si="145"/>
        <v>11</v>
      </c>
      <c r="D2331" s="73" t="s">
        <v>893</v>
      </c>
      <c r="E2331" s="2"/>
      <c r="F2331" s="2" t="s">
        <v>304</v>
      </c>
      <c r="G2331" s="2" t="s">
        <v>1011</v>
      </c>
      <c r="H2331" s="2" t="s">
        <v>1007</v>
      </c>
      <c r="I2331" s="1" t="s">
        <v>316</v>
      </c>
      <c r="J2331" s="2" t="s">
        <v>17</v>
      </c>
      <c r="K2331" s="72">
        <v>89</v>
      </c>
      <c r="L2331" s="39"/>
      <c r="M2331" s="72">
        <f t="shared" si="146"/>
        <v>-89</v>
      </c>
      <c r="N2331" s="72">
        <f t="shared" si="147"/>
        <v>483319.44999999966</v>
      </c>
    </row>
    <row r="2332" spans="1:16" x14ac:dyDescent="0.2">
      <c r="A2332" s="73" t="s">
        <v>1470</v>
      </c>
      <c r="B2332" s="3">
        <f t="shared" si="144"/>
        <v>2025</v>
      </c>
      <c r="C2332" s="3">
        <f t="shared" si="145"/>
        <v>11</v>
      </c>
      <c r="D2332" s="73" t="s">
        <v>893</v>
      </c>
      <c r="E2332" s="2"/>
      <c r="F2332" s="2" t="s">
        <v>304</v>
      </c>
      <c r="G2332" s="2" t="s">
        <v>1456</v>
      </c>
      <c r="H2332" s="2" t="s">
        <v>1457</v>
      </c>
      <c r="I2332" s="2" t="s">
        <v>350</v>
      </c>
      <c r="J2332" s="1" t="s">
        <v>477</v>
      </c>
      <c r="K2332" s="72">
        <v>427.87</v>
      </c>
      <c r="L2332" s="39"/>
      <c r="M2332" s="72">
        <f t="shared" si="146"/>
        <v>-427.87</v>
      </c>
      <c r="N2332" s="72">
        <f t="shared" si="147"/>
        <v>482891.57999999967</v>
      </c>
    </row>
    <row r="2333" spans="1:16" x14ac:dyDescent="0.2">
      <c r="A2333" s="73" t="s">
        <v>1470</v>
      </c>
      <c r="B2333" s="3">
        <f t="shared" si="144"/>
        <v>2025</v>
      </c>
      <c r="C2333" s="3">
        <f t="shared" si="145"/>
        <v>11</v>
      </c>
      <c r="D2333" s="73" t="s">
        <v>893</v>
      </c>
      <c r="E2333" s="2"/>
      <c r="F2333" s="2" t="s">
        <v>304</v>
      </c>
      <c r="G2333" s="2" t="s">
        <v>1312</v>
      </c>
      <c r="H2333" s="2" t="s">
        <v>1007</v>
      </c>
      <c r="I2333" s="1" t="s">
        <v>316</v>
      </c>
      <c r="J2333" s="2" t="s">
        <v>17</v>
      </c>
      <c r="K2333" s="72">
        <v>17.39</v>
      </c>
      <c r="L2333" s="39"/>
      <c r="M2333" s="72">
        <f t="shared" si="146"/>
        <v>-17.39</v>
      </c>
      <c r="N2333" s="72">
        <f t="shared" si="147"/>
        <v>482874.18999999965</v>
      </c>
    </row>
    <row r="2334" spans="1:16" x14ac:dyDescent="0.2">
      <c r="A2334" s="73" t="s">
        <v>1470</v>
      </c>
      <c r="B2334" s="3">
        <f t="shared" si="144"/>
        <v>2025</v>
      </c>
      <c r="C2334" s="3">
        <f t="shared" si="145"/>
        <v>11</v>
      </c>
      <c r="D2334" s="73" t="s">
        <v>893</v>
      </c>
      <c r="E2334" s="2"/>
      <c r="F2334" s="2" t="s">
        <v>304</v>
      </c>
      <c r="G2334" s="2" t="s">
        <v>1014</v>
      </c>
      <c r="H2334" s="2" t="s">
        <v>1007</v>
      </c>
      <c r="I2334" s="1" t="s">
        <v>316</v>
      </c>
      <c r="J2334" s="2" t="s">
        <v>17</v>
      </c>
      <c r="K2334" s="72">
        <v>355.63</v>
      </c>
      <c r="L2334" s="39"/>
      <c r="M2334" s="72">
        <f t="shared" si="146"/>
        <v>-355.63</v>
      </c>
      <c r="N2334" s="72">
        <f t="shared" si="147"/>
        <v>482518.55999999965</v>
      </c>
    </row>
    <row r="2335" spans="1:16" x14ac:dyDescent="0.2">
      <c r="A2335" s="73" t="s">
        <v>1470</v>
      </c>
      <c r="B2335" s="3">
        <f t="shared" si="144"/>
        <v>2025</v>
      </c>
      <c r="C2335" s="3">
        <f t="shared" si="145"/>
        <v>11</v>
      </c>
      <c r="D2335" s="73" t="s">
        <v>893</v>
      </c>
      <c r="E2335" s="2"/>
      <c r="F2335" s="2" t="s">
        <v>304</v>
      </c>
      <c r="G2335" s="2" t="s">
        <v>1015</v>
      </c>
      <c r="H2335" s="2" t="s">
        <v>1007</v>
      </c>
      <c r="I2335" s="1" t="s">
        <v>316</v>
      </c>
      <c r="J2335" s="2" t="s">
        <v>17</v>
      </c>
      <c r="K2335" s="72">
        <v>283.25</v>
      </c>
      <c r="L2335" s="39"/>
      <c r="M2335" s="72">
        <f t="shared" si="146"/>
        <v>-283.25</v>
      </c>
      <c r="N2335" s="72">
        <f t="shared" si="147"/>
        <v>482235.30999999965</v>
      </c>
    </row>
    <row r="2336" spans="1:16" x14ac:dyDescent="0.2">
      <c r="A2336" s="73" t="s">
        <v>1470</v>
      </c>
      <c r="B2336" s="3">
        <f t="shared" si="144"/>
        <v>2025</v>
      </c>
      <c r="C2336" s="3">
        <f t="shared" si="145"/>
        <v>11</v>
      </c>
      <c r="D2336" s="73" t="s">
        <v>300</v>
      </c>
      <c r="E2336" s="2"/>
      <c r="F2336" s="2" t="s">
        <v>325</v>
      </c>
      <c r="G2336" s="2" t="s">
        <v>892</v>
      </c>
      <c r="H2336" s="2" t="s">
        <v>323</v>
      </c>
      <c r="I2336" s="2" t="s">
        <v>316</v>
      </c>
      <c r="J2336" s="2" t="s">
        <v>22</v>
      </c>
      <c r="K2336" s="72">
        <v>24</v>
      </c>
      <c r="L2336" s="39"/>
      <c r="M2336" s="72">
        <f t="shared" si="146"/>
        <v>-24</v>
      </c>
      <c r="N2336" s="72">
        <f t="shared" si="147"/>
        <v>482211.30999999965</v>
      </c>
    </row>
    <row r="2337" spans="1:14" x14ac:dyDescent="0.2">
      <c r="A2337" s="73" t="s">
        <v>1470</v>
      </c>
      <c r="B2337" s="3">
        <f t="shared" si="144"/>
        <v>2025</v>
      </c>
      <c r="C2337" s="3">
        <f t="shared" si="145"/>
        <v>11</v>
      </c>
      <c r="D2337" s="73" t="s">
        <v>893</v>
      </c>
      <c r="E2337" s="2"/>
      <c r="F2337" s="2" t="s">
        <v>304</v>
      </c>
      <c r="G2337" s="2" t="s">
        <v>1411</v>
      </c>
      <c r="H2337" s="2" t="s">
        <v>933</v>
      </c>
      <c r="I2337" s="1" t="s">
        <v>316</v>
      </c>
      <c r="J2337" s="2" t="s">
        <v>17</v>
      </c>
      <c r="K2337" s="72">
        <v>150</v>
      </c>
      <c r="L2337" s="39"/>
      <c r="M2337" s="72">
        <f t="shared" si="146"/>
        <v>-150</v>
      </c>
      <c r="N2337" s="72">
        <f t="shared" si="147"/>
        <v>482061.30999999965</v>
      </c>
    </row>
    <row r="2338" spans="1:14" x14ac:dyDescent="0.2">
      <c r="A2338" s="73" t="s">
        <v>1495</v>
      </c>
      <c r="B2338" s="3">
        <f t="shared" si="144"/>
        <v>2025</v>
      </c>
      <c r="C2338" s="3">
        <f t="shared" si="145"/>
        <v>11</v>
      </c>
      <c r="D2338" s="73" t="s">
        <v>893</v>
      </c>
      <c r="E2338" s="2"/>
      <c r="F2338" s="2" t="s">
        <v>304</v>
      </c>
      <c r="G2338" s="2" t="s">
        <v>1149</v>
      </c>
      <c r="H2338" s="2" t="s">
        <v>1027</v>
      </c>
      <c r="I2338" s="2" t="s">
        <v>316</v>
      </c>
      <c r="J2338" s="2" t="s">
        <v>17</v>
      </c>
      <c r="K2338" s="72">
        <v>256.69</v>
      </c>
      <c r="L2338" s="39"/>
      <c r="M2338" s="72">
        <f t="shared" si="146"/>
        <v>-256.69</v>
      </c>
      <c r="N2338" s="72">
        <f t="shared" si="147"/>
        <v>481804.61999999965</v>
      </c>
    </row>
    <row r="2339" spans="1:14" x14ac:dyDescent="0.2">
      <c r="A2339" s="73" t="s">
        <v>1495</v>
      </c>
      <c r="B2339" s="3">
        <f t="shared" si="144"/>
        <v>2025</v>
      </c>
      <c r="C2339" s="3">
        <f t="shared" si="145"/>
        <v>11</v>
      </c>
      <c r="D2339" s="73" t="s">
        <v>893</v>
      </c>
      <c r="E2339" s="2"/>
      <c r="F2339" s="2" t="s">
        <v>304</v>
      </c>
      <c r="G2339" s="2" t="s">
        <v>916</v>
      </c>
      <c r="H2339" s="2" t="s">
        <v>917</v>
      </c>
      <c r="I2339" s="2" t="s">
        <v>350</v>
      </c>
      <c r="J2339" s="1" t="s">
        <v>477</v>
      </c>
      <c r="K2339" s="72">
        <v>494.4</v>
      </c>
      <c r="L2339" s="39"/>
      <c r="M2339" s="72">
        <f t="shared" si="146"/>
        <v>-494.4</v>
      </c>
      <c r="N2339" s="72">
        <f t="shared" si="147"/>
        <v>481310.21999999962</v>
      </c>
    </row>
    <row r="2340" spans="1:14" x14ac:dyDescent="0.2">
      <c r="A2340" s="73" t="s">
        <v>1495</v>
      </c>
      <c r="B2340" s="3">
        <f t="shared" si="144"/>
        <v>2025</v>
      </c>
      <c r="C2340" s="3">
        <f t="shared" si="145"/>
        <v>11</v>
      </c>
      <c r="D2340" s="73" t="s">
        <v>893</v>
      </c>
      <c r="E2340" s="2"/>
      <c r="F2340" s="2" t="s">
        <v>304</v>
      </c>
      <c r="G2340" s="2" t="s">
        <v>1506</v>
      </c>
      <c r="H2340" s="2" t="s">
        <v>1007</v>
      </c>
      <c r="I2340" s="1" t="s">
        <v>316</v>
      </c>
      <c r="J2340" s="2" t="s">
        <v>17</v>
      </c>
      <c r="K2340" s="72">
        <v>107.15</v>
      </c>
      <c r="L2340" s="39"/>
      <c r="M2340" s="72">
        <f t="shared" si="146"/>
        <v>-107.15</v>
      </c>
      <c r="N2340" s="72">
        <f t="shared" si="147"/>
        <v>481203.0699999996</v>
      </c>
    </row>
    <row r="2341" spans="1:14" x14ac:dyDescent="0.2">
      <c r="A2341" s="73" t="s">
        <v>1495</v>
      </c>
      <c r="B2341" s="3">
        <f t="shared" si="144"/>
        <v>2025</v>
      </c>
      <c r="C2341" s="3">
        <f t="shared" si="145"/>
        <v>11</v>
      </c>
      <c r="D2341" s="73" t="s">
        <v>893</v>
      </c>
      <c r="E2341" s="2"/>
      <c r="F2341" s="2" t="s">
        <v>304</v>
      </c>
      <c r="G2341" s="2" t="s">
        <v>1430</v>
      </c>
      <c r="H2341" s="2" t="s">
        <v>1001</v>
      </c>
      <c r="I2341" s="2" t="s">
        <v>316</v>
      </c>
      <c r="J2341" s="2" t="s">
        <v>22</v>
      </c>
      <c r="K2341" s="72">
        <v>70.510000000000005</v>
      </c>
      <c r="L2341" s="39"/>
      <c r="M2341" s="72">
        <f t="shared" si="146"/>
        <v>-70.510000000000005</v>
      </c>
      <c r="N2341" s="72">
        <f t="shared" si="147"/>
        <v>481132.55999999959</v>
      </c>
    </row>
    <row r="2342" spans="1:14" x14ac:dyDescent="0.2">
      <c r="A2342" s="73" t="s">
        <v>1495</v>
      </c>
      <c r="B2342" s="3">
        <f t="shared" si="144"/>
        <v>2025</v>
      </c>
      <c r="C2342" s="3">
        <f t="shared" si="145"/>
        <v>11</v>
      </c>
      <c r="D2342" s="73" t="s">
        <v>893</v>
      </c>
      <c r="E2342" s="2"/>
      <c r="F2342" s="2" t="s">
        <v>304</v>
      </c>
      <c r="G2342" s="2" t="s">
        <v>1507</v>
      </c>
      <c r="H2342" s="2" t="s">
        <v>1007</v>
      </c>
      <c r="I2342" s="1" t="s">
        <v>316</v>
      </c>
      <c r="J2342" s="2" t="s">
        <v>17</v>
      </c>
      <c r="K2342" s="72">
        <v>19</v>
      </c>
      <c r="L2342" s="39"/>
      <c r="M2342" s="72">
        <f t="shared" si="146"/>
        <v>-19</v>
      </c>
      <c r="N2342" s="72">
        <f t="shared" si="147"/>
        <v>481113.55999999959</v>
      </c>
    </row>
    <row r="2343" spans="1:14" x14ac:dyDescent="0.2">
      <c r="A2343" s="73" t="s">
        <v>1471</v>
      </c>
      <c r="B2343" s="3">
        <f t="shared" si="144"/>
        <v>2025</v>
      </c>
      <c r="C2343" s="3">
        <f t="shared" si="145"/>
        <v>11</v>
      </c>
      <c r="D2343" s="73" t="s">
        <v>893</v>
      </c>
      <c r="E2343" s="2"/>
      <c r="F2343" s="2" t="s">
        <v>304</v>
      </c>
      <c r="G2343" s="2" t="s">
        <v>1008</v>
      </c>
      <c r="H2343" s="2" t="s">
        <v>1007</v>
      </c>
      <c r="I2343" s="1" t="s">
        <v>316</v>
      </c>
      <c r="J2343" s="2" t="s">
        <v>17</v>
      </c>
      <c r="K2343" s="72">
        <v>32.450000000000003</v>
      </c>
      <c r="L2343" s="39"/>
      <c r="M2343" s="72">
        <f t="shared" si="146"/>
        <v>-32.450000000000003</v>
      </c>
      <c r="N2343" s="72">
        <f t="shared" si="147"/>
        <v>481081.10999999958</v>
      </c>
    </row>
    <row r="2344" spans="1:14" x14ac:dyDescent="0.2">
      <c r="A2344" s="73" t="s">
        <v>1471</v>
      </c>
      <c r="B2344" s="3">
        <f t="shared" si="144"/>
        <v>2025</v>
      </c>
      <c r="C2344" s="3">
        <f t="shared" si="145"/>
        <v>11</v>
      </c>
      <c r="D2344" s="73" t="s">
        <v>893</v>
      </c>
      <c r="E2344" s="2"/>
      <c r="F2344" s="2" t="s">
        <v>304</v>
      </c>
      <c r="G2344" s="2" t="s">
        <v>1008</v>
      </c>
      <c r="H2344" s="2" t="s">
        <v>1007</v>
      </c>
      <c r="I2344" s="1" t="s">
        <v>316</v>
      </c>
      <c r="J2344" s="2" t="s">
        <v>17</v>
      </c>
      <c r="K2344" s="72">
        <v>32.81</v>
      </c>
      <c r="L2344" s="39"/>
      <c r="M2344" s="72">
        <f t="shared" si="146"/>
        <v>-32.81</v>
      </c>
      <c r="N2344" s="72">
        <f t="shared" si="147"/>
        <v>481048.29999999958</v>
      </c>
    </row>
    <row r="2345" spans="1:14" x14ac:dyDescent="0.2">
      <c r="A2345" s="73" t="s">
        <v>1471</v>
      </c>
      <c r="B2345" s="3">
        <f t="shared" si="144"/>
        <v>2025</v>
      </c>
      <c r="C2345" s="3">
        <f t="shared" si="145"/>
        <v>11</v>
      </c>
      <c r="D2345" s="73" t="s">
        <v>893</v>
      </c>
      <c r="E2345" s="2"/>
      <c r="F2345" s="2" t="s">
        <v>304</v>
      </c>
      <c r="G2345" s="2" t="s">
        <v>1008</v>
      </c>
      <c r="H2345" s="2" t="s">
        <v>1007</v>
      </c>
      <c r="I2345" s="1" t="s">
        <v>316</v>
      </c>
      <c r="J2345" s="2" t="s">
        <v>17</v>
      </c>
      <c r="K2345" s="72">
        <v>33.229999999999997</v>
      </c>
      <c r="L2345" s="39"/>
      <c r="M2345" s="72">
        <f t="shared" si="146"/>
        <v>-33.229999999999997</v>
      </c>
      <c r="N2345" s="72">
        <f t="shared" si="147"/>
        <v>481015.0699999996</v>
      </c>
    </row>
    <row r="2346" spans="1:14" x14ac:dyDescent="0.2">
      <c r="A2346" s="73" t="s">
        <v>1471</v>
      </c>
      <c r="B2346" s="3">
        <f t="shared" si="144"/>
        <v>2025</v>
      </c>
      <c r="C2346" s="3">
        <f t="shared" si="145"/>
        <v>11</v>
      </c>
      <c r="D2346" s="73" t="s">
        <v>893</v>
      </c>
      <c r="E2346" s="2"/>
      <c r="F2346" s="2" t="s">
        <v>304</v>
      </c>
      <c r="G2346" s="2" t="s">
        <v>1008</v>
      </c>
      <c r="H2346" s="2" t="s">
        <v>1007</v>
      </c>
      <c r="I2346" s="1" t="s">
        <v>316</v>
      </c>
      <c r="J2346" s="2" t="s">
        <v>17</v>
      </c>
      <c r="K2346" s="72">
        <v>32.520000000000003</v>
      </c>
      <c r="L2346" s="39"/>
      <c r="M2346" s="72">
        <f t="shared" si="146"/>
        <v>-32.520000000000003</v>
      </c>
      <c r="N2346" s="72">
        <f t="shared" si="147"/>
        <v>480982.54999999958</v>
      </c>
    </row>
    <row r="2347" spans="1:14" x14ac:dyDescent="0.2">
      <c r="A2347" s="73" t="s">
        <v>1471</v>
      </c>
      <c r="B2347" s="3">
        <f t="shared" si="144"/>
        <v>2025</v>
      </c>
      <c r="C2347" s="3">
        <f t="shared" si="145"/>
        <v>11</v>
      </c>
      <c r="D2347" s="73" t="s">
        <v>893</v>
      </c>
      <c r="E2347" s="2"/>
      <c r="F2347" s="2" t="s">
        <v>304</v>
      </c>
      <c r="G2347" s="2" t="s">
        <v>1008</v>
      </c>
      <c r="H2347" s="2" t="s">
        <v>1007</v>
      </c>
      <c r="I2347" s="1" t="s">
        <v>316</v>
      </c>
      <c r="J2347" s="2" t="s">
        <v>17</v>
      </c>
      <c r="K2347" s="72">
        <v>33.58</v>
      </c>
      <c r="L2347" s="39"/>
      <c r="M2347" s="72">
        <f t="shared" si="146"/>
        <v>-33.58</v>
      </c>
      <c r="N2347" s="72">
        <f t="shared" si="147"/>
        <v>480948.96999999956</v>
      </c>
    </row>
    <row r="2348" spans="1:14" x14ac:dyDescent="0.2">
      <c r="A2348" s="73" t="s">
        <v>1471</v>
      </c>
      <c r="B2348" s="3">
        <f t="shared" si="144"/>
        <v>2025</v>
      </c>
      <c r="C2348" s="3">
        <f t="shared" si="145"/>
        <v>11</v>
      </c>
      <c r="D2348" s="73" t="s">
        <v>893</v>
      </c>
      <c r="E2348" s="2"/>
      <c r="F2348" s="2" t="s">
        <v>304</v>
      </c>
      <c r="G2348" s="2" t="s">
        <v>1008</v>
      </c>
      <c r="H2348" s="2" t="s">
        <v>1007</v>
      </c>
      <c r="I2348" s="1" t="s">
        <v>316</v>
      </c>
      <c r="J2348" s="2" t="s">
        <v>17</v>
      </c>
      <c r="K2348" s="72">
        <v>37.51</v>
      </c>
      <c r="L2348" s="39"/>
      <c r="M2348" s="72">
        <f t="shared" si="146"/>
        <v>-37.51</v>
      </c>
      <c r="N2348" s="72">
        <f t="shared" si="147"/>
        <v>480911.45999999956</v>
      </c>
    </row>
    <row r="2349" spans="1:14" x14ac:dyDescent="0.2">
      <c r="A2349" s="73" t="s">
        <v>1471</v>
      </c>
      <c r="B2349" s="3">
        <f t="shared" si="144"/>
        <v>2025</v>
      </c>
      <c r="C2349" s="3">
        <f t="shared" si="145"/>
        <v>11</v>
      </c>
      <c r="D2349" s="73" t="s">
        <v>893</v>
      </c>
      <c r="E2349" s="2"/>
      <c r="F2349" s="2" t="s">
        <v>304</v>
      </c>
      <c r="G2349" s="2" t="s">
        <v>1008</v>
      </c>
      <c r="H2349" s="2" t="s">
        <v>1007</v>
      </c>
      <c r="I2349" s="1" t="s">
        <v>316</v>
      </c>
      <c r="J2349" s="2" t="s">
        <v>17</v>
      </c>
      <c r="K2349" s="72">
        <v>31.58</v>
      </c>
      <c r="L2349" s="39"/>
      <c r="M2349" s="72">
        <f t="shared" si="146"/>
        <v>-31.58</v>
      </c>
      <c r="N2349" s="72">
        <f t="shared" si="147"/>
        <v>480879.87999999954</v>
      </c>
    </row>
    <row r="2350" spans="1:14" x14ac:dyDescent="0.2">
      <c r="A2350" s="73" t="s">
        <v>1471</v>
      </c>
      <c r="B2350" s="3">
        <f t="shared" si="144"/>
        <v>2025</v>
      </c>
      <c r="C2350" s="3">
        <f t="shared" si="145"/>
        <v>11</v>
      </c>
      <c r="D2350" s="73" t="s">
        <v>300</v>
      </c>
      <c r="E2350" s="2"/>
      <c r="F2350" s="2" t="s">
        <v>325</v>
      </c>
      <c r="G2350" s="2" t="s">
        <v>1228</v>
      </c>
      <c r="H2350" s="2" t="s">
        <v>323</v>
      </c>
      <c r="I2350" s="2" t="s">
        <v>316</v>
      </c>
      <c r="J2350" s="2" t="s">
        <v>22</v>
      </c>
      <c r="K2350" s="72">
        <v>1662.25</v>
      </c>
      <c r="L2350" s="39"/>
      <c r="M2350" s="72">
        <f t="shared" si="146"/>
        <v>-1662.25</v>
      </c>
      <c r="N2350" s="72">
        <f t="shared" si="147"/>
        <v>479217.62999999954</v>
      </c>
    </row>
    <row r="2351" spans="1:14" x14ac:dyDescent="0.2">
      <c r="A2351" s="73" t="s">
        <v>1471</v>
      </c>
      <c r="B2351" s="3">
        <f t="shared" si="144"/>
        <v>2025</v>
      </c>
      <c r="C2351" s="3">
        <f t="shared" si="145"/>
        <v>11</v>
      </c>
      <c r="D2351" s="73" t="s">
        <v>300</v>
      </c>
      <c r="E2351" s="2"/>
      <c r="F2351" s="2" t="s">
        <v>304</v>
      </c>
      <c r="G2351" s="2" t="s">
        <v>373</v>
      </c>
      <c r="H2351" s="2" t="s">
        <v>372</v>
      </c>
      <c r="I2351" s="2" t="s">
        <v>301</v>
      </c>
      <c r="J2351" s="2" t="s">
        <v>11</v>
      </c>
      <c r="K2351" s="72">
        <v>15000.97</v>
      </c>
      <c r="L2351" s="39"/>
      <c r="M2351" s="72">
        <f t="shared" si="146"/>
        <v>-15000.97</v>
      </c>
      <c r="N2351" s="72">
        <f t="shared" si="147"/>
        <v>464216.65999999957</v>
      </c>
    </row>
    <row r="2352" spans="1:14" x14ac:dyDescent="0.2">
      <c r="A2352" s="73" t="s">
        <v>1471</v>
      </c>
      <c r="B2352" s="3">
        <f t="shared" si="144"/>
        <v>2025</v>
      </c>
      <c r="C2352" s="3">
        <f t="shared" si="145"/>
        <v>11</v>
      </c>
      <c r="D2352" s="73" t="s">
        <v>893</v>
      </c>
      <c r="E2352" s="2"/>
      <c r="F2352" s="2" t="s">
        <v>304</v>
      </c>
      <c r="G2352" s="2" t="s">
        <v>1508</v>
      </c>
      <c r="H2352" s="2" t="s">
        <v>937</v>
      </c>
      <c r="I2352" s="2" t="s">
        <v>316</v>
      </c>
      <c r="J2352" s="2" t="s">
        <v>22</v>
      </c>
      <c r="K2352" s="72">
        <v>506.24</v>
      </c>
      <c r="L2352" s="39"/>
      <c r="M2352" s="72">
        <f t="shared" si="146"/>
        <v>-506.24</v>
      </c>
      <c r="N2352" s="72">
        <f t="shared" si="147"/>
        <v>463710.41999999958</v>
      </c>
    </row>
    <row r="2353" spans="1:14" x14ac:dyDescent="0.2">
      <c r="A2353" s="73" t="s">
        <v>1471</v>
      </c>
      <c r="B2353" s="3">
        <f t="shared" si="144"/>
        <v>2025</v>
      </c>
      <c r="C2353" s="3">
        <f t="shared" si="145"/>
        <v>11</v>
      </c>
      <c r="D2353" s="73" t="s">
        <v>893</v>
      </c>
      <c r="E2353" s="2"/>
      <c r="F2353" s="2" t="s">
        <v>304</v>
      </c>
      <c r="G2353" s="2" t="s">
        <v>900</v>
      </c>
      <c r="H2353" s="2" t="s">
        <v>1311</v>
      </c>
      <c r="I2353" s="1" t="s">
        <v>316</v>
      </c>
      <c r="J2353" s="2" t="s">
        <v>17</v>
      </c>
      <c r="K2353" s="72">
        <v>20</v>
      </c>
      <c r="L2353" s="39"/>
      <c r="M2353" s="72">
        <f t="shared" si="146"/>
        <v>-20</v>
      </c>
      <c r="N2353" s="72">
        <f t="shared" si="147"/>
        <v>463690.41999999958</v>
      </c>
    </row>
    <row r="2354" spans="1:14" x14ac:dyDescent="0.2">
      <c r="A2354" s="73" t="s">
        <v>1471</v>
      </c>
      <c r="B2354" s="3">
        <f t="shared" si="144"/>
        <v>2025</v>
      </c>
      <c r="C2354" s="3">
        <f t="shared" si="145"/>
        <v>11</v>
      </c>
      <c r="D2354" s="73" t="s">
        <v>300</v>
      </c>
      <c r="E2354" s="2"/>
      <c r="F2354" s="2" t="s">
        <v>321</v>
      </c>
      <c r="G2354" s="2" t="s">
        <v>1489</v>
      </c>
      <c r="H2354" s="2" t="s">
        <v>319</v>
      </c>
      <c r="I2354" s="2" t="s">
        <v>315</v>
      </c>
      <c r="J2354" s="2" t="s">
        <v>23</v>
      </c>
      <c r="K2354" s="72"/>
      <c r="L2354" s="39">
        <v>12000</v>
      </c>
      <c r="M2354" s="72">
        <f t="shared" si="146"/>
        <v>12000</v>
      </c>
      <c r="N2354" s="72">
        <f t="shared" si="147"/>
        <v>475690.41999999958</v>
      </c>
    </row>
    <row r="2355" spans="1:14" x14ac:dyDescent="0.2">
      <c r="A2355" s="73" t="s">
        <v>1471</v>
      </c>
      <c r="B2355" s="3">
        <f t="shared" si="144"/>
        <v>2025</v>
      </c>
      <c r="C2355" s="3">
        <f t="shared" si="145"/>
        <v>11</v>
      </c>
      <c r="D2355" s="73" t="s">
        <v>300</v>
      </c>
      <c r="E2355" s="2"/>
      <c r="F2355" s="2" t="s">
        <v>304</v>
      </c>
      <c r="G2355" s="2" t="s">
        <v>344</v>
      </c>
      <c r="H2355" s="2" t="s">
        <v>343</v>
      </c>
      <c r="I2355" s="2" t="s">
        <v>301</v>
      </c>
      <c r="J2355" s="2" t="s">
        <v>11</v>
      </c>
      <c r="K2355" s="72">
        <v>12444.05</v>
      </c>
      <c r="L2355" s="39"/>
      <c r="M2355" s="72">
        <f t="shared" si="146"/>
        <v>-12444.05</v>
      </c>
      <c r="N2355" s="72">
        <f t="shared" si="147"/>
        <v>463246.36999999959</v>
      </c>
    </row>
    <row r="2356" spans="1:14" x14ac:dyDescent="0.2">
      <c r="A2356" s="73" t="s">
        <v>1471</v>
      </c>
      <c r="B2356" s="3">
        <f t="shared" si="144"/>
        <v>2025</v>
      </c>
      <c r="C2356" s="3">
        <f t="shared" si="145"/>
        <v>11</v>
      </c>
      <c r="D2356" s="73" t="s">
        <v>893</v>
      </c>
      <c r="E2356" s="2"/>
      <c r="F2356" s="2" t="s">
        <v>304</v>
      </c>
      <c r="G2356" s="2" t="s">
        <v>1509</v>
      </c>
      <c r="H2356" s="2" t="s">
        <v>1007</v>
      </c>
      <c r="I2356" s="1" t="s">
        <v>316</v>
      </c>
      <c r="J2356" s="2" t="s">
        <v>17</v>
      </c>
      <c r="K2356" s="72">
        <v>15.89</v>
      </c>
      <c r="L2356" s="39"/>
      <c r="M2356" s="72">
        <f t="shared" si="146"/>
        <v>-15.89</v>
      </c>
      <c r="N2356" s="72">
        <f t="shared" si="147"/>
        <v>463230.47999999957</v>
      </c>
    </row>
    <row r="2357" spans="1:14" x14ac:dyDescent="0.2">
      <c r="A2357" s="73" t="s">
        <v>1471</v>
      </c>
      <c r="B2357" s="3">
        <f t="shared" si="144"/>
        <v>2025</v>
      </c>
      <c r="C2357" s="3">
        <f t="shared" si="145"/>
        <v>11</v>
      </c>
      <c r="D2357" s="73" t="s">
        <v>300</v>
      </c>
      <c r="E2357" s="2"/>
      <c r="F2357" s="2" t="s">
        <v>304</v>
      </c>
      <c r="G2357" s="2" t="s">
        <v>303</v>
      </c>
      <c r="H2357" s="2" t="s">
        <v>302</v>
      </c>
      <c r="I2357" s="2" t="s">
        <v>301</v>
      </c>
      <c r="J2357" s="2" t="s">
        <v>11</v>
      </c>
      <c r="K2357" s="72">
        <v>169.53</v>
      </c>
      <c r="L2357" s="39"/>
      <c r="M2357" s="72">
        <f t="shared" si="146"/>
        <v>-169.53</v>
      </c>
      <c r="N2357" s="72">
        <f t="shared" si="147"/>
        <v>463060.94999999955</v>
      </c>
    </row>
    <row r="2358" spans="1:14" x14ac:dyDescent="0.2">
      <c r="A2358" s="73" t="s">
        <v>1471</v>
      </c>
      <c r="B2358" s="3">
        <f t="shared" si="144"/>
        <v>2025</v>
      </c>
      <c r="C2358" s="3">
        <f t="shared" si="145"/>
        <v>11</v>
      </c>
      <c r="D2358" s="73" t="s">
        <v>300</v>
      </c>
      <c r="E2358" s="2"/>
      <c r="F2358" s="2" t="s">
        <v>299</v>
      </c>
      <c r="G2358" s="2"/>
      <c r="H2358" s="2" t="s">
        <v>298</v>
      </c>
      <c r="I2358" s="2" t="s">
        <v>297</v>
      </c>
      <c r="J2358" s="2" t="s">
        <v>296</v>
      </c>
      <c r="K2358" s="72"/>
      <c r="L2358" s="39">
        <v>15638.55</v>
      </c>
      <c r="M2358" s="72">
        <f t="shared" si="146"/>
        <v>15638.55</v>
      </c>
      <c r="N2358" s="72">
        <f t="shared" si="147"/>
        <v>478699.49999999953</v>
      </c>
    </row>
    <row r="2359" spans="1:14" x14ac:dyDescent="0.2">
      <c r="A2359" s="73" t="s">
        <v>1472</v>
      </c>
      <c r="B2359" s="3">
        <f t="shared" si="144"/>
        <v>2025</v>
      </c>
      <c r="C2359" s="3">
        <f t="shared" si="145"/>
        <v>11</v>
      </c>
      <c r="D2359" s="73" t="s">
        <v>893</v>
      </c>
      <c r="E2359" s="2"/>
      <c r="F2359" s="2" t="s">
        <v>304</v>
      </c>
      <c r="G2359" s="2" t="s">
        <v>1006</v>
      </c>
      <c r="H2359" s="2" t="s">
        <v>1007</v>
      </c>
      <c r="I2359" s="1" t="s">
        <v>316</v>
      </c>
      <c r="J2359" s="2" t="s">
        <v>17</v>
      </c>
      <c r="K2359" s="72">
        <v>21.19</v>
      </c>
      <c r="L2359" s="39"/>
      <c r="M2359" s="72">
        <f t="shared" si="146"/>
        <v>-21.19</v>
      </c>
      <c r="N2359" s="72">
        <f t="shared" si="147"/>
        <v>478678.30999999953</v>
      </c>
    </row>
    <row r="2360" spans="1:14" x14ac:dyDescent="0.2">
      <c r="A2360" s="73" t="s">
        <v>1472</v>
      </c>
      <c r="B2360" s="3">
        <f t="shared" si="144"/>
        <v>2025</v>
      </c>
      <c r="C2360" s="3">
        <f t="shared" si="145"/>
        <v>11</v>
      </c>
      <c r="D2360" s="73" t="s">
        <v>893</v>
      </c>
      <c r="E2360" s="2"/>
      <c r="F2360" s="2" t="s">
        <v>304</v>
      </c>
      <c r="G2360" s="2" t="s">
        <v>1008</v>
      </c>
      <c r="H2360" s="2" t="s">
        <v>1007</v>
      </c>
      <c r="I2360" s="1" t="s">
        <v>316</v>
      </c>
      <c r="J2360" s="2" t="s">
        <v>17</v>
      </c>
      <c r="K2360" s="72">
        <v>104.43</v>
      </c>
      <c r="L2360" s="39"/>
      <c r="M2360" s="72">
        <f t="shared" si="146"/>
        <v>-104.43</v>
      </c>
      <c r="N2360" s="72">
        <f t="shared" si="147"/>
        <v>478573.87999999954</v>
      </c>
    </row>
    <row r="2361" spans="1:14" x14ac:dyDescent="0.2">
      <c r="A2361" s="73" t="s">
        <v>1472</v>
      </c>
      <c r="B2361" s="3">
        <f t="shared" si="144"/>
        <v>2025</v>
      </c>
      <c r="C2361" s="3">
        <f t="shared" si="145"/>
        <v>11</v>
      </c>
      <c r="D2361" s="73" t="s">
        <v>893</v>
      </c>
      <c r="E2361" s="2"/>
      <c r="F2361" s="2" t="s">
        <v>304</v>
      </c>
      <c r="G2361" s="2" t="s">
        <v>1008</v>
      </c>
      <c r="H2361" s="2" t="s">
        <v>1007</v>
      </c>
      <c r="I2361" s="1" t="s">
        <v>316</v>
      </c>
      <c r="J2361" s="2" t="s">
        <v>17</v>
      </c>
      <c r="K2361" s="72">
        <v>32.200000000000003</v>
      </c>
      <c r="L2361" s="39"/>
      <c r="M2361" s="72">
        <f t="shared" si="146"/>
        <v>-32.200000000000003</v>
      </c>
      <c r="N2361" s="72">
        <f t="shared" si="147"/>
        <v>478541.67999999953</v>
      </c>
    </row>
    <row r="2362" spans="1:14" x14ac:dyDescent="0.2">
      <c r="A2362" s="73" t="s">
        <v>1472</v>
      </c>
      <c r="B2362" s="3">
        <f t="shared" si="144"/>
        <v>2025</v>
      </c>
      <c r="C2362" s="3">
        <f t="shared" si="145"/>
        <v>11</v>
      </c>
      <c r="D2362" s="73" t="s">
        <v>893</v>
      </c>
      <c r="E2362" s="2"/>
      <c r="F2362" s="2" t="s">
        <v>304</v>
      </c>
      <c r="G2362" s="2" t="s">
        <v>1008</v>
      </c>
      <c r="H2362" s="2" t="s">
        <v>1007</v>
      </c>
      <c r="I2362" s="1" t="s">
        <v>316</v>
      </c>
      <c r="J2362" s="2" t="s">
        <v>17</v>
      </c>
      <c r="K2362" s="72">
        <v>32.619999999999997</v>
      </c>
      <c r="L2362" s="39"/>
      <c r="M2362" s="72">
        <f t="shared" si="146"/>
        <v>-32.619999999999997</v>
      </c>
      <c r="N2362" s="72">
        <f t="shared" si="147"/>
        <v>478509.05999999953</v>
      </c>
    </row>
    <row r="2363" spans="1:14" x14ac:dyDescent="0.2">
      <c r="A2363" s="73" t="s">
        <v>1472</v>
      </c>
      <c r="B2363" s="3">
        <f t="shared" si="144"/>
        <v>2025</v>
      </c>
      <c r="C2363" s="3">
        <f t="shared" si="145"/>
        <v>11</v>
      </c>
      <c r="D2363" s="73" t="s">
        <v>300</v>
      </c>
      <c r="E2363" s="2"/>
      <c r="F2363" s="2" t="s">
        <v>321</v>
      </c>
      <c r="G2363" s="2" t="s">
        <v>664</v>
      </c>
      <c r="H2363" s="2" t="s">
        <v>319</v>
      </c>
      <c r="I2363" s="2" t="s">
        <v>315</v>
      </c>
      <c r="J2363" s="2" t="s">
        <v>23</v>
      </c>
      <c r="K2363" s="72"/>
      <c r="L2363" s="39">
        <v>12000</v>
      </c>
      <c r="M2363" s="72">
        <f t="shared" si="146"/>
        <v>12000</v>
      </c>
      <c r="N2363" s="72">
        <f t="shared" si="147"/>
        <v>490509.05999999953</v>
      </c>
    </row>
    <row r="2364" spans="1:14" x14ac:dyDescent="0.2">
      <c r="A2364" s="73" t="s">
        <v>1472</v>
      </c>
      <c r="B2364" s="3">
        <f t="shared" si="144"/>
        <v>2025</v>
      </c>
      <c r="C2364" s="3">
        <f t="shared" si="145"/>
        <v>11</v>
      </c>
      <c r="D2364" s="73" t="s">
        <v>300</v>
      </c>
      <c r="E2364" s="2"/>
      <c r="F2364" s="2" t="s">
        <v>321</v>
      </c>
      <c r="G2364" s="2" t="s">
        <v>527</v>
      </c>
      <c r="H2364" s="2" t="s">
        <v>319</v>
      </c>
      <c r="I2364" s="2" t="s">
        <v>315</v>
      </c>
      <c r="J2364" s="2" t="s">
        <v>23</v>
      </c>
      <c r="K2364" s="72"/>
      <c r="L2364" s="39">
        <v>2200</v>
      </c>
      <c r="M2364" s="72">
        <f t="shared" si="146"/>
        <v>2200</v>
      </c>
      <c r="N2364" s="72">
        <f t="shared" si="147"/>
        <v>492709.05999999953</v>
      </c>
    </row>
    <row r="2365" spans="1:14" x14ac:dyDescent="0.2">
      <c r="A2365" s="73" t="s">
        <v>1472</v>
      </c>
      <c r="B2365" s="3">
        <f t="shared" si="144"/>
        <v>2025</v>
      </c>
      <c r="C2365" s="3">
        <f t="shared" si="145"/>
        <v>11</v>
      </c>
      <c r="D2365" s="73" t="s">
        <v>300</v>
      </c>
      <c r="E2365" s="2"/>
      <c r="F2365" s="2" t="s">
        <v>325</v>
      </c>
      <c r="G2365" s="2" t="s">
        <v>694</v>
      </c>
      <c r="H2365" s="2" t="s">
        <v>323</v>
      </c>
      <c r="I2365" s="2" t="s">
        <v>316</v>
      </c>
      <c r="J2365" s="2" t="s">
        <v>34</v>
      </c>
      <c r="K2365" s="72">
        <v>3545.63</v>
      </c>
      <c r="L2365" s="39"/>
      <c r="M2365" s="72">
        <f t="shared" si="146"/>
        <v>-3545.63</v>
      </c>
      <c r="N2365" s="72">
        <f t="shared" si="147"/>
        <v>489163.42999999953</v>
      </c>
    </row>
    <row r="2366" spans="1:14" x14ac:dyDescent="0.2">
      <c r="A2366" s="73" t="s">
        <v>1472</v>
      </c>
      <c r="B2366" s="3">
        <f t="shared" si="144"/>
        <v>2025</v>
      </c>
      <c r="C2366" s="3">
        <f t="shared" si="145"/>
        <v>11</v>
      </c>
      <c r="D2366" s="73" t="s">
        <v>300</v>
      </c>
      <c r="E2366" s="2"/>
      <c r="F2366" s="2" t="s">
        <v>304</v>
      </c>
      <c r="G2366" s="2" t="s">
        <v>311</v>
      </c>
      <c r="H2366" s="2" t="s">
        <v>310</v>
      </c>
      <c r="I2366" s="2" t="s">
        <v>301</v>
      </c>
      <c r="J2366" s="2" t="s">
        <v>11</v>
      </c>
      <c r="K2366" s="72">
        <v>139</v>
      </c>
      <c r="L2366" s="39"/>
      <c r="M2366" s="72">
        <f t="shared" si="146"/>
        <v>-139</v>
      </c>
      <c r="N2366" s="72">
        <f t="shared" si="147"/>
        <v>489024.42999999953</v>
      </c>
    </row>
    <row r="2367" spans="1:14" x14ac:dyDescent="0.2">
      <c r="A2367" s="73" t="s">
        <v>1472</v>
      </c>
      <c r="B2367" s="3">
        <f t="shared" si="144"/>
        <v>2025</v>
      </c>
      <c r="C2367" s="3">
        <f t="shared" si="145"/>
        <v>11</v>
      </c>
      <c r="D2367" s="73" t="s">
        <v>893</v>
      </c>
      <c r="E2367" s="2"/>
      <c r="F2367" s="2" t="s">
        <v>304</v>
      </c>
      <c r="G2367" s="2" t="s">
        <v>1181</v>
      </c>
      <c r="H2367" s="2" t="s">
        <v>1007</v>
      </c>
      <c r="I2367" s="1" t="s">
        <v>316</v>
      </c>
      <c r="J2367" s="2" t="s">
        <v>17</v>
      </c>
      <c r="K2367" s="72">
        <v>69.47</v>
      </c>
      <c r="L2367" s="39"/>
      <c r="M2367" s="72">
        <f t="shared" si="146"/>
        <v>-69.47</v>
      </c>
      <c r="N2367" s="72">
        <f t="shared" si="147"/>
        <v>488954.95999999956</v>
      </c>
    </row>
    <row r="2368" spans="1:14" x14ac:dyDescent="0.2">
      <c r="A2368" s="73" t="s">
        <v>1472</v>
      </c>
      <c r="B2368" s="3">
        <f t="shared" si="144"/>
        <v>2025</v>
      </c>
      <c r="C2368" s="3">
        <f t="shared" si="145"/>
        <v>11</v>
      </c>
      <c r="D2368" s="73" t="s">
        <v>300</v>
      </c>
      <c r="E2368" s="2"/>
      <c r="F2368" s="2" t="s">
        <v>309</v>
      </c>
      <c r="G2368" s="2" t="s">
        <v>1139</v>
      </c>
      <c r="H2368" s="2" t="s">
        <v>346</v>
      </c>
      <c r="I2368" s="2" t="s">
        <v>315</v>
      </c>
      <c r="J2368" s="2" t="s">
        <v>23</v>
      </c>
      <c r="K2368" s="72"/>
      <c r="L2368" s="39">
        <v>14500</v>
      </c>
      <c r="M2368" s="72">
        <f t="shared" si="146"/>
        <v>14500</v>
      </c>
      <c r="N2368" s="72">
        <f t="shared" si="147"/>
        <v>503454.95999999956</v>
      </c>
    </row>
    <row r="2369" spans="1:14" x14ac:dyDescent="0.2">
      <c r="A2369" s="73" t="s">
        <v>1472</v>
      </c>
      <c r="B2369" s="3">
        <f t="shared" si="144"/>
        <v>2025</v>
      </c>
      <c r="C2369" s="3">
        <f t="shared" si="145"/>
        <v>11</v>
      </c>
      <c r="D2369" s="73" t="s">
        <v>300</v>
      </c>
      <c r="E2369" s="2"/>
      <c r="F2369" s="2" t="s">
        <v>304</v>
      </c>
      <c r="G2369" s="2" t="s">
        <v>377</v>
      </c>
      <c r="H2369" s="2" t="s">
        <v>376</v>
      </c>
      <c r="I2369" s="2" t="s">
        <v>301</v>
      </c>
      <c r="J2369" s="2" t="s">
        <v>11</v>
      </c>
      <c r="K2369" s="72">
        <v>1177.3</v>
      </c>
      <c r="L2369" s="39"/>
      <c r="M2369" s="72">
        <f t="shared" si="146"/>
        <v>-1177.3</v>
      </c>
      <c r="N2369" s="72">
        <f t="shared" si="147"/>
        <v>502277.65999999957</v>
      </c>
    </row>
    <row r="2370" spans="1:14" x14ac:dyDescent="0.2">
      <c r="A2370" s="73" t="s">
        <v>1472</v>
      </c>
      <c r="B2370" s="3">
        <f t="shared" ref="B2370:B2433" si="148">YEAR(A2370)</f>
        <v>2025</v>
      </c>
      <c r="C2370" s="3">
        <f t="shared" ref="C2370:C2433" si="149">MONTH(A2370)</f>
        <v>11</v>
      </c>
      <c r="D2370" s="73" t="s">
        <v>300</v>
      </c>
      <c r="E2370" s="2"/>
      <c r="F2370" s="2" t="s">
        <v>321</v>
      </c>
      <c r="G2370" s="2" t="s">
        <v>387</v>
      </c>
      <c r="H2370" s="2" t="s">
        <v>319</v>
      </c>
      <c r="I2370" s="2" t="s">
        <v>315</v>
      </c>
      <c r="J2370" s="2" t="s">
        <v>23</v>
      </c>
      <c r="K2370" s="72"/>
      <c r="L2370" s="39">
        <v>6011</v>
      </c>
      <c r="M2370" s="72">
        <f t="shared" ref="M2370:M2433" si="150">IF(ISBLANK(L2370),K2370*-1,L2370)</f>
        <v>6011</v>
      </c>
      <c r="N2370" s="72">
        <f t="shared" si="147"/>
        <v>508288.65999999957</v>
      </c>
    </row>
    <row r="2371" spans="1:14" x14ac:dyDescent="0.2">
      <c r="A2371" s="73" t="s">
        <v>1472</v>
      </c>
      <c r="B2371" s="3">
        <f t="shared" si="148"/>
        <v>2025</v>
      </c>
      <c r="C2371" s="3">
        <f t="shared" si="149"/>
        <v>11</v>
      </c>
      <c r="D2371" s="73" t="s">
        <v>300</v>
      </c>
      <c r="E2371" s="2"/>
      <c r="F2371" s="2" t="s">
        <v>299</v>
      </c>
      <c r="G2371" s="2"/>
      <c r="H2371" s="2" t="s">
        <v>298</v>
      </c>
      <c r="I2371" s="2" t="s">
        <v>297</v>
      </c>
      <c r="J2371" s="2" t="s">
        <v>296</v>
      </c>
      <c r="K2371" s="72">
        <v>13686.82</v>
      </c>
      <c r="L2371" s="39"/>
      <c r="M2371" s="72">
        <f t="shared" si="150"/>
        <v>-13686.82</v>
      </c>
      <c r="N2371" s="72">
        <f t="shared" ref="N2371:N2434" si="151">+N2370+M2371</f>
        <v>494601.83999999956</v>
      </c>
    </row>
    <row r="2372" spans="1:14" x14ac:dyDescent="0.2">
      <c r="A2372" s="73" t="s">
        <v>1473</v>
      </c>
      <c r="B2372" s="3">
        <f t="shared" si="148"/>
        <v>2025</v>
      </c>
      <c r="C2372" s="3">
        <f t="shared" si="149"/>
        <v>11</v>
      </c>
      <c r="D2372" s="73" t="s">
        <v>893</v>
      </c>
      <c r="E2372" s="2"/>
      <c r="F2372" s="2" t="s">
        <v>304</v>
      </c>
      <c r="G2372" s="2" t="s">
        <v>1008</v>
      </c>
      <c r="H2372" s="2" t="s">
        <v>1007</v>
      </c>
      <c r="I2372" s="1" t="s">
        <v>316</v>
      </c>
      <c r="J2372" s="2" t="s">
        <v>17</v>
      </c>
      <c r="K2372" s="72">
        <v>31.32</v>
      </c>
      <c r="L2372" s="39"/>
      <c r="M2372" s="72">
        <f t="shared" si="150"/>
        <v>-31.32</v>
      </c>
      <c r="N2372" s="72">
        <f t="shared" si="151"/>
        <v>494570.51999999955</v>
      </c>
    </row>
    <row r="2373" spans="1:14" x14ac:dyDescent="0.2">
      <c r="A2373" s="73" t="s">
        <v>1473</v>
      </c>
      <c r="B2373" s="3">
        <f t="shared" si="148"/>
        <v>2025</v>
      </c>
      <c r="C2373" s="3">
        <f t="shared" si="149"/>
        <v>11</v>
      </c>
      <c r="D2373" s="73" t="s">
        <v>893</v>
      </c>
      <c r="E2373" s="2"/>
      <c r="F2373" s="2" t="s">
        <v>304</v>
      </c>
      <c r="G2373" s="2" t="s">
        <v>1008</v>
      </c>
      <c r="H2373" s="2" t="s">
        <v>1007</v>
      </c>
      <c r="I2373" s="1" t="s">
        <v>316</v>
      </c>
      <c r="J2373" s="2" t="s">
        <v>17</v>
      </c>
      <c r="K2373" s="72">
        <v>33.700000000000003</v>
      </c>
      <c r="L2373" s="39"/>
      <c r="M2373" s="72">
        <f t="shared" si="150"/>
        <v>-33.700000000000003</v>
      </c>
      <c r="N2373" s="72">
        <f t="shared" si="151"/>
        <v>494536.81999999954</v>
      </c>
    </row>
    <row r="2374" spans="1:14" x14ac:dyDescent="0.2">
      <c r="A2374" s="73" t="s">
        <v>1473</v>
      </c>
      <c r="B2374" s="3">
        <f t="shared" si="148"/>
        <v>2025</v>
      </c>
      <c r="C2374" s="3">
        <f t="shared" si="149"/>
        <v>11</v>
      </c>
      <c r="D2374" s="73" t="s">
        <v>893</v>
      </c>
      <c r="E2374" s="2"/>
      <c r="F2374" s="2" t="s">
        <v>304</v>
      </c>
      <c r="G2374" s="2" t="s">
        <v>1008</v>
      </c>
      <c r="H2374" s="2" t="s">
        <v>1007</v>
      </c>
      <c r="I2374" s="1" t="s">
        <v>316</v>
      </c>
      <c r="J2374" s="2" t="s">
        <v>17</v>
      </c>
      <c r="K2374" s="72">
        <v>32.130000000000003</v>
      </c>
      <c r="L2374" s="39"/>
      <c r="M2374" s="72">
        <f t="shared" si="150"/>
        <v>-32.130000000000003</v>
      </c>
      <c r="N2374" s="72">
        <f t="shared" si="151"/>
        <v>494504.68999999954</v>
      </c>
    </row>
    <row r="2375" spans="1:14" x14ac:dyDescent="0.2">
      <c r="A2375" s="73" t="s">
        <v>1473</v>
      </c>
      <c r="B2375" s="3">
        <f t="shared" si="148"/>
        <v>2025</v>
      </c>
      <c r="C2375" s="3">
        <f t="shared" si="149"/>
        <v>11</v>
      </c>
      <c r="D2375" s="73" t="s">
        <v>893</v>
      </c>
      <c r="E2375" s="2"/>
      <c r="F2375" s="2" t="s">
        <v>304</v>
      </c>
      <c r="G2375" s="2" t="s">
        <v>1008</v>
      </c>
      <c r="H2375" s="2" t="s">
        <v>1007</v>
      </c>
      <c r="I2375" s="1" t="s">
        <v>316</v>
      </c>
      <c r="J2375" s="2" t="s">
        <v>17</v>
      </c>
      <c r="K2375" s="72">
        <v>31.25</v>
      </c>
      <c r="L2375" s="39"/>
      <c r="M2375" s="72">
        <f t="shared" si="150"/>
        <v>-31.25</v>
      </c>
      <c r="N2375" s="72">
        <f t="shared" si="151"/>
        <v>494473.43999999954</v>
      </c>
    </row>
    <row r="2376" spans="1:14" x14ac:dyDescent="0.2">
      <c r="A2376" s="73" t="s">
        <v>1473</v>
      </c>
      <c r="B2376" s="3">
        <f t="shared" si="148"/>
        <v>2025</v>
      </c>
      <c r="C2376" s="3">
        <f t="shared" si="149"/>
        <v>11</v>
      </c>
      <c r="D2376" s="73" t="s">
        <v>893</v>
      </c>
      <c r="E2376" s="2"/>
      <c r="F2376" s="2" t="s">
        <v>304</v>
      </c>
      <c r="G2376" s="2" t="s">
        <v>1008</v>
      </c>
      <c r="H2376" s="2" t="s">
        <v>1007</v>
      </c>
      <c r="I2376" s="1" t="s">
        <v>316</v>
      </c>
      <c r="J2376" s="2" t="s">
        <v>17</v>
      </c>
      <c r="K2376" s="72">
        <v>99.59</v>
      </c>
      <c r="L2376" s="39"/>
      <c r="M2376" s="72">
        <f t="shared" si="150"/>
        <v>-99.59</v>
      </c>
      <c r="N2376" s="72">
        <f t="shared" si="151"/>
        <v>494373.84999999951</v>
      </c>
    </row>
    <row r="2377" spans="1:14" x14ac:dyDescent="0.2">
      <c r="A2377" s="73" t="s">
        <v>1473</v>
      </c>
      <c r="B2377" s="3">
        <f t="shared" si="148"/>
        <v>2025</v>
      </c>
      <c r="C2377" s="3">
        <f t="shared" si="149"/>
        <v>11</v>
      </c>
      <c r="D2377" s="73" t="s">
        <v>893</v>
      </c>
      <c r="E2377" s="2"/>
      <c r="F2377" s="2" t="s">
        <v>304</v>
      </c>
      <c r="G2377" s="2" t="s">
        <v>1008</v>
      </c>
      <c r="H2377" s="2" t="s">
        <v>1007</v>
      </c>
      <c r="I2377" s="1" t="s">
        <v>316</v>
      </c>
      <c r="J2377" s="2" t="s">
        <v>17</v>
      </c>
      <c r="K2377" s="72">
        <v>32.07</v>
      </c>
      <c r="L2377" s="39"/>
      <c r="M2377" s="72">
        <f t="shared" si="150"/>
        <v>-32.07</v>
      </c>
      <c r="N2377" s="72">
        <f t="shared" si="151"/>
        <v>494341.7799999995</v>
      </c>
    </row>
    <row r="2378" spans="1:14" x14ac:dyDescent="0.2">
      <c r="A2378" s="73" t="s">
        <v>1473</v>
      </c>
      <c r="B2378" s="3">
        <f t="shared" si="148"/>
        <v>2025</v>
      </c>
      <c r="C2378" s="3">
        <f t="shared" si="149"/>
        <v>11</v>
      </c>
      <c r="D2378" s="73" t="s">
        <v>893</v>
      </c>
      <c r="E2378" s="2"/>
      <c r="F2378" s="2" t="s">
        <v>304</v>
      </c>
      <c r="G2378" s="2" t="s">
        <v>1008</v>
      </c>
      <c r="H2378" s="2" t="s">
        <v>1007</v>
      </c>
      <c r="I2378" s="1" t="s">
        <v>316</v>
      </c>
      <c r="J2378" s="2" t="s">
        <v>17</v>
      </c>
      <c r="K2378" s="72">
        <v>38.56</v>
      </c>
      <c r="L2378" s="39"/>
      <c r="M2378" s="72">
        <f t="shared" si="150"/>
        <v>-38.56</v>
      </c>
      <c r="N2378" s="72">
        <f t="shared" si="151"/>
        <v>494303.21999999951</v>
      </c>
    </row>
    <row r="2379" spans="1:14" x14ac:dyDescent="0.2">
      <c r="A2379" s="73" t="s">
        <v>1473</v>
      </c>
      <c r="B2379" s="3">
        <f t="shared" si="148"/>
        <v>2025</v>
      </c>
      <c r="C2379" s="3">
        <f t="shared" si="149"/>
        <v>11</v>
      </c>
      <c r="D2379" s="73" t="s">
        <v>300</v>
      </c>
      <c r="E2379" s="2"/>
      <c r="F2379" s="2" t="s">
        <v>325</v>
      </c>
      <c r="G2379" s="2" t="s">
        <v>1136</v>
      </c>
      <c r="H2379" s="2" t="s">
        <v>323</v>
      </c>
      <c r="I2379" s="2" t="s">
        <v>316</v>
      </c>
      <c r="J2379" s="2" t="s">
        <v>22</v>
      </c>
      <c r="K2379" s="72">
        <v>80.040000000000006</v>
      </c>
      <c r="L2379" s="39"/>
      <c r="M2379" s="72">
        <f t="shared" si="150"/>
        <v>-80.040000000000006</v>
      </c>
      <c r="N2379" s="72">
        <f t="shared" si="151"/>
        <v>494223.17999999953</v>
      </c>
    </row>
    <row r="2380" spans="1:14" x14ac:dyDescent="0.2">
      <c r="A2380" s="73" t="s">
        <v>1473</v>
      </c>
      <c r="B2380" s="3">
        <f t="shared" si="148"/>
        <v>2025</v>
      </c>
      <c r="C2380" s="3">
        <f t="shared" si="149"/>
        <v>11</v>
      </c>
      <c r="D2380" s="73" t="s">
        <v>300</v>
      </c>
      <c r="E2380" s="2"/>
      <c r="F2380" s="2" t="s">
        <v>321</v>
      </c>
      <c r="G2380" s="2" t="s">
        <v>1395</v>
      </c>
      <c r="H2380" s="2" t="s">
        <v>319</v>
      </c>
      <c r="I2380" s="2" t="s">
        <v>315</v>
      </c>
      <c r="J2380" s="2" t="s">
        <v>23</v>
      </c>
      <c r="K2380" s="72"/>
      <c r="L2380" s="39">
        <v>63306.5</v>
      </c>
      <c r="M2380" s="72">
        <f t="shared" si="150"/>
        <v>63306.5</v>
      </c>
      <c r="N2380" s="72">
        <f t="shared" si="151"/>
        <v>557529.67999999947</v>
      </c>
    </row>
    <row r="2381" spans="1:14" x14ac:dyDescent="0.2">
      <c r="A2381" s="73" t="s">
        <v>1473</v>
      </c>
      <c r="B2381" s="3">
        <f t="shared" si="148"/>
        <v>2025</v>
      </c>
      <c r="C2381" s="3">
        <f t="shared" si="149"/>
        <v>11</v>
      </c>
      <c r="D2381" s="73" t="s">
        <v>893</v>
      </c>
      <c r="E2381" s="2"/>
      <c r="F2381" s="2" t="s">
        <v>304</v>
      </c>
      <c r="G2381" s="2" t="s">
        <v>1508</v>
      </c>
      <c r="H2381" s="2" t="s">
        <v>923</v>
      </c>
      <c r="I2381" s="2" t="s">
        <v>316</v>
      </c>
      <c r="J2381" s="2" t="s">
        <v>22</v>
      </c>
      <c r="K2381" s="72">
        <v>329.96</v>
      </c>
      <c r="L2381" s="39"/>
      <c r="M2381" s="72">
        <f t="shared" si="150"/>
        <v>-329.96</v>
      </c>
      <c r="N2381" s="72">
        <f t="shared" si="151"/>
        <v>557199.71999999951</v>
      </c>
    </row>
    <row r="2382" spans="1:14" x14ac:dyDescent="0.2">
      <c r="A2382" s="73" t="s">
        <v>1473</v>
      </c>
      <c r="B2382" s="3">
        <f t="shared" si="148"/>
        <v>2025</v>
      </c>
      <c r="C2382" s="3">
        <f t="shared" si="149"/>
        <v>11</v>
      </c>
      <c r="D2382" s="73" t="s">
        <v>893</v>
      </c>
      <c r="E2382" s="2"/>
      <c r="F2382" s="2" t="s">
        <v>304</v>
      </c>
      <c r="G2382" s="2" t="s">
        <v>1023</v>
      </c>
      <c r="H2382" s="2" t="s">
        <v>1007</v>
      </c>
      <c r="I2382" s="1" t="s">
        <v>316</v>
      </c>
      <c r="J2382" s="2" t="s">
        <v>17</v>
      </c>
      <c r="K2382" s="72">
        <v>31.8</v>
      </c>
      <c r="L2382" s="39"/>
      <c r="M2382" s="72">
        <f t="shared" si="150"/>
        <v>-31.8</v>
      </c>
      <c r="N2382" s="72">
        <f t="shared" si="151"/>
        <v>557167.91999999946</v>
      </c>
    </row>
    <row r="2383" spans="1:14" x14ac:dyDescent="0.2">
      <c r="A2383" s="73" t="s">
        <v>1473</v>
      </c>
      <c r="B2383" s="3">
        <f t="shared" si="148"/>
        <v>2025</v>
      </c>
      <c r="C2383" s="3">
        <f t="shared" si="149"/>
        <v>11</v>
      </c>
      <c r="D2383" s="73" t="s">
        <v>300</v>
      </c>
      <c r="E2383" s="2"/>
      <c r="F2383" s="2" t="s">
        <v>299</v>
      </c>
      <c r="G2383" s="2"/>
      <c r="H2383" s="2" t="s">
        <v>298</v>
      </c>
      <c r="I2383" s="2" t="s">
        <v>297</v>
      </c>
      <c r="J2383" s="2" t="s">
        <v>296</v>
      </c>
      <c r="K2383" s="72">
        <v>77726.460000000006</v>
      </c>
      <c r="L2383" s="39"/>
      <c r="M2383" s="72">
        <f t="shared" si="150"/>
        <v>-77726.460000000006</v>
      </c>
      <c r="N2383" s="72">
        <f t="shared" si="151"/>
        <v>479441.45999999944</v>
      </c>
    </row>
    <row r="2384" spans="1:14" x14ac:dyDescent="0.2">
      <c r="A2384" s="73" t="s">
        <v>1474</v>
      </c>
      <c r="B2384" s="3">
        <f t="shared" si="148"/>
        <v>2025</v>
      </c>
      <c r="C2384" s="3">
        <f t="shared" si="149"/>
        <v>11</v>
      </c>
      <c r="D2384" s="73" t="s">
        <v>893</v>
      </c>
      <c r="E2384" s="2"/>
      <c r="F2384" s="2" t="s">
        <v>304</v>
      </c>
      <c r="G2384" s="2" t="s">
        <v>1008</v>
      </c>
      <c r="H2384" s="2" t="s">
        <v>901</v>
      </c>
      <c r="I2384" s="1" t="s">
        <v>316</v>
      </c>
      <c r="J2384" s="2" t="s">
        <v>17</v>
      </c>
      <c r="K2384" s="72">
        <v>21.2</v>
      </c>
      <c r="L2384" s="39"/>
      <c r="M2384" s="72">
        <f t="shared" si="150"/>
        <v>-21.2</v>
      </c>
      <c r="N2384" s="72">
        <f t="shared" si="151"/>
        <v>479420.25999999943</v>
      </c>
    </row>
    <row r="2385" spans="1:14" x14ac:dyDescent="0.2">
      <c r="A2385" s="73" t="s">
        <v>1474</v>
      </c>
      <c r="B2385" s="3">
        <f t="shared" si="148"/>
        <v>2025</v>
      </c>
      <c r="C2385" s="3">
        <f t="shared" si="149"/>
        <v>11</v>
      </c>
      <c r="D2385" s="73" t="s">
        <v>893</v>
      </c>
      <c r="E2385" s="2"/>
      <c r="F2385" s="2" t="s">
        <v>304</v>
      </c>
      <c r="G2385" s="2" t="s">
        <v>1008</v>
      </c>
      <c r="H2385" s="2" t="s">
        <v>1007</v>
      </c>
      <c r="I2385" s="1" t="s">
        <v>316</v>
      </c>
      <c r="J2385" s="2" t="s">
        <v>17</v>
      </c>
      <c r="K2385" s="72">
        <v>32.82</v>
      </c>
      <c r="L2385" s="39"/>
      <c r="M2385" s="72">
        <f t="shared" si="150"/>
        <v>-32.82</v>
      </c>
      <c r="N2385" s="72">
        <f t="shared" si="151"/>
        <v>479387.43999999942</v>
      </c>
    </row>
    <row r="2386" spans="1:14" x14ac:dyDescent="0.2">
      <c r="A2386" s="73" t="s">
        <v>1474</v>
      </c>
      <c r="B2386" s="3">
        <f t="shared" si="148"/>
        <v>2025</v>
      </c>
      <c r="C2386" s="3">
        <f t="shared" si="149"/>
        <v>11</v>
      </c>
      <c r="D2386" s="73" t="s">
        <v>893</v>
      </c>
      <c r="E2386" s="2"/>
      <c r="F2386" s="2" t="s">
        <v>304</v>
      </c>
      <c r="G2386" s="2" t="s">
        <v>1008</v>
      </c>
      <c r="H2386" s="2" t="s">
        <v>1007</v>
      </c>
      <c r="I2386" s="1" t="s">
        <v>316</v>
      </c>
      <c r="J2386" s="2" t="s">
        <v>17</v>
      </c>
      <c r="K2386" s="72">
        <v>31.09</v>
      </c>
      <c r="L2386" s="39"/>
      <c r="M2386" s="72">
        <f t="shared" si="150"/>
        <v>-31.09</v>
      </c>
      <c r="N2386" s="72">
        <f t="shared" si="151"/>
        <v>479356.34999999939</v>
      </c>
    </row>
    <row r="2387" spans="1:14" x14ac:dyDescent="0.2">
      <c r="A2387" s="73" t="s">
        <v>1474</v>
      </c>
      <c r="B2387" s="3">
        <f t="shared" si="148"/>
        <v>2025</v>
      </c>
      <c r="C2387" s="3">
        <f t="shared" si="149"/>
        <v>11</v>
      </c>
      <c r="D2387" s="73" t="s">
        <v>893</v>
      </c>
      <c r="E2387" s="2"/>
      <c r="F2387" s="2" t="s">
        <v>304</v>
      </c>
      <c r="G2387" s="2" t="s">
        <v>1008</v>
      </c>
      <c r="H2387" s="2" t="s">
        <v>1007</v>
      </c>
      <c r="I2387" s="1" t="s">
        <v>316</v>
      </c>
      <c r="J2387" s="2" t="s">
        <v>17</v>
      </c>
      <c r="K2387" s="72">
        <v>32.869999999999997</v>
      </c>
      <c r="L2387" s="39"/>
      <c r="M2387" s="72">
        <f t="shared" si="150"/>
        <v>-32.869999999999997</v>
      </c>
      <c r="N2387" s="72">
        <f t="shared" si="151"/>
        <v>479323.4799999994</v>
      </c>
    </row>
    <row r="2388" spans="1:14" x14ac:dyDescent="0.2">
      <c r="A2388" s="73" t="s">
        <v>1474</v>
      </c>
      <c r="B2388" s="3">
        <f t="shared" si="148"/>
        <v>2025</v>
      </c>
      <c r="C2388" s="3">
        <f t="shared" si="149"/>
        <v>11</v>
      </c>
      <c r="D2388" s="73" t="s">
        <v>893</v>
      </c>
      <c r="E2388" s="2"/>
      <c r="F2388" s="2" t="s">
        <v>304</v>
      </c>
      <c r="G2388" s="2" t="s">
        <v>1008</v>
      </c>
      <c r="H2388" s="2" t="s">
        <v>1007</v>
      </c>
      <c r="I2388" s="1" t="s">
        <v>316</v>
      </c>
      <c r="J2388" s="2" t="s">
        <v>17</v>
      </c>
      <c r="K2388" s="72">
        <v>31.6</v>
      </c>
      <c r="L2388" s="39"/>
      <c r="M2388" s="72">
        <f t="shared" si="150"/>
        <v>-31.6</v>
      </c>
      <c r="N2388" s="72">
        <f t="shared" si="151"/>
        <v>479291.87999999942</v>
      </c>
    </row>
    <row r="2389" spans="1:14" x14ac:dyDescent="0.2">
      <c r="A2389" s="73" t="s">
        <v>1474</v>
      </c>
      <c r="B2389" s="3">
        <f t="shared" si="148"/>
        <v>2025</v>
      </c>
      <c r="C2389" s="3">
        <f t="shared" si="149"/>
        <v>11</v>
      </c>
      <c r="D2389" s="73" t="s">
        <v>893</v>
      </c>
      <c r="E2389" s="2"/>
      <c r="F2389" s="2" t="s">
        <v>304</v>
      </c>
      <c r="G2389" s="2" t="s">
        <v>1008</v>
      </c>
      <c r="H2389" s="2" t="s">
        <v>1007</v>
      </c>
      <c r="I2389" s="1" t="s">
        <v>316</v>
      </c>
      <c r="J2389" s="2" t="s">
        <v>17</v>
      </c>
      <c r="K2389" s="72">
        <v>36.26</v>
      </c>
      <c r="L2389" s="39"/>
      <c r="M2389" s="72">
        <f t="shared" si="150"/>
        <v>-36.26</v>
      </c>
      <c r="N2389" s="72">
        <f t="shared" si="151"/>
        <v>479255.61999999941</v>
      </c>
    </row>
    <row r="2390" spans="1:14" x14ac:dyDescent="0.2">
      <c r="A2390" s="73" t="s">
        <v>1474</v>
      </c>
      <c r="B2390" s="3">
        <f t="shared" si="148"/>
        <v>2025</v>
      </c>
      <c r="C2390" s="3">
        <f t="shared" si="149"/>
        <v>11</v>
      </c>
      <c r="D2390" s="73" t="s">
        <v>300</v>
      </c>
      <c r="E2390" s="2"/>
      <c r="F2390" s="2" t="s">
        <v>325</v>
      </c>
      <c r="G2390" s="2" t="s">
        <v>369</v>
      </c>
      <c r="H2390" s="2" t="s">
        <v>323</v>
      </c>
      <c r="I2390" s="2" t="s">
        <v>316</v>
      </c>
      <c r="J2390" s="2" t="s">
        <v>360</v>
      </c>
      <c r="K2390" s="72">
        <v>990</v>
      </c>
      <c r="L2390" s="39"/>
      <c r="M2390" s="72">
        <f t="shared" si="150"/>
        <v>-990</v>
      </c>
      <c r="N2390" s="72">
        <f t="shared" si="151"/>
        <v>478265.61999999941</v>
      </c>
    </row>
    <row r="2391" spans="1:14" x14ac:dyDescent="0.2">
      <c r="A2391" s="73" t="s">
        <v>1474</v>
      </c>
      <c r="B2391" s="3">
        <f t="shared" si="148"/>
        <v>2025</v>
      </c>
      <c r="C2391" s="3">
        <f t="shared" si="149"/>
        <v>11</v>
      </c>
      <c r="D2391" s="73" t="s">
        <v>300</v>
      </c>
      <c r="E2391" s="2"/>
      <c r="F2391" s="2" t="s">
        <v>325</v>
      </c>
      <c r="G2391" s="2" t="s">
        <v>369</v>
      </c>
      <c r="H2391" s="2" t="s">
        <v>323</v>
      </c>
      <c r="I2391" s="2" t="s">
        <v>316</v>
      </c>
      <c r="J2391" s="2" t="s">
        <v>360</v>
      </c>
      <c r="K2391" s="72">
        <v>945</v>
      </c>
      <c r="L2391" s="39"/>
      <c r="M2391" s="72">
        <f t="shared" si="150"/>
        <v>-945</v>
      </c>
      <c r="N2391" s="72">
        <f t="shared" si="151"/>
        <v>477320.61999999941</v>
      </c>
    </row>
    <row r="2392" spans="1:14" x14ac:dyDescent="0.2">
      <c r="A2392" s="73" t="s">
        <v>1474</v>
      </c>
      <c r="B2392" s="3">
        <f t="shared" si="148"/>
        <v>2025</v>
      </c>
      <c r="C2392" s="3">
        <f t="shared" si="149"/>
        <v>11</v>
      </c>
      <c r="D2392" s="73" t="s">
        <v>300</v>
      </c>
      <c r="E2392" s="2"/>
      <c r="F2392" s="2" t="s">
        <v>325</v>
      </c>
      <c r="G2392" s="2" t="s">
        <v>369</v>
      </c>
      <c r="H2392" s="2" t="s">
        <v>323</v>
      </c>
      <c r="I2392" s="2" t="s">
        <v>316</v>
      </c>
      <c r="J2392" s="2" t="s">
        <v>360</v>
      </c>
      <c r="K2392" s="72">
        <v>1890</v>
      </c>
      <c r="L2392" s="39"/>
      <c r="M2392" s="72">
        <f t="shared" si="150"/>
        <v>-1890</v>
      </c>
      <c r="N2392" s="72">
        <f t="shared" si="151"/>
        <v>475430.61999999941</v>
      </c>
    </row>
    <row r="2393" spans="1:14" x14ac:dyDescent="0.2">
      <c r="A2393" s="73" t="s">
        <v>1474</v>
      </c>
      <c r="B2393" s="3">
        <f t="shared" si="148"/>
        <v>2025</v>
      </c>
      <c r="C2393" s="3">
        <f t="shared" si="149"/>
        <v>11</v>
      </c>
      <c r="D2393" s="73" t="s">
        <v>300</v>
      </c>
      <c r="E2393" s="2"/>
      <c r="F2393" s="2" t="s">
        <v>325</v>
      </c>
      <c r="G2393" s="2" t="s">
        <v>368</v>
      </c>
      <c r="H2393" s="2" t="s">
        <v>323</v>
      </c>
      <c r="I2393" s="2" t="s">
        <v>350</v>
      </c>
      <c r="J2393" s="2" t="s">
        <v>27</v>
      </c>
      <c r="K2393" s="72">
        <v>16275</v>
      </c>
      <c r="L2393" s="39"/>
      <c r="M2393" s="72">
        <f t="shared" si="150"/>
        <v>-16275</v>
      </c>
      <c r="N2393" s="72">
        <f t="shared" si="151"/>
        <v>459155.61999999941</v>
      </c>
    </row>
    <row r="2394" spans="1:14" x14ac:dyDescent="0.2">
      <c r="A2394" s="73" t="s">
        <v>1474</v>
      </c>
      <c r="B2394" s="3">
        <f t="shared" si="148"/>
        <v>2025</v>
      </c>
      <c r="C2394" s="3">
        <f t="shared" si="149"/>
        <v>11</v>
      </c>
      <c r="D2394" s="73" t="s">
        <v>300</v>
      </c>
      <c r="E2394" s="2"/>
      <c r="F2394" s="2" t="s">
        <v>325</v>
      </c>
      <c r="G2394" s="2" t="s">
        <v>1228</v>
      </c>
      <c r="H2394" s="2" t="s">
        <v>323</v>
      </c>
      <c r="I2394" s="2" t="s">
        <v>316</v>
      </c>
      <c r="J2394" s="2" t="s">
        <v>22</v>
      </c>
      <c r="K2394" s="72">
        <v>694.97</v>
      </c>
      <c r="L2394" s="39"/>
      <c r="M2394" s="72">
        <f t="shared" si="150"/>
        <v>-694.97</v>
      </c>
      <c r="N2394" s="72">
        <f t="shared" si="151"/>
        <v>458460.64999999944</v>
      </c>
    </row>
    <row r="2395" spans="1:14" x14ac:dyDescent="0.2">
      <c r="A2395" s="73" t="s">
        <v>1474</v>
      </c>
      <c r="B2395" s="3">
        <f t="shared" si="148"/>
        <v>2025</v>
      </c>
      <c r="C2395" s="3">
        <f t="shared" si="149"/>
        <v>11</v>
      </c>
      <c r="D2395" s="73" t="s">
        <v>300</v>
      </c>
      <c r="E2395" s="2"/>
      <c r="F2395" s="2" t="s">
        <v>325</v>
      </c>
      <c r="G2395" s="2" t="s">
        <v>366</v>
      </c>
      <c r="H2395" s="2" t="s">
        <v>323</v>
      </c>
      <c r="I2395" s="2" t="s">
        <v>350</v>
      </c>
      <c r="J2395" s="2" t="s">
        <v>27</v>
      </c>
      <c r="K2395" s="72">
        <v>3015</v>
      </c>
      <c r="L2395" s="39"/>
      <c r="M2395" s="72">
        <f t="shared" si="150"/>
        <v>-3015</v>
      </c>
      <c r="N2395" s="72">
        <f t="shared" si="151"/>
        <v>455445.64999999944</v>
      </c>
    </row>
    <row r="2396" spans="1:14" x14ac:dyDescent="0.2">
      <c r="A2396" s="73" t="s">
        <v>1474</v>
      </c>
      <c r="B2396" s="3">
        <f t="shared" si="148"/>
        <v>2025</v>
      </c>
      <c r="C2396" s="3">
        <f t="shared" si="149"/>
        <v>11</v>
      </c>
      <c r="D2396" s="73" t="s">
        <v>300</v>
      </c>
      <c r="E2396" s="2"/>
      <c r="F2396" s="2" t="s">
        <v>325</v>
      </c>
      <c r="G2396" s="2" t="s">
        <v>365</v>
      </c>
      <c r="H2396" s="2" t="s">
        <v>323</v>
      </c>
      <c r="I2396" s="2" t="s">
        <v>350</v>
      </c>
      <c r="J2396" s="2" t="s">
        <v>353</v>
      </c>
      <c r="K2396" s="72">
        <v>25000</v>
      </c>
      <c r="L2396" s="39"/>
      <c r="M2396" s="72">
        <f t="shared" si="150"/>
        <v>-25000</v>
      </c>
      <c r="N2396" s="72">
        <f t="shared" si="151"/>
        <v>430445.64999999944</v>
      </c>
    </row>
    <row r="2397" spans="1:14" x14ac:dyDescent="0.2">
      <c r="A2397" s="73" t="s">
        <v>1474</v>
      </c>
      <c r="B2397" s="3">
        <f t="shared" si="148"/>
        <v>2025</v>
      </c>
      <c r="C2397" s="3">
        <f t="shared" si="149"/>
        <v>11</v>
      </c>
      <c r="D2397" s="73" t="s">
        <v>300</v>
      </c>
      <c r="E2397" s="2"/>
      <c r="F2397" s="2" t="s">
        <v>325</v>
      </c>
      <c r="G2397" s="2" t="s">
        <v>1490</v>
      </c>
      <c r="H2397" s="2" t="s">
        <v>323</v>
      </c>
      <c r="I2397" s="2" t="s">
        <v>350</v>
      </c>
      <c r="J2397" s="2" t="s">
        <v>353</v>
      </c>
      <c r="K2397" s="72">
        <v>2000</v>
      </c>
      <c r="L2397" s="39"/>
      <c r="M2397" s="72">
        <f t="shared" si="150"/>
        <v>-2000</v>
      </c>
      <c r="N2397" s="72">
        <f t="shared" si="151"/>
        <v>428445.64999999944</v>
      </c>
    </row>
    <row r="2398" spans="1:14" x14ac:dyDescent="0.2">
      <c r="A2398" s="73" t="s">
        <v>1474</v>
      </c>
      <c r="B2398" s="3">
        <f t="shared" si="148"/>
        <v>2025</v>
      </c>
      <c r="C2398" s="3">
        <f t="shared" si="149"/>
        <v>11</v>
      </c>
      <c r="D2398" s="73" t="s">
        <v>300</v>
      </c>
      <c r="E2398" s="2"/>
      <c r="F2398" s="2" t="s">
        <v>325</v>
      </c>
      <c r="G2398" s="2" t="s">
        <v>1238</v>
      </c>
      <c r="H2398" s="2" t="s">
        <v>323</v>
      </c>
      <c r="I2398" s="2" t="s">
        <v>350</v>
      </c>
      <c r="J2398" s="2" t="s">
        <v>353</v>
      </c>
      <c r="K2398" s="72">
        <v>6350</v>
      </c>
      <c r="L2398" s="39"/>
      <c r="M2398" s="72">
        <f t="shared" si="150"/>
        <v>-6350</v>
      </c>
      <c r="N2398" s="72">
        <f t="shared" si="151"/>
        <v>422095.64999999944</v>
      </c>
    </row>
    <row r="2399" spans="1:14" x14ac:dyDescent="0.2">
      <c r="A2399" s="73" t="s">
        <v>1474</v>
      </c>
      <c r="B2399" s="3">
        <f t="shared" si="148"/>
        <v>2025</v>
      </c>
      <c r="C2399" s="3">
        <f t="shared" si="149"/>
        <v>11</v>
      </c>
      <c r="D2399" s="73" t="s">
        <v>300</v>
      </c>
      <c r="E2399" s="2"/>
      <c r="F2399" s="2" t="s">
        <v>325</v>
      </c>
      <c r="G2399" s="2" t="s">
        <v>363</v>
      </c>
      <c r="H2399" s="2" t="s">
        <v>323</v>
      </c>
      <c r="I2399" s="2" t="s">
        <v>316</v>
      </c>
      <c r="J2399" s="2" t="s">
        <v>17</v>
      </c>
      <c r="K2399" s="72">
        <v>5</v>
      </c>
      <c r="L2399" s="39"/>
      <c r="M2399" s="72">
        <f t="shared" si="150"/>
        <v>-5</v>
      </c>
      <c r="N2399" s="72">
        <f t="shared" si="151"/>
        <v>422090.64999999944</v>
      </c>
    </row>
    <row r="2400" spans="1:14" x14ac:dyDescent="0.2">
      <c r="A2400" s="73" t="s">
        <v>1474</v>
      </c>
      <c r="B2400" s="3">
        <f t="shared" si="148"/>
        <v>2025</v>
      </c>
      <c r="C2400" s="3">
        <f t="shared" si="149"/>
        <v>11</v>
      </c>
      <c r="D2400" s="73" t="s">
        <v>300</v>
      </c>
      <c r="E2400" s="2"/>
      <c r="F2400" s="2" t="s">
        <v>325</v>
      </c>
      <c r="G2400" s="2" t="s">
        <v>363</v>
      </c>
      <c r="H2400" s="2" t="s">
        <v>323</v>
      </c>
      <c r="I2400" s="2" t="s">
        <v>316</v>
      </c>
      <c r="J2400" s="2" t="s">
        <v>17</v>
      </c>
      <c r="K2400" s="72">
        <v>10</v>
      </c>
      <c r="L2400" s="39"/>
      <c r="M2400" s="72">
        <f t="shared" si="150"/>
        <v>-10</v>
      </c>
      <c r="N2400" s="72">
        <f t="shared" si="151"/>
        <v>422080.64999999944</v>
      </c>
    </row>
    <row r="2401" spans="1:14" x14ac:dyDescent="0.2">
      <c r="A2401" s="73" t="s">
        <v>1474</v>
      </c>
      <c r="B2401" s="3">
        <f t="shared" si="148"/>
        <v>2025</v>
      </c>
      <c r="C2401" s="3">
        <f t="shared" si="149"/>
        <v>11</v>
      </c>
      <c r="D2401" s="73" t="s">
        <v>300</v>
      </c>
      <c r="E2401" s="2"/>
      <c r="F2401" s="2" t="s">
        <v>325</v>
      </c>
      <c r="G2401" s="2" t="s">
        <v>363</v>
      </c>
      <c r="H2401" s="2" t="s">
        <v>323</v>
      </c>
      <c r="I2401" s="2" t="s">
        <v>316</v>
      </c>
      <c r="J2401" s="2" t="s">
        <v>17</v>
      </c>
      <c r="K2401" s="72">
        <v>49</v>
      </c>
      <c r="L2401" s="39"/>
      <c r="M2401" s="72">
        <f t="shared" si="150"/>
        <v>-49</v>
      </c>
      <c r="N2401" s="72">
        <f t="shared" si="151"/>
        <v>422031.64999999944</v>
      </c>
    </row>
    <row r="2402" spans="1:14" x14ac:dyDescent="0.2">
      <c r="A2402" s="73" t="s">
        <v>1474</v>
      </c>
      <c r="B2402" s="3">
        <f t="shared" si="148"/>
        <v>2025</v>
      </c>
      <c r="C2402" s="3">
        <f t="shared" si="149"/>
        <v>11</v>
      </c>
      <c r="D2402" s="73" t="s">
        <v>300</v>
      </c>
      <c r="E2402" s="2"/>
      <c r="F2402" s="2" t="s">
        <v>325</v>
      </c>
      <c r="G2402" s="2" t="s">
        <v>363</v>
      </c>
      <c r="H2402" s="2" t="s">
        <v>323</v>
      </c>
      <c r="I2402" s="2" t="s">
        <v>316</v>
      </c>
      <c r="J2402" s="2" t="s">
        <v>17</v>
      </c>
      <c r="K2402" s="72">
        <v>49</v>
      </c>
      <c r="L2402" s="39"/>
      <c r="M2402" s="72">
        <f t="shared" si="150"/>
        <v>-49</v>
      </c>
      <c r="N2402" s="72">
        <f t="shared" si="151"/>
        <v>421982.64999999944</v>
      </c>
    </row>
    <row r="2403" spans="1:14" x14ac:dyDescent="0.2">
      <c r="A2403" s="73" t="s">
        <v>1474</v>
      </c>
      <c r="B2403" s="3">
        <f t="shared" si="148"/>
        <v>2025</v>
      </c>
      <c r="C2403" s="3">
        <f t="shared" si="149"/>
        <v>11</v>
      </c>
      <c r="D2403" s="73" t="s">
        <v>300</v>
      </c>
      <c r="E2403" s="2"/>
      <c r="F2403" s="2" t="s">
        <v>325</v>
      </c>
      <c r="G2403" s="2" t="s">
        <v>363</v>
      </c>
      <c r="H2403" s="2" t="s">
        <v>323</v>
      </c>
      <c r="I2403" s="2" t="s">
        <v>316</v>
      </c>
      <c r="J2403" s="2" t="s">
        <v>17</v>
      </c>
      <c r="K2403" s="72">
        <v>49</v>
      </c>
      <c r="L2403" s="39"/>
      <c r="M2403" s="72">
        <f t="shared" si="150"/>
        <v>-49</v>
      </c>
      <c r="N2403" s="72">
        <f t="shared" si="151"/>
        <v>421933.64999999944</v>
      </c>
    </row>
    <row r="2404" spans="1:14" x14ac:dyDescent="0.2">
      <c r="A2404" s="73" t="s">
        <v>1474</v>
      </c>
      <c r="B2404" s="3">
        <f t="shared" si="148"/>
        <v>2025</v>
      </c>
      <c r="C2404" s="3">
        <f t="shared" si="149"/>
        <v>11</v>
      </c>
      <c r="D2404" s="73" t="s">
        <v>300</v>
      </c>
      <c r="E2404" s="2"/>
      <c r="F2404" s="2" t="s">
        <v>325</v>
      </c>
      <c r="G2404" s="2" t="s">
        <v>363</v>
      </c>
      <c r="H2404" s="2" t="s">
        <v>323</v>
      </c>
      <c r="I2404" s="2" t="s">
        <v>316</v>
      </c>
      <c r="J2404" s="2" t="s">
        <v>17</v>
      </c>
      <c r="K2404" s="72">
        <v>49</v>
      </c>
      <c r="L2404" s="39"/>
      <c r="M2404" s="72">
        <f t="shared" si="150"/>
        <v>-49</v>
      </c>
      <c r="N2404" s="72">
        <f t="shared" si="151"/>
        <v>421884.64999999944</v>
      </c>
    </row>
    <row r="2405" spans="1:14" x14ac:dyDescent="0.2">
      <c r="A2405" s="73" t="s">
        <v>1474</v>
      </c>
      <c r="B2405" s="3">
        <f t="shared" si="148"/>
        <v>2025</v>
      </c>
      <c r="C2405" s="3">
        <f t="shared" si="149"/>
        <v>11</v>
      </c>
      <c r="D2405" s="73" t="s">
        <v>300</v>
      </c>
      <c r="E2405" s="2"/>
      <c r="F2405" s="2" t="s">
        <v>325</v>
      </c>
      <c r="G2405" s="2" t="s">
        <v>363</v>
      </c>
      <c r="H2405" s="2" t="s">
        <v>323</v>
      </c>
      <c r="I2405" s="2" t="s">
        <v>316</v>
      </c>
      <c r="J2405" s="2" t="s">
        <v>17</v>
      </c>
      <c r="K2405" s="72">
        <v>49</v>
      </c>
      <c r="L2405" s="39"/>
      <c r="M2405" s="72">
        <f t="shared" si="150"/>
        <v>-49</v>
      </c>
      <c r="N2405" s="72">
        <f t="shared" si="151"/>
        <v>421835.64999999944</v>
      </c>
    </row>
    <row r="2406" spans="1:14" x14ac:dyDescent="0.2">
      <c r="A2406" s="73" t="s">
        <v>1474</v>
      </c>
      <c r="B2406" s="3">
        <f t="shared" si="148"/>
        <v>2025</v>
      </c>
      <c r="C2406" s="3">
        <f t="shared" si="149"/>
        <v>11</v>
      </c>
      <c r="D2406" s="73" t="s">
        <v>300</v>
      </c>
      <c r="E2406" s="2"/>
      <c r="F2406" s="2" t="s">
        <v>325</v>
      </c>
      <c r="G2406" s="2" t="s">
        <v>363</v>
      </c>
      <c r="H2406" s="2" t="s">
        <v>323</v>
      </c>
      <c r="I2406" s="2" t="s">
        <v>316</v>
      </c>
      <c r="J2406" s="2" t="s">
        <v>17</v>
      </c>
      <c r="K2406" s="72">
        <v>49</v>
      </c>
      <c r="L2406" s="39"/>
      <c r="M2406" s="72">
        <f t="shared" si="150"/>
        <v>-49</v>
      </c>
      <c r="N2406" s="72">
        <f t="shared" si="151"/>
        <v>421786.64999999944</v>
      </c>
    </row>
    <row r="2407" spans="1:14" x14ac:dyDescent="0.2">
      <c r="A2407" s="73" t="s">
        <v>1474</v>
      </c>
      <c r="B2407" s="3">
        <f t="shared" si="148"/>
        <v>2025</v>
      </c>
      <c r="C2407" s="3">
        <f t="shared" si="149"/>
        <v>11</v>
      </c>
      <c r="D2407" s="73" t="s">
        <v>300</v>
      </c>
      <c r="E2407" s="2"/>
      <c r="F2407" s="2" t="s">
        <v>325</v>
      </c>
      <c r="G2407" s="2" t="s">
        <v>363</v>
      </c>
      <c r="H2407" s="2" t="s">
        <v>323</v>
      </c>
      <c r="I2407" s="2" t="s">
        <v>316</v>
      </c>
      <c r="J2407" s="2" t="s">
        <v>17</v>
      </c>
      <c r="K2407" s="72">
        <v>49</v>
      </c>
      <c r="L2407" s="39"/>
      <c r="M2407" s="72">
        <f t="shared" si="150"/>
        <v>-49</v>
      </c>
      <c r="N2407" s="72">
        <f t="shared" si="151"/>
        <v>421737.64999999944</v>
      </c>
    </row>
    <row r="2408" spans="1:14" x14ac:dyDescent="0.2">
      <c r="A2408" s="73" t="s">
        <v>1474</v>
      </c>
      <c r="B2408" s="3">
        <f t="shared" si="148"/>
        <v>2025</v>
      </c>
      <c r="C2408" s="3">
        <f t="shared" si="149"/>
        <v>11</v>
      </c>
      <c r="D2408" s="73" t="s">
        <v>300</v>
      </c>
      <c r="E2408" s="2"/>
      <c r="F2408" s="2" t="s">
        <v>325</v>
      </c>
      <c r="G2408" s="2" t="s">
        <v>363</v>
      </c>
      <c r="H2408" s="2" t="s">
        <v>323</v>
      </c>
      <c r="I2408" s="2" t="s">
        <v>316</v>
      </c>
      <c r="J2408" s="2" t="s">
        <v>17</v>
      </c>
      <c r="K2408" s="72">
        <v>49</v>
      </c>
      <c r="L2408" s="39"/>
      <c r="M2408" s="72">
        <f t="shared" si="150"/>
        <v>-49</v>
      </c>
      <c r="N2408" s="72">
        <f t="shared" si="151"/>
        <v>421688.64999999944</v>
      </c>
    </row>
    <row r="2409" spans="1:14" x14ac:dyDescent="0.2">
      <c r="A2409" s="73" t="s">
        <v>1474</v>
      </c>
      <c r="B2409" s="3">
        <f t="shared" si="148"/>
        <v>2025</v>
      </c>
      <c r="C2409" s="3">
        <f t="shared" si="149"/>
        <v>11</v>
      </c>
      <c r="D2409" s="73" t="s">
        <v>300</v>
      </c>
      <c r="E2409" s="2"/>
      <c r="F2409" s="2" t="s">
        <v>325</v>
      </c>
      <c r="G2409" s="2" t="s">
        <v>363</v>
      </c>
      <c r="H2409" s="2" t="s">
        <v>323</v>
      </c>
      <c r="I2409" s="2" t="s">
        <v>316</v>
      </c>
      <c r="J2409" s="2" t="s">
        <v>17</v>
      </c>
      <c r="K2409" s="72">
        <v>49</v>
      </c>
      <c r="L2409" s="39"/>
      <c r="M2409" s="72">
        <f t="shared" si="150"/>
        <v>-49</v>
      </c>
      <c r="N2409" s="72">
        <f t="shared" si="151"/>
        <v>421639.64999999944</v>
      </c>
    </row>
    <row r="2410" spans="1:14" x14ac:dyDescent="0.2">
      <c r="A2410" s="73" t="s">
        <v>1474</v>
      </c>
      <c r="B2410" s="3">
        <f t="shared" si="148"/>
        <v>2025</v>
      </c>
      <c r="C2410" s="3">
        <f t="shared" si="149"/>
        <v>11</v>
      </c>
      <c r="D2410" s="73" t="s">
        <v>300</v>
      </c>
      <c r="E2410" s="2"/>
      <c r="F2410" s="2" t="s">
        <v>325</v>
      </c>
      <c r="G2410" s="2" t="s">
        <v>363</v>
      </c>
      <c r="H2410" s="2" t="s">
        <v>323</v>
      </c>
      <c r="I2410" s="2" t="s">
        <v>316</v>
      </c>
      <c r="J2410" s="2" t="s">
        <v>17</v>
      </c>
      <c r="K2410" s="72">
        <v>49</v>
      </c>
      <c r="L2410" s="39"/>
      <c r="M2410" s="72">
        <f t="shared" si="150"/>
        <v>-49</v>
      </c>
      <c r="N2410" s="72">
        <f t="shared" si="151"/>
        <v>421590.64999999944</v>
      </c>
    </row>
    <row r="2411" spans="1:14" x14ac:dyDescent="0.2">
      <c r="A2411" s="73" t="s">
        <v>1474</v>
      </c>
      <c r="B2411" s="3">
        <f t="shared" si="148"/>
        <v>2025</v>
      </c>
      <c r="C2411" s="3">
        <f t="shared" si="149"/>
        <v>11</v>
      </c>
      <c r="D2411" s="73" t="s">
        <v>300</v>
      </c>
      <c r="E2411" s="2"/>
      <c r="F2411" s="2" t="s">
        <v>325</v>
      </c>
      <c r="G2411" s="2" t="s">
        <v>363</v>
      </c>
      <c r="H2411" s="2" t="s">
        <v>323</v>
      </c>
      <c r="I2411" s="2" t="s">
        <v>316</v>
      </c>
      <c r="J2411" s="2" t="s">
        <v>17</v>
      </c>
      <c r="K2411" s="72">
        <v>49</v>
      </c>
      <c r="L2411" s="39"/>
      <c r="M2411" s="72">
        <f t="shared" si="150"/>
        <v>-49</v>
      </c>
      <c r="N2411" s="72">
        <f t="shared" si="151"/>
        <v>421541.64999999944</v>
      </c>
    </row>
    <row r="2412" spans="1:14" x14ac:dyDescent="0.2">
      <c r="A2412" s="73" t="s">
        <v>1474</v>
      </c>
      <c r="B2412" s="3">
        <f t="shared" si="148"/>
        <v>2025</v>
      </c>
      <c r="C2412" s="3">
        <f t="shared" si="149"/>
        <v>11</v>
      </c>
      <c r="D2412" s="73" t="s">
        <v>300</v>
      </c>
      <c r="E2412" s="2"/>
      <c r="F2412" s="2" t="s">
        <v>325</v>
      </c>
      <c r="G2412" s="2" t="s">
        <v>363</v>
      </c>
      <c r="H2412" s="2" t="s">
        <v>323</v>
      </c>
      <c r="I2412" s="2" t="s">
        <v>316</v>
      </c>
      <c r="J2412" s="2" t="s">
        <v>17</v>
      </c>
      <c r="K2412" s="72">
        <v>49</v>
      </c>
      <c r="L2412" s="39"/>
      <c r="M2412" s="72">
        <f t="shared" si="150"/>
        <v>-49</v>
      </c>
      <c r="N2412" s="72">
        <f t="shared" si="151"/>
        <v>421492.64999999944</v>
      </c>
    </row>
    <row r="2413" spans="1:14" x14ac:dyDescent="0.2">
      <c r="A2413" s="73" t="s">
        <v>1474</v>
      </c>
      <c r="B2413" s="3">
        <f t="shared" si="148"/>
        <v>2025</v>
      </c>
      <c r="C2413" s="3">
        <f t="shared" si="149"/>
        <v>11</v>
      </c>
      <c r="D2413" s="73" t="s">
        <v>300</v>
      </c>
      <c r="E2413" s="2"/>
      <c r="F2413" s="2" t="s">
        <v>325</v>
      </c>
      <c r="G2413" s="2" t="s">
        <v>363</v>
      </c>
      <c r="H2413" s="2" t="s">
        <v>323</v>
      </c>
      <c r="I2413" s="2" t="s">
        <v>316</v>
      </c>
      <c r="J2413" s="2" t="s">
        <v>17</v>
      </c>
      <c r="K2413" s="72">
        <v>49</v>
      </c>
      <c r="L2413" s="39"/>
      <c r="M2413" s="72">
        <f t="shared" si="150"/>
        <v>-49</v>
      </c>
      <c r="N2413" s="72">
        <f t="shared" si="151"/>
        <v>421443.64999999944</v>
      </c>
    </row>
    <row r="2414" spans="1:14" x14ac:dyDescent="0.2">
      <c r="A2414" s="73" t="s">
        <v>1474</v>
      </c>
      <c r="B2414" s="3">
        <f t="shared" si="148"/>
        <v>2025</v>
      </c>
      <c r="C2414" s="3">
        <f t="shared" si="149"/>
        <v>11</v>
      </c>
      <c r="D2414" s="73" t="s">
        <v>300</v>
      </c>
      <c r="E2414" s="2"/>
      <c r="F2414" s="2" t="s">
        <v>325</v>
      </c>
      <c r="G2414" s="2" t="s">
        <v>363</v>
      </c>
      <c r="H2414" s="2" t="s">
        <v>323</v>
      </c>
      <c r="I2414" s="2" t="s">
        <v>316</v>
      </c>
      <c r="J2414" s="2" t="s">
        <v>17</v>
      </c>
      <c r="K2414" s="72">
        <v>49</v>
      </c>
      <c r="L2414" s="39"/>
      <c r="M2414" s="72">
        <f t="shared" si="150"/>
        <v>-49</v>
      </c>
      <c r="N2414" s="72">
        <f t="shared" si="151"/>
        <v>421394.64999999944</v>
      </c>
    </row>
    <row r="2415" spans="1:14" x14ac:dyDescent="0.2">
      <c r="A2415" s="73" t="s">
        <v>1474</v>
      </c>
      <c r="B2415" s="3">
        <f t="shared" si="148"/>
        <v>2025</v>
      </c>
      <c r="C2415" s="3">
        <f t="shared" si="149"/>
        <v>11</v>
      </c>
      <c r="D2415" s="73" t="s">
        <v>300</v>
      </c>
      <c r="E2415" s="2"/>
      <c r="F2415" s="2" t="s">
        <v>325</v>
      </c>
      <c r="G2415" s="2" t="s">
        <v>363</v>
      </c>
      <c r="H2415" s="2" t="s">
        <v>323</v>
      </c>
      <c r="I2415" s="2" t="s">
        <v>316</v>
      </c>
      <c r="J2415" s="2" t="s">
        <v>17</v>
      </c>
      <c r="K2415" s="72">
        <v>49</v>
      </c>
      <c r="L2415" s="39"/>
      <c r="M2415" s="72">
        <f t="shared" si="150"/>
        <v>-49</v>
      </c>
      <c r="N2415" s="72">
        <f t="shared" si="151"/>
        <v>421345.64999999944</v>
      </c>
    </row>
    <row r="2416" spans="1:14" x14ac:dyDescent="0.2">
      <c r="A2416" s="73" t="s">
        <v>1474</v>
      </c>
      <c r="B2416" s="3">
        <f t="shared" si="148"/>
        <v>2025</v>
      </c>
      <c r="C2416" s="3">
        <f t="shared" si="149"/>
        <v>11</v>
      </c>
      <c r="D2416" s="73" t="s">
        <v>300</v>
      </c>
      <c r="E2416" s="2"/>
      <c r="F2416" s="2" t="s">
        <v>325</v>
      </c>
      <c r="G2416" s="2" t="s">
        <v>363</v>
      </c>
      <c r="H2416" s="2" t="s">
        <v>323</v>
      </c>
      <c r="I2416" s="2" t="s">
        <v>316</v>
      </c>
      <c r="J2416" s="2" t="s">
        <v>17</v>
      </c>
      <c r="K2416" s="72">
        <v>49</v>
      </c>
      <c r="L2416" s="39"/>
      <c r="M2416" s="72">
        <f t="shared" si="150"/>
        <v>-49</v>
      </c>
      <c r="N2416" s="72">
        <f t="shared" si="151"/>
        <v>421296.64999999944</v>
      </c>
    </row>
    <row r="2417" spans="1:14" x14ac:dyDescent="0.2">
      <c r="A2417" s="73" t="s">
        <v>1474</v>
      </c>
      <c r="B2417" s="3">
        <f t="shared" si="148"/>
        <v>2025</v>
      </c>
      <c r="C2417" s="3">
        <f t="shared" si="149"/>
        <v>11</v>
      </c>
      <c r="D2417" s="73" t="s">
        <v>300</v>
      </c>
      <c r="E2417" s="2"/>
      <c r="F2417" s="2" t="s">
        <v>325</v>
      </c>
      <c r="G2417" s="2" t="s">
        <v>363</v>
      </c>
      <c r="H2417" s="2" t="s">
        <v>323</v>
      </c>
      <c r="I2417" s="2" t="s">
        <v>316</v>
      </c>
      <c r="J2417" s="2" t="s">
        <v>17</v>
      </c>
      <c r="K2417" s="72">
        <v>49</v>
      </c>
      <c r="L2417" s="39"/>
      <c r="M2417" s="72">
        <f t="shared" si="150"/>
        <v>-49</v>
      </c>
      <c r="N2417" s="72">
        <f t="shared" si="151"/>
        <v>421247.64999999944</v>
      </c>
    </row>
    <row r="2418" spans="1:14" x14ac:dyDescent="0.2">
      <c r="A2418" s="73" t="s">
        <v>1474</v>
      </c>
      <c r="B2418" s="3">
        <f t="shared" si="148"/>
        <v>2025</v>
      </c>
      <c r="C2418" s="3">
        <f t="shared" si="149"/>
        <v>11</v>
      </c>
      <c r="D2418" s="73" t="s">
        <v>300</v>
      </c>
      <c r="E2418" s="2"/>
      <c r="F2418" s="2" t="s">
        <v>325</v>
      </c>
      <c r="G2418" s="2" t="s">
        <v>363</v>
      </c>
      <c r="H2418" s="2" t="s">
        <v>323</v>
      </c>
      <c r="I2418" s="2" t="s">
        <v>316</v>
      </c>
      <c r="J2418" s="2" t="s">
        <v>17</v>
      </c>
      <c r="K2418" s="72">
        <v>49</v>
      </c>
      <c r="L2418" s="39"/>
      <c r="M2418" s="72">
        <f t="shared" si="150"/>
        <v>-49</v>
      </c>
      <c r="N2418" s="72">
        <f t="shared" si="151"/>
        <v>421198.64999999944</v>
      </c>
    </row>
    <row r="2419" spans="1:14" x14ac:dyDescent="0.2">
      <c r="A2419" s="73" t="s">
        <v>1474</v>
      </c>
      <c r="B2419" s="3">
        <f t="shared" si="148"/>
        <v>2025</v>
      </c>
      <c r="C2419" s="3">
        <f t="shared" si="149"/>
        <v>11</v>
      </c>
      <c r="D2419" s="73" t="s">
        <v>300</v>
      </c>
      <c r="E2419" s="2"/>
      <c r="F2419" s="2" t="s">
        <v>325</v>
      </c>
      <c r="G2419" s="2" t="s">
        <v>363</v>
      </c>
      <c r="H2419" s="2" t="s">
        <v>323</v>
      </c>
      <c r="I2419" s="2" t="s">
        <v>316</v>
      </c>
      <c r="J2419" s="2" t="s">
        <v>17</v>
      </c>
      <c r="K2419" s="72">
        <v>49</v>
      </c>
      <c r="L2419" s="39"/>
      <c r="M2419" s="72">
        <f t="shared" si="150"/>
        <v>-49</v>
      </c>
      <c r="N2419" s="72">
        <f t="shared" si="151"/>
        <v>421149.64999999944</v>
      </c>
    </row>
    <row r="2420" spans="1:14" x14ac:dyDescent="0.2">
      <c r="A2420" s="73" t="s">
        <v>1474</v>
      </c>
      <c r="B2420" s="3">
        <f t="shared" si="148"/>
        <v>2025</v>
      </c>
      <c r="C2420" s="3">
        <f t="shared" si="149"/>
        <v>11</v>
      </c>
      <c r="D2420" s="73" t="s">
        <v>300</v>
      </c>
      <c r="E2420" s="2"/>
      <c r="F2420" s="2" t="s">
        <v>325</v>
      </c>
      <c r="G2420" s="2" t="s">
        <v>363</v>
      </c>
      <c r="H2420" s="2" t="s">
        <v>323</v>
      </c>
      <c r="I2420" s="2" t="s">
        <v>316</v>
      </c>
      <c r="J2420" s="2" t="s">
        <v>17</v>
      </c>
      <c r="K2420" s="72">
        <v>49</v>
      </c>
      <c r="L2420" s="39"/>
      <c r="M2420" s="72">
        <f t="shared" si="150"/>
        <v>-49</v>
      </c>
      <c r="N2420" s="72">
        <f t="shared" si="151"/>
        <v>421100.64999999944</v>
      </c>
    </row>
    <row r="2421" spans="1:14" x14ac:dyDescent="0.2">
      <c r="A2421" s="73" t="s">
        <v>1474</v>
      </c>
      <c r="B2421" s="3">
        <f t="shared" si="148"/>
        <v>2025</v>
      </c>
      <c r="C2421" s="3">
        <f t="shared" si="149"/>
        <v>11</v>
      </c>
      <c r="D2421" s="73" t="s">
        <v>300</v>
      </c>
      <c r="E2421" s="2"/>
      <c r="F2421" s="2" t="s">
        <v>325</v>
      </c>
      <c r="G2421" s="2" t="s">
        <v>363</v>
      </c>
      <c r="H2421" s="2" t="s">
        <v>323</v>
      </c>
      <c r="I2421" s="2" t="s">
        <v>316</v>
      </c>
      <c r="J2421" s="2" t="s">
        <v>17</v>
      </c>
      <c r="K2421" s="72">
        <v>49</v>
      </c>
      <c r="L2421" s="39"/>
      <c r="M2421" s="72">
        <f t="shared" si="150"/>
        <v>-49</v>
      </c>
      <c r="N2421" s="72">
        <f t="shared" si="151"/>
        <v>421051.64999999944</v>
      </c>
    </row>
    <row r="2422" spans="1:14" x14ac:dyDescent="0.2">
      <c r="A2422" s="73" t="s">
        <v>1474</v>
      </c>
      <c r="B2422" s="3">
        <f t="shared" si="148"/>
        <v>2025</v>
      </c>
      <c r="C2422" s="3">
        <f t="shared" si="149"/>
        <v>11</v>
      </c>
      <c r="D2422" s="73" t="s">
        <v>300</v>
      </c>
      <c r="E2422" s="2"/>
      <c r="F2422" s="2" t="s">
        <v>325</v>
      </c>
      <c r="G2422" s="2" t="s">
        <v>363</v>
      </c>
      <c r="H2422" s="2" t="s">
        <v>323</v>
      </c>
      <c r="I2422" s="2" t="s">
        <v>316</v>
      </c>
      <c r="J2422" s="2" t="s">
        <v>17</v>
      </c>
      <c r="K2422" s="72">
        <v>49</v>
      </c>
      <c r="L2422" s="39"/>
      <c r="M2422" s="72">
        <f t="shared" si="150"/>
        <v>-49</v>
      </c>
      <c r="N2422" s="72">
        <f t="shared" si="151"/>
        <v>421002.64999999944</v>
      </c>
    </row>
    <row r="2423" spans="1:14" x14ac:dyDescent="0.2">
      <c r="A2423" s="73" t="s">
        <v>1474</v>
      </c>
      <c r="B2423" s="3">
        <f t="shared" si="148"/>
        <v>2025</v>
      </c>
      <c r="C2423" s="3">
        <f t="shared" si="149"/>
        <v>11</v>
      </c>
      <c r="D2423" s="73" t="s">
        <v>300</v>
      </c>
      <c r="E2423" s="2"/>
      <c r="F2423" s="2" t="s">
        <v>325</v>
      </c>
      <c r="G2423" s="2" t="s">
        <v>363</v>
      </c>
      <c r="H2423" s="2" t="s">
        <v>323</v>
      </c>
      <c r="I2423" s="2" t="s">
        <v>316</v>
      </c>
      <c r="J2423" s="2" t="s">
        <v>17</v>
      </c>
      <c r="K2423" s="72">
        <v>49</v>
      </c>
      <c r="L2423" s="39"/>
      <c r="M2423" s="72">
        <f t="shared" si="150"/>
        <v>-49</v>
      </c>
      <c r="N2423" s="72">
        <f t="shared" si="151"/>
        <v>420953.64999999944</v>
      </c>
    </row>
    <row r="2424" spans="1:14" x14ac:dyDescent="0.2">
      <c r="A2424" s="73" t="s">
        <v>1474</v>
      </c>
      <c r="B2424" s="3">
        <f t="shared" si="148"/>
        <v>2025</v>
      </c>
      <c r="C2424" s="3">
        <f t="shared" si="149"/>
        <v>11</v>
      </c>
      <c r="D2424" s="73" t="s">
        <v>300</v>
      </c>
      <c r="E2424" s="2"/>
      <c r="F2424" s="2" t="s">
        <v>325</v>
      </c>
      <c r="G2424" s="2" t="s">
        <v>363</v>
      </c>
      <c r="H2424" s="2" t="s">
        <v>323</v>
      </c>
      <c r="I2424" s="2" t="s">
        <v>316</v>
      </c>
      <c r="J2424" s="2" t="s">
        <v>17</v>
      </c>
      <c r="K2424" s="72">
        <v>49</v>
      </c>
      <c r="L2424" s="39"/>
      <c r="M2424" s="72">
        <f t="shared" si="150"/>
        <v>-49</v>
      </c>
      <c r="N2424" s="72">
        <f t="shared" si="151"/>
        <v>420904.64999999944</v>
      </c>
    </row>
    <row r="2425" spans="1:14" x14ac:dyDescent="0.2">
      <c r="A2425" s="73" t="s">
        <v>1474</v>
      </c>
      <c r="B2425" s="3">
        <f t="shared" si="148"/>
        <v>2025</v>
      </c>
      <c r="C2425" s="3">
        <f t="shared" si="149"/>
        <v>11</v>
      </c>
      <c r="D2425" s="73" t="s">
        <v>300</v>
      </c>
      <c r="E2425" s="2"/>
      <c r="F2425" s="2" t="s">
        <v>325</v>
      </c>
      <c r="G2425" s="2" t="s">
        <v>363</v>
      </c>
      <c r="H2425" s="2" t="s">
        <v>323</v>
      </c>
      <c r="I2425" s="2" t="s">
        <v>316</v>
      </c>
      <c r="J2425" s="2" t="s">
        <v>17</v>
      </c>
      <c r="K2425" s="72">
        <v>49</v>
      </c>
      <c r="L2425" s="39"/>
      <c r="M2425" s="72">
        <f t="shared" si="150"/>
        <v>-49</v>
      </c>
      <c r="N2425" s="72">
        <f t="shared" si="151"/>
        <v>420855.64999999944</v>
      </c>
    </row>
    <row r="2426" spans="1:14" x14ac:dyDescent="0.2">
      <c r="A2426" s="73" t="s">
        <v>1474</v>
      </c>
      <c r="B2426" s="3">
        <f t="shared" si="148"/>
        <v>2025</v>
      </c>
      <c r="C2426" s="3">
        <f t="shared" si="149"/>
        <v>11</v>
      </c>
      <c r="D2426" s="73" t="s">
        <v>300</v>
      </c>
      <c r="E2426" s="2"/>
      <c r="F2426" s="2" t="s">
        <v>325</v>
      </c>
      <c r="G2426" s="2" t="s">
        <v>363</v>
      </c>
      <c r="H2426" s="2" t="s">
        <v>323</v>
      </c>
      <c r="I2426" s="2" t="s">
        <v>316</v>
      </c>
      <c r="J2426" s="2" t="s">
        <v>17</v>
      </c>
      <c r="K2426" s="72">
        <v>49</v>
      </c>
      <c r="L2426" s="39"/>
      <c r="M2426" s="72">
        <f t="shared" si="150"/>
        <v>-49</v>
      </c>
      <c r="N2426" s="72">
        <f t="shared" si="151"/>
        <v>420806.64999999944</v>
      </c>
    </row>
    <row r="2427" spans="1:14" x14ac:dyDescent="0.2">
      <c r="A2427" s="73" t="s">
        <v>1474</v>
      </c>
      <c r="B2427" s="3">
        <f t="shared" si="148"/>
        <v>2025</v>
      </c>
      <c r="C2427" s="3">
        <f t="shared" si="149"/>
        <v>11</v>
      </c>
      <c r="D2427" s="73" t="s">
        <v>300</v>
      </c>
      <c r="E2427" s="2"/>
      <c r="F2427" s="2" t="s">
        <v>325</v>
      </c>
      <c r="G2427" s="2" t="s">
        <v>363</v>
      </c>
      <c r="H2427" s="2" t="s">
        <v>323</v>
      </c>
      <c r="I2427" s="2" t="s">
        <v>316</v>
      </c>
      <c r="J2427" s="2" t="s">
        <v>17</v>
      </c>
      <c r="K2427" s="72">
        <v>49</v>
      </c>
      <c r="L2427" s="39"/>
      <c r="M2427" s="72">
        <f t="shared" si="150"/>
        <v>-49</v>
      </c>
      <c r="N2427" s="72">
        <f t="shared" si="151"/>
        <v>420757.64999999944</v>
      </c>
    </row>
    <row r="2428" spans="1:14" x14ac:dyDescent="0.2">
      <c r="A2428" s="73" t="s">
        <v>1474</v>
      </c>
      <c r="B2428" s="3">
        <f t="shared" si="148"/>
        <v>2025</v>
      </c>
      <c r="C2428" s="3">
        <f t="shared" si="149"/>
        <v>11</v>
      </c>
      <c r="D2428" s="73" t="s">
        <v>300</v>
      </c>
      <c r="E2428" s="2"/>
      <c r="F2428" s="2" t="s">
        <v>325</v>
      </c>
      <c r="G2428" s="2" t="s">
        <v>363</v>
      </c>
      <c r="H2428" s="2" t="s">
        <v>323</v>
      </c>
      <c r="I2428" s="2" t="s">
        <v>316</v>
      </c>
      <c r="J2428" s="2" t="s">
        <v>17</v>
      </c>
      <c r="K2428" s="72">
        <v>49</v>
      </c>
      <c r="L2428" s="39"/>
      <c r="M2428" s="72">
        <f t="shared" si="150"/>
        <v>-49</v>
      </c>
      <c r="N2428" s="72">
        <f t="shared" si="151"/>
        <v>420708.64999999944</v>
      </c>
    </row>
    <row r="2429" spans="1:14" x14ac:dyDescent="0.2">
      <c r="A2429" s="73" t="s">
        <v>1474</v>
      </c>
      <c r="B2429" s="3">
        <f t="shared" si="148"/>
        <v>2025</v>
      </c>
      <c r="C2429" s="3">
        <f t="shared" si="149"/>
        <v>11</v>
      </c>
      <c r="D2429" s="73" t="s">
        <v>300</v>
      </c>
      <c r="E2429" s="2"/>
      <c r="F2429" s="2" t="s">
        <v>325</v>
      </c>
      <c r="G2429" s="2" t="s">
        <v>363</v>
      </c>
      <c r="H2429" s="2" t="s">
        <v>323</v>
      </c>
      <c r="I2429" s="2" t="s">
        <v>316</v>
      </c>
      <c r="J2429" s="2" t="s">
        <v>17</v>
      </c>
      <c r="K2429" s="72">
        <v>49</v>
      </c>
      <c r="L2429" s="39"/>
      <c r="M2429" s="72">
        <f t="shared" si="150"/>
        <v>-49</v>
      </c>
      <c r="N2429" s="72">
        <f t="shared" si="151"/>
        <v>420659.64999999944</v>
      </c>
    </row>
    <row r="2430" spans="1:14" x14ac:dyDescent="0.2">
      <c r="A2430" s="73" t="s">
        <v>1474</v>
      </c>
      <c r="B2430" s="3">
        <f t="shared" si="148"/>
        <v>2025</v>
      </c>
      <c r="C2430" s="3">
        <f t="shared" si="149"/>
        <v>11</v>
      </c>
      <c r="D2430" s="73" t="s">
        <v>300</v>
      </c>
      <c r="E2430" s="2"/>
      <c r="F2430" s="2" t="s">
        <v>325</v>
      </c>
      <c r="G2430" s="2" t="s">
        <v>361</v>
      </c>
      <c r="H2430" s="2" t="s">
        <v>323</v>
      </c>
      <c r="I2430" s="2" t="s">
        <v>316</v>
      </c>
      <c r="J2430" s="2" t="s">
        <v>360</v>
      </c>
      <c r="K2430" s="72">
        <v>977.5</v>
      </c>
      <c r="L2430" s="39"/>
      <c r="M2430" s="72">
        <f t="shared" si="150"/>
        <v>-977.5</v>
      </c>
      <c r="N2430" s="72">
        <f t="shared" si="151"/>
        <v>419682.14999999944</v>
      </c>
    </row>
    <row r="2431" spans="1:14" x14ac:dyDescent="0.2">
      <c r="A2431" s="73" t="s">
        <v>1474</v>
      </c>
      <c r="B2431" s="3">
        <f t="shared" si="148"/>
        <v>2025</v>
      </c>
      <c r="C2431" s="3">
        <f t="shared" si="149"/>
        <v>11</v>
      </c>
      <c r="D2431" s="73" t="s">
        <v>300</v>
      </c>
      <c r="E2431" s="2"/>
      <c r="F2431" s="2" t="s">
        <v>325</v>
      </c>
      <c r="G2431" s="2" t="s">
        <v>361</v>
      </c>
      <c r="H2431" s="2" t="s">
        <v>323</v>
      </c>
      <c r="I2431" s="2" t="s">
        <v>316</v>
      </c>
      <c r="J2431" s="2" t="s">
        <v>360</v>
      </c>
      <c r="K2431" s="72">
        <v>20583.330000000002</v>
      </c>
      <c r="L2431" s="39"/>
      <c r="M2431" s="72">
        <f t="shared" si="150"/>
        <v>-20583.330000000002</v>
      </c>
      <c r="N2431" s="72">
        <f t="shared" si="151"/>
        <v>399098.81999999942</v>
      </c>
    </row>
    <row r="2432" spans="1:14" x14ac:dyDescent="0.2">
      <c r="A2432" s="73" t="s">
        <v>1474</v>
      </c>
      <c r="B2432" s="3">
        <f t="shared" si="148"/>
        <v>2025</v>
      </c>
      <c r="C2432" s="3">
        <f t="shared" si="149"/>
        <v>11</v>
      </c>
      <c r="D2432" s="73" t="s">
        <v>300</v>
      </c>
      <c r="E2432" s="2"/>
      <c r="F2432" s="2" t="s">
        <v>325</v>
      </c>
      <c r="G2432" s="2" t="s">
        <v>359</v>
      </c>
      <c r="H2432" s="2" t="s">
        <v>323</v>
      </c>
      <c r="I2432" s="2" t="s">
        <v>350</v>
      </c>
      <c r="J2432" s="2" t="s">
        <v>27</v>
      </c>
      <c r="K2432" s="72">
        <v>8400</v>
      </c>
      <c r="L2432" s="39"/>
      <c r="M2432" s="72">
        <f t="shared" si="150"/>
        <v>-8400</v>
      </c>
      <c r="N2432" s="72">
        <f t="shared" si="151"/>
        <v>390698.81999999942</v>
      </c>
    </row>
    <row r="2433" spans="1:14" x14ac:dyDescent="0.2">
      <c r="A2433" s="73" t="s">
        <v>1474</v>
      </c>
      <c r="B2433" s="3">
        <f t="shared" si="148"/>
        <v>2025</v>
      </c>
      <c r="C2433" s="3">
        <f t="shared" si="149"/>
        <v>11</v>
      </c>
      <c r="D2433" s="73" t="s">
        <v>300</v>
      </c>
      <c r="E2433" s="2"/>
      <c r="F2433" s="2" t="s">
        <v>325</v>
      </c>
      <c r="G2433" s="2" t="s">
        <v>357</v>
      </c>
      <c r="H2433" s="2" t="s">
        <v>323</v>
      </c>
      <c r="I2433" s="2" t="s">
        <v>350</v>
      </c>
      <c r="J2433" s="2" t="s">
        <v>353</v>
      </c>
      <c r="K2433" s="72">
        <v>10000</v>
      </c>
      <c r="L2433" s="39"/>
      <c r="M2433" s="72">
        <f t="shared" si="150"/>
        <v>-10000</v>
      </c>
      <c r="N2433" s="72">
        <f t="shared" si="151"/>
        <v>380698.81999999942</v>
      </c>
    </row>
    <row r="2434" spans="1:14" x14ac:dyDescent="0.2">
      <c r="A2434" s="73" t="s">
        <v>1474</v>
      </c>
      <c r="B2434" s="3">
        <f t="shared" ref="B2434:B2497" si="152">YEAR(A2434)</f>
        <v>2025</v>
      </c>
      <c r="C2434" s="3">
        <f t="shared" ref="C2434:C2497" si="153">MONTH(A2434)</f>
        <v>11</v>
      </c>
      <c r="D2434" s="73" t="s">
        <v>893</v>
      </c>
      <c r="E2434" s="2"/>
      <c r="F2434" s="2" t="s">
        <v>304</v>
      </c>
      <c r="G2434" s="2" t="s">
        <v>1181</v>
      </c>
      <c r="H2434" s="2" t="s">
        <v>1007</v>
      </c>
      <c r="I2434" s="1" t="s">
        <v>316</v>
      </c>
      <c r="J2434" s="2" t="s">
        <v>17</v>
      </c>
      <c r="K2434" s="72">
        <v>68.98</v>
      </c>
      <c r="L2434" s="39"/>
      <c r="M2434" s="72">
        <f t="shared" ref="M2434:M2497" si="154">IF(ISBLANK(L2434),K2434*-1,L2434)</f>
        <v>-68.98</v>
      </c>
      <c r="N2434" s="72">
        <f t="shared" si="151"/>
        <v>380629.83999999944</v>
      </c>
    </row>
    <row r="2435" spans="1:14" x14ac:dyDescent="0.2">
      <c r="A2435" s="73" t="s">
        <v>1474</v>
      </c>
      <c r="B2435" s="3">
        <f t="shared" si="152"/>
        <v>2025</v>
      </c>
      <c r="C2435" s="3">
        <f t="shared" si="153"/>
        <v>11</v>
      </c>
      <c r="D2435" s="73" t="s">
        <v>300</v>
      </c>
      <c r="E2435" s="2"/>
      <c r="F2435" s="2" t="s">
        <v>325</v>
      </c>
      <c r="G2435" s="2" t="s">
        <v>1397</v>
      </c>
      <c r="H2435" s="2" t="s">
        <v>323</v>
      </c>
      <c r="I2435" s="2" t="s">
        <v>316</v>
      </c>
      <c r="J2435" s="2" t="s">
        <v>22</v>
      </c>
      <c r="K2435" s="72">
        <v>30</v>
      </c>
      <c r="L2435" s="39"/>
      <c r="M2435" s="72">
        <f t="shared" si="154"/>
        <v>-30</v>
      </c>
      <c r="N2435" s="72">
        <f t="shared" ref="N2435:N2498" si="155">+N2434+M2435</f>
        <v>380599.83999999944</v>
      </c>
    </row>
    <row r="2436" spans="1:14" x14ac:dyDescent="0.2">
      <c r="A2436" s="73" t="s">
        <v>1474</v>
      </c>
      <c r="B2436" s="3">
        <f t="shared" si="152"/>
        <v>2025</v>
      </c>
      <c r="C2436" s="3">
        <f t="shared" si="153"/>
        <v>11</v>
      </c>
      <c r="D2436" s="73" t="s">
        <v>300</v>
      </c>
      <c r="E2436" s="2"/>
      <c r="F2436" s="2" t="s">
        <v>304</v>
      </c>
      <c r="G2436" s="2" t="s">
        <v>306</v>
      </c>
      <c r="H2436" s="2" t="s">
        <v>384</v>
      </c>
      <c r="I2436" s="2" t="s">
        <v>301</v>
      </c>
      <c r="J2436" s="2" t="s">
        <v>19</v>
      </c>
      <c r="K2436" s="72">
        <v>4</v>
      </c>
      <c r="L2436" s="39"/>
      <c r="M2436" s="72">
        <f t="shared" si="154"/>
        <v>-4</v>
      </c>
      <c r="N2436" s="72">
        <f t="shared" si="155"/>
        <v>380595.83999999944</v>
      </c>
    </row>
    <row r="2437" spans="1:14" x14ac:dyDescent="0.2">
      <c r="A2437" s="73" t="s">
        <v>1474</v>
      </c>
      <c r="B2437" s="3">
        <f t="shared" si="152"/>
        <v>2025</v>
      </c>
      <c r="C2437" s="3">
        <f t="shared" si="153"/>
        <v>11</v>
      </c>
      <c r="D2437" s="73" t="s">
        <v>300</v>
      </c>
      <c r="E2437" s="2"/>
      <c r="F2437" s="2" t="s">
        <v>325</v>
      </c>
      <c r="G2437" s="2" t="s">
        <v>428</v>
      </c>
      <c r="H2437" s="2" t="s">
        <v>323</v>
      </c>
      <c r="I2437" s="2" t="s">
        <v>350</v>
      </c>
      <c r="J2437" s="2" t="s">
        <v>353</v>
      </c>
      <c r="K2437" s="72">
        <v>199</v>
      </c>
      <c r="L2437" s="39"/>
      <c r="M2437" s="72">
        <f t="shared" si="154"/>
        <v>-199</v>
      </c>
      <c r="N2437" s="72">
        <f t="shared" si="155"/>
        <v>380396.83999999944</v>
      </c>
    </row>
    <row r="2438" spans="1:14" x14ac:dyDescent="0.2">
      <c r="A2438" s="73" t="s">
        <v>1474</v>
      </c>
      <c r="B2438" s="3">
        <f t="shared" si="152"/>
        <v>2025</v>
      </c>
      <c r="C2438" s="3">
        <f t="shared" si="153"/>
        <v>11</v>
      </c>
      <c r="D2438" s="73" t="s">
        <v>893</v>
      </c>
      <c r="E2438" s="2"/>
      <c r="F2438" s="2" t="s">
        <v>304</v>
      </c>
      <c r="G2438" s="2" t="s">
        <v>908</v>
      </c>
      <c r="H2438" s="2" t="s">
        <v>901</v>
      </c>
      <c r="I2438" s="1" t="s">
        <v>316</v>
      </c>
      <c r="J2438" s="2" t="s">
        <v>17</v>
      </c>
      <c r="K2438" s="72">
        <v>21.2</v>
      </c>
      <c r="L2438" s="39"/>
      <c r="M2438" s="72">
        <f t="shared" si="154"/>
        <v>-21.2</v>
      </c>
      <c r="N2438" s="72">
        <f t="shared" si="155"/>
        <v>380375.63999999943</v>
      </c>
    </row>
    <row r="2439" spans="1:14" x14ac:dyDescent="0.2">
      <c r="A2439" s="73" t="s">
        <v>1474</v>
      </c>
      <c r="B2439" s="3">
        <f t="shared" si="152"/>
        <v>2025</v>
      </c>
      <c r="C2439" s="3">
        <f t="shared" si="153"/>
        <v>11</v>
      </c>
      <c r="D2439" s="73" t="s">
        <v>300</v>
      </c>
      <c r="E2439" s="2"/>
      <c r="F2439" s="2" t="s">
        <v>325</v>
      </c>
      <c r="G2439" s="2" t="s">
        <v>354</v>
      </c>
      <c r="H2439" s="2" t="s">
        <v>323</v>
      </c>
      <c r="I2439" s="2" t="s">
        <v>350</v>
      </c>
      <c r="J2439" s="2" t="s">
        <v>353</v>
      </c>
      <c r="K2439" s="72">
        <v>7560</v>
      </c>
      <c r="L2439" s="39"/>
      <c r="M2439" s="72">
        <f t="shared" si="154"/>
        <v>-7560</v>
      </c>
      <c r="N2439" s="72">
        <f t="shared" si="155"/>
        <v>372815.63999999943</v>
      </c>
    </row>
    <row r="2440" spans="1:14" x14ac:dyDescent="0.2">
      <c r="A2440" s="73" t="s">
        <v>1474</v>
      </c>
      <c r="B2440" s="3">
        <f t="shared" si="152"/>
        <v>2025</v>
      </c>
      <c r="C2440" s="3">
        <f t="shared" si="153"/>
        <v>11</v>
      </c>
      <c r="D2440" s="73" t="s">
        <v>300</v>
      </c>
      <c r="E2440" s="2"/>
      <c r="F2440" s="2" t="s">
        <v>325</v>
      </c>
      <c r="G2440" s="2" t="s">
        <v>354</v>
      </c>
      <c r="H2440" s="2" t="s">
        <v>323</v>
      </c>
      <c r="I2440" s="2" t="s">
        <v>350</v>
      </c>
      <c r="J2440" s="2" t="s">
        <v>353</v>
      </c>
      <c r="K2440" s="72">
        <v>4480</v>
      </c>
      <c r="L2440" s="39"/>
      <c r="M2440" s="72">
        <f t="shared" si="154"/>
        <v>-4480</v>
      </c>
      <c r="N2440" s="72">
        <f t="shared" si="155"/>
        <v>368335.63999999943</v>
      </c>
    </row>
    <row r="2441" spans="1:14" x14ac:dyDescent="0.2">
      <c r="A2441" s="73" t="s">
        <v>1474</v>
      </c>
      <c r="B2441" s="3">
        <f t="shared" si="152"/>
        <v>2025</v>
      </c>
      <c r="C2441" s="3">
        <f t="shared" si="153"/>
        <v>11</v>
      </c>
      <c r="D2441" s="73" t="s">
        <v>300</v>
      </c>
      <c r="E2441" s="2"/>
      <c r="F2441" s="2" t="s">
        <v>325</v>
      </c>
      <c r="G2441" s="2" t="s">
        <v>14</v>
      </c>
      <c r="H2441" s="2" t="s">
        <v>323</v>
      </c>
      <c r="I2441" s="2" t="s">
        <v>350</v>
      </c>
      <c r="J2441" s="2" t="s">
        <v>27</v>
      </c>
      <c r="K2441" s="72">
        <v>62.5</v>
      </c>
      <c r="L2441" s="39"/>
      <c r="M2441" s="72">
        <f t="shared" si="154"/>
        <v>-62.5</v>
      </c>
      <c r="N2441" s="72">
        <f t="shared" si="155"/>
        <v>368273.13999999943</v>
      </c>
    </row>
    <row r="2442" spans="1:14" x14ac:dyDescent="0.2">
      <c r="A2442" s="73" t="s">
        <v>1474</v>
      </c>
      <c r="B2442" s="3">
        <f t="shared" si="152"/>
        <v>2025</v>
      </c>
      <c r="C2442" s="3">
        <f t="shared" si="153"/>
        <v>11</v>
      </c>
      <c r="D2442" s="73" t="s">
        <v>300</v>
      </c>
      <c r="E2442" s="2"/>
      <c r="F2442" s="2" t="s">
        <v>325</v>
      </c>
      <c r="G2442" s="2" t="s">
        <v>352</v>
      </c>
      <c r="H2442" s="2" t="s">
        <v>323</v>
      </c>
      <c r="I2442" s="2" t="s">
        <v>350</v>
      </c>
      <c r="J2442" s="2" t="s">
        <v>27</v>
      </c>
      <c r="K2442" s="72">
        <v>1185</v>
      </c>
      <c r="L2442" s="39"/>
      <c r="M2442" s="72">
        <f t="shared" si="154"/>
        <v>-1185</v>
      </c>
      <c r="N2442" s="72">
        <f t="shared" si="155"/>
        <v>367088.13999999943</v>
      </c>
    </row>
    <row r="2443" spans="1:14" x14ac:dyDescent="0.2">
      <c r="A2443" s="73" t="s">
        <v>1474</v>
      </c>
      <c r="B2443" s="3">
        <f t="shared" si="152"/>
        <v>2025</v>
      </c>
      <c r="C2443" s="3">
        <f t="shared" si="153"/>
        <v>11</v>
      </c>
      <c r="D2443" s="73" t="s">
        <v>300</v>
      </c>
      <c r="E2443" s="2"/>
      <c r="F2443" s="2" t="s">
        <v>325</v>
      </c>
      <c r="G2443" s="2" t="s">
        <v>352</v>
      </c>
      <c r="H2443" s="2" t="s">
        <v>323</v>
      </c>
      <c r="I2443" s="2" t="s">
        <v>350</v>
      </c>
      <c r="J2443" s="2" t="s">
        <v>27</v>
      </c>
      <c r="K2443" s="72">
        <v>4077</v>
      </c>
      <c r="L2443" s="39"/>
      <c r="M2443" s="72">
        <f t="shared" si="154"/>
        <v>-4077</v>
      </c>
      <c r="N2443" s="72">
        <f t="shared" si="155"/>
        <v>363011.13999999943</v>
      </c>
    </row>
    <row r="2444" spans="1:14" x14ac:dyDescent="0.2">
      <c r="A2444" s="73" t="s">
        <v>1474</v>
      </c>
      <c r="B2444" s="3">
        <f t="shared" si="152"/>
        <v>2025</v>
      </c>
      <c r="C2444" s="3">
        <f t="shared" si="153"/>
        <v>11</v>
      </c>
      <c r="D2444" s="73" t="s">
        <v>300</v>
      </c>
      <c r="E2444" s="2"/>
      <c r="F2444" s="2" t="s">
        <v>325</v>
      </c>
      <c r="G2444" s="2" t="s">
        <v>352</v>
      </c>
      <c r="H2444" s="2" t="s">
        <v>323</v>
      </c>
      <c r="I2444" s="2" t="s">
        <v>350</v>
      </c>
      <c r="J2444" s="2" t="s">
        <v>27</v>
      </c>
      <c r="K2444" s="72">
        <v>3253.5</v>
      </c>
      <c r="L2444" s="39"/>
      <c r="M2444" s="72">
        <f t="shared" si="154"/>
        <v>-3253.5</v>
      </c>
      <c r="N2444" s="72">
        <f t="shared" si="155"/>
        <v>359757.63999999943</v>
      </c>
    </row>
    <row r="2445" spans="1:14" x14ac:dyDescent="0.2">
      <c r="A2445" s="73" t="s">
        <v>1474</v>
      </c>
      <c r="B2445" s="3">
        <f t="shared" si="152"/>
        <v>2025</v>
      </c>
      <c r="C2445" s="3">
        <f t="shared" si="153"/>
        <v>11</v>
      </c>
      <c r="D2445" s="73" t="s">
        <v>300</v>
      </c>
      <c r="E2445" s="2"/>
      <c r="F2445" s="2" t="s">
        <v>325</v>
      </c>
      <c r="G2445" s="2" t="s">
        <v>352</v>
      </c>
      <c r="H2445" s="2" t="s">
        <v>323</v>
      </c>
      <c r="I2445" s="2" t="s">
        <v>350</v>
      </c>
      <c r="J2445" s="2" t="s">
        <v>27</v>
      </c>
      <c r="K2445" s="72">
        <v>36</v>
      </c>
      <c r="L2445" s="39"/>
      <c r="M2445" s="72">
        <f t="shared" si="154"/>
        <v>-36</v>
      </c>
      <c r="N2445" s="72">
        <f t="shared" si="155"/>
        <v>359721.63999999943</v>
      </c>
    </row>
    <row r="2446" spans="1:14" x14ac:dyDescent="0.2">
      <c r="A2446" s="73" t="s">
        <v>1474</v>
      </c>
      <c r="B2446" s="3">
        <f t="shared" si="152"/>
        <v>2025</v>
      </c>
      <c r="C2446" s="3">
        <f t="shared" si="153"/>
        <v>11</v>
      </c>
      <c r="D2446" s="73" t="s">
        <v>300</v>
      </c>
      <c r="E2446" s="2"/>
      <c r="F2446" s="2" t="s">
        <v>325</v>
      </c>
      <c r="G2446" s="2" t="s">
        <v>352</v>
      </c>
      <c r="H2446" s="2" t="s">
        <v>323</v>
      </c>
      <c r="I2446" s="2" t="s">
        <v>350</v>
      </c>
      <c r="J2446" s="2" t="s">
        <v>27</v>
      </c>
      <c r="K2446" s="72">
        <v>3920</v>
      </c>
      <c r="L2446" s="39"/>
      <c r="M2446" s="72">
        <f t="shared" si="154"/>
        <v>-3920</v>
      </c>
      <c r="N2446" s="72">
        <f t="shared" si="155"/>
        <v>355801.63999999943</v>
      </c>
    </row>
    <row r="2447" spans="1:14" x14ac:dyDescent="0.2">
      <c r="A2447" s="73" t="s">
        <v>1474</v>
      </c>
      <c r="B2447" s="3">
        <f t="shared" si="152"/>
        <v>2025</v>
      </c>
      <c r="C2447" s="3">
        <f t="shared" si="153"/>
        <v>11</v>
      </c>
      <c r="D2447" s="73" t="s">
        <v>300</v>
      </c>
      <c r="E2447" s="2"/>
      <c r="F2447" s="2" t="s">
        <v>325</v>
      </c>
      <c r="G2447" s="2" t="s">
        <v>352</v>
      </c>
      <c r="H2447" s="2" t="s">
        <v>323</v>
      </c>
      <c r="I2447" s="2" t="s">
        <v>350</v>
      </c>
      <c r="J2447" s="2" t="s">
        <v>27</v>
      </c>
      <c r="K2447" s="72">
        <v>1175</v>
      </c>
      <c r="L2447" s="39"/>
      <c r="M2447" s="72">
        <f t="shared" si="154"/>
        <v>-1175</v>
      </c>
      <c r="N2447" s="72">
        <f t="shared" si="155"/>
        <v>354626.63999999943</v>
      </c>
    </row>
    <row r="2448" spans="1:14" x14ac:dyDescent="0.2">
      <c r="A2448" s="73" t="s">
        <v>1474</v>
      </c>
      <c r="B2448" s="3">
        <f t="shared" si="152"/>
        <v>2025</v>
      </c>
      <c r="C2448" s="3">
        <f t="shared" si="153"/>
        <v>11</v>
      </c>
      <c r="D2448" s="73" t="s">
        <v>300</v>
      </c>
      <c r="E2448" s="2"/>
      <c r="F2448" s="2" t="s">
        <v>325</v>
      </c>
      <c r="G2448" s="2" t="s">
        <v>352</v>
      </c>
      <c r="H2448" s="2" t="s">
        <v>323</v>
      </c>
      <c r="I2448" s="2" t="s">
        <v>350</v>
      </c>
      <c r="J2448" s="2" t="s">
        <v>27</v>
      </c>
      <c r="K2448" s="72">
        <v>4864</v>
      </c>
      <c r="L2448" s="39"/>
      <c r="M2448" s="72">
        <f t="shared" si="154"/>
        <v>-4864</v>
      </c>
      <c r="N2448" s="72">
        <f t="shared" si="155"/>
        <v>349762.63999999943</v>
      </c>
    </row>
    <row r="2449" spans="1:14" x14ac:dyDescent="0.2">
      <c r="A2449" s="73" t="s">
        <v>1474</v>
      </c>
      <c r="B2449" s="3">
        <f t="shared" si="152"/>
        <v>2025</v>
      </c>
      <c r="C2449" s="3">
        <f t="shared" si="153"/>
        <v>11</v>
      </c>
      <c r="D2449" s="73" t="s">
        <v>300</v>
      </c>
      <c r="E2449" s="2"/>
      <c r="F2449" s="2" t="s">
        <v>325</v>
      </c>
      <c r="G2449" s="2" t="s">
        <v>352</v>
      </c>
      <c r="H2449" s="2" t="s">
        <v>323</v>
      </c>
      <c r="I2449" s="2" t="s">
        <v>350</v>
      </c>
      <c r="J2449" s="2" t="s">
        <v>27</v>
      </c>
      <c r="K2449" s="72">
        <v>2574</v>
      </c>
      <c r="L2449" s="39"/>
      <c r="M2449" s="72">
        <f t="shared" si="154"/>
        <v>-2574</v>
      </c>
      <c r="N2449" s="72">
        <f t="shared" si="155"/>
        <v>347188.63999999943</v>
      </c>
    </row>
    <row r="2450" spans="1:14" x14ac:dyDescent="0.2">
      <c r="A2450" s="73" t="s">
        <v>1474</v>
      </c>
      <c r="B2450" s="3">
        <f t="shared" si="152"/>
        <v>2025</v>
      </c>
      <c r="C2450" s="3">
        <f t="shared" si="153"/>
        <v>11</v>
      </c>
      <c r="D2450" s="73" t="s">
        <v>300</v>
      </c>
      <c r="E2450" s="2"/>
      <c r="F2450" s="2" t="s">
        <v>325</v>
      </c>
      <c r="G2450" s="2" t="s">
        <v>352</v>
      </c>
      <c r="H2450" s="2" t="s">
        <v>323</v>
      </c>
      <c r="I2450" s="2" t="s">
        <v>350</v>
      </c>
      <c r="J2450" s="2" t="s">
        <v>27</v>
      </c>
      <c r="K2450" s="72">
        <v>3220</v>
      </c>
      <c r="L2450" s="39"/>
      <c r="M2450" s="72">
        <f t="shared" si="154"/>
        <v>-3220</v>
      </c>
      <c r="N2450" s="72">
        <f t="shared" si="155"/>
        <v>343968.63999999943</v>
      </c>
    </row>
    <row r="2451" spans="1:14" x14ac:dyDescent="0.2">
      <c r="A2451" s="73" t="s">
        <v>1474</v>
      </c>
      <c r="B2451" s="3">
        <f t="shared" si="152"/>
        <v>2025</v>
      </c>
      <c r="C2451" s="3">
        <f t="shared" si="153"/>
        <v>11</v>
      </c>
      <c r="D2451" s="73" t="s">
        <v>300</v>
      </c>
      <c r="E2451" s="2"/>
      <c r="F2451" s="2" t="s">
        <v>325</v>
      </c>
      <c r="G2451" s="2" t="s">
        <v>352</v>
      </c>
      <c r="H2451" s="2" t="s">
        <v>323</v>
      </c>
      <c r="I2451" s="2" t="s">
        <v>350</v>
      </c>
      <c r="J2451" s="2" t="s">
        <v>27</v>
      </c>
      <c r="K2451" s="72">
        <v>1722</v>
      </c>
      <c r="L2451" s="39"/>
      <c r="M2451" s="72">
        <f t="shared" si="154"/>
        <v>-1722</v>
      </c>
      <c r="N2451" s="72">
        <f t="shared" si="155"/>
        <v>342246.63999999943</v>
      </c>
    </row>
    <row r="2452" spans="1:14" x14ac:dyDescent="0.2">
      <c r="A2452" s="73" t="s">
        <v>1474</v>
      </c>
      <c r="B2452" s="3">
        <f t="shared" si="152"/>
        <v>2025</v>
      </c>
      <c r="C2452" s="3">
        <f t="shared" si="153"/>
        <v>11</v>
      </c>
      <c r="D2452" s="73" t="s">
        <v>300</v>
      </c>
      <c r="E2452" s="2"/>
      <c r="F2452" s="2" t="s">
        <v>325</v>
      </c>
      <c r="G2452" s="2" t="s">
        <v>352</v>
      </c>
      <c r="H2452" s="2" t="s">
        <v>323</v>
      </c>
      <c r="I2452" s="2" t="s">
        <v>350</v>
      </c>
      <c r="J2452" s="2" t="s">
        <v>27</v>
      </c>
      <c r="K2452" s="72">
        <v>132</v>
      </c>
      <c r="L2452" s="39"/>
      <c r="M2452" s="72">
        <f t="shared" si="154"/>
        <v>-132</v>
      </c>
      <c r="N2452" s="72">
        <f t="shared" si="155"/>
        <v>342114.63999999943</v>
      </c>
    </row>
    <row r="2453" spans="1:14" x14ac:dyDescent="0.2">
      <c r="A2453" s="73" t="s">
        <v>1474</v>
      </c>
      <c r="B2453" s="3">
        <f t="shared" si="152"/>
        <v>2025</v>
      </c>
      <c r="C2453" s="3">
        <f t="shared" si="153"/>
        <v>11</v>
      </c>
      <c r="D2453" s="73" t="s">
        <v>300</v>
      </c>
      <c r="E2453" s="2"/>
      <c r="F2453" s="2" t="s">
        <v>325</v>
      </c>
      <c r="G2453" s="2" t="s">
        <v>352</v>
      </c>
      <c r="H2453" s="2" t="s">
        <v>323</v>
      </c>
      <c r="I2453" s="2" t="s">
        <v>350</v>
      </c>
      <c r="J2453" s="2" t="s">
        <v>27</v>
      </c>
      <c r="K2453" s="72">
        <v>5118.75</v>
      </c>
      <c r="L2453" s="39"/>
      <c r="M2453" s="72">
        <f t="shared" si="154"/>
        <v>-5118.75</v>
      </c>
      <c r="N2453" s="72">
        <f t="shared" si="155"/>
        <v>336995.88999999943</v>
      </c>
    </row>
    <row r="2454" spans="1:14" x14ac:dyDescent="0.2">
      <c r="A2454" s="73" t="s">
        <v>1474</v>
      </c>
      <c r="B2454" s="3">
        <f t="shared" si="152"/>
        <v>2025</v>
      </c>
      <c r="C2454" s="3">
        <f t="shared" si="153"/>
        <v>11</v>
      </c>
      <c r="D2454" s="73" t="s">
        <v>300</v>
      </c>
      <c r="E2454" s="2"/>
      <c r="F2454" s="2" t="s">
        <v>325</v>
      </c>
      <c r="G2454" s="2" t="s">
        <v>352</v>
      </c>
      <c r="H2454" s="2" t="s">
        <v>323</v>
      </c>
      <c r="I2454" s="2" t="s">
        <v>350</v>
      </c>
      <c r="J2454" s="2" t="s">
        <v>27</v>
      </c>
      <c r="K2454" s="72">
        <v>2450</v>
      </c>
      <c r="L2454" s="39"/>
      <c r="M2454" s="72">
        <f t="shared" si="154"/>
        <v>-2450</v>
      </c>
      <c r="N2454" s="72">
        <f t="shared" si="155"/>
        <v>334545.88999999943</v>
      </c>
    </row>
    <row r="2455" spans="1:14" x14ac:dyDescent="0.2">
      <c r="A2455" s="73" t="s">
        <v>1474</v>
      </c>
      <c r="B2455" s="3">
        <f t="shared" si="152"/>
        <v>2025</v>
      </c>
      <c r="C2455" s="3">
        <f t="shared" si="153"/>
        <v>11</v>
      </c>
      <c r="D2455" s="73" t="s">
        <v>300</v>
      </c>
      <c r="E2455" s="2"/>
      <c r="F2455" s="2" t="s">
        <v>325</v>
      </c>
      <c r="G2455" s="2" t="s">
        <v>351</v>
      </c>
      <c r="H2455" s="2" t="s">
        <v>323</v>
      </c>
      <c r="I2455" s="2" t="s">
        <v>350</v>
      </c>
      <c r="J2455" s="2" t="s">
        <v>27</v>
      </c>
      <c r="K2455" s="72">
        <v>18544</v>
      </c>
      <c r="L2455" s="39"/>
      <c r="M2455" s="72">
        <f t="shared" si="154"/>
        <v>-18544</v>
      </c>
      <c r="N2455" s="72">
        <f t="shared" si="155"/>
        <v>316001.88999999943</v>
      </c>
    </row>
    <row r="2456" spans="1:14" x14ac:dyDescent="0.2">
      <c r="A2456" s="73" t="s">
        <v>1474</v>
      </c>
      <c r="B2456" s="3">
        <f t="shared" si="152"/>
        <v>2025</v>
      </c>
      <c r="C2456" s="3">
        <f t="shared" si="153"/>
        <v>11</v>
      </c>
      <c r="D2456" s="73" t="s">
        <v>300</v>
      </c>
      <c r="E2456" s="2"/>
      <c r="F2456" s="2" t="s">
        <v>299</v>
      </c>
      <c r="G2456" s="2"/>
      <c r="H2456" s="2" t="s">
        <v>298</v>
      </c>
      <c r="I2456" s="2" t="s">
        <v>297</v>
      </c>
      <c r="J2456" s="2" t="s">
        <v>296</v>
      </c>
      <c r="K2456" s="72"/>
      <c r="L2456" s="39">
        <v>728.97</v>
      </c>
      <c r="M2456" s="72">
        <f t="shared" si="154"/>
        <v>728.97</v>
      </c>
      <c r="N2456" s="72">
        <f t="shared" si="155"/>
        <v>316730.8599999994</v>
      </c>
    </row>
    <row r="2457" spans="1:14" x14ac:dyDescent="0.2">
      <c r="A2457" s="73" t="s">
        <v>1475</v>
      </c>
      <c r="B2457" s="3">
        <f t="shared" si="152"/>
        <v>2025</v>
      </c>
      <c r="C2457" s="3">
        <f t="shared" si="153"/>
        <v>11</v>
      </c>
      <c r="D2457" s="73" t="s">
        <v>893</v>
      </c>
      <c r="E2457" s="2"/>
      <c r="F2457" s="2" t="s">
        <v>304</v>
      </c>
      <c r="G2457" s="2" t="s">
        <v>1008</v>
      </c>
      <c r="H2457" s="2" t="s">
        <v>1007</v>
      </c>
      <c r="I2457" s="1" t="s">
        <v>316</v>
      </c>
      <c r="J2457" s="2" t="s">
        <v>17</v>
      </c>
      <c r="K2457" s="72">
        <v>31.88</v>
      </c>
      <c r="L2457" s="39"/>
      <c r="M2457" s="72">
        <f t="shared" si="154"/>
        <v>-31.88</v>
      </c>
      <c r="N2457" s="72">
        <f t="shared" si="155"/>
        <v>316698.9799999994</v>
      </c>
    </row>
    <row r="2458" spans="1:14" x14ac:dyDescent="0.2">
      <c r="A2458" s="73" t="s">
        <v>1475</v>
      </c>
      <c r="B2458" s="3">
        <f t="shared" si="152"/>
        <v>2025</v>
      </c>
      <c r="C2458" s="3">
        <f t="shared" si="153"/>
        <v>11</v>
      </c>
      <c r="D2458" s="73" t="s">
        <v>893</v>
      </c>
      <c r="E2458" s="2"/>
      <c r="F2458" s="2" t="s">
        <v>304</v>
      </c>
      <c r="G2458" s="2" t="s">
        <v>1008</v>
      </c>
      <c r="H2458" s="2" t="s">
        <v>1007</v>
      </c>
      <c r="I2458" s="1" t="s">
        <v>316</v>
      </c>
      <c r="J2458" s="2" t="s">
        <v>17</v>
      </c>
      <c r="K2458" s="72">
        <v>31.08</v>
      </c>
      <c r="L2458" s="39"/>
      <c r="M2458" s="72">
        <f t="shared" si="154"/>
        <v>-31.08</v>
      </c>
      <c r="N2458" s="72">
        <f t="shared" si="155"/>
        <v>316667.89999999938</v>
      </c>
    </row>
    <row r="2459" spans="1:14" x14ac:dyDescent="0.2">
      <c r="A2459" s="73" t="s">
        <v>1475</v>
      </c>
      <c r="B2459" s="3">
        <f t="shared" si="152"/>
        <v>2025</v>
      </c>
      <c r="C2459" s="3">
        <f t="shared" si="153"/>
        <v>11</v>
      </c>
      <c r="D2459" s="73" t="s">
        <v>893</v>
      </c>
      <c r="E2459" s="2"/>
      <c r="F2459" s="2" t="s">
        <v>304</v>
      </c>
      <c r="G2459" s="2" t="s">
        <v>1008</v>
      </c>
      <c r="H2459" s="2" t="s">
        <v>1007</v>
      </c>
      <c r="I2459" s="1" t="s">
        <v>316</v>
      </c>
      <c r="J2459" s="2" t="s">
        <v>17</v>
      </c>
      <c r="K2459" s="72">
        <v>31.08</v>
      </c>
      <c r="L2459" s="39"/>
      <c r="M2459" s="72">
        <f t="shared" si="154"/>
        <v>-31.08</v>
      </c>
      <c r="N2459" s="72">
        <f t="shared" si="155"/>
        <v>316636.81999999937</v>
      </c>
    </row>
    <row r="2460" spans="1:14" x14ac:dyDescent="0.2">
      <c r="A2460" s="73" t="s">
        <v>1475</v>
      </c>
      <c r="B2460" s="3">
        <f t="shared" si="152"/>
        <v>2025</v>
      </c>
      <c r="C2460" s="3">
        <f t="shared" si="153"/>
        <v>11</v>
      </c>
      <c r="D2460" s="73" t="s">
        <v>893</v>
      </c>
      <c r="E2460" s="2"/>
      <c r="F2460" s="2" t="s">
        <v>304</v>
      </c>
      <c r="G2460" s="2" t="s">
        <v>1510</v>
      </c>
      <c r="H2460" s="2" t="s">
        <v>1511</v>
      </c>
      <c r="I2460" s="2" t="s">
        <v>316</v>
      </c>
      <c r="J2460" s="2" t="s">
        <v>17</v>
      </c>
      <c r="K2460" s="72">
        <v>21.78</v>
      </c>
      <c r="L2460" s="39"/>
      <c r="M2460" s="72">
        <f t="shared" si="154"/>
        <v>-21.78</v>
      </c>
      <c r="N2460" s="72">
        <f t="shared" si="155"/>
        <v>316615.03999999934</v>
      </c>
    </row>
    <row r="2461" spans="1:14" x14ac:dyDescent="0.2">
      <c r="A2461" s="73" t="s">
        <v>1475</v>
      </c>
      <c r="B2461" s="3">
        <f t="shared" si="152"/>
        <v>2025</v>
      </c>
      <c r="C2461" s="3">
        <f t="shared" si="153"/>
        <v>11</v>
      </c>
      <c r="D2461" s="73" t="s">
        <v>893</v>
      </c>
      <c r="E2461" s="2"/>
      <c r="F2461" s="2" t="s">
        <v>938</v>
      </c>
      <c r="G2461" s="2" t="s">
        <v>926</v>
      </c>
      <c r="H2461" s="2" t="s">
        <v>1035</v>
      </c>
      <c r="I2461" s="2" t="s">
        <v>316</v>
      </c>
      <c r="J2461" s="2" t="s">
        <v>22</v>
      </c>
      <c r="K2461" s="72"/>
      <c r="L2461" s="39">
        <v>0.17</v>
      </c>
      <c r="M2461" s="72">
        <f t="shared" si="154"/>
        <v>0.17</v>
      </c>
      <c r="N2461" s="72">
        <f t="shared" si="155"/>
        <v>316615.20999999932</v>
      </c>
    </row>
    <row r="2462" spans="1:14" x14ac:dyDescent="0.2">
      <c r="A2462" s="73" t="s">
        <v>1475</v>
      </c>
      <c r="B2462" s="3">
        <f t="shared" si="152"/>
        <v>2025</v>
      </c>
      <c r="C2462" s="3">
        <f t="shared" si="153"/>
        <v>11</v>
      </c>
      <c r="D2462" s="73" t="s">
        <v>300</v>
      </c>
      <c r="E2462" s="2"/>
      <c r="F2462" s="2" t="s">
        <v>309</v>
      </c>
      <c r="G2462" s="2" t="s">
        <v>1491</v>
      </c>
      <c r="H2462" s="2" t="s">
        <v>992</v>
      </c>
      <c r="I2462" s="2" t="s">
        <v>316</v>
      </c>
      <c r="J2462" s="2" t="s">
        <v>22</v>
      </c>
      <c r="K2462" s="72"/>
      <c r="L2462" s="39">
        <v>76.709999999999994</v>
      </c>
      <c r="M2462" s="72">
        <f t="shared" si="154"/>
        <v>76.709999999999994</v>
      </c>
      <c r="N2462" s="72">
        <f t="shared" si="155"/>
        <v>316691.91999999934</v>
      </c>
    </row>
    <row r="2463" spans="1:14" x14ac:dyDescent="0.2">
      <c r="A2463" s="73" t="s">
        <v>1475</v>
      </c>
      <c r="B2463" s="3">
        <f t="shared" si="152"/>
        <v>2025</v>
      </c>
      <c r="C2463" s="3">
        <f t="shared" si="153"/>
        <v>11</v>
      </c>
      <c r="D2463" s="73" t="s">
        <v>300</v>
      </c>
      <c r="E2463" s="2"/>
      <c r="F2463" s="2" t="s">
        <v>321</v>
      </c>
      <c r="G2463" s="2" t="s">
        <v>737</v>
      </c>
      <c r="H2463" s="2" t="s">
        <v>319</v>
      </c>
      <c r="I2463" s="2" t="s">
        <v>315</v>
      </c>
      <c r="J2463" s="2" t="s">
        <v>23</v>
      </c>
      <c r="K2463" s="72"/>
      <c r="L2463" s="39">
        <v>17500</v>
      </c>
      <c r="M2463" s="72">
        <f t="shared" si="154"/>
        <v>17500</v>
      </c>
      <c r="N2463" s="72">
        <f t="shared" si="155"/>
        <v>334191.91999999934</v>
      </c>
    </row>
    <row r="2464" spans="1:14" x14ac:dyDescent="0.2">
      <c r="A2464" s="73" t="s">
        <v>1475</v>
      </c>
      <c r="B2464" s="3">
        <f t="shared" si="152"/>
        <v>2025</v>
      </c>
      <c r="C2464" s="3">
        <f t="shared" si="153"/>
        <v>11</v>
      </c>
      <c r="D2464" s="73" t="s">
        <v>300</v>
      </c>
      <c r="E2464" s="2"/>
      <c r="F2464" s="2" t="s">
        <v>321</v>
      </c>
      <c r="G2464" s="2" t="s">
        <v>738</v>
      </c>
      <c r="H2464" s="2" t="s">
        <v>319</v>
      </c>
      <c r="I2464" s="2" t="s">
        <v>315</v>
      </c>
      <c r="J2464" s="2" t="s">
        <v>23</v>
      </c>
      <c r="K2464" s="72"/>
      <c r="L2464" s="39">
        <v>10000</v>
      </c>
      <c r="M2464" s="72">
        <f t="shared" si="154"/>
        <v>10000</v>
      </c>
      <c r="N2464" s="72">
        <f t="shared" si="155"/>
        <v>344191.91999999934</v>
      </c>
    </row>
    <row r="2465" spans="1:14" x14ac:dyDescent="0.2">
      <c r="A2465" s="73" t="s">
        <v>1475</v>
      </c>
      <c r="B2465" s="3">
        <f t="shared" si="152"/>
        <v>2025</v>
      </c>
      <c r="C2465" s="3">
        <f t="shared" si="153"/>
        <v>11</v>
      </c>
      <c r="D2465" s="73" t="s">
        <v>300</v>
      </c>
      <c r="E2465" s="2"/>
      <c r="F2465" s="2" t="s">
        <v>321</v>
      </c>
      <c r="G2465" s="2" t="s">
        <v>738</v>
      </c>
      <c r="H2465" s="2" t="s">
        <v>319</v>
      </c>
      <c r="I2465" s="2" t="s">
        <v>315</v>
      </c>
      <c r="J2465" s="2" t="s">
        <v>23</v>
      </c>
      <c r="K2465" s="72"/>
      <c r="L2465" s="39">
        <v>10000</v>
      </c>
      <c r="M2465" s="72">
        <f t="shared" si="154"/>
        <v>10000</v>
      </c>
      <c r="N2465" s="72">
        <f t="shared" si="155"/>
        <v>354191.91999999934</v>
      </c>
    </row>
    <row r="2466" spans="1:14" x14ac:dyDescent="0.2">
      <c r="A2466" s="73" t="s">
        <v>1475</v>
      </c>
      <c r="B2466" s="3">
        <f t="shared" si="152"/>
        <v>2025</v>
      </c>
      <c r="C2466" s="3">
        <f t="shared" si="153"/>
        <v>11</v>
      </c>
      <c r="D2466" s="73" t="s">
        <v>893</v>
      </c>
      <c r="E2466" s="2"/>
      <c r="F2466" s="2" t="s">
        <v>938</v>
      </c>
      <c r="G2466" s="2" t="s">
        <v>1456</v>
      </c>
      <c r="H2466" s="2" t="s">
        <v>1457</v>
      </c>
      <c r="I2466" s="2" t="s">
        <v>350</v>
      </c>
      <c r="J2466" s="1" t="s">
        <v>477</v>
      </c>
      <c r="K2466" s="72"/>
      <c r="L2466" s="39">
        <v>9</v>
      </c>
      <c r="M2466" s="72">
        <f t="shared" si="154"/>
        <v>9</v>
      </c>
      <c r="N2466" s="72">
        <f t="shared" si="155"/>
        <v>354200.91999999934</v>
      </c>
    </row>
    <row r="2467" spans="1:14" x14ac:dyDescent="0.2">
      <c r="A2467" s="73" t="s">
        <v>1475</v>
      </c>
      <c r="B2467" s="3">
        <f t="shared" si="152"/>
        <v>2025</v>
      </c>
      <c r="C2467" s="3">
        <f t="shared" si="153"/>
        <v>11</v>
      </c>
      <c r="D2467" s="73" t="s">
        <v>893</v>
      </c>
      <c r="E2467" s="2"/>
      <c r="F2467" s="2" t="s">
        <v>938</v>
      </c>
      <c r="G2467" s="2" t="s">
        <v>1456</v>
      </c>
      <c r="H2467" s="2" t="s">
        <v>1457</v>
      </c>
      <c r="I2467" s="2" t="s">
        <v>350</v>
      </c>
      <c r="J2467" s="1" t="s">
        <v>477</v>
      </c>
      <c r="K2467" s="72"/>
      <c r="L2467" s="39">
        <v>4.5</v>
      </c>
      <c r="M2467" s="72">
        <f t="shared" si="154"/>
        <v>4.5</v>
      </c>
      <c r="N2467" s="72">
        <f t="shared" si="155"/>
        <v>354205.41999999934</v>
      </c>
    </row>
    <row r="2468" spans="1:14" x14ac:dyDescent="0.2">
      <c r="A2468" s="73" t="s">
        <v>1475</v>
      </c>
      <c r="B2468" s="3">
        <f t="shared" si="152"/>
        <v>2025</v>
      </c>
      <c r="C2468" s="3">
        <f t="shared" si="153"/>
        <v>11</v>
      </c>
      <c r="D2468" s="73" t="s">
        <v>893</v>
      </c>
      <c r="E2468" s="2"/>
      <c r="F2468" s="2" t="s">
        <v>304</v>
      </c>
      <c r="G2468" s="2" t="s">
        <v>900</v>
      </c>
      <c r="H2468" s="2" t="s">
        <v>901</v>
      </c>
      <c r="I2468" s="1" t="s">
        <v>316</v>
      </c>
      <c r="J2468" s="2" t="s">
        <v>17</v>
      </c>
      <c r="K2468" s="72">
        <v>20</v>
      </c>
      <c r="L2468" s="39"/>
      <c r="M2468" s="72">
        <f t="shared" si="154"/>
        <v>-20</v>
      </c>
      <c r="N2468" s="72">
        <f t="shared" si="155"/>
        <v>354185.41999999934</v>
      </c>
    </row>
    <row r="2469" spans="1:14" x14ac:dyDescent="0.2">
      <c r="A2469" s="73" t="s">
        <v>1475</v>
      </c>
      <c r="B2469" s="3">
        <f t="shared" si="152"/>
        <v>2025</v>
      </c>
      <c r="C2469" s="3">
        <f t="shared" si="153"/>
        <v>11</v>
      </c>
      <c r="D2469" s="73" t="s">
        <v>893</v>
      </c>
      <c r="E2469" s="2"/>
      <c r="F2469" s="2" t="s">
        <v>304</v>
      </c>
      <c r="G2469" s="2" t="s">
        <v>1512</v>
      </c>
      <c r="H2469" s="2" t="s">
        <v>1007</v>
      </c>
      <c r="I2469" s="1" t="s">
        <v>316</v>
      </c>
      <c r="J2469" s="2" t="s">
        <v>17</v>
      </c>
      <c r="K2469" s="72">
        <v>9.9</v>
      </c>
      <c r="L2469" s="39"/>
      <c r="M2469" s="72">
        <f t="shared" si="154"/>
        <v>-9.9</v>
      </c>
      <c r="N2469" s="72">
        <f t="shared" si="155"/>
        <v>354175.51999999932</v>
      </c>
    </row>
    <row r="2470" spans="1:14" x14ac:dyDescent="0.2">
      <c r="A2470" s="73" t="s">
        <v>1475</v>
      </c>
      <c r="B2470" s="3">
        <f t="shared" si="152"/>
        <v>2025</v>
      </c>
      <c r="C2470" s="3">
        <f t="shared" si="153"/>
        <v>11</v>
      </c>
      <c r="D2470" s="73" t="s">
        <v>300</v>
      </c>
      <c r="E2470" s="2"/>
      <c r="F2470" s="2" t="s">
        <v>299</v>
      </c>
      <c r="G2470" s="2"/>
      <c r="H2470" s="2" t="s">
        <v>298</v>
      </c>
      <c r="I2470" s="2" t="s">
        <v>297</v>
      </c>
      <c r="J2470" s="2" t="s">
        <v>296</v>
      </c>
      <c r="K2470" s="72"/>
      <c r="L2470" s="39">
        <v>124857.87</v>
      </c>
      <c r="M2470" s="72">
        <f t="shared" si="154"/>
        <v>124857.87</v>
      </c>
      <c r="N2470" s="72">
        <f t="shared" si="155"/>
        <v>479033.38999999932</v>
      </c>
    </row>
    <row r="2471" spans="1:14" x14ac:dyDescent="0.2">
      <c r="A2471" s="73" t="s">
        <v>1496</v>
      </c>
      <c r="B2471" s="3">
        <f t="shared" si="152"/>
        <v>2025</v>
      </c>
      <c r="C2471" s="3">
        <f t="shared" si="153"/>
        <v>11</v>
      </c>
      <c r="D2471" s="73" t="s">
        <v>893</v>
      </c>
      <c r="E2471" s="2"/>
      <c r="F2471" s="2" t="s">
        <v>304</v>
      </c>
      <c r="G2471" s="2" t="s">
        <v>1008</v>
      </c>
      <c r="H2471" s="2" t="s">
        <v>901</v>
      </c>
      <c r="I2471" s="1" t="s">
        <v>316</v>
      </c>
      <c r="J2471" s="2" t="s">
        <v>17</v>
      </c>
      <c r="K2471" s="72">
        <v>86.23</v>
      </c>
      <c r="L2471" s="39"/>
      <c r="M2471" s="72">
        <f t="shared" si="154"/>
        <v>-86.23</v>
      </c>
      <c r="N2471" s="72">
        <f t="shared" si="155"/>
        <v>478947.15999999933</v>
      </c>
    </row>
    <row r="2472" spans="1:14" x14ac:dyDescent="0.2">
      <c r="A2472" s="73" t="s">
        <v>1496</v>
      </c>
      <c r="B2472" s="3">
        <f t="shared" si="152"/>
        <v>2025</v>
      </c>
      <c r="C2472" s="3">
        <f t="shared" si="153"/>
        <v>11</v>
      </c>
      <c r="D2472" s="73" t="s">
        <v>893</v>
      </c>
      <c r="E2472" s="2"/>
      <c r="F2472" s="2" t="s">
        <v>304</v>
      </c>
      <c r="G2472" s="2" t="s">
        <v>1038</v>
      </c>
      <c r="H2472" s="2" t="s">
        <v>1035</v>
      </c>
      <c r="I2472" s="2" t="s">
        <v>316</v>
      </c>
      <c r="J2472" s="2" t="s">
        <v>22</v>
      </c>
      <c r="K2472" s="72">
        <v>27.5</v>
      </c>
      <c r="L2472" s="39"/>
      <c r="M2472" s="72">
        <f t="shared" si="154"/>
        <v>-27.5</v>
      </c>
      <c r="N2472" s="72">
        <f t="shared" si="155"/>
        <v>478919.65999999933</v>
      </c>
    </row>
    <row r="2473" spans="1:14" x14ac:dyDescent="0.2">
      <c r="A2473" s="73" t="s">
        <v>1496</v>
      </c>
      <c r="B2473" s="3">
        <f t="shared" si="152"/>
        <v>2025</v>
      </c>
      <c r="C2473" s="3">
        <f t="shared" si="153"/>
        <v>11</v>
      </c>
      <c r="D2473" s="73" t="s">
        <v>893</v>
      </c>
      <c r="E2473" s="2"/>
      <c r="F2473" s="2" t="s">
        <v>304</v>
      </c>
      <c r="G2473" s="2" t="s">
        <v>1513</v>
      </c>
      <c r="H2473" s="2" t="s">
        <v>1007</v>
      </c>
      <c r="I2473" s="2" t="s">
        <v>316</v>
      </c>
      <c r="J2473" s="2" t="s">
        <v>22</v>
      </c>
      <c r="K2473" s="72">
        <v>8.99</v>
      </c>
      <c r="L2473" s="39"/>
      <c r="M2473" s="72">
        <f t="shared" si="154"/>
        <v>-8.99</v>
      </c>
      <c r="N2473" s="72">
        <f t="shared" si="155"/>
        <v>478910.66999999934</v>
      </c>
    </row>
    <row r="2474" spans="1:14" x14ac:dyDescent="0.2">
      <c r="A2474" s="73" t="s">
        <v>1496</v>
      </c>
      <c r="B2474" s="3">
        <f t="shared" si="152"/>
        <v>2025</v>
      </c>
      <c r="C2474" s="3">
        <f t="shared" si="153"/>
        <v>11</v>
      </c>
      <c r="D2474" s="73" t="s">
        <v>893</v>
      </c>
      <c r="E2474" s="2"/>
      <c r="F2474" s="2" t="s">
        <v>304</v>
      </c>
      <c r="G2474" s="2" t="s">
        <v>932</v>
      </c>
      <c r="H2474" s="2" t="s">
        <v>1007</v>
      </c>
      <c r="I2474" s="1" t="s">
        <v>316</v>
      </c>
      <c r="J2474" s="2" t="s">
        <v>17</v>
      </c>
      <c r="K2474" s="72">
        <v>63.59</v>
      </c>
      <c r="L2474" s="39"/>
      <c r="M2474" s="72">
        <f t="shared" si="154"/>
        <v>-63.59</v>
      </c>
      <c r="N2474" s="72">
        <f t="shared" si="155"/>
        <v>478847.07999999932</v>
      </c>
    </row>
    <row r="2475" spans="1:14" x14ac:dyDescent="0.2">
      <c r="A2475" s="73" t="s">
        <v>1496</v>
      </c>
      <c r="B2475" s="3">
        <f t="shared" si="152"/>
        <v>2025</v>
      </c>
      <c r="C2475" s="3">
        <f t="shared" si="153"/>
        <v>11</v>
      </c>
      <c r="D2475" s="73" t="s">
        <v>893</v>
      </c>
      <c r="E2475" s="2"/>
      <c r="F2475" s="2" t="s">
        <v>304</v>
      </c>
      <c r="G2475" s="2" t="s">
        <v>900</v>
      </c>
      <c r="H2475" s="2" t="s">
        <v>1007</v>
      </c>
      <c r="I2475" s="1" t="s">
        <v>316</v>
      </c>
      <c r="J2475" s="2" t="s">
        <v>17</v>
      </c>
      <c r="K2475" s="72">
        <v>51.5</v>
      </c>
      <c r="L2475" s="39"/>
      <c r="M2475" s="72">
        <f t="shared" si="154"/>
        <v>-51.5</v>
      </c>
      <c r="N2475" s="72">
        <f t="shared" si="155"/>
        <v>478795.57999999932</v>
      </c>
    </row>
    <row r="2476" spans="1:14" x14ac:dyDescent="0.2">
      <c r="A2476" s="73" t="s">
        <v>1496</v>
      </c>
      <c r="B2476" s="3">
        <f t="shared" si="152"/>
        <v>2025</v>
      </c>
      <c r="C2476" s="3">
        <f t="shared" si="153"/>
        <v>11</v>
      </c>
      <c r="D2476" s="73" t="s">
        <v>893</v>
      </c>
      <c r="E2476" s="2"/>
      <c r="F2476" s="2" t="s">
        <v>304</v>
      </c>
      <c r="G2476" s="2" t="s">
        <v>900</v>
      </c>
      <c r="H2476" s="2" t="s">
        <v>1007</v>
      </c>
      <c r="I2476" s="1" t="s">
        <v>316</v>
      </c>
      <c r="J2476" s="2" t="s">
        <v>17</v>
      </c>
      <c r="K2476" s="72">
        <v>51.86</v>
      </c>
      <c r="L2476" s="39"/>
      <c r="M2476" s="72">
        <f t="shared" si="154"/>
        <v>-51.86</v>
      </c>
      <c r="N2476" s="72">
        <f t="shared" si="155"/>
        <v>478743.71999999933</v>
      </c>
    </row>
    <row r="2477" spans="1:14" x14ac:dyDescent="0.2">
      <c r="A2477" s="73" t="s">
        <v>1496</v>
      </c>
      <c r="B2477" s="3">
        <f t="shared" si="152"/>
        <v>2025</v>
      </c>
      <c r="C2477" s="3">
        <f t="shared" si="153"/>
        <v>11</v>
      </c>
      <c r="D2477" s="73" t="s">
        <v>893</v>
      </c>
      <c r="E2477" s="2"/>
      <c r="F2477" s="2" t="s">
        <v>304</v>
      </c>
      <c r="G2477" s="2" t="s">
        <v>900</v>
      </c>
      <c r="H2477" s="2" t="s">
        <v>1007</v>
      </c>
      <c r="I2477" s="1" t="s">
        <v>316</v>
      </c>
      <c r="J2477" s="2" t="s">
        <v>17</v>
      </c>
      <c r="K2477" s="72">
        <v>51.5</v>
      </c>
      <c r="L2477" s="39"/>
      <c r="M2477" s="72">
        <f t="shared" si="154"/>
        <v>-51.5</v>
      </c>
      <c r="N2477" s="72">
        <f t="shared" si="155"/>
        <v>478692.21999999933</v>
      </c>
    </row>
    <row r="2478" spans="1:14" x14ac:dyDescent="0.2">
      <c r="A2478" s="73" t="s">
        <v>1497</v>
      </c>
      <c r="B2478" s="3">
        <f t="shared" si="152"/>
        <v>2025</v>
      </c>
      <c r="C2478" s="3">
        <f t="shared" si="153"/>
        <v>11</v>
      </c>
      <c r="D2478" s="73" t="s">
        <v>893</v>
      </c>
      <c r="E2478" s="2"/>
      <c r="F2478" s="2" t="s">
        <v>304</v>
      </c>
      <c r="G2478" s="2" t="s">
        <v>918</v>
      </c>
      <c r="H2478" s="2" t="s">
        <v>919</v>
      </c>
      <c r="I2478" s="2" t="s">
        <v>350</v>
      </c>
      <c r="J2478" s="1" t="s">
        <v>477</v>
      </c>
      <c r="K2478" s="72">
        <v>99</v>
      </c>
      <c r="L2478" s="39"/>
      <c r="M2478" s="72">
        <f t="shared" si="154"/>
        <v>-99</v>
      </c>
      <c r="N2478" s="72">
        <f t="shared" si="155"/>
        <v>478593.21999999933</v>
      </c>
    </row>
    <row r="2479" spans="1:14" x14ac:dyDescent="0.2">
      <c r="A2479" s="73" t="s">
        <v>1497</v>
      </c>
      <c r="B2479" s="3">
        <f t="shared" si="152"/>
        <v>2025</v>
      </c>
      <c r="C2479" s="3">
        <f t="shared" si="153"/>
        <v>11</v>
      </c>
      <c r="D2479" s="73" t="s">
        <v>893</v>
      </c>
      <c r="E2479" s="2"/>
      <c r="F2479" s="2" t="s">
        <v>304</v>
      </c>
      <c r="G2479" s="2" t="s">
        <v>935</v>
      </c>
      <c r="H2479" s="2" t="s">
        <v>933</v>
      </c>
      <c r="I2479" s="1" t="s">
        <v>316</v>
      </c>
      <c r="J2479" s="2" t="s">
        <v>17</v>
      </c>
      <c r="K2479" s="72">
        <v>24</v>
      </c>
      <c r="L2479" s="39"/>
      <c r="M2479" s="72">
        <f t="shared" si="154"/>
        <v>-24</v>
      </c>
      <c r="N2479" s="72">
        <f t="shared" si="155"/>
        <v>478569.21999999933</v>
      </c>
    </row>
    <row r="2480" spans="1:14" x14ac:dyDescent="0.2">
      <c r="A2480" s="73" t="s">
        <v>1497</v>
      </c>
      <c r="B2480" s="3">
        <f t="shared" si="152"/>
        <v>2025</v>
      </c>
      <c r="C2480" s="3">
        <f t="shared" si="153"/>
        <v>11</v>
      </c>
      <c r="D2480" s="73" t="s">
        <v>893</v>
      </c>
      <c r="E2480" s="2"/>
      <c r="F2480" s="2" t="s">
        <v>304</v>
      </c>
      <c r="G2480" s="2" t="s">
        <v>1514</v>
      </c>
      <c r="H2480" s="2" t="s">
        <v>1007</v>
      </c>
      <c r="I2480" s="1" t="s">
        <v>316</v>
      </c>
      <c r="J2480" s="2" t="s">
        <v>17</v>
      </c>
      <c r="K2480" s="72">
        <v>180</v>
      </c>
      <c r="L2480" s="39"/>
      <c r="M2480" s="72">
        <f t="shared" si="154"/>
        <v>-180</v>
      </c>
      <c r="N2480" s="72">
        <f t="shared" si="155"/>
        <v>478389.21999999933</v>
      </c>
    </row>
    <row r="2481" spans="1:14" x14ac:dyDescent="0.2">
      <c r="A2481" s="73" t="s">
        <v>1476</v>
      </c>
      <c r="B2481" s="3">
        <f t="shared" si="152"/>
        <v>2025</v>
      </c>
      <c r="C2481" s="3">
        <f t="shared" si="153"/>
        <v>11</v>
      </c>
      <c r="D2481" s="73" t="s">
        <v>893</v>
      </c>
      <c r="E2481" s="2"/>
      <c r="F2481" s="2" t="s">
        <v>304</v>
      </c>
      <c r="G2481" s="2" t="s">
        <v>1515</v>
      </c>
      <c r="H2481" s="2" t="s">
        <v>884</v>
      </c>
      <c r="I2481" s="2" t="s">
        <v>316</v>
      </c>
      <c r="J2481" s="2" t="s">
        <v>22</v>
      </c>
      <c r="K2481" s="72">
        <v>16</v>
      </c>
      <c r="L2481" s="39"/>
      <c r="M2481" s="72">
        <f t="shared" si="154"/>
        <v>-16</v>
      </c>
      <c r="N2481" s="72">
        <f t="shared" si="155"/>
        <v>478373.21999999933</v>
      </c>
    </row>
    <row r="2482" spans="1:14" x14ac:dyDescent="0.2">
      <c r="A2482" s="73" t="s">
        <v>1476</v>
      </c>
      <c r="B2482" s="3">
        <f t="shared" si="152"/>
        <v>2025</v>
      </c>
      <c r="C2482" s="3">
        <f t="shared" si="153"/>
        <v>11</v>
      </c>
      <c r="D2482" s="73" t="s">
        <v>300</v>
      </c>
      <c r="E2482" s="2"/>
      <c r="F2482" s="2" t="s">
        <v>304</v>
      </c>
      <c r="G2482" s="2" t="s">
        <v>311</v>
      </c>
      <c r="H2482" s="2" t="s">
        <v>310</v>
      </c>
      <c r="I2482" s="2" t="s">
        <v>301</v>
      </c>
      <c r="J2482" s="2" t="s">
        <v>11</v>
      </c>
      <c r="K2482" s="72">
        <v>1000</v>
      </c>
      <c r="L2482" s="39"/>
      <c r="M2482" s="72">
        <f t="shared" si="154"/>
        <v>-1000</v>
      </c>
      <c r="N2482" s="72">
        <f t="shared" si="155"/>
        <v>477373.21999999933</v>
      </c>
    </row>
    <row r="2483" spans="1:14" x14ac:dyDescent="0.2">
      <c r="A2483" s="73" t="s">
        <v>1476</v>
      </c>
      <c r="B2483" s="3">
        <f t="shared" si="152"/>
        <v>2025</v>
      </c>
      <c r="C2483" s="3">
        <f t="shared" si="153"/>
        <v>11</v>
      </c>
      <c r="D2483" s="73" t="s">
        <v>300</v>
      </c>
      <c r="E2483" s="2"/>
      <c r="F2483" s="2" t="s">
        <v>304</v>
      </c>
      <c r="G2483" s="2" t="s">
        <v>308</v>
      </c>
      <c r="H2483" s="2" t="s">
        <v>349</v>
      </c>
      <c r="I2483" s="2" t="s">
        <v>297</v>
      </c>
      <c r="J2483" s="2" t="s">
        <v>26</v>
      </c>
      <c r="K2483" s="72">
        <v>311.16000000000003</v>
      </c>
      <c r="L2483" s="39"/>
      <c r="M2483" s="72">
        <f t="shared" si="154"/>
        <v>-311.16000000000003</v>
      </c>
      <c r="N2483" s="72">
        <f t="shared" si="155"/>
        <v>477062.05999999936</v>
      </c>
    </row>
    <row r="2484" spans="1:14" x14ac:dyDescent="0.2">
      <c r="A2484" s="73" t="s">
        <v>1476</v>
      </c>
      <c r="B2484" s="3">
        <f t="shared" si="152"/>
        <v>2025</v>
      </c>
      <c r="C2484" s="3">
        <f t="shared" si="153"/>
        <v>11</v>
      </c>
      <c r="D2484" s="73" t="s">
        <v>893</v>
      </c>
      <c r="E2484" s="2"/>
      <c r="F2484" s="2" t="s">
        <v>304</v>
      </c>
      <c r="G2484" s="2" t="s">
        <v>900</v>
      </c>
      <c r="H2484" s="2" t="s">
        <v>1007</v>
      </c>
      <c r="I2484" s="1" t="s">
        <v>316</v>
      </c>
      <c r="J2484" s="2" t="s">
        <v>17</v>
      </c>
      <c r="K2484" s="72">
        <v>212</v>
      </c>
      <c r="L2484" s="39"/>
      <c r="M2484" s="72">
        <f t="shared" si="154"/>
        <v>-212</v>
      </c>
      <c r="N2484" s="72">
        <f t="shared" si="155"/>
        <v>476850.05999999936</v>
      </c>
    </row>
    <row r="2485" spans="1:14" x14ac:dyDescent="0.2">
      <c r="A2485" s="73" t="s">
        <v>1476</v>
      </c>
      <c r="B2485" s="3">
        <f t="shared" si="152"/>
        <v>2025</v>
      </c>
      <c r="C2485" s="3">
        <f t="shared" si="153"/>
        <v>11</v>
      </c>
      <c r="D2485" s="73" t="s">
        <v>300</v>
      </c>
      <c r="E2485" s="2"/>
      <c r="F2485" s="2" t="s">
        <v>299</v>
      </c>
      <c r="G2485" s="2"/>
      <c r="H2485" s="2" t="s">
        <v>298</v>
      </c>
      <c r="I2485" s="2" t="s">
        <v>297</v>
      </c>
      <c r="J2485" s="2" t="s">
        <v>296</v>
      </c>
      <c r="K2485" s="72"/>
      <c r="L2485" s="39">
        <v>1311.16</v>
      </c>
      <c r="M2485" s="72">
        <f t="shared" si="154"/>
        <v>1311.16</v>
      </c>
      <c r="N2485" s="72">
        <f t="shared" si="155"/>
        <v>478161.21999999933</v>
      </c>
    </row>
    <row r="2486" spans="1:14" x14ac:dyDescent="0.2">
      <c r="A2486" s="73" t="s">
        <v>1498</v>
      </c>
      <c r="B2486" s="3">
        <f t="shared" si="152"/>
        <v>2025</v>
      </c>
      <c r="C2486" s="3">
        <f t="shared" si="153"/>
        <v>11</v>
      </c>
      <c r="D2486" s="73" t="s">
        <v>893</v>
      </c>
      <c r="E2486" s="2"/>
      <c r="F2486" s="2" t="s">
        <v>304</v>
      </c>
      <c r="G2486" s="2" t="s">
        <v>1516</v>
      </c>
      <c r="H2486" s="2" t="s">
        <v>1007</v>
      </c>
      <c r="I2486" s="1" t="s">
        <v>316</v>
      </c>
      <c r="J2486" s="2" t="s">
        <v>17</v>
      </c>
      <c r="K2486" s="72">
        <v>10</v>
      </c>
      <c r="L2486" s="39"/>
      <c r="M2486" s="72">
        <f t="shared" si="154"/>
        <v>-10</v>
      </c>
      <c r="N2486" s="72">
        <f t="shared" si="155"/>
        <v>478151.21999999933</v>
      </c>
    </row>
    <row r="2487" spans="1:14" x14ac:dyDescent="0.2">
      <c r="A2487" s="73" t="s">
        <v>1498</v>
      </c>
      <c r="B2487" s="3">
        <f t="shared" si="152"/>
        <v>2025</v>
      </c>
      <c r="C2487" s="3">
        <f t="shared" si="153"/>
        <v>11</v>
      </c>
      <c r="D2487" s="73" t="s">
        <v>893</v>
      </c>
      <c r="E2487" s="2"/>
      <c r="F2487" s="2" t="s">
        <v>304</v>
      </c>
      <c r="G2487" s="2" t="s">
        <v>1517</v>
      </c>
      <c r="H2487" s="2" t="s">
        <v>1035</v>
      </c>
      <c r="I2487" s="2" t="s">
        <v>316</v>
      </c>
      <c r="J2487" s="2" t="s">
        <v>22</v>
      </c>
      <c r="K2487" s="72">
        <v>95.67</v>
      </c>
      <c r="L2487" s="39"/>
      <c r="M2487" s="72">
        <f t="shared" si="154"/>
        <v>-95.67</v>
      </c>
      <c r="N2487" s="72">
        <f t="shared" si="155"/>
        <v>478055.54999999935</v>
      </c>
    </row>
    <row r="2488" spans="1:14" x14ac:dyDescent="0.2">
      <c r="A2488" s="73" t="s">
        <v>1498</v>
      </c>
      <c r="B2488" s="3">
        <f t="shared" si="152"/>
        <v>2025</v>
      </c>
      <c r="C2488" s="3">
        <f t="shared" si="153"/>
        <v>11</v>
      </c>
      <c r="D2488" s="73" t="s">
        <v>893</v>
      </c>
      <c r="E2488" s="2"/>
      <c r="F2488" s="2" t="s">
        <v>304</v>
      </c>
      <c r="G2488" s="2" t="s">
        <v>900</v>
      </c>
      <c r="H2488" s="2" t="s">
        <v>901</v>
      </c>
      <c r="I2488" s="1" t="s">
        <v>316</v>
      </c>
      <c r="J2488" s="2" t="s">
        <v>17</v>
      </c>
      <c r="K2488" s="72">
        <v>21.2</v>
      </c>
      <c r="L2488" s="39"/>
      <c r="M2488" s="72">
        <f t="shared" si="154"/>
        <v>-21.2</v>
      </c>
      <c r="N2488" s="72">
        <f t="shared" si="155"/>
        <v>478034.34999999934</v>
      </c>
    </row>
    <row r="2489" spans="1:14" x14ac:dyDescent="0.2">
      <c r="A2489" s="73" t="s">
        <v>1498</v>
      </c>
      <c r="B2489" s="3">
        <f t="shared" si="152"/>
        <v>2025</v>
      </c>
      <c r="C2489" s="3">
        <f t="shared" si="153"/>
        <v>11</v>
      </c>
      <c r="D2489" s="73" t="s">
        <v>893</v>
      </c>
      <c r="E2489" s="2"/>
      <c r="F2489" s="2" t="s">
        <v>304</v>
      </c>
      <c r="G2489" s="2" t="s">
        <v>218</v>
      </c>
      <c r="H2489" s="2" t="s">
        <v>1007</v>
      </c>
      <c r="I2489" s="1" t="s">
        <v>316</v>
      </c>
      <c r="J2489" s="2" t="s">
        <v>17</v>
      </c>
      <c r="K2489" s="72">
        <v>999</v>
      </c>
      <c r="L2489" s="39"/>
      <c r="M2489" s="72">
        <f t="shared" si="154"/>
        <v>-999</v>
      </c>
      <c r="N2489" s="72">
        <f t="shared" si="155"/>
        <v>477035.34999999934</v>
      </c>
    </row>
    <row r="2490" spans="1:14" x14ac:dyDescent="0.2">
      <c r="A2490" s="73" t="s">
        <v>1498</v>
      </c>
      <c r="B2490" s="3">
        <f t="shared" si="152"/>
        <v>2025</v>
      </c>
      <c r="C2490" s="3">
        <f t="shared" si="153"/>
        <v>11</v>
      </c>
      <c r="D2490" s="73" t="s">
        <v>893</v>
      </c>
      <c r="E2490" s="2"/>
      <c r="F2490" s="2" t="s">
        <v>304</v>
      </c>
      <c r="G2490" s="2" t="s">
        <v>1514</v>
      </c>
      <c r="H2490" s="2" t="s">
        <v>1511</v>
      </c>
      <c r="I2490" s="1" t="s">
        <v>316</v>
      </c>
      <c r="J2490" s="2" t="s">
        <v>17</v>
      </c>
      <c r="K2490" s="72">
        <v>180</v>
      </c>
      <c r="L2490" s="39"/>
      <c r="M2490" s="72">
        <f t="shared" si="154"/>
        <v>-180</v>
      </c>
      <c r="N2490" s="72">
        <f t="shared" si="155"/>
        <v>476855.34999999934</v>
      </c>
    </row>
    <row r="2491" spans="1:14" x14ac:dyDescent="0.2">
      <c r="A2491" s="73" t="s">
        <v>1477</v>
      </c>
      <c r="B2491" s="3">
        <f t="shared" si="152"/>
        <v>2025</v>
      </c>
      <c r="C2491" s="3">
        <f t="shared" si="153"/>
        <v>11</v>
      </c>
      <c r="D2491" s="73" t="s">
        <v>893</v>
      </c>
      <c r="E2491" s="2"/>
      <c r="F2491" s="2" t="s">
        <v>304</v>
      </c>
      <c r="G2491" s="2" t="s">
        <v>936</v>
      </c>
      <c r="H2491" s="2" t="s">
        <v>937</v>
      </c>
      <c r="I2491" s="2" t="s">
        <v>316</v>
      </c>
      <c r="J2491" s="2" t="s">
        <v>22</v>
      </c>
      <c r="K2491" s="72">
        <v>20</v>
      </c>
      <c r="L2491" s="39"/>
      <c r="M2491" s="72">
        <f t="shared" si="154"/>
        <v>-20</v>
      </c>
      <c r="N2491" s="72">
        <f t="shared" si="155"/>
        <v>476835.34999999934</v>
      </c>
    </row>
    <row r="2492" spans="1:14" x14ac:dyDescent="0.2">
      <c r="A2492" s="73" t="s">
        <v>1477</v>
      </c>
      <c r="B2492" s="3">
        <f t="shared" si="152"/>
        <v>2025</v>
      </c>
      <c r="C2492" s="3">
        <f t="shared" si="153"/>
        <v>11</v>
      </c>
      <c r="D2492" s="73" t="s">
        <v>300</v>
      </c>
      <c r="E2492" s="2"/>
      <c r="F2492" s="2" t="s">
        <v>309</v>
      </c>
      <c r="G2492" s="2" t="s">
        <v>381</v>
      </c>
      <c r="H2492" s="2" t="s">
        <v>380</v>
      </c>
      <c r="I2492" s="2" t="s">
        <v>301</v>
      </c>
      <c r="J2492" s="2" t="s">
        <v>11</v>
      </c>
      <c r="K2492" s="72"/>
      <c r="L2492" s="39">
        <v>476.36</v>
      </c>
      <c r="M2492" s="72">
        <f t="shared" si="154"/>
        <v>476.36</v>
      </c>
      <c r="N2492" s="72">
        <f t="shared" si="155"/>
        <v>477311.70999999932</v>
      </c>
    </row>
    <row r="2493" spans="1:14" x14ac:dyDescent="0.2">
      <c r="A2493" s="73" t="s">
        <v>1477</v>
      </c>
      <c r="B2493" s="3">
        <f t="shared" si="152"/>
        <v>2025</v>
      </c>
      <c r="C2493" s="3">
        <f t="shared" si="153"/>
        <v>11</v>
      </c>
      <c r="D2493" s="73" t="s">
        <v>893</v>
      </c>
      <c r="E2493" s="2"/>
      <c r="F2493" s="2" t="s">
        <v>304</v>
      </c>
      <c r="G2493" s="2" t="s">
        <v>1008</v>
      </c>
      <c r="H2493" s="2" t="s">
        <v>1007</v>
      </c>
      <c r="I2493" s="1" t="s">
        <v>316</v>
      </c>
      <c r="J2493" s="2" t="s">
        <v>17</v>
      </c>
      <c r="K2493" s="72">
        <v>41.42</v>
      </c>
      <c r="L2493" s="39"/>
      <c r="M2493" s="72">
        <f t="shared" si="154"/>
        <v>-41.42</v>
      </c>
      <c r="N2493" s="72">
        <f t="shared" si="155"/>
        <v>477270.28999999934</v>
      </c>
    </row>
    <row r="2494" spans="1:14" x14ac:dyDescent="0.2">
      <c r="A2494" s="73" t="s">
        <v>1477</v>
      </c>
      <c r="B2494" s="3">
        <f t="shared" si="152"/>
        <v>2025</v>
      </c>
      <c r="C2494" s="3">
        <f t="shared" si="153"/>
        <v>11</v>
      </c>
      <c r="D2494" s="73" t="s">
        <v>893</v>
      </c>
      <c r="E2494" s="2"/>
      <c r="F2494" s="2" t="s">
        <v>304</v>
      </c>
      <c r="G2494" s="2" t="s">
        <v>1008</v>
      </c>
      <c r="H2494" s="2" t="s">
        <v>1007</v>
      </c>
      <c r="I2494" s="1" t="s">
        <v>316</v>
      </c>
      <c r="J2494" s="2" t="s">
        <v>17</v>
      </c>
      <c r="K2494" s="72">
        <v>31.01</v>
      </c>
      <c r="L2494" s="39"/>
      <c r="M2494" s="72">
        <f t="shared" si="154"/>
        <v>-31.01</v>
      </c>
      <c r="N2494" s="72">
        <f t="shared" si="155"/>
        <v>477239.27999999933</v>
      </c>
    </row>
    <row r="2495" spans="1:14" x14ac:dyDescent="0.2">
      <c r="A2495" s="73" t="s">
        <v>1477</v>
      </c>
      <c r="B2495" s="3">
        <f t="shared" si="152"/>
        <v>2025</v>
      </c>
      <c r="C2495" s="3">
        <f t="shared" si="153"/>
        <v>11</v>
      </c>
      <c r="D2495" s="73" t="s">
        <v>893</v>
      </c>
      <c r="E2495" s="2"/>
      <c r="F2495" s="2" t="s">
        <v>304</v>
      </c>
      <c r="G2495" s="2" t="s">
        <v>1008</v>
      </c>
      <c r="H2495" s="2" t="s">
        <v>1007</v>
      </c>
      <c r="I2495" s="1" t="s">
        <v>316</v>
      </c>
      <c r="J2495" s="2" t="s">
        <v>17</v>
      </c>
      <c r="K2495" s="72">
        <v>31.35</v>
      </c>
      <c r="L2495" s="39"/>
      <c r="M2495" s="72">
        <f t="shared" si="154"/>
        <v>-31.35</v>
      </c>
      <c r="N2495" s="72">
        <f t="shared" si="155"/>
        <v>477207.92999999935</v>
      </c>
    </row>
    <row r="2496" spans="1:14" x14ac:dyDescent="0.2">
      <c r="A2496" s="73" t="s">
        <v>1477</v>
      </c>
      <c r="B2496" s="3">
        <f t="shared" si="152"/>
        <v>2025</v>
      </c>
      <c r="C2496" s="3">
        <f t="shared" si="153"/>
        <v>11</v>
      </c>
      <c r="D2496" s="73" t="s">
        <v>893</v>
      </c>
      <c r="E2496" s="2"/>
      <c r="F2496" s="2" t="s">
        <v>304</v>
      </c>
      <c r="G2496" s="2" t="s">
        <v>1009</v>
      </c>
      <c r="H2496" s="2" t="s">
        <v>1007</v>
      </c>
      <c r="I2496" s="1" t="s">
        <v>316</v>
      </c>
      <c r="J2496" s="2" t="s">
        <v>17</v>
      </c>
      <c r="K2496" s="72">
        <v>1355.83</v>
      </c>
      <c r="L2496" s="39"/>
      <c r="M2496" s="72">
        <f t="shared" si="154"/>
        <v>-1355.83</v>
      </c>
      <c r="N2496" s="72">
        <f t="shared" si="155"/>
        <v>475852.09999999934</v>
      </c>
    </row>
    <row r="2497" spans="1:14" x14ac:dyDescent="0.2">
      <c r="A2497" s="73" t="s">
        <v>1477</v>
      </c>
      <c r="B2497" s="3">
        <f t="shared" si="152"/>
        <v>2025</v>
      </c>
      <c r="C2497" s="3">
        <f t="shared" si="153"/>
        <v>11</v>
      </c>
      <c r="D2497" s="73" t="s">
        <v>893</v>
      </c>
      <c r="E2497" s="2"/>
      <c r="F2497" s="2" t="s">
        <v>304</v>
      </c>
      <c r="G2497" s="2" t="s">
        <v>1010</v>
      </c>
      <c r="H2497" s="2" t="s">
        <v>1007</v>
      </c>
      <c r="I2497" s="1" t="s">
        <v>316</v>
      </c>
      <c r="J2497" s="2" t="s">
        <v>17</v>
      </c>
      <c r="K2497" s="72">
        <v>34</v>
      </c>
      <c r="L2497" s="39"/>
      <c r="M2497" s="72">
        <f t="shared" si="154"/>
        <v>-34</v>
      </c>
      <c r="N2497" s="72">
        <f t="shared" si="155"/>
        <v>475818.09999999934</v>
      </c>
    </row>
    <row r="2498" spans="1:14" x14ac:dyDescent="0.2">
      <c r="A2498" s="73" t="s">
        <v>1477</v>
      </c>
      <c r="B2498" s="3">
        <f t="shared" ref="B2498:B2561" si="156">YEAR(A2498)</f>
        <v>2025</v>
      </c>
      <c r="C2498" s="3">
        <f t="shared" ref="C2498:C2561" si="157">MONTH(A2498)</f>
        <v>11</v>
      </c>
      <c r="D2498" s="73" t="s">
        <v>893</v>
      </c>
      <c r="E2498" s="2"/>
      <c r="F2498" s="2" t="s">
        <v>304</v>
      </c>
      <c r="G2498" s="2" t="s">
        <v>1151</v>
      </c>
      <c r="H2498" s="2" t="s">
        <v>1007</v>
      </c>
      <c r="I2498" s="1" t="s">
        <v>316</v>
      </c>
      <c r="J2498" s="2" t="s">
        <v>17</v>
      </c>
      <c r="K2498" s="72">
        <v>12.56</v>
      </c>
      <c r="L2498" s="39"/>
      <c r="M2498" s="72">
        <f t="shared" ref="M2498:M2561" si="158">IF(ISBLANK(L2498),K2498*-1,L2498)</f>
        <v>-12.56</v>
      </c>
      <c r="N2498" s="72">
        <f t="shared" si="155"/>
        <v>475805.53999999934</v>
      </c>
    </row>
    <row r="2499" spans="1:14" x14ac:dyDescent="0.2">
      <c r="A2499" s="73" t="s">
        <v>1477</v>
      </c>
      <c r="B2499" s="3">
        <f t="shared" si="156"/>
        <v>2025</v>
      </c>
      <c r="C2499" s="3">
        <f t="shared" si="157"/>
        <v>11</v>
      </c>
      <c r="D2499" s="73" t="s">
        <v>893</v>
      </c>
      <c r="E2499" s="2"/>
      <c r="F2499" s="2" t="s">
        <v>304</v>
      </c>
      <c r="G2499" s="2" t="s">
        <v>1518</v>
      </c>
      <c r="H2499" s="2" t="s">
        <v>956</v>
      </c>
      <c r="I2499" s="2" t="s">
        <v>316</v>
      </c>
      <c r="J2499" s="2" t="s">
        <v>22</v>
      </c>
      <c r="K2499" s="72">
        <v>17.96</v>
      </c>
      <c r="L2499" s="39"/>
      <c r="M2499" s="72">
        <f t="shared" si="158"/>
        <v>-17.96</v>
      </c>
      <c r="N2499" s="72">
        <f t="shared" ref="N2499:N2562" si="159">+N2498+M2499</f>
        <v>475787.57999999932</v>
      </c>
    </row>
    <row r="2500" spans="1:14" x14ac:dyDescent="0.2">
      <c r="A2500" s="73" t="s">
        <v>1477</v>
      </c>
      <c r="B2500" s="3">
        <f t="shared" si="156"/>
        <v>2025</v>
      </c>
      <c r="C2500" s="3">
        <f t="shared" si="157"/>
        <v>11</v>
      </c>
      <c r="D2500" s="73" t="s">
        <v>893</v>
      </c>
      <c r="E2500" s="2"/>
      <c r="F2500" s="2" t="s">
        <v>304</v>
      </c>
      <c r="G2500" s="2" t="s">
        <v>900</v>
      </c>
      <c r="H2500" s="2" t="s">
        <v>1311</v>
      </c>
      <c r="I2500" s="1" t="s">
        <v>316</v>
      </c>
      <c r="J2500" s="2" t="s">
        <v>17</v>
      </c>
      <c r="K2500" s="72">
        <v>20</v>
      </c>
      <c r="L2500" s="39"/>
      <c r="M2500" s="72">
        <f t="shared" si="158"/>
        <v>-20</v>
      </c>
      <c r="N2500" s="72">
        <f t="shared" si="159"/>
        <v>475767.57999999932</v>
      </c>
    </row>
    <row r="2501" spans="1:14" x14ac:dyDescent="0.2">
      <c r="A2501" s="73" t="s">
        <v>1477</v>
      </c>
      <c r="B2501" s="3">
        <f t="shared" si="156"/>
        <v>2025</v>
      </c>
      <c r="C2501" s="3">
        <f t="shared" si="157"/>
        <v>11</v>
      </c>
      <c r="D2501" s="73" t="s">
        <v>893</v>
      </c>
      <c r="E2501" s="2"/>
      <c r="F2501" s="2" t="s">
        <v>304</v>
      </c>
      <c r="G2501" s="2" t="s">
        <v>1519</v>
      </c>
      <c r="H2501" s="2" t="s">
        <v>921</v>
      </c>
      <c r="I2501" s="2" t="s">
        <v>316</v>
      </c>
      <c r="J2501" s="2" t="s">
        <v>28</v>
      </c>
      <c r="K2501" s="72">
        <v>73.709999999999994</v>
      </c>
      <c r="L2501" s="39"/>
      <c r="M2501" s="72">
        <f t="shared" si="158"/>
        <v>-73.709999999999994</v>
      </c>
      <c r="N2501" s="72">
        <f t="shared" si="159"/>
        <v>475693.8699999993</v>
      </c>
    </row>
    <row r="2502" spans="1:14" x14ac:dyDescent="0.2">
      <c r="A2502" s="73" t="s">
        <v>1477</v>
      </c>
      <c r="B2502" s="3">
        <f t="shared" si="156"/>
        <v>2025</v>
      </c>
      <c r="C2502" s="3">
        <f t="shared" si="157"/>
        <v>11</v>
      </c>
      <c r="D2502" s="73" t="s">
        <v>893</v>
      </c>
      <c r="E2502" s="2"/>
      <c r="F2502" s="2" t="s">
        <v>304</v>
      </c>
      <c r="G2502" s="2" t="s">
        <v>913</v>
      </c>
      <c r="H2502" s="2" t="s">
        <v>937</v>
      </c>
      <c r="I2502" s="2" t="s">
        <v>316</v>
      </c>
      <c r="J2502" s="2" t="s">
        <v>22</v>
      </c>
      <c r="K2502" s="72">
        <v>43.99</v>
      </c>
      <c r="L2502" s="39"/>
      <c r="M2502" s="72">
        <f t="shared" si="158"/>
        <v>-43.99</v>
      </c>
      <c r="N2502" s="72">
        <f t="shared" si="159"/>
        <v>475649.87999999931</v>
      </c>
    </row>
    <row r="2503" spans="1:14" x14ac:dyDescent="0.2">
      <c r="A2503" s="73" t="s">
        <v>1477</v>
      </c>
      <c r="B2503" s="3">
        <f t="shared" si="156"/>
        <v>2025</v>
      </c>
      <c r="C2503" s="3">
        <f t="shared" si="157"/>
        <v>11</v>
      </c>
      <c r="D2503" s="73" t="s">
        <v>300</v>
      </c>
      <c r="E2503" s="2"/>
      <c r="F2503" s="2" t="s">
        <v>309</v>
      </c>
      <c r="G2503" s="2" t="s">
        <v>1029</v>
      </c>
      <c r="H2503" s="2" t="s">
        <v>1027</v>
      </c>
      <c r="I2503" s="1" t="s">
        <v>316</v>
      </c>
      <c r="J2503" s="2" t="s">
        <v>17</v>
      </c>
      <c r="K2503" s="72"/>
      <c r="L2503" s="39">
        <v>114.88</v>
      </c>
      <c r="M2503" s="72">
        <f t="shared" si="158"/>
        <v>114.88</v>
      </c>
      <c r="N2503" s="72">
        <f t="shared" si="159"/>
        <v>475764.75999999931</v>
      </c>
    </row>
    <row r="2504" spans="1:14" x14ac:dyDescent="0.2">
      <c r="A2504" s="73" t="s">
        <v>1477</v>
      </c>
      <c r="B2504" s="3">
        <f t="shared" si="156"/>
        <v>2025</v>
      </c>
      <c r="C2504" s="3">
        <f t="shared" si="157"/>
        <v>11</v>
      </c>
      <c r="D2504" s="73" t="s">
        <v>893</v>
      </c>
      <c r="E2504" s="2"/>
      <c r="F2504" s="2" t="s">
        <v>304</v>
      </c>
      <c r="G2504" s="2" t="s">
        <v>983</v>
      </c>
      <c r="H2504" s="2" t="s">
        <v>984</v>
      </c>
      <c r="I2504" s="1" t="s">
        <v>316</v>
      </c>
      <c r="J2504" s="2" t="s">
        <v>17</v>
      </c>
      <c r="K2504" s="72">
        <v>29</v>
      </c>
      <c r="L2504" s="39"/>
      <c r="M2504" s="72">
        <f t="shared" si="158"/>
        <v>-29</v>
      </c>
      <c r="N2504" s="72">
        <f t="shared" si="159"/>
        <v>475735.75999999931</v>
      </c>
    </row>
    <row r="2505" spans="1:14" x14ac:dyDescent="0.2">
      <c r="A2505" s="73" t="s">
        <v>1477</v>
      </c>
      <c r="B2505" s="3">
        <f t="shared" si="156"/>
        <v>2025</v>
      </c>
      <c r="C2505" s="3">
        <f t="shared" si="157"/>
        <v>11</v>
      </c>
      <c r="D2505" s="73" t="s">
        <v>300</v>
      </c>
      <c r="E2505" s="2"/>
      <c r="F2505" s="2" t="s">
        <v>299</v>
      </c>
      <c r="G2505" s="2"/>
      <c r="H2505" s="2" t="s">
        <v>298</v>
      </c>
      <c r="I2505" s="2" t="s">
        <v>297</v>
      </c>
      <c r="J2505" s="2" t="s">
        <v>296</v>
      </c>
      <c r="K2505" s="72">
        <v>591.24</v>
      </c>
      <c r="L2505" s="39"/>
      <c r="M2505" s="72">
        <f t="shared" si="158"/>
        <v>-591.24</v>
      </c>
      <c r="N2505" s="72">
        <f t="shared" si="159"/>
        <v>475144.51999999932</v>
      </c>
    </row>
    <row r="2506" spans="1:14" x14ac:dyDescent="0.2">
      <c r="A2506" s="73" t="s">
        <v>1478</v>
      </c>
      <c r="B2506" s="3">
        <f t="shared" si="156"/>
        <v>2025</v>
      </c>
      <c r="C2506" s="3">
        <f t="shared" si="157"/>
        <v>11</v>
      </c>
      <c r="D2506" s="73" t="s">
        <v>893</v>
      </c>
      <c r="E2506" s="2"/>
      <c r="F2506" s="2" t="s">
        <v>304</v>
      </c>
      <c r="G2506" s="2" t="s">
        <v>1008</v>
      </c>
      <c r="H2506" s="2" t="s">
        <v>1007</v>
      </c>
      <c r="I2506" s="1" t="s">
        <v>316</v>
      </c>
      <c r="J2506" s="2" t="s">
        <v>17</v>
      </c>
      <c r="K2506" s="72">
        <v>31.66</v>
      </c>
      <c r="L2506" s="39"/>
      <c r="M2506" s="72">
        <f t="shared" si="158"/>
        <v>-31.66</v>
      </c>
      <c r="N2506" s="72">
        <f t="shared" si="159"/>
        <v>475112.85999999935</v>
      </c>
    </row>
    <row r="2507" spans="1:14" x14ac:dyDescent="0.2">
      <c r="A2507" s="73" t="s">
        <v>1478</v>
      </c>
      <c r="B2507" s="3">
        <f t="shared" si="156"/>
        <v>2025</v>
      </c>
      <c r="C2507" s="3">
        <f t="shared" si="157"/>
        <v>11</v>
      </c>
      <c r="D2507" s="73" t="s">
        <v>893</v>
      </c>
      <c r="E2507" s="2"/>
      <c r="F2507" s="2" t="s">
        <v>304</v>
      </c>
      <c r="G2507" s="2" t="s">
        <v>1008</v>
      </c>
      <c r="H2507" s="2" t="s">
        <v>1007</v>
      </c>
      <c r="I2507" s="1" t="s">
        <v>316</v>
      </c>
      <c r="J2507" s="2" t="s">
        <v>17</v>
      </c>
      <c r="K2507" s="72">
        <v>33.81</v>
      </c>
      <c r="L2507" s="39"/>
      <c r="M2507" s="72">
        <f t="shared" si="158"/>
        <v>-33.81</v>
      </c>
      <c r="N2507" s="72">
        <f t="shared" si="159"/>
        <v>475079.04999999935</v>
      </c>
    </row>
    <row r="2508" spans="1:14" x14ac:dyDescent="0.2">
      <c r="A2508" s="73" t="s">
        <v>1478</v>
      </c>
      <c r="B2508" s="3">
        <f t="shared" si="156"/>
        <v>2025</v>
      </c>
      <c r="C2508" s="3">
        <f t="shared" si="157"/>
        <v>11</v>
      </c>
      <c r="D2508" s="73" t="s">
        <v>300</v>
      </c>
      <c r="E2508" s="2"/>
      <c r="F2508" s="2" t="s">
        <v>321</v>
      </c>
      <c r="G2508" s="2" t="s">
        <v>49</v>
      </c>
      <c r="H2508" s="2" t="s">
        <v>319</v>
      </c>
      <c r="I2508" s="2" t="s">
        <v>315</v>
      </c>
      <c r="J2508" s="2" t="s">
        <v>23</v>
      </c>
      <c r="K2508" s="72"/>
      <c r="L2508" s="39">
        <v>1930</v>
      </c>
      <c r="M2508" s="72">
        <f t="shared" si="158"/>
        <v>1930</v>
      </c>
      <c r="N2508" s="72">
        <f t="shared" si="159"/>
        <v>477009.04999999935</v>
      </c>
    </row>
    <row r="2509" spans="1:14" x14ac:dyDescent="0.2">
      <c r="A2509" s="73" t="s">
        <v>1478</v>
      </c>
      <c r="B2509" s="3">
        <f t="shared" si="156"/>
        <v>2025</v>
      </c>
      <c r="C2509" s="3">
        <f t="shared" si="157"/>
        <v>11</v>
      </c>
      <c r="D2509" s="73" t="s">
        <v>300</v>
      </c>
      <c r="E2509" s="2"/>
      <c r="F2509" s="2" t="s">
        <v>321</v>
      </c>
      <c r="G2509" s="2" t="s">
        <v>1396</v>
      </c>
      <c r="H2509" s="2" t="s">
        <v>319</v>
      </c>
      <c r="I2509" s="2" t="s">
        <v>315</v>
      </c>
      <c r="J2509" s="2" t="s">
        <v>23</v>
      </c>
      <c r="K2509" s="72"/>
      <c r="L2509" s="39">
        <v>103535</v>
      </c>
      <c r="M2509" s="72">
        <f t="shared" si="158"/>
        <v>103535</v>
      </c>
      <c r="N2509" s="72">
        <f t="shared" si="159"/>
        <v>580544.04999999935</v>
      </c>
    </row>
    <row r="2510" spans="1:14" x14ac:dyDescent="0.2">
      <c r="A2510" s="73" t="s">
        <v>1478</v>
      </c>
      <c r="B2510" s="3">
        <f t="shared" si="156"/>
        <v>2025</v>
      </c>
      <c r="C2510" s="3">
        <f t="shared" si="157"/>
        <v>11</v>
      </c>
      <c r="D2510" s="73" t="s">
        <v>300</v>
      </c>
      <c r="E2510" s="2"/>
      <c r="F2510" s="2" t="s">
        <v>321</v>
      </c>
      <c r="G2510" s="2" t="s">
        <v>1275</v>
      </c>
      <c r="H2510" s="2" t="s">
        <v>319</v>
      </c>
      <c r="I2510" s="2" t="s">
        <v>315</v>
      </c>
      <c r="J2510" s="2" t="s">
        <v>23</v>
      </c>
      <c r="K2510" s="72"/>
      <c r="L2510" s="39">
        <v>29000</v>
      </c>
      <c r="M2510" s="72">
        <f t="shared" si="158"/>
        <v>29000</v>
      </c>
      <c r="N2510" s="72">
        <f t="shared" si="159"/>
        <v>609544.04999999935</v>
      </c>
    </row>
    <row r="2511" spans="1:14" x14ac:dyDescent="0.2">
      <c r="A2511" s="73" t="s">
        <v>1478</v>
      </c>
      <c r="B2511" s="3">
        <f t="shared" si="156"/>
        <v>2025</v>
      </c>
      <c r="C2511" s="3">
        <f t="shared" si="157"/>
        <v>11</v>
      </c>
      <c r="D2511" s="73" t="s">
        <v>893</v>
      </c>
      <c r="E2511" s="2"/>
      <c r="F2511" s="2" t="s">
        <v>304</v>
      </c>
      <c r="G2511" s="2" t="s">
        <v>1520</v>
      </c>
      <c r="H2511" s="2" t="s">
        <v>956</v>
      </c>
      <c r="I2511" s="2" t="s">
        <v>316</v>
      </c>
      <c r="J2511" s="2" t="s">
        <v>22</v>
      </c>
      <c r="K2511" s="72">
        <v>11.24</v>
      </c>
      <c r="L2511" s="39"/>
      <c r="M2511" s="72">
        <f t="shared" si="158"/>
        <v>-11.24</v>
      </c>
      <c r="N2511" s="72">
        <f t="shared" si="159"/>
        <v>609532.80999999936</v>
      </c>
    </row>
    <row r="2512" spans="1:14" x14ac:dyDescent="0.2">
      <c r="A2512" s="73" t="s">
        <v>1478</v>
      </c>
      <c r="B2512" s="3">
        <f t="shared" si="156"/>
        <v>2025</v>
      </c>
      <c r="C2512" s="3">
        <f t="shared" si="157"/>
        <v>11</v>
      </c>
      <c r="D2512" s="73" t="s">
        <v>893</v>
      </c>
      <c r="E2512" s="2"/>
      <c r="F2512" s="2" t="s">
        <v>304</v>
      </c>
      <c r="G2512" s="2" t="s">
        <v>1521</v>
      </c>
      <c r="H2512" s="2" t="s">
        <v>956</v>
      </c>
      <c r="I2512" s="2" t="s">
        <v>316</v>
      </c>
      <c r="J2512" s="2" t="s">
        <v>22</v>
      </c>
      <c r="K2512" s="72">
        <v>93.18</v>
      </c>
      <c r="L2512" s="39"/>
      <c r="M2512" s="72">
        <f t="shared" si="158"/>
        <v>-93.18</v>
      </c>
      <c r="N2512" s="72">
        <f t="shared" si="159"/>
        <v>609439.62999999931</v>
      </c>
    </row>
    <row r="2513" spans="1:14" x14ac:dyDescent="0.2">
      <c r="A2513" s="73" t="s">
        <v>1478</v>
      </c>
      <c r="B2513" s="3">
        <f t="shared" si="156"/>
        <v>2025</v>
      </c>
      <c r="C2513" s="3">
        <f t="shared" si="157"/>
        <v>11</v>
      </c>
      <c r="D2513" s="73" t="s">
        <v>300</v>
      </c>
      <c r="E2513" s="2"/>
      <c r="F2513" s="2" t="s">
        <v>304</v>
      </c>
      <c r="G2513" s="2" t="s">
        <v>306</v>
      </c>
      <c r="H2513" s="2" t="s">
        <v>516</v>
      </c>
      <c r="I2513" s="2" t="s">
        <v>301</v>
      </c>
      <c r="J2513" s="2" t="s">
        <v>24</v>
      </c>
      <c r="K2513" s="72">
        <v>72668.289999999994</v>
      </c>
      <c r="L2513" s="39"/>
      <c r="M2513" s="72">
        <f t="shared" si="158"/>
        <v>-72668.289999999994</v>
      </c>
      <c r="N2513" s="72">
        <f t="shared" si="159"/>
        <v>536771.33999999927</v>
      </c>
    </row>
    <row r="2514" spans="1:14" x14ac:dyDescent="0.2">
      <c r="A2514" s="73" t="s">
        <v>1478</v>
      </c>
      <c r="B2514" s="3">
        <f t="shared" si="156"/>
        <v>2025</v>
      </c>
      <c r="C2514" s="3">
        <f t="shared" si="157"/>
        <v>11</v>
      </c>
      <c r="D2514" s="73" t="s">
        <v>300</v>
      </c>
      <c r="E2514" s="2"/>
      <c r="F2514" s="2" t="s">
        <v>304</v>
      </c>
      <c r="G2514" s="2" t="s">
        <v>306</v>
      </c>
      <c r="H2514" s="2" t="s">
        <v>516</v>
      </c>
      <c r="I2514" s="2" t="s">
        <v>301</v>
      </c>
      <c r="J2514" s="2" t="s">
        <v>11</v>
      </c>
      <c r="K2514" s="72">
        <v>1162.5</v>
      </c>
      <c r="L2514" s="39"/>
      <c r="M2514" s="72">
        <f t="shared" si="158"/>
        <v>-1162.5</v>
      </c>
      <c r="N2514" s="72">
        <f t="shared" si="159"/>
        <v>535608.83999999927</v>
      </c>
    </row>
    <row r="2515" spans="1:14" x14ac:dyDescent="0.2">
      <c r="A2515" s="73" t="s">
        <v>1478</v>
      </c>
      <c r="B2515" s="3">
        <f t="shared" si="156"/>
        <v>2025</v>
      </c>
      <c r="C2515" s="3">
        <f t="shared" si="157"/>
        <v>11</v>
      </c>
      <c r="D2515" s="73" t="s">
        <v>300</v>
      </c>
      <c r="E2515" s="2"/>
      <c r="F2515" s="2" t="s">
        <v>304</v>
      </c>
      <c r="G2515" s="2" t="s">
        <v>306</v>
      </c>
      <c r="H2515" s="2" t="s">
        <v>516</v>
      </c>
      <c r="I2515" s="2" t="s">
        <v>301</v>
      </c>
      <c r="J2515" s="2" t="s">
        <v>20</v>
      </c>
      <c r="K2515" s="72">
        <v>33429.57</v>
      </c>
      <c r="L2515" s="39"/>
      <c r="M2515" s="72">
        <f t="shared" si="158"/>
        <v>-33429.57</v>
      </c>
      <c r="N2515" s="72">
        <f t="shared" si="159"/>
        <v>502179.26999999926</v>
      </c>
    </row>
    <row r="2516" spans="1:14" x14ac:dyDescent="0.2">
      <c r="A2516" s="73" t="s">
        <v>1478</v>
      </c>
      <c r="B2516" s="3">
        <f t="shared" si="156"/>
        <v>2025</v>
      </c>
      <c r="C2516" s="3">
        <f t="shared" si="157"/>
        <v>11</v>
      </c>
      <c r="D2516" s="73" t="s">
        <v>893</v>
      </c>
      <c r="E2516" s="2"/>
      <c r="F2516" s="2" t="s">
        <v>304</v>
      </c>
      <c r="G2516" s="2" t="s">
        <v>1522</v>
      </c>
      <c r="H2516" s="2" t="s">
        <v>1007</v>
      </c>
      <c r="I2516" s="1" t="s">
        <v>316</v>
      </c>
      <c r="J2516" s="2" t="s">
        <v>17</v>
      </c>
      <c r="K2516" s="72">
        <v>18</v>
      </c>
      <c r="L2516" s="39"/>
      <c r="M2516" s="72">
        <f t="shared" si="158"/>
        <v>-18</v>
      </c>
      <c r="N2516" s="72">
        <f t="shared" si="159"/>
        <v>502161.26999999926</v>
      </c>
    </row>
    <row r="2517" spans="1:14" x14ac:dyDescent="0.2">
      <c r="A2517" s="73" t="s">
        <v>1478</v>
      </c>
      <c r="B2517" s="3">
        <f t="shared" si="156"/>
        <v>2025</v>
      </c>
      <c r="C2517" s="3">
        <f t="shared" si="157"/>
        <v>11</v>
      </c>
      <c r="D2517" s="73" t="s">
        <v>893</v>
      </c>
      <c r="E2517" s="2"/>
      <c r="F2517" s="2" t="s">
        <v>304</v>
      </c>
      <c r="G2517" s="2" t="s">
        <v>977</v>
      </c>
      <c r="H2517" s="2" t="s">
        <v>956</v>
      </c>
      <c r="I2517" s="2" t="s">
        <v>316</v>
      </c>
      <c r="J2517" s="2" t="s">
        <v>22</v>
      </c>
      <c r="K2517" s="72">
        <v>10.62</v>
      </c>
      <c r="L2517" s="39"/>
      <c r="M2517" s="72">
        <f t="shared" si="158"/>
        <v>-10.62</v>
      </c>
      <c r="N2517" s="72">
        <f t="shared" si="159"/>
        <v>502150.64999999927</v>
      </c>
    </row>
    <row r="2518" spans="1:14" x14ac:dyDescent="0.2">
      <c r="A2518" s="73" t="s">
        <v>1478</v>
      </c>
      <c r="B2518" s="3">
        <f t="shared" si="156"/>
        <v>2025</v>
      </c>
      <c r="C2518" s="3">
        <f t="shared" si="157"/>
        <v>11</v>
      </c>
      <c r="D2518" s="73" t="s">
        <v>893</v>
      </c>
      <c r="E2518" s="2"/>
      <c r="F2518" s="2" t="s">
        <v>304</v>
      </c>
      <c r="G2518" s="2" t="s">
        <v>1523</v>
      </c>
      <c r="H2518" s="2" t="s">
        <v>956</v>
      </c>
      <c r="I2518" s="2" t="s">
        <v>316</v>
      </c>
      <c r="J2518" s="2" t="s">
        <v>22</v>
      </c>
      <c r="K2518" s="72">
        <v>106.58</v>
      </c>
      <c r="L2518" s="39"/>
      <c r="M2518" s="72">
        <f t="shared" si="158"/>
        <v>-106.58</v>
      </c>
      <c r="N2518" s="72">
        <f t="shared" si="159"/>
        <v>502044.06999999925</v>
      </c>
    </row>
    <row r="2519" spans="1:14" x14ac:dyDescent="0.2">
      <c r="A2519" s="73" t="s">
        <v>1478</v>
      </c>
      <c r="B2519" s="3">
        <f t="shared" si="156"/>
        <v>2025</v>
      </c>
      <c r="C2519" s="3">
        <f t="shared" si="157"/>
        <v>11</v>
      </c>
      <c r="D2519" s="73" t="s">
        <v>300</v>
      </c>
      <c r="E2519" s="2"/>
      <c r="F2519" s="2" t="s">
        <v>299</v>
      </c>
      <c r="G2519" s="2"/>
      <c r="H2519" s="2" t="s">
        <v>298</v>
      </c>
      <c r="I2519" s="2" t="s">
        <v>297</v>
      </c>
      <c r="J2519" s="2" t="s">
        <v>296</v>
      </c>
      <c r="K2519" s="72">
        <v>27204.639999999999</v>
      </c>
      <c r="L2519" s="39"/>
      <c r="M2519" s="72">
        <f t="shared" si="158"/>
        <v>-27204.639999999999</v>
      </c>
      <c r="N2519" s="72">
        <f t="shared" si="159"/>
        <v>474839.42999999924</v>
      </c>
    </row>
    <row r="2520" spans="1:14" x14ac:dyDescent="0.2">
      <c r="A2520" s="73" t="s">
        <v>1479</v>
      </c>
      <c r="B2520" s="3">
        <f t="shared" si="156"/>
        <v>2025</v>
      </c>
      <c r="C2520" s="3">
        <f t="shared" si="157"/>
        <v>11</v>
      </c>
      <c r="D2520" s="73" t="s">
        <v>300</v>
      </c>
      <c r="E2520" s="2"/>
      <c r="F2520" s="2" t="s">
        <v>325</v>
      </c>
      <c r="G2520" s="2" t="s">
        <v>1136</v>
      </c>
      <c r="H2520" s="2" t="s">
        <v>323</v>
      </c>
      <c r="I2520" s="2" t="s">
        <v>316</v>
      </c>
      <c r="J2520" s="2" t="s">
        <v>22</v>
      </c>
      <c r="K2520" s="72">
        <v>60</v>
      </c>
      <c r="L2520" s="39"/>
      <c r="M2520" s="72">
        <f t="shared" si="158"/>
        <v>-60</v>
      </c>
      <c r="N2520" s="72">
        <f t="shared" si="159"/>
        <v>474779.42999999924</v>
      </c>
    </row>
    <row r="2521" spans="1:14" x14ac:dyDescent="0.2">
      <c r="A2521" s="73" t="s">
        <v>1479</v>
      </c>
      <c r="B2521" s="3">
        <f t="shared" si="156"/>
        <v>2025</v>
      </c>
      <c r="C2521" s="3">
        <f t="shared" si="157"/>
        <v>11</v>
      </c>
      <c r="D2521" s="73" t="s">
        <v>300</v>
      </c>
      <c r="E2521" s="2"/>
      <c r="F2521" s="2" t="s">
        <v>325</v>
      </c>
      <c r="G2521" s="2" t="s">
        <v>1492</v>
      </c>
      <c r="H2521" s="2" t="s">
        <v>323</v>
      </c>
      <c r="I2521" s="2" t="s">
        <v>316</v>
      </c>
      <c r="J2521" s="2" t="s">
        <v>22</v>
      </c>
      <c r="K2521" s="72">
        <v>510</v>
      </c>
      <c r="L2521" s="39"/>
      <c r="M2521" s="72">
        <f t="shared" si="158"/>
        <v>-510</v>
      </c>
      <c r="N2521" s="72">
        <f t="shared" si="159"/>
        <v>474269.42999999924</v>
      </c>
    </row>
    <row r="2522" spans="1:14" x14ac:dyDescent="0.2">
      <c r="A2522" s="73" t="s">
        <v>1479</v>
      </c>
      <c r="B2522" s="3">
        <f t="shared" si="156"/>
        <v>2025</v>
      </c>
      <c r="C2522" s="3">
        <f t="shared" si="157"/>
        <v>11</v>
      </c>
      <c r="D2522" s="73" t="s">
        <v>893</v>
      </c>
      <c r="E2522" s="2"/>
      <c r="F2522" s="2" t="s">
        <v>304</v>
      </c>
      <c r="G2522" s="2" t="s">
        <v>1421</v>
      </c>
      <c r="H2522" s="2" t="s">
        <v>956</v>
      </c>
      <c r="I2522" s="2" t="s">
        <v>316</v>
      </c>
      <c r="J2522" s="2" t="s">
        <v>22</v>
      </c>
      <c r="K2522" s="72">
        <v>22.39</v>
      </c>
      <c r="L2522" s="39"/>
      <c r="M2522" s="72">
        <f t="shared" si="158"/>
        <v>-22.39</v>
      </c>
      <c r="N2522" s="72">
        <f t="shared" si="159"/>
        <v>474247.03999999922</v>
      </c>
    </row>
    <row r="2523" spans="1:14" x14ac:dyDescent="0.2">
      <c r="A2523" s="73" t="s">
        <v>1479</v>
      </c>
      <c r="B2523" s="3">
        <f t="shared" si="156"/>
        <v>2025</v>
      </c>
      <c r="C2523" s="3">
        <f t="shared" si="157"/>
        <v>11</v>
      </c>
      <c r="D2523" s="73" t="s">
        <v>893</v>
      </c>
      <c r="E2523" s="2"/>
      <c r="F2523" s="2" t="s">
        <v>304</v>
      </c>
      <c r="G2523" s="2" t="s">
        <v>1508</v>
      </c>
      <c r="H2523" s="2" t="s">
        <v>923</v>
      </c>
      <c r="I2523" s="2" t="s">
        <v>316</v>
      </c>
      <c r="J2523" s="2" t="s">
        <v>22</v>
      </c>
      <c r="K2523" s="72">
        <v>51.68</v>
      </c>
      <c r="L2523" s="39"/>
      <c r="M2523" s="72">
        <f t="shared" si="158"/>
        <v>-51.68</v>
      </c>
      <c r="N2523" s="72">
        <f t="shared" si="159"/>
        <v>474195.35999999923</v>
      </c>
    </row>
    <row r="2524" spans="1:14" x14ac:dyDescent="0.2">
      <c r="A2524" s="73" t="s">
        <v>1479</v>
      </c>
      <c r="B2524" s="3">
        <f t="shared" si="156"/>
        <v>2025</v>
      </c>
      <c r="C2524" s="3">
        <f t="shared" si="157"/>
        <v>11</v>
      </c>
      <c r="D2524" s="73" t="s">
        <v>893</v>
      </c>
      <c r="E2524" s="2"/>
      <c r="F2524" s="2" t="s">
        <v>304</v>
      </c>
      <c r="G2524" s="2" t="s">
        <v>1524</v>
      </c>
      <c r="H2524" s="2" t="s">
        <v>956</v>
      </c>
      <c r="I2524" s="2" t="s">
        <v>316</v>
      </c>
      <c r="J2524" s="2" t="s">
        <v>22</v>
      </c>
      <c r="K2524" s="72">
        <v>6.94</v>
      </c>
      <c r="L2524" s="39"/>
      <c r="M2524" s="72">
        <f t="shared" si="158"/>
        <v>-6.94</v>
      </c>
      <c r="N2524" s="72">
        <f t="shared" si="159"/>
        <v>474188.41999999923</v>
      </c>
    </row>
    <row r="2525" spans="1:14" x14ac:dyDescent="0.2">
      <c r="A2525" s="73" t="s">
        <v>1479</v>
      </c>
      <c r="B2525" s="3">
        <f t="shared" si="156"/>
        <v>2025</v>
      </c>
      <c r="C2525" s="3">
        <f t="shared" si="157"/>
        <v>11</v>
      </c>
      <c r="D2525" s="73" t="s">
        <v>893</v>
      </c>
      <c r="E2525" s="2"/>
      <c r="F2525" s="2" t="s">
        <v>304</v>
      </c>
      <c r="G2525" s="2" t="s">
        <v>1521</v>
      </c>
      <c r="H2525" s="2" t="s">
        <v>956</v>
      </c>
      <c r="I2525" s="2" t="s">
        <v>316</v>
      </c>
      <c r="J2525" s="2" t="s">
        <v>22</v>
      </c>
      <c r="K2525" s="72">
        <v>30.14</v>
      </c>
      <c r="L2525" s="39"/>
      <c r="M2525" s="72">
        <f t="shared" si="158"/>
        <v>-30.14</v>
      </c>
      <c r="N2525" s="72">
        <f t="shared" si="159"/>
        <v>474158.27999999921</v>
      </c>
    </row>
    <row r="2526" spans="1:14" x14ac:dyDescent="0.2">
      <c r="A2526" s="73" t="s">
        <v>1479</v>
      </c>
      <c r="B2526" s="3">
        <f t="shared" si="156"/>
        <v>2025</v>
      </c>
      <c r="C2526" s="3">
        <f t="shared" si="157"/>
        <v>11</v>
      </c>
      <c r="D2526" s="73" t="s">
        <v>893</v>
      </c>
      <c r="E2526" s="2"/>
      <c r="F2526" s="2" t="s">
        <v>304</v>
      </c>
      <c r="G2526" s="2" t="s">
        <v>942</v>
      </c>
      <c r="H2526" s="2" t="s">
        <v>937</v>
      </c>
      <c r="I2526" s="2" t="s">
        <v>316</v>
      </c>
      <c r="J2526" s="2" t="s">
        <v>22</v>
      </c>
      <c r="K2526" s="72">
        <v>44</v>
      </c>
      <c r="L2526" s="39"/>
      <c r="M2526" s="72">
        <f t="shared" si="158"/>
        <v>-44</v>
      </c>
      <c r="N2526" s="72">
        <f t="shared" si="159"/>
        <v>474114.27999999921</v>
      </c>
    </row>
    <row r="2527" spans="1:14" x14ac:dyDescent="0.2">
      <c r="A2527" s="73" t="s">
        <v>1479</v>
      </c>
      <c r="B2527" s="3">
        <f t="shared" si="156"/>
        <v>2025</v>
      </c>
      <c r="C2527" s="3">
        <f t="shared" si="157"/>
        <v>11</v>
      </c>
      <c r="D2527" s="73" t="s">
        <v>300</v>
      </c>
      <c r="E2527" s="2"/>
      <c r="F2527" s="2" t="s">
        <v>309</v>
      </c>
      <c r="G2527" s="2" t="s">
        <v>1139</v>
      </c>
      <c r="H2527" s="2" t="s">
        <v>346</v>
      </c>
      <c r="I2527" s="2" t="s">
        <v>315</v>
      </c>
      <c r="J2527" s="2" t="s">
        <v>23</v>
      </c>
      <c r="K2527" s="72"/>
      <c r="L2527" s="39">
        <v>14500</v>
      </c>
      <c r="M2527" s="72">
        <f t="shared" si="158"/>
        <v>14500</v>
      </c>
      <c r="N2527" s="72">
        <f t="shared" si="159"/>
        <v>488614.27999999921</v>
      </c>
    </row>
    <row r="2528" spans="1:14" x14ac:dyDescent="0.2">
      <c r="A2528" s="73" t="s">
        <v>1479</v>
      </c>
      <c r="B2528" s="3">
        <f t="shared" si="156"/>
        <v>2025</v>
      </c>
      <c r="C2528" s="3">
        <f t="shared" si="157"/>
        <v>11</v>
      </c>
      <c r="D2528" s="73" t="s">
        <v>893</v>
      </c>
      <c r="E2528" s="2"/>
      <c r="F2528" s="2" t="s">
        <v>304</v>
      </c>
      <c r="G2528" s="2" t="s">
        <v>908</v>
      </c>
      <c r="H2528" s="2" t="s">
        <v>1007</v>
      </c>
      <c r="I2528" s="1" t="s">
        <v>316</v>
      </c>
      <c r="J2528" s="2" t="s">
        <v>17</v>
      </c>
      <c r="K2528" s="72">
        <v>212</v>
      </c>
      <c r="L2528" s="39"/>
      <c r="M2528" s="72">
        <f t="shared" si="158"/>
        <v>-212</v>
      </c>
      <c r="N2528" s="72">
        <f t="shared" si="159"/>
        <v>488402.27999999921</v>
      </c>
    </row>
    <row r="2529" spans="1:14" x14ac:dyDescent="0.2">
      <c r="A2529" s="73" t="s">
        <v>1479</v>
      </c>
      <c r="B2529" s="3">
        <f t="shared" si="156"/>
        <v>2025</v>
      </c>
      <c r="C2529" s="3">
        <f t="shared" si="157"/>
        <v>11</v>
      </c>
      <c r="D2529" s="73" t="s">
        <v>893</v>
      </c>
      <c r="E2529" s="2"/>
      <c r="F2529" s="2" t="s">
        <v>304</v>
      </c>
      <c r="G2529" s="2" t="s">
        <v>1512</v>
      </c>
      <c r="H2529" s="2" t="s">
        <v>1007</v>
      </c>
      <c r="I2529" s="1" t="s">
        <v>316</v>
      </c>
      <c r="J2529" s="2" t="s">
        <v>17</v>
      </c>
      <c r="K2529" s="72">
        <v>39.5</v>
      </c>
      <c r="L2529" s="39"/>
      <c r="M2529" s="72">
        <f t="shared" si="158"/>
        <v>-39.5</v>
      </c>
      <c r="N2529" s="72">
        <f t="shared" si="159"/>
        <v>488362.77999999921</v>
      </c>
    </row>
    <row r="2530" spans="1:14" x14ac:dyDescent="0.2">
      <c r="A2530" s="73" t="s">
        <v>1479</v>
      </c>
      <c r="B2530" s="3">
        <f t="shared" si="156"/>
        <v>2025</v>
      </c>
      <c r="C2530" s="3">
        <f t="shared" si="157"/>
        <v>11</v>
      </c>
      <c r="D2530" s="73" t="s">
        <v>893</v>
      </c>
      <c r="E2530" s="2"/>
      <c r="F2530" s="2" t="s">
        <v>304</v>
      </c>
      <c r="G2530" s="2" t="s">
        <v>1046</v>
      </c>
      <c r="H2530" s="2" t="s">
        <v>1035</v>
      </c>
      <c r="I2530" s="2" t="s">
        <v>316</v>
      </c>
      <c r="J2530" s="2" t="s">
        <v>22</v>
      </c>
      <c r="K2530" s="72">
        <v>27.08</v>
      </c>
      <c r="L2530" s="39"/>
      <c r="M2530" s="72">
        <f t="shared" si="158"/>
        <v>-27.08</v>
      </c>
      <c r="N2530" s="72">
        <f t="shared" si="159"/>
        <v>488335.6999999992</v>
      </c>
    </row>
    <row r="2531" spans="1:14" x14ac:dyDescent="0.2">
      <c r="A2531" s="73" t="s">
        <v>1479</v>
      </c>
      <c r="B2531" s="3">
        <f t="shared" si="156"/>
        <v>2025</v>
      </c>
      <c r="C2531" s="3">
        <f t="shared" si="157"/>
        <v>11</v>
      </c>
      <c r="D2531" s="73" t="s">
        <v>893</v>
      </c>
      <c r="E2531" s="2"/>
      <c r="F2531" s="2" t="s">
        <v>304</v>
      </c>
      <c r="G2531" s="2" t="s">
        <v>913</v>
      </c>
      <c r="H2531" s="2" t="s">
        <v>937</v>
      </c>
      <c r="I2531" s="2" t="s">
        <v>316</v>
      </c>
      <c r="J2531" s="2" t="s">
        <v>22</v>
      </c>
      <c r="K2531" s="72">
        <v>19.97</v>
      </c>
      <c r="L2531" s="39"/>
      <c r="M2531" s="72">
        <f t="shared" si="158"/>
        <v>-19.97</v>
      </c>
      <c r="N2531" s="72">
        <f t="shared" si="159"/>
        <v>488315.72999999922</v>
      </c>
    </row>
    <row r="2532" spans="1:14" x14ac:dyDescent="0.2">
      <c r="A2532" s="73" t="s">
        <v>1479</v>
      </c>
      <c r="B2532" s="3">
        <f t="shared" si="156"/>
        <v>2025</v>
      </c>
      <c r="C2532" s="3">
        <f t="shared" si="157"/>
        <v>11</v>
      </c>
      <c r="D2532" s="73" t="s">
        <v>300</v>
      </c>
      <c r="E2532" s="2"/>
      <c r="F2532" s="2" t="s">
        <v>314</v>
      </c>
      <c r="G2532" s="2"/>
      <c r="H2532" s="2" t="s">
        <v>836</v>
      </c>
      <c r="I2532" s="2" t="s">
        <v>312</v>
      </c>
      <c r="J2532" s="2" t="s">
        <v>840</v>
      </c>
      <c r="K2532" s="72">
        <v>24558.76</v>
      </c>
      <c r="L2532" s="39"/>
      <c r="M2532" s="72">
        <f t="shared" si="158"/>
        <v>-24558.76</v>
      </c>
      <c r="N2532" s="72">
        <f t="shared" si="159"/>
        <v>463756.96999999922</v>
      </c>
    </row>
    <row r="2533" spans="1:14" x14ac:dyDescent="0.2">
      <c r="A2533" s="73" t="s">
        <v>1479</v>
      </c>
      <c r="B2533" s="3">
        <f t="shared" si="156"/>
        <v>2025</v>
      </c>
      <c r="C2533" s="3">
        <f t="shared" si="157"/>
        <v>11</v>
      </c>
      <c r="D2533" s="73" t="s">
        <v>300</v>
      </c>
      <c r="E2533" s="2"/>
      <c r="F2533" s="2" t="s">
        <v>299</v>
      </c>
      <c r="G2533" s="2"/>
      <c r="H2533" s="2" t="s">
        <v>298</v>
      </c>
      <c r="I2533" s="2" t="s">
        <v>297</v>
      </c>
      <c r="J2533" s="2" t="s">
        <v>296</v>
      </c>
      <c r="K2533" s="72"/>
      <c r="L2533" s="39">
        <v>25128.76</v>
      </c>
      <c r="M2533" s="72">
        <f t="shared" si="158"/>
        <v>25128.76</v>
      </c>
      <c r="N2533" s="72">
        <f t="shared" si="159"/>
        <v>488885.72999999922</v>
      </c>
    </row>
    <row r="2534" spans="1:14" x14ac:dyDescent="0.2">
      <c r="A2534" s="73" t="s">
        <v>1479</v>
      </c>
      <c r="B2534" s="3">
        <f t="shared" si="156"/>
        <v>2025</v>
      </c>
      <c r="C2534" s="3">
        <f t="shared" si="157"/>
        <v>11</v>
      </c>
      <c r="D2534" s="73" t="s">
        <v>893</v>
      </c>
      <c r="E2534" s="2"/>
      <c r="F2534" s="2" t="s">
        <v>314</v>
      </c>
      <c r="G2534" s="2"/>
      <c r="H2534" s="2" t="s">
        <v>894</v>
      </c>
      <c r="I2534" s="2" t="s">
        <v>312</v>
      </c>
      <c r="J2534" s="2" t="s">
        <v>840</v>
      </c>
      <c r="K2534" s="72"/>
      <c r="L2534" s="39">
        <v>24558.76</v>
      </c>
      <c r="M2534" s="72">
        <f t="shared" si="158"/>
        <v>24558.76</v>
      </c>
      <c r="N2534" s="72">
        <f t="shared" si="159"/>
        <v>513444.48999999923</v>
      </c>
    </row>
    <row r="2535" spans="1:14" x14ac:dyDescent="0.2">
      <c r="A2535" s="73" t="s">
        <v>1499</v>
      </c>
      <c r="B2535" s="3">
        <f t="shared" si="156"/>
        <v>2025</v>
      </c>
      <c r="C2535" s="3">
        <f t="shared" si="157"/>
        <v>11</v>
      </c>
      <c r="D2535" s="73" t="s">
        <v>893</v>
      </c>
      <c r="E2535" s="2"/>
      <c r="F2535" s="2" t="s">
        <v>304</v>
      </c>
      <c r="G2535" s="2" t="s">
        <v>1009</v>
      </c>
      <c r="H2535" s="2" t="s">
        <v>1007</v>
      </c>
      <c r="I2535" s="1" t="s">
        <v>316</v>
      </c>
      <c r="J2535" s="2" t="s">
        <v>17</v>
      </c>
      <c r="K2535" s="72">
        <v>97.75</v>
      </c>
      <c r="L2535" s="39"/>
      <c r="M2535" s="72">
        <f t="shared" si="158"/>
        <v>-97.75</v>
      </c>
      <c r="N2535" s="72">
        <f t="shared" si="159"/>
        <v>513346.73999999923</v>
      </c>
    </row>
    <row r="2536" spans="1:14" x14ac:dyDescent="0.2">
      <c r="A2536" s="73" t="s">
        <v>1499</v>
      </c>
      <c r="B2536" s="3">
        <f t="shared" si="156"/>
        <v>2025</v>
      </c>
      <c r="C2536" s="3">
        <f t="shared" si="157"/>
        <v>11</v>
      </c>
      <c r="D2536" s="73" t="s">
        <v>893</v>
      </c>
      <c r="E2536" s="2"/>
      <c r="F2536" s="2" t="s">
        <v>304</v>
      </c>
      <c r="G2536" s="2" t="s">
        <v>1038</v>
      </c>
      <c r="H2536" s="2" t="s">
        <v>1035</v>
      </c>
      <c r="I2536" s="2" t="s">
        <v>316</v>
      </c>
      <c r="J2536" s="2" t="s">
        <v>22</v>
      </c>
      <c r="K2536" s="72">
        <v>46.12</v>
      </c>
      <c r="L2536" s="39"/>
      <c r="M2536" s="72">
        <f t="shared" si="158"/>
        <v>-46.12</v>
      </c>
      <c r="N2536" s="72">
        <f t="shared" si="159"/>
        <v>513300.61999999924</v>
      </c>
    </row>
    <row r="2537" spans="1:14" x14ac:dyDescent="0.2">
      <c r="A2537" s="73" t="s">
        <v>1499</v>
      </c>
      <c r="B2537" s="3">
        <f t="shared" si="156"/>
        <v>2025</v>
      </c>
      <c r="C2537" s="3">
        <f t="shared" si="157"/>
        <v>11</v>
      </c>
      <c r="D2537" s="73" t="s">
        <v>893</v>
      </c>
      <c r="E2537" s="2"/>
      <c r="F2537" s="2" t="s">
        <v>304</v>
      </c>
      <c r="G2537" s="2" t="s">
        <v>1038</v>
      </c>
      <c r="H2537" s="2" t="s">
        <v>1035</v>
      </c>
      <c r="I2537" s="2" t="s">
        <v>316</v>
      </c>
      <c r="J2537" s="2" t="s">
        <v>22</v>
      </c>
      <c r="K2537" s="72">
        <v>55.93</v>
      </c>
      <c r="L2537" s="39"/>
      <c r="M2537" s="72">
        <f t="shared" si="158"/>
        <v>-55.93</v>
      </c>
      <c r="N2537" s="72">
        <f t="shared" si="159"/>
        <v>513244.68999999925</v>
      </c>
    </row>
    <row r="2538" spans="1:14" x14ac:dyDescent="0.2">
      <c r="A2538" s="73" t="s">
        <v>1499</v>
      </c>
      <c r="B2538" s="3">
        <f t="shared" si="156"/>
        <v>2025</v>
      </c>
      <c r="C2538" s="3">
        <f t="shared" si="157"/>
        <v>11</v>
      </c>
      <c r="D2538" s="73" t="s">
        <v>893</v>
      </c>
      <c r="E2538" s="2"/>
      <c r="F2538" s="2" t="s">
        <v>304</v>
      </c>
      <c r="G2538" s="2" t="s">
        <v>1150</v>
      </c>
      <c r="H2538" s="2" t="s">
        <v>1007</v>
      </c>
      <c r="I2538" s="1" t="s">
        <v>316</v>
      </c>
      <c r="J2538" s="2" t="s">
        <v>17</v>
      </c>
      <c r="K2538" s="72">
        <v>25.75</v>
      </c>
      <c r="L2538" s="39"/>
      <c r="M2538" s="72">
        <f t="shared" si="158"/>
        <v>-25.75</v>
      </c>
      <c r="N2538" s="72">
        <f t="shared" si="159"/>
        <v>513218.93999999925</v>
      </c>
    </row>
    <row r="2539" spans="1:14" x14ac:dyDescent="0.2">
      <c r="A2539" s="73" t="s">
        <v>1500</v>
      </c>
      <c r="B2539" s="3">
        <f t="shared" si="156"/>
        <v>2025</v>
      </c>
      <c r="C2539" s="3">
        <f t="shared" si="157"/>
        <v>11</v>
      </c>
      <c r="D2539" s="73" t="s">
        <v>893</v>
      </c>
      <c r="E2539" s="2"/>
      <c r="F2539" s="2" t="s">
        <v>304</v>
      </c>
      <c r="G2539" s="2" t="s">
        <v>1008</v>
      </c>
      <c r="H2539" s="2" t="s">
        <v>1007</v>
      </c>
      <c r="I2539" s="1" t="s">
        <v>316</v>
      </c>
      <c r="J2539" s="2" t="s">
        <v>17</v>
      </c>
      <c r="K2539" s="72">
        <v>34.53</v>
      </c>
      <c r="L2539" s="39"/>
      <c r="M2539" s="72">
        <f t="shared" si="158"/>
        <v>-34.53</v>
      </c>
      <c r="N2539" s="72">
        <f t="shared" si="159"/>
        <v>513184.40999999922</v>
      </c>
    </row>
    <row r="2540" spans="1:14" x14ac:dyDescent="0.2">
      <c r="A2540" s="73" t="s">
        <v>1500</v>
      </c>
      <c r="B2540" s="3">
        <f t="shared" si="156"/>
        <v>2025</v>
      </c>
      <c r="C2540" s="3">
        <f t="shared" si="157"/>
        <v>11</v>
      </c>
      <c r="D2540" s="73" t="s">
        <v>893</v>
      </c>
      <c r="E2540" s="2"/>
      <c r="F2540" s="2" t="s">
        <v>304</v>
      </c>
      <c r="G2540" s="2" t="s">
        <v>1008</v>
      </c>
      <c r="H2540" s="2" t="s">
        <v>1007</v>
      </c>
      <c r="I2540" s="1" t="s">
        <v>316</v>
      </c>
      <c r="J2540" s="2" t="s">
        <v>17</v>
      </c>
      <c r="K2540" s="72">
        <v>34.39</v>
      </c>
      <c r="L2540" s="39"/>
      <c r="M2540" s="72">
        <f t="shared" si="158"/>
        <v>-34.39</v>
      </c>
      <c r="N2540" s="72">
        <f t="shared" si="159"/>
        <v>513150.0199999992</v>
      </c>
    </row>
    <row r="2541" spans="1:14" x14ac:dyDescent="0.2">
      <c r="A2541" s="73" t="s">
        <v>1500</v>
      </c>
      <c r="B2541" s="3">
        <f t="shared" si="156"/>
        <v>2025</v>
      </c>
      <c r="C2541" s="3">
        <f t="shared" si="157"/>
        <v>11</v>
      </c>
      <c r="D2541" s="73" t="s">
        <v>893</v>
      </c>
      <c r="E2541" s="2"/>
      <c r="F2541" s="2" t="s">
        <v>304</v>
      </c>
      <c r="G2541" s="2" t="s">
        <v>1008</v>
      </c>
      <c r="H2541" s="2" t="s">
        <v>1007</v>
      </c>
      <c r="I2541" s="1" t="s">
        <v>316</v>
      </c>
      <c r="J2541" s="2" t="s">
        <v>17</v>
      </c>
      <c r="K2541" s="72">
        <v>33.44</v>
      </c>
      <c r="L2541" s="39"/>
      <c r="M2541" s="72">
        <f t="shared" si="158"/>
        <v>-33.44</v>
      </c>
      <c r="N2541" s="72">
        <f t="shared" si="159"/>
        <v>513116.5799999992</v>
      </c>
    </row>
    <row r="2542" spans="1:14" x14ac:dyDescent="0.2">
      <c r="A2542" s="73" t="s">
        <v>1500</v>
      </c>
      <c r="B2542" s="3">
        <f t="shared" si="156"/>
        <v>2025</v>
      </c>
      <c r="C2542" s="3">
        <f t="shared" si="157"/>
        <v>11</v>
      </c>
      <c r="D2542" s="73" t="s">
        <v>893</v>
      </c>
      <c r="E2542" s="2"/>
      <c r="F2542" s="2" t="s">
        <v>304</v>
      </c>
      <c r="G2542" s="2" t="s">
        <v>1008</v>
      </c>
      <c r="H2542" s="2" t="s">
        <v>1007</v>
      </c>
      <c r="I2542" s="1" t="s">
        <v>316</v>
      </c>
      <c r="J2542" s="2" t="s">
        <v>17</v>
      </c>
      <c r="K2542" s="72">
        <v>34.880000000000003</v>
      </c>
      <c r="L2542" s="39"/>
      <c r="M2542" s="72">
        <f t="shared" si="158"/>
        <v>-34.880000000000003</v>
      </c>
      <c r="N2542" s="72">
        <f t="shared" si="159"/>
        <v>513081.6999999992</v>
      </c>
    </row>
    <row r="2543" spans="1:14" x14ac:dyDescent="0.2">
      <c r="A2543" s="73" t="s">
        <v>1500</v>
      </c>
      <c r="B2543" s="3">
        <f t="shared" si="156"/>
        <v>2025</v>
      </c>
      <c r="C2543" s="3">
        <f t="shared" si="157"/>
        <v>11</v>
      </c>
      <c r="D2543" s="73" t="s">
        <v>893</v>
      </c>
      <c r="E2543" s="2"/>
      <c r="F2543" s="2" t="s">
        <v>304</v>
      </c>
      <c r="G2543" s="2" t="s">
        <v>1008</v>
      </c>
      <c r="H2543" s="2" t="s">
        <v>1007</v>
      </c>
      <c r="I2543" s="1" t="s">
        <v>316</v>
      </c>
      <c r="J2543" s="2" t="s">
        <v>17</v>
      </c>
      <c r="K2543" s="72">
        <v>34.42</v>
      </c>
      <c r="L2543" s="39"/>
      <c r="M2543" s="72">
        <f t="shared" si="158"/>
        <v>-34.42</v>
      </c>
      <c r="N2543" s="72">
        <f t="shared" si="159"/>
        <v>513047.27999999921</v>
      </c>
    </row>
    <row r="2544" spans="1:14" x14ac:dyDescent="0.2">
      <c r="A2544" s="73" t="s">
        <v>1500</v>
      </c>
      <c r="B2544" s="3">
        <f t="shared" si="156"/>
        <v>2025</v>
      </c>
      <c r="C2544" s="3">
        <f t="shared" si="157"/>
        <v>11</v>
      </c>
      <c r="D2544" s="73" t="s">
        <v>893</v>
      </c>
      <c r="E2544" s="2"/>
      <c r="F2544" s="2" t="s">
        <v>304</v>
      </c>
      <c r="G2544" s="2" t="s">
        <v>1038</v>
      </c>
      <c r="H2544" s="2" t="s">
        <v>1035</v>
      </c>
      <c r="I2544" s="2" t="s">
        <v>316</v>
      </c>
      <c r="J2544" s="2" t="s">
        <v>22</v>
      </c>
      <c r="K2544" s="72">
        <v>19.73</v>
      </c>
      <c r="L2544" s="39"/>
      <c r="M2544" s="72">
        <f t="shared" si="158"/>
        <v>-19.73</v>
      </c>
      <c r="N2544" s="72">
        <f t="shared" si="159"/>
        <v>513027.54999999923</v>
      </c>
    </row>
    <row r="2545" spans="1:14" x14ac:dyDescent="0.2">
      <c r="A2545" s="73" t="s">
        <v>1500</v>
      </c>
      <c r="B2545" s="3">
        <f t="shared" si="156"/>
        <v>2025</v>
      </c>
      <c r="C2545" s="3">
        <f t="shared" si="157"/>
        <v>11</v>
      </c>
      <c r="D2545" s="73" t="s">
        <v>893</v>
      </c>
      <c r="E2545" s="2"/>
      <c r="F2545" s="2" t="s">
        <v>304</v>
      </c>
      <c r="G2545" s="2" t="s">
        <v>1525</v>
      </c>
      <c r="H2545" s="2" t="s">
        <v>1007</v>
      </c>
      <c r="I2545" s="2" t="s">
        <v>316</v>
      </c>
      <c r="J2545" s="2" t="s">
        <v>22</v>
      </c>
      <c r="K2545" s="72">
        <v>17.989999999999998</v>
      </c>
      <c r="L2545" s="39"/>
      <c r="M2545" s="72">
        <f t="shared" si="158"/>
        <v>-17.989999999999998</v>
      </c>
      <c r="N2545" s="72">
        <f t="shared" si="159"/>
        <v>513009.55999999924</v>
      </c>
    </row>
    <row r="2546" spans="1:14" x14ac:dyDescent="0.2">
      <c r="A2546" s="73" t="s">
        <v>1480</v>
      </c>
      <c r="B2546" s="3">
        <f t="shared" si="156"/>
        <v>2025</v>
      </c>
      <c r="C2546" s="3">
        <f t="shared" si="157"/>
        <v>11</v>
      </c>
      <c r="D2546" s="73" t="s">
        <v>893</v>
      </c>
      <c r="E2546" s="2"/>
      <c r="F2546" s="2" t="s">
        <v>304</v>
      </c>
      <c r="G2546" s="2" t="s">
        <v>1008</v>
      </c>
      <c r="H2546" s="2" t="s">
        <v>1007</v>
      </c>
      <c r="I2546" s="1" t="s">
        <v>316</v>
      </c>
      <c r="J2546" s="2" t="s">
        <v>17</v>
      </c>
      <c r="K2546" s="72">
        <v>31.22</v>
      </c>
      <c r="L2546" s="39"/>
      <c r="M2546" s="72">
        <f t="shared" si="158"/>
        <v>-31.22</v>
      </c>
      <c r="N2546" s="72">
        <f t="shared" si="159"/>
        <v>512978.33999999927</v>
      </c>
    </row>
    <row r="2547" spans="1:14" x14ac:dyDescent="0.2">
      <c r="A2547" s="73" t="s">
        <v>1480</v>
      </c>
      <c r="B2547" s="3">
        <f t="shared" si="156"/>
        <v>2025</v>
      </c>
      <c r="C2547" s="3">
        <f t="shared" si="157"/>
        <v>11</v>
      </c>
      <c r="D2547" s="73" t="s">
        <v>893</v>
      </c>
      <c r="E2547" s="2"/>
      <c r="F2547" s="2" t="s">
        <v>304</v>
      </c>
      <c r="G2547" s="2" t="s">
        <v>1008</v>
      </c>
      <c r="H2547" s="2" t="s">
        <v>1007</v>
      </c>
      <c r="I2547" s="1" t="s">
        <v>316</v>
      </c>
      <c r="J2547" s="2" t="s">
        <v>17</v>
      </c>
      <c r="K2547" s="72">
        <v>31.84</v>
      </c>
      <c r="L2547" s="39"/>
      <c r="M2547" s="72">
        <f t="shared" si="158"/>
        <v>-31.84</v>
      </c>
      <c r="N2547" s="72">
        <f t="shared" si="159"/>
        <v>512946.49999999924</v>
      </c>
    </row>
    <row r="2548" spans="1:14" x14ac:dyDescent="0.2">
      <c r="A2548" s="73" t="s">
        <v>1480</v>
      </c>
      <c r="B2548" s="3">
        <f t="shared" si="156"/>
        <v>2025</v>
      </c>
      <c r="C2548" s="3">
        <f t="shared" si="157"/>
        <v>11</v>
      </c>
      <c r="D2548" s="73" t="s">
        <v>893</v>
      </c>
      <c r="E2548" s="2"/>
      <c r="F2548" s="2" t="s">
        <v>304</v>
      </c>
      <c r="G2548" s="2" t="s">
        <v>1008</v>
      </c>
      <c r="H2548" s="2" t="s">
        <v>1007</v>
      </c>
      <c r="I2548" s="1" t="s">
        <v>316</v>
      </c>
      <c r="J2548" s="2" t="s">
        <v>17</v>
      </c>
      <c r="K2548" s="72">
        <v>34.1</v>
      </c>
      <c r="L2548" s="39"/>
      <c r="M2548" s="72">
        <f t="shared" si="158"/>
        <v>-34.1</v>
      </c>
      <c r="N2548" s="72">
        <f t="shared" si="159"/>
        <v>512912.39999999927</v>
      </c>
    </row>
    <row r="2549" spans="1:14" x14ac:dyDescent="0.2">
      <c r="A2549" s="73" t="s">
        <v>1480</v>
      </c>
      <c r="B2549" s="3">
        <f t="shared" si="156"/>
        <v>2025</v>
      </c>
      <c r="C2549" s="3">
        <f t="shared" si="157"/>
        <v>11</v>
      </c>
      <c r="D2549" s="73" t="s">
        <v>893</v>
      </c>
      <c r="E2549" s="2"/>
      <c r="F2549" s="2" t="s">
        <v>304</v>
      </c>
      <c r="G2549" s="2" t="s">
        <v>1008</v>
      </c>
      <c r="H2549" s="2" t="s">
        <v>1007</v>
      </c>
      <c r="I2549" s="1" t="s">
        <v>316</v>
      </c>
      <c r="J2549" s="2" t="s">
        <v>17</v>
      </c>
      <c r="K2549" s="72">
        <v>34.520000000000003</v>
      </c>
      <c r="L2549" s="39"/>
      <c r="M2549" s="72">
        <f t="shared" si="158"/>
        <v>-34.520000000000003</v>
      </c>
      <c r="N2549" s="72">
        <f t="shared" si="159"/>
        <v>512877.87999999925</v>
      </c>
    </row>
    <row r="2550" spans="1:14" x14ac:dyDescent="0.2">
      <c r="A2550" s="73" t="s">
        <v>1480</v>
      </c>
      <c r="B2550" s="3">
        <f t="shared" si="156"/>
        <v>2025</v>
      </c>
      <c r="C2550" s="3">
        <f t="shared" si="157"/>
        <v>11</v>
      </c>
      <c r="D2550" s="73" t="s">
        <v>893</v>
      </c>
      <c r="E2550" s="2"/>
      <c r="F2550" s="2" t="s">
        <v>304</v>
      </c>
      <c r="G2550" s="2" t="s">
        <v>1459</v>
      </c>
      <c r="H2550" s="2" t="s">
        <v>987</v>
      </c>
      <c r="I2550" s="2" t="s">
        <v>316</v>
      </c>
      <c r="J2550" s="2" t="s">
        <v>22</v>
      </c>
      <c r="K2550" s="72">
        <v>952.05</v>
      </c>
      <c r="L2550" s="39"/>
      <c r="M2550" s="72">
        <f t="shared" si="158"/>
        <v>-952.05</v>
      </c>
      <c r="N2550" s="72">
        <f t="shared" si="159"/>
        <v>511925.82999999926</v>
      </c>
    </row>
    <row r="2551" spans="1:14" x14ac:dyDescent="0.2">
      <c r="A2551" s="73" t="s">
        <v>1480</v>
      </c>
      <c r="B2551" s="3">
        <f t="shared" si="156"/>
        <v>2025</v>
      </c>
      <c r="C2551" s="3">
        <f t="shared" si="157"/>
        <v>11</v>
      </c>
      <c r="D2551" s="73" t="s">
        <v>893</v>
      </c>
      <c r="E2551" s="2"/>
      <c r="F2551" s="2" t="s">
        <v>304</v>
      </c>
      <c r="G2551" s="2" t="s">
        <v>1181</v>
      </c>
      <c r="H2551" s="2" t="s">
        <v>1007</v>
      </c>
      <c r="I2551" s="1" t="s">
        <v>316</v>
      </c>
      <c r="J2551" s="2" t="s">
        <v>17</v>
      </c>
      <c r="K2551" s="72">
        <v>66.19</v>
      </c>
      <c r="L2551" s="39"/>
      <c r="M2551" s="72">
        <f t="shared" si="158"/>
        <v>-66.19</v>
      </c>
      <c r="N2551" s="72">
        <f t="shared" si="159"/>
        <v>511859.63999999926</v>
      </c>
    </row>
    <row r="2552" spans="1:14" x14ac:dyDescent="0.2">
      <c r="A2552" s="73" t="s">
        <v>1480</v>
      </c>
      <c r="B2552" s="3">
        <f t="shared" si="156"/>
        <v>2025</v>
      </c>
      <c r="C2552" s="3">
        <f t="shared" si="157"/>
        <v>11</v>
      </c>
      <c r="D2552" s="73" t="s">
        <v>893</v>
      </c>
      <c r="E2552" s="2"/>
      <c r="F2552" s="2" t="s">
        <v>938</v>
      </c>
      <c r="G2552" s="2" t="s">
        <v>1512</v>
      </c>
      <c r="H2552" s="2" t="s">
        <v>1007</v>
      </c>
      <c r="I2552" s="1" t="s">
        <v>316</v>
      </c>
      <c r="J2552" s="2" t="s">
        <v>17</v>
      </c>
      <c r="K2552" s="72"/>
      <c r="L2552" s="39">
        <v>39.5</v>
      </c>
      <c r="M2552" s="72">
        <f t="shared" si="158"/>
        <v>39.5</v>
      </c>
      <c r="N2552" s="72">
        <f t="shared" si="159"/>
        <v>511899.13999999926</v>
      </c>
    </row>
    <row r="2553" spans="1:14" x14ac:dyDescent="0.2">
      <c r="A2553" s="73" t="s">
        <v>1480</v>
      </c>
      <c r="B2553" s="3">
        <f t="shared" si="156"/>
        <v>2025</v>
      </c>
      <c r="C2553" s="3">
        <f t="shared" si="157"/>
        <v>11</v>
      </c>
      <c r="D2553" s="73" t="s">
        <v>300</v>
      </c>
      <c r="E2553" s="2"/>
      <c r="F2553" s="2" t="s">
        <v>304</v>
      </c>
      <c r="G2553" s="2" t="s">
        <v>344</v>
      </c>
      <c r="H2553" s="2" t="s">
        <v>343</v>
      </c>
      <c r="I2553" s="2" t="s">
        <v>301</v>
      </c>
      <c r="J2553" s="2" t="s">
        <v>11</v>
      </c>
      <c r="K2553" s="72">
        <v>11291.36</v>
      </c>
      <c r="L2553" s="39"/>
      <c r="M2553" s="72">
        <f t="shared" si="158"/>
        <v>-11291.36</v>
      </c>
      <c r="N2553" s="72">
        <f t="shared" si="159"/>
        <v>500607.77999999927</v>
      </c>
    </row>
    <row r="2554" spans="1:14" x14ac:dyDescent="0.2">
      <c r="A2554" s="73" t="s">
        <v>1480</v>
      </c>
      <c r="B2554" s="3">
        <f t="shared" si="156"/>
        <v>2025</v>
      </c>
      <c r="C2554" s="3">
        <f t="shared" si="157"/>
        <v>11</v>
      </c>
      <c r="D2554" s="73" t="s">
        <v>300</v>
      </c>
      <c r="E2554" s="2"/>
      <c r="F2554" s="2" t="s">
        <v>299</v>
      </c>
      <c r="G2554" s="2"/>
      <c r="H2554" s="2" t="s">
        <v>298</v>
      </c>
      <c r="I2554" s="2" t="s">
        <v>297</v>
      </c>
      <c r="J2554" s="2" t="s">
        <v>296</v>
      </c>
      <c r="K2554" s="72">
        <v>3208.64</v>
      </c>
      <c r="L2554" s="39"/>
      <c r="M2554" s="72">
        <f t="shared" si="158"/>
        <v>-3208.64</v>
      </c>
      <c r="N2554" s="72">
        <f t="shared" si="159"/>
        <v>497399.13999999926</v>
      </c>
    </row>
    <row r="2555" spans="1:14" x14ac:dyDescent="0.2">
      <c r="A2555" s="73" t="s">
        <v>1481</v>
      </c>
      <c r="B2555" s="3">
        <f t="shared" si="156"/>
        <v>2025</v>
      </c>
      <c r="C2555" s="3">
        <f t="shared" si="157"/>
        <v>11</v>
      </c>
      <c r="D2555" s="73" t="s">
        <v>893</v>
      </c>
      <c r="E2555" s="2"/>
      <c r="F2555" s="2" t="s">
        <v>304</v>
      </c>
      <c r="G2555" s="2" t="s">
        <v>1008</v>
      </c>
      <c r="H2555" s="2" t="s">
        <v>1007</v>
      </c>
      <c r="I2555" s="1" t="s">
        <v>316</v>
      </c>
      <c r="J2555" s="2" t="s">
        <v>17</v>
      </c>
      <c r="K2555" s="72">
        <v>31.82</v>
      </c>
      <c r="L2555" s="39"/>
      <c r="M2555" s="72">
        <f t="shared" si="158"/>
        <v>-31.82</v>
      </c>
      <c r="N2555" s="72">
        <f t="shared" si="159"/>
        <v>497367.31999999925</v>
      </c>
    </row>
    <row r="2556" spans="1:14" x14ac:dyDescent="0.2">
      <c r="A2556" s="73" t="s">
        <v>1481</v>
      </c>
      <c r="B2556" s="3">
        <f t="shared" si="156"/>
        <v>2025</v>
      </c>
      <c r="C2556" s="3">
        <f t="shared" si="157"/>
        <v>11</v>
      </c>
      <c r="D2556" s="73" t="s">
        <v>893</v>
      </c>
      <c r="E2556" s="2"/>
      <c r="F2556" s="2" t="s">
        <v>304</v>
      </c>
      <c r="G2556" s="2" t="s">
        <v>1526</v>
      </c>
      <c r="H2556" s="2" t="s">
        <v>1001</v>
      </c>
      <c r="I2556" s="2" t="s">
        <v>316</v>
      </c>
      <c r="J2556" s="2" t="s">
        <v>22</v>
      </c>
      <c r="K2556" s="72">
        <v>9</v>
      </c>
      <c r="L2556" s="39"/>
      <c r="M2556" s="72">
        <f t="shared" si="158"/>
        <v>-9</v>
      </c>
      <c r="N2556" s="72">
        <f t="shared" si="159"/>
        <v>497358.31999999925</v>
      </c>
    </row>
    <row r="2557" spans="1:14" x14ac:dyDescent="0.2">
      <c r="A2557" s="73" t="s">
        <v>1481</v>
      </c>
      <c r="B2557" s="3">
        <f t="shared" si="156"/>
        <v>2025</v>
      </c>
      <c r="C2557" s="3">
        <f t="shared" si="157"/>
        <v>11</v>
      </c>
      <c r="D2557" s="73" t="s">
        <v>300</v>
      </c>
      <c r="E2557" s="2"/>
      <c r="F2557" s="2" t="s">
        <v>304</v>
      </c>
      <c r="G2557" s="2" t="s">
        <v>311</v>
      </c>
      <c r="H2557" s="2" t="s">
        <v>310</v>
      </c>
      <c r="I2557" s="2" t="s">
        <v>301</v>
      </c>
      <c r="J2557" s="2" t="s">
        <v>11</v>
      </c>
      <c r="K2557" s="72">
        <v>49.58</v>
      </c>
      <c r="L2557" s="39"/>
      <c r="M2557" s="72">
        <f t="shared" si="158"/>
        <v>-49.58</v>
      </c>
      <c r="N2557" s="72">
        <f t="shared" si="159"/>
        <v>497308.73999999923</v>
      </c>
    </row>
    <row r="2558" spans="1:14" x14ac:dyDescent="0.2">
      <c r="A2558" s="73" t="s">
        <v>1481</v>
      </c>
      <c r="B2558" s="3">
        <f t="shared" si="156"/>
        <v>2025</v>
      </c>
      <c r="C2558" s="3">
        <f t="shared" si="157"/>
        <v>11</v>
      </c>
      <c r="D2558" s="73" t="s">
        <v>893</v>
      </c>
      <c r="E2558" s="2"/>
      <c r="F2558" s="2" t="s">
        <v>304</v>
      </c>
      <c r="G2558" s="2" t="s">
        <v>1527</v>
      </c>
      <c r="H2558" s="2" t="s">
        <v>1001</v>
      </c>
      <c r="I2558" s="2" t="s">
        <v>316</v>
      </c>
      <c r="J2558" s="2" t="s">
        <v>22</v>
      </c>
      <c r="K2558" s="72">
        <v>18</v>
      </c>
      <c r="L2558" s="39"/>
      <c r="M2558" s="72">
        <f t="shared" si="158"/>
        <v>-18</v>
      </c>
      <c r="N2558" s="72">
        <f t="shared" si="159"/>
        <v>497290.73999999923</v>
      </c>
    </row>
    <row r="2559" spans="1:14" x14ac:dyDescent="0.2">
      <c r="A2559" s="73" t="s">
        <v>1481</v>
      </c>
      <c r="B2559" s="3">
        <f t="shared" si="156"/>
        <v>2025</v>
      </c>
      <c r="C2559" s="3">
        <f t="shared" si="157"/>
        <v>11</v>
      </c>
      <c r="D2559" s="73" t="s">
        <v>893</v>
      </c>
      <c r="E2559" s="2"/>
      <c r="F2559" s="2" t="s">
        <v>304</v>
      </c>
      <c r="G2559" s="2" t="s">
        <v>1527</v>
      </c>
      <c r="H2559" s="2" t="s">
        <v>1001</v>
      </c>
      <c r="I2559" s="2" t="s">
        <v>316</v>
      </c>
      <c r="J2559" s="2" t="s">
        <v>22</v>
      </c>
      <c r="K2559" s="72">
        <v>10.199999999999999</v>
      </c>
      <c r="L2559" s="39"/>
      <c r="M2559" s="72">
        <f t="shared" si="158"/>
        <v>-10.199999999999999</v>
      </c>
      <c r="N2559" s="72">
        <f t="shared" si="159"/>
        <v>497280.53999999922</v>
      </c>
    </row>
    <row r="2560" spans="1:14" x14ac:dyDescent="0.2">
      <c r="A2560" s="73" t="s">
        <v>1481</v>
      </c>
      <c r="B2560" s="3">
        <f t="shared" si="156"/>
        <v>2025</v>
      </c>
      <c r="C2560" s="3">
        <f t="shared" si="157"/>
        <v>11</v>
      </c>
      <c r="D2560" s="73" t="s">
        <v>893</v>
      </c>
      <c r="E2560" s="2"/>
      <c r="F2560" s="2" t="s">
        <v>304</v>
      </c>
      <c r="G2560" s="2" t="s">
        <v>932</v>
      </c>
      <c r="H2560" s="2" t="s">
        <v>1311</v>
      </c>
      <c r="I2560" s="1" t="s">
        <v>316</v>
      </c>
      <c r="J2560" s="2" t="s">
        <v>17</v>
      </c>
      <c r="K2560" s="72">
        <v>32.86</v>
      </c>
      <c r="L2560" s="39"/>
      <c r="M2560" s="72">
        <f t="shared" si="158"/>
        <v>-32.86</v>
      </c>
      <c r="N2560" s="72">
        <f t="shared" si="159"/>
        <v>497247.67999999924</v>
      </c>
    </row>
    <row r="2561" spans="1:14" x14ac:dyDescent="0.2">
      <c r="A2561" s="73" t="s">
        <v>1481</v>
      </c>
      <c r="B2561" s="3">
        <f t="shared" si="156"/>
        <v>2025</v>
      </c>
      <c r="C2561" s="3">
        <f t="shared" si="157"/>
        <v>11</v>
      </c>
      <c r="D2561" s="73" t="s">
        <v>893</v>
      </c>
      <c r="E2561" s="2"/>
      <c r="F2561" s="2" t="s">
        <v>304</v>
      </c>
      <c r="G2561" s="2" t="s">
        <v>995</v>
      </c>
      <c r="H2561" s="2" t="s">
        <v>992</v>
      </c>
      <c r="I2561" s="2" t="s">
        <v>316</v>
      </c>
      <c r="J2561" s="2" t="s">
        <v>22</v>
      </c>
      <c r="K2561" s="72">
        <v>51.81</v>
      </c>
      <c r="L2561" s="39"/>
      <c r="M2561" s="72">
        <f t="shared" si="158"/>
        <v>-51.81</v>
      </c>
      <c r="N2561" s="72">
        <f t="shared" si="159"/>
        <v>497195.86999999924</v>
      </c>
    </row>
    <row r="2562" spans="1:14" x14ac:dyDescent="0.2">
      <c r="A2562" s="73" t="s">
        <v>1481</v>
      </c>
      <c r="B2562" s="3">
        <f t="shared" ref="B2562:B2625" si="160">YEAR(A2562)</f>
        <v>2025</v>
      </c>
      <c r="C2562" s="3">
        <f t="shared" ref="C2562:C2625" si="161">MONTH(A2562)</f>
        <v>11</v>
      </c>
      <c r="D2562" s="73" t="s">
        <v>893</v>
      </c>
      <c r="E2562" s="2"/>
      <c r="F2562" s="2" t="s">
        <v>304</v>
      </c>
      <c r="G2562" s="2" t="s">
        <v>995</v>
      </c>
      <c r="H2562" s="2" t="s">
        <v>992</v>
      </c>
      <c r="I2562" s="2" t="s">
        <v>316</v>
      </c>
      <c r="J2562" s="2" t="s">
        <v>22</v>
      </c>
      <c r="K2562" s="72">
        <v>69.19</v>
      </c>
      <c r="L2562" s="39"/>
      <c r="M2562" s="72">
        <f t="shared" ref="M2562:M2625" si="162">IF(ISBLANK(L2562),K2562*-1,L2562)</f>
        <v>-69.19</v>
      </c>
      <c r="N2562" s="72">
        <f t="shared" si="159"/>
        <v>497126.67999999924</v>
      </c>
    </row>
    <row r="2563" spans="1:14" x14ac:dyDescent="0.2">
      <c r="A2563" s="73" t="s">
        <v>1481</v>
      </c>
      <c r="B2563" s="3">
        <f t="shared" si="160"/>
        <v>2025</v>
      </c>
      <c r="C2563" s="3">
        <f t="shared" si="161"/>
        <v>11</v>
      </c>
      <c r="D2563" s="73" t="s">
        <v>893</v>
      </c>
      <c r="E2563" s="2"/>
      <c r="F2563" s="2" t="s">
        <v>304</v>
      </c>
      <c r="G2563" s="2" t="s">
        <v>1528</v>
      </c>
      <c r="H2563" s="2" t="s">
        <v>884</v>
      </c>
      <c r="I2563" s="2" t="s">
        <v>316</v>
      </c>
      <c r="J2563" s="2" t="s">
        <v>22</v>
      </c>
      <c r="K2563" s="72">
        <v>550</v>
      </c>
      <c r="L2563" s="39"/>
      <c r="M2563" s="72">
        <f t="shared" si="162"/>
        <v>-550</v>
      </c>
      <c r="N2563" s="72">
        <f t="shared" ref="N2563:N2626" si="163">+N2562+M2563</f>
        <v>496576.67999999924</v>
      </c>
    </row>
    <row r="2564" spans="1:14" x14ac:dyDescent="0.2">
      <c r="A2564" s="73" t="s">
        <v>1481</v>
      </c>
      <c r="B2564" s="3">
        <f t="shared" si="160"/>
        <v>2025</v>
      </c>
      <c r="C2564" s="3">
        <f t="shared" si="161"/>
        <v>11</v>
      </c>
      <c r="D2564" s="73" t="s">
        <v>893</v>
      </c>
      <c r="E2564" s="2"/>
      <c r="F2564" s="2" t="s">
        <v>304</v>
      </c>
      <c r="G2564" s="2" t="s">
        <v>1529</v>
      </c>
      <c r="H2564" s="2" t="s">
        <v>1511</v>
      </c>
      <c r="I2564" s="1" t="s">
        <v>316</v>
      </c>
      <c r="J2564" s="2" t="s">
        <v>17</v>
      </c>
      <c r="K2564" s="72">
        <v>20</v>
      </c>
      <c r="L2564" s="39"/>
      <c r="M2564" s="72">
        <f t="shared" si="162"/>
        <v>-20</v>
      </c>
      <c r="N2564" s="72">
        <f t="shared" si="163"/>
        <v>496556.67999999924</v>
      </c>
    </row>
    <row r="2565" spans="1:14" x14ac:dyDescent="0.2">
      <c r="A2565" s="73" t="s">
        <v>1481</v>
      </c>
      <c r="B2565" s="3">
        <f t="shared" si="160"/>
        <v>2025</v>
      </c>
      <c r="C2565" s="3">
        <f t="shared" si="161"/>
        <v>11</v>
      </c>
      <c r="D2565" s="73" t="s">
        <v>300</v>
      </c>
      <c r="E2565" s="2"/>
      <c r="F2565" s="2" t="s">
        <v>299</v>
      </c>
      <c r="G2565" s="2"/>
      <c r="H2565" s="2" t="s">
        <v>298</v>
      </c>
      <c r="I2565" s="2" t="s">
        <v>297</v>
      </c>
      <c r="J2565" s="2" t="s">
        <v>296</v>
      </c>
      <c r="K2565" s="72"/>
      <c r="L2565" s="39">
        <v>49.58</v>
      </c>
      <c r="M2565" s="72">
        <f t="shared" si="162"/>
        <v>49.58</v>
      </c>
      <c r="N2565" s="72">
        <f t="shared" si="163"/>
        <v>496606.25999999925</v>
      </c>
    </row>
    <row r="2566" spans="1:14" x14ac:dyDescent="0.2">
      <c r="A2566" s="73" t="s">
        <v>1482</v>
      </c>
      <c r="B2566" s="3">
        <f t="shared" si="160"/>
        <v>2025</v>
      </c>
      <c r="C2566" s="3">
        <f t="shared" si="161"/>
        <v>11</v>
      </c>
      <c r="D2566" s="73" t="s">
        <v>893</v>
      </c>
      <c r="E2566" s="2"/>
      <c r="F2566" s="2" t="s">
        <v>304</v>
      </c>
      <c r="G2566" s="2" t="s">
        <v>1008</v>
      </c>
      <c r="H2566" s="2" t="s">
        <v>1007</v>
      </c>
      <c r="I2566" s="1" t="s">
        <v>316</v>
      </c>
      <c r="J2566" s="2" t="s">
        <v>17</v>
      </c>
      <c r="K2566" s="72">
        <v>31.67</v>
      </c>
      <c r="L2566" s="39"/>
      <c r="M2566" s="72">
        <f t="shared" si="162"/>
        <v>-31.67</v>
      </c>
      <c r="N2566" s="72">
        <f t="shared" si="163"/>
        <v>496574.58999999927</v>
      </c>
    </row>
    <row r="2567" spans="1:14" x14ac:dyDescent="0.2">
      <c r="A2567" s="73" t="s">
        <v>1482</v>
      </c>
      <c r="B2567" s="3">
        <f t="shared" si="160"/>
        <v>2025</v>
      </c>
      <c r="C2567" s="3">
        <f t="shared" si="161"/>
        <v>11</v>
      </c>
      <c r="D2567" s="73" t="s">
        <v>893</v>
      </c>
      <c r="E2567" s="2"/>
      <c r="F2567" s="2" t="s">
        <v>304</v>
      </c>
      <c r="G2567" s="2" t="s">
        <v>1008</v>
      </c>
      <c r="H2567" s="2" t="s">
        <v>1007</v>
      </c>
      <c r="I2567" s="1" t="s">
        <v>316</v>
      </c>
      <c r="J2567" s="2" t="s">
        <v>17</v>
      </c>
      <c r="K2567" s="72">
        <v>35.450000000000003</v>
      </c>
      <c r="L2567" s="39"/>
      <c r="M2567" s="72">
        <f t="shared" si="162"/>
        <v>-35.450000000000003</v>
      </c>
      <c r="N2567" s="72">
        <f t="shared" si="163"/>
        <v>496539.13999999926</v>
      </c>
    </row>
    <row r="2568" spans="1:14" x14ac:dyDescent="0.2">
      <c r="A2568" s="73" t="s">
        <v>1482</v>
      </c>
      <c r="B2568" s="3">
        <f t="shared" si="160"/>
        <v>2025</v>
      </c>
      <c r="C2568" s="3">
        <f t="shared" si="161"/>
        <v>11</v>
      </c>
      <c r="D2568" s="73" t="s">
        <v>893</v>
      </c>
      <c r="E2568" s="2"/>
      <c r="F2568" s="2" t="s">
        <v>304</v>
      </c>
      <c r="G2568" s="2" t="s">
        <v>1008</v>
      </c>
      <c r="H2568" s="2" t="s">
        <v>1007</v>
      </c>
      <c r="I2568" s="1" t="s">
        <v>316</v>
      </c>
      <c r="J2568" s="2" t="s">
        <v>17</v>
      </c>
      <c r="K2568" s="72">
        <v>31.04</v>
      </c>
      <c r="L2568" s="39"/>
      <c r="M2568" s="72">
        <f t="shared" si="162"/>
        <v>-31.04</v>
      </c>
      <c r="N2568" s="72">
        <f t="shared" si="163"/>
        <v>496508.09999999928</v>
      </c>
    </row>
    <row r="2569" spans="1:14" x14ac:dyDescent="0.2">
      <c r="A2569" s="73" t="s">
        <v>1482</v>
      </c>
      <c r="B2569" s="3">
        <f t="shared" si="160"/>
        <v>2025</v>
      </c>
      <c r="C2569" s="3">
        <f t="shared" si="161"/>
        <v>11</v>
      </c>
      <c r="D2569" s="73" t="s">
        <v>893</v>
      </c>
      <c r="E2569" s="2"/>
      <c r="F2569" s="2" t="s">
        <v>304</v>
      </c>
      <c r="G2569" s="2" t="s">
        <v>1008</v>
      </c>
      <c r="H2569" s="2" t="s">
        <v>1007</v>
      </c>
      <c r="I2569" s="1" t="s">
        <v>316</v>
      </c>
      <c r="J2569" s="2" t="s">
        <v>17</v>
      </c>
      <c r="K2569" s="72">
        <v>39.4</v>
      </c>
      <c r="L2569" s="39"/>
      <c r="M2569" s="72">
        <f t="shared" si="162"/>
        <v>-39.4</v>
      </c>
      <c r="N2569" s="72">
        <f t="shared" si="163"/>
        <v>496468.69999999925</v>
      </c>
    </row>
    <row r="2570" spans="1:14" x14ac:dyDescent="0.2">
      <c r="A2570" s="73" t="s">
        <v>1482</v>
      </c>
      <c r="B2570" s="3">
        <f t="shared" si="160"/>
        <v>2025</v>
      </c>
      <c r="C2570" s="3">
        <f t="shared" si="161"/>
        <v>11</v>
      </c>
      <c r="D2570" s="73" t="s">
        <v>893</v>
      </c>
      <c r="E2570" s="2"/>
      <c r="F2570" s="2" t="s">
        <v>304</v>
      </c>
      <c r="G2570" s="2" t="s">
        <v>1008</v>
      </c>
      <c r="H2570" s="2" t="s">
        <v>1007</v>
      </c>
      <c r="I2570" s="1" t="s">
        <v>316</v>
      </c>
      <c r="J2570" s="2" t="s">
        <v>17</v>
      </c>
      <c r="K2570" s="72">
        <v>31.04</v>
      </c>
      <c r="L2570" s="39"/>
      <c r="M2570" s="72">
        <f t="shared" si="162"/>
        <v>-31.04</v>
      </c>
      <c r="N2570" s="72">
        <f t="shared" si="163"/>
        <v>496437.65999999928</v>
      </c>
    </row>
    <row r="2571" spans="1:14" x14ac:dyDescent="0.2">
      <c r="A2571" s="73" t="s">
        <v>1482</v>
      </c>
      <c r="B2571" s="3">
        <f t="shared" si="160"/>
        <v>2025</v>
      </c>
      <c r="C2571" s="3">
        <f t="shared" si="161"/>
        <v>11</v>
      </c>
      <c r="D2571" s="73" t="s">
        <v>893</v>
      </c>
      <c r="E2571" s="2"/>
      <c r="F2571" s="2" t="s">
        <v>304</v>
      </c>
      <c r="G2571" s="2" t="s">
        <v>1008</v>
      </c>
      <c r="H2571" s="2" t="s">
        <v>1007</v>
      </c>
      <c r="I2571" s="1" t="s">
        <v>316</v>
      </c>
      <c r="J2571" s="2" t="s">
        <v>17</v>
      </c>
      <c r="K2571" s="72">
        <v>32.4</v>
      </c>
      <c r="L2571" s="39"/>
      <c r="M2571" s="72">
        <f t="shared" si="162"/>
        <v>-32.4</v>
      </c>
      <c r="N2571" s="72">
        <f t="shared" si="163"/>
        <v>496405.25999999925</v>
      </c>
    </row>
    <row r="2572" spans="1:14" x14ac:dyDescent="0.2">
      <c r="A2572" s="73" t="s">
        <v>1482</v>
      </c>
      <c r="B2572" s="3">
        <f t="shared" si="160"/>
        <v>2025</v>
      </c>
      <c r="C2572" s="3">
        <f t="shared" si="161"/>
        <v>11</v>
      </c>
      <c r="D2572" s="73" t="s">
        <v>893</v>
      </c>
      <c r="E2572" s="2"/>
      <c r="F2572" s="2" t="s">
        <v>304</v>
      </c>
      <c r="G2572" s="2" t="s">
        <v>1008</v>
      </c>
      <c r="H2572" s="2" t="s">
        <v>1007</v>
      </c>
      <c r="I2572" s="1" t="s">
        <v>316</v>
      </c>
      <c r="J2572" s="2" t="s">
        <v>17</v>
      </c>
      <c r="K2572" s="72">
        <v>31.48</v>
      </c>
      <c r="L2572" s="39"/>
      <c r="M2572" s="72">
        <f t="shared" si="162"/>
        <v>-31.48</v>
      </c>
      <c r="N2572" s="72">
        <f t="shared" si="163"/>
        <v>496373.77999999927</v>
      </c>
    </row>
    <row r="2573" spans="1:14" x14ac:dyDescent="0.2">
      <c r="A2573" s="73" t="s">
        <v>1482</v>
      </c>
      <c r="B2573" s="3">
        <f t="shared" si="160"/>
        <v>2025</v>
      </c>
      <c r="C2573" s="3">
        <f t="shared" si="161"/>
        <v>11</v>
      </c>
      <c r="D2573" s="73" t="s">
        <v>893</v>
      </c>
      <c r="E2573" s="2"/>
      <c r="F2573" s="2" t="s">
        <v>304</v>
      </c>
      <c r="G2573" s="2" t="s">
        <v>1008</v>
      </c>
      <c r="H2573" s="2" t="s">
        <v>1007</v>
      </c>
      <c r="I2573" s="1" t="s">
        <v>316</v>
      </c>
      <c r="J2573" s="2" t="s">
        <v>17</v>
      </c>
      <c r="K2573" s="72">
        <v>30.93</v>
      </c>
      <c r="L2573" s="39"/>
      <c r="M2573" s="72">
        <f t="shared" si="162"/>
        <v>-30.93</v>
      </c>
      <c r="N2573" s="72">
        <f t="shared" si="163"/>
        <v>496342.84999999928</v>
      </c>
    </row>
    <row r="2574" spans="1:14" x14ac:dyDescent="0.2">
      <c r="A2574" s="73" t="s">
        <v>1482</v>
      </c>
      <c r="B2574" s="3">
        <f t="shared" si="160"/>
        <v>2025</v>
      </c>
      <c r="C2574" s="3">
        <f t="shared" si="161"/>
        <v>11</v>
      </c>
      <c r="D2574" s="73" t="s">
        <v>893</v>
      </c>
      <c r="E2574" s="2"/>
      <c r="F2574" s="2" t="s">
        <v>304</v>
      </c>
      <c r="G2574" s="2" t="s">
        <v>1322</v>
      </c>
      <c r="H2574" s="2" t="s">
        <v>1530</v>
      </c>
      <c r="I2574" s="2" t="s">
        <v>316</v>
      </c>
      <c r="J2574" s="2" t="s">
        <v>28</v>
      </c>
      <c r="K2574" s="72">
        <v>2590.56</v>
      </c>
      <c r="L2574" s="39"/>
      <c r="M2574" s="72">
        <f t="shared" si="162"/>
        <v>-2590.56</v>
      </c>
      <c r="N2574" s="72">
        <f t="shared" si="163"/>
        <v>493752.28999999928</v>
      </c>
    </row>
    <row r="2575" spans="1:14" x14ac:dyDescent="0.2">
      <c r="A2575" s="73" t="s">
        <v>1482</v>
      </c>
      <c r="B2575" s="3">
        <f t="shared" si="160"/>
        <v>2025</v>
      </c>
      <c r="C2575" s="3">
        <f t="shared" si="161"/>
        <v>11</v>
      </c>
      <c r="D2575" s="73" t="s">
        <v>893</v>
      </c>
      <c r="E2575" s="2"/>
      <c r="F2575" s="2" t="s">
        <v>304</v>
      </c>
      <c r="G2575" s="2" t="s">
        <v>1012</v>
      </c>
      <c r="H2575" s="2" t="s">
        <v>1007</v>
      </c>
      <c r="I2575" s="1" t="s">
        <v>316</v>
      </c>
      <c r="J2575" s="2" t="s">
        <v>17</v>
      </c>
      <c r="K2575" s="72">
        <v>5.3</v>
      </c>
      <c r="L2575" s="39"/>
      <c r="M2575" s="72">
        <f t="shared" si="162"/>
        <v>-5.3</v>
      </c>
      <c r="N2575" s="72">
        <f t="shared" si="163"/>
        <v>493746.98999999929</v>
      </c>
    </row>
    <row r="2576" spans="1:14" x14ac:dyDescent="0.2">
      <c r="A2576" s="73" t="s">
        <v>1482</v>
      </c>
      <c r="B2576" s="3">
        <f t="shared" si="160"/>
        <v>2025</v>
      </c>
      <c r="C2576" s="3">
        <f t="shared" si="161"/>
        <v>11</v>
      </c>
      <c r="D2576" s="73" t="s">
        <v>893</v>
      </c>
      <c r="E2576" s="2"/>
      <c r="F2576" s="2" t="s">
        <v>304</v>
      </c>
      <c r="G2576" s="2" t="s">
        <v>995</v>
      </c>
      <c r="H2576" s="2" t="s">
        <v>992</v>
      </c>
      <c r="I2576" s="2" t="s">
        <v>316</v>
      </c>
      <c r="J2576" s="2" t="s">
        <v>22</v>
      </c>
      <c r="K2576" s="72">
        <v>89.8</v>
      </c>
      <c r="L2576" s="39"/>
      <c r="M2576" s="72">
        <f t="shared" si="162"/>
        <v>-89.8</v>
      </c>
      <c r="N2576" s="72">
        <f t="shared" si="163"/>
        <v>493657.1899999993</v>
      </c>
    </row>
    <row r="2577" spans="1:14" x14ac:dyDescent="0.2">
      <c r="A2577" s="73" t="s">
        <v>1482</v>
      </c>
      <c r="B2577" s="3">
        <f t="shared" si="160"/>
        <v>2025</v>
      </c>
      <c r="C2577" s="3">
        <f t="shared" si="161"/>
        <v>11</v>
      </c>
      <c r="D2577" s="73" t="s">
        <v>300</v>
      </c>
      <c r="E2577" s="2"/>
      <c r="F2577" s="2" t="s">
        <v>304</v>
      </c>
      <c r="G2577" s="2" t="s">
        <v>327</v>
      </c>
      <c r="H2577" s="2" t="s">
        <v>326</v>
      </c>
      <c r="I2577" s="2" t="s">
        <v>316</v>
      </c>
      <c r="J2577" s="2" t="s">
        <v>18</v>
      </c>
      <c r="K2577" s="72">
        <v>1332.89</v>
      </c>
      <c r="L2577" s="39"/>
      <c r="M2577" s="72">
        <f t="shared" si="162"/>
        <v>-1332.89</v>
      </c>
      <c r="N2577" s="72">
        <f t="shared" si="163"/>
        <v>492324.29999999929</v>
      </c>
    </row>
    <row r="2578" spans="1:14" x14ac:dyDescent="0.2">
      <c r="A2578" s="73" t="s">
        <v>1482</v>
      </c>
      <c r="B2578" s="3">
        <f t="shared" si="160"/>
        <v>2025</v>
      </c>
      <c r="C2578" s="3">
        <f t="shared" si="161"/>
        <v>11</v>
      </c>
      <c r="D2578" s="73" t="s">
        <v>300</v>
      </c>
      <c r="E2578" s="2"/>
      <c r="F2578" s="2" t="s">
        <v>299</v>
      </c>
      <c r="G2578" s="2"/>
      <c r="H2578" s="2" t="s">
        <v>298</v>
      </c>
      <c r="I2578" s="2" t="s">
        <v>297</v>
      </c>
      <c r="J2578" s="2" t="s">
        <v>296</v>
      </c>
      <c r="K2578" s="72"/>
      <c r="L2578" s="39">
        <v>1332.89</v>
      </c>
      <c r="M2578" s="72">
        <f t="shared" si="162"/>
        <v>1332.89</v>
      </c>
      <c r="N2578" s="72">
        <f t="shared" si="163"/>
        <v>493657.1899999993</v>
      </c>
    </row>
    <row r="2579" spans="1:14" x14ac:dyDescent="0.2">
      <c r="A2579" s="73" t="s">
        <v>1483</v>
      </c>
      <c r="B2579" s="3">
        <f t="shared" si="160"/>
        <v>2025</v>
      </c>
      <c r="C2579" s="3">
        <f t="shared" si="161"/>
        <v>11</v>
      </c>
      <c r="D2579" s="73" t="s">
        <v>893</v>
      </c>
      <c r="E2579" s="2"/>
      <c r="F2579" s="2" t="s">
        <v>304</v>
      </c>
      <c r="G2579" s="2" t="s">
        <v>1008</v>
      </c>
      <c r="H2579" s="2" t="s">
        <v>1007</v>
      </c>
      <c r="I2579" s="1" t="s">
        <v>316</v>
      </c>
      <c r="J2579" s="2" t="s">
        <v>17</v>
      </c>
      <c r="K2579" s="72">
        <v>31.88</v>
      </c>
      <c r="L2579" s="39"/>
      <c r="M2579" s="72">
        <f t="shared" si="162"/>
        <v>-31.88</v>
      </c>
      <c r="N2579" s="72">
        <f t="shared" si="163"/>
        <v>493625.3099999993</v>
      </c>
    </row>
    <row r="2580" spans="1:14" x14ac:dyDescent="0.2">
      <c r="A2580" s="73" t="s">
        <v>1483</v>
      </c>
      <c r="B2580" s="3">
        <f t="shared" si="160"/>
        <v>2025</v>
      </c>
      <c r="C2580" s="3">
        <f t="shared" si="161"/>
        <v>11</v>
      </c>
      <c r="D2580" s="73" t="s">
        <v>893</v>
      </c>
      <c r="E2580" s="2"/>
      <c r="F2580" s="2" t="s">
        <v>304</v>
      </c>
      <c r="G2580" s="2" t="s">
        <v>1008</v>
      </c>
      <c r="H2580" s="2" t="s">
        <v>1007</v>
      </c>
      <c r="I2580" s="1" t="s">
        <v>316</v>
      </c>
      <c r="J2580" s="2" t="s">
        <v>17</v>
      </c>
      <c r="K2580" s="72">
        <v>32.78</v>
      </c>
      <c r="L2580" s="39"/>
      <c r="M2580" s="72">
        <f t="shared" si="162"/>
        <v>-32.78</v>
      </c>
      <c r="N2580" s="72">
        <f t="shared" si="163"/>
        <v>493592.52999999927</v>
      </c>
    </row>
    <row r="2581" spans="1:14" x14ac:dyDescent="0.2">
      <c r="A2581" s="73" t="s">
        <v>1483</v>
      </c>
      <c r="B2581" s="3">
        <f t="shared" si="160"/>
        <v>2025</v>
      </c>
      <c r="C2581" s="3">
        <f t="shared" si="161"/>
        <v>11</v>
      </c>
      <c r="D2581" s="73" t="s">
        <v>893</v>
      </c>
      <c r="E2581" s="2"/>
      <c r="F2581" s="2" t="s">
        <v>304</v>
      </c>
      <c r="G2581" s="2" t="s">
        <v>1008</v>
      </c>
      <c r="H2581" s="2" t="s">
        <v>1007</v>
      </c>
      <c r="I2581" s="1" t="s">
        <v>316</v>
      </c>
      <c r="J2581" s="2" t="s">
        <v>17</v>
      </c>
      <c r="K2581" s="72">
        <v>31.58</v>
      </c>
      <c r="L2581" s="39"/>
      <c r="M2581" s="72">
        <f t="shared" si="162"/>
        <v>-31.58</v>
      </c>
      <c r="N2581" s="72">
        <f t="shared" si="163"/>
        <v>493560.94999999925</v>
      </c>
    </row>
    <row r="2582" spans="1:14" x14ac:dyDescent="0.2">
      <c r="A2582" s="73" t="s">
        <v>1483</v>
      </c>
      <c r="B2582" s="3">
        <f t="shared" si="160"/>
        <v>2025</v>
      </c>
      <c r="C2582" s="3">
        <f t="shared" si="161"/>
        <v>11</v>
      </c>
      <c r="D2582" s="73" t="s">
        <v>893</v>
      </c>
      <c r="E2582" s="2"/>
      <c r="F2582" s="2" t="s">
        <v>304</v>
      </c>
      <c r="G2582" s="2" t="s">
        <v>1008</v>
      </c>
      <c r="H2582" s="2" t="s">
        <v>1007</v>
      </c>
      <c r="I2582" s="1" t="s">
        <v>316</v>
      </c>
      <c r="J2582" s="2" t="s">
        <v>17</v>
      </c>
      <c r="K2582" s="72">
        <v>32.869999999999997</v>
      </c>
      <c r="L2582" s="39"/>
      <c r="M2582" s="72">
        <f t="shared" si="162"/>
        <v>-32.869999999999997</v>
      </c>
      <c r="N2582" s="72">
        <f t="shared" si="163"/>
        <v>493528.07999999926</v>
      </c>
    </row>
    <row r="2583" spans="1:14" x14ac:dyDescent="0.2">
      <c r="A2583" s="73" t="s">
        <v>1483</v>
      </c>
      <c r="B2583" s="3">
        <f t="shared" si="160"/>
        <v>2025</v>
      </c>
      <c r="C2583" s="3">
        <f t="shared" si="161"/>
        <v>11</v>
      </c>
      <c r="D2583" s="73" t="s">
        <v>893</v>
      </c>
      <c r="E2583" s="2"/>
      <c r="F2583" s="2" t="s">
        <v>304</v>
      </c>
      <c r="G2583" s="2" t="s">
        <v>1008</v>
      </c>
      <c r="H2583" s="2" t="s">
        <v>1007</v>
      </c>
      <c r="I2583" s="1" t="s">
        <v>316</v>
      </c>
      <c r="J2583" s="2" t="s">
        <v>17</v>
      </c>
      <c r="K2583" s="72">
        <v>31.16</v>
      </c>
      <c r="L2583" s="39"/>
      <c r="M2583" s="72">
        <f t="shared" si="162"/>
        <v>-31.16</v>
      </c>
      <c r="N2583" s="72">
        <f t="shared" si="163"/>
        <v>493496.91999999929</v>
      </c>
    </row>
    <row r="2584" spans="1:14" x14ac:dyDescent="0.2">
      <c r="A2584" s="73" t="s">
        <v>1483</v>
      </c>
      <c r="B2584" s="3">
        <f t="shared" si="160"/>
        <v>2025</v>
      </c>
      <c r="C2584" s="3">
        <f t="shared" si="161"/>
        <v>11</v>
      </c>
      <c r="D2584" s="73" t="s">
        <v>300</v>
      </c>
      <c r="E2584" s="2"/>
      <c r="F2584" s="2" t="s">
        <v>304</v>
      </c>
      <c r="G2584" s="2" t="s">
        <v>334</v>
      </c>
      <c r="H2584" s="2" t="s">
        <v>333</v>
      </c>
      <c r="I2584" s="2" t="s">
        <v>301</v>
      </c>
      <c r="J2584" s="2" t="s">
        <v>11</v>
      </c>
      <c r="K2584" s="72">
        <v>1452.72</v>
      </c>
      <c r="L2584" s="39"/>
      <c r="M2584" s="72">
        <f t="shared" si="162"/>
        <v>-1452.72</v>
      </c>
      <c r="N2584" s="72">
        <f t="shared" si="163"/>
        <v>492044.19999999931</v>
      </c>
    </row>
    <row r="2585" spans="1:14" x14ac:dyDescent="0.2">
      <c r="A2585" s="73" t="s">
        <v>1483</v>
      </c>
      <c r="B2585" s="3">
        <f t="shared" si="160"/>
        <v>2025</v>
      </c>
      <c r="C2585" s="3">
        <f t="shared" si="161"/>
        <v>11</v>
      </c>
      <c r="D2585" s="73" t="s">
        <v>893</v>
      </c>
      <c r="E2585" s="2"/>
      <c r="F2585" s="2" t="s">
        <v>304</v>
      </c>
      <c r="G2585" s="2" t="s">
        <v>1021</v>
      </c>
      <c r="H2585" s="2" t="s">
        <v>1007</v>
      </c>
      <c r="I2585" s="1" t="s">
        <v>316</v>
      </c>
      <c r="J2585" s="2" t="s">
        <v>17</v>
      </c>
      <c r="K2585" s="72">
        <v>44</v>
      </c>
      <c r="L2585" s="39"/>
      <c r="M2585" s="72">
        <f t="shared" si="162"/>
        <v>-44</v>
      </c>
      <c r="N2585" s="72">
        <f t="shared" si="163"/>
        <v>492000.19999999931</v>
      </c>
    </row>
    <row r="2586" spans="1:14" x14ac:dyDescent="0.2">
      <c r="A2586" s="73" t="s">
        <v>1483</v>
      </c>
      <c r="B2586" s="3">
        <f t="shared" si="160"/>
        <v>2025</v>
      </c>
      <c r="C2586" s="3">
        <f t="shared" si="161"/>
        <v>11</v>
      </c>
      <c r="D2586" s="73" t="s">
        <v>300</v>
      </c>
      <c r="E2586" s="2"/>
      <c r="F2586" s="2" t="s">
        <v>299</v>
      </c>
      <c r="G2586" s="2"/>
      <c r="H2586" s="2" t="s">
        <v>298</v>
      </c>
      <c r="I2586" s="2" t="s">
        <v>297</v>
      </c>
      <c r="J2586" s="2" t="s">
        <v>296</v>
      </c>
      <c r="K2586" s="72"/>
      <c r="L2586" s="39">
        <v>1452.72</v>
      </c>
      <c r="M2586" s="72">
        <f t="shared" si="162"/>
        <v>1452.72</v>
      </c>
      <c r="N2586" s="72">
        <f t="shared" si="163"/>
        <v>493452.91999999929</v>
      </c>
    </row>
    <row r="2587" spans="1:14" x14ac:dyDescent="0.2">
      <c r="A2587" s="73" t="s">
        <v>1484</v>
      </c>
      <c r="B2587" s="3">
        <f t="shared" si="160"/>
        <v>2025</v>
      </c>
      <c r="C2587" s="3">
        <f t="shared" si="161"/>
        <v>11</v>
      </c>
      <c r="D2587" s="73" t="s">
        <v>300</v>
      </c>
      <c r="E2587" s="2"/>
      <c r="F2587" s="2" t="s">
        <v>304</v>
      </c>
      <c r="G2587" s="2" t="s">
        <v>336</v>
      </c>
      <c r="H2587" s="2" t="s">
        <v>766</v>
      </c>
      <c r="I2587" s="2" t="s">
        <v>301</v>
      </c>
      <c r="J2587" s="2" t="s">
        <v>11</v>
      </c>
      <c r="K2587" s="72">
        <v>4.3899999999999997</v>
      </c>
      <c r="L2587" s="39"/>
      <c r="M2587" s="72">
        <f t="shared" si="162"/>
        <v>-4.3899999999999997</v>
      </c>
      <c r="N2587" s="72">
        <f t="shared" si="163"/>
        <v>493448.52999999927</v>
      </c>
    </row>
    <row r="2588" spans="1:14" x14ac:dyDescent="0.2">
      <c r="A2588" s="73" t="s">
        <v>1484</v>
      </c>
      <c r="B2588" s="3">
        <f t="shared" si="160"/>
        <v>2025</v>
      </c>
      <c r="C2588" s="3">
        <f t="shared" si="161"/>
        <v>11</v>
      </c>
      <c r="D2588" s="73" t="s">
        <v>893</v>
      </c>
      <c r="E2588" s="2"/>
      <c r="F2588" s="2" t="s">
        <v>304</v>
      </c>
      <c r="G2588" s="2" t="s">
        <v>1322</v>
      </c>
      <c r="H2588" s="2" t="s">
        <v>1530</v>
      </c>
      <c r="I2588" s="2" t="s">
        <v>316</v>
      </c>
      <c r="J2588" s="2" t="s">
        <v>28</v>
      </c>
      <c r="K2588" s="72">
        <v>943.8</v>
      </c>
      <c r="L2588" s="39"/>
      <c r="M2588" s="72">
        <f t="shared" si="162"/>
        <v>-943.8</v>
      </c>
      <c r="N2588" s="72">
        <f t="shared" si="163"/>
        <v>492504.72999999928</v>
      </c>
    </row>
    <row r="2589" spans="1:14" x14ac:dyDescent="0.2">
      <c r="A2589" s="73" t="s">
        <v>1484</v>
      </c>
      <c r="B2589" s="3">
        <f t="shared" si="160"/>
        <v>2025</v>
      </c>
      <c r="C2589" s="3">
        <f t="shared" si="161"/>
        <v>11</v>
      </c>
      <c r="D2589" s="73" t="s">
        <v>300</v>
      </c>
      <c r="E2589" s="2"/>
      <c r="F2589" s="2" t="s">
        <v>325</v>
      </c>
      <c r="G2589" s="2" t="s">
        <v>473</v>
      </c>
      <c r="H2589" s="2" t="s">
        <v>323</v>
      </c>
      <c r="I2589" s="2" t="s">
        <v>350</v>
      </c>
      <c r="J2589" s="2" t="s">
        <v>353</v>
      </c>
      <c r="K2589" s="72">
        <v>4471.5</v>
      </c>
      <c r="L2589" s="39"/>
      <c r="M2589" s="72">
        <f t="shared" si="162"/>
        <v>-4471.5</v>
      </c>
      <c r="N2589" s="72">
        <f t="shared" si="163"/>
        <v>488033.22999999928</v>
      </c>
    </row>
    <row r="2590" spans="1:14" x14ac:dyDescent="0.2">
      <c r="A2590" s="73" t="s">
        <v>1484</v>
      </c>
      <c r="B2590" s="3">
        <f t="shared" si="160"/>
        <v>2025</v>
      </c>
      <c r="C2590" s="3">
        <f t="shared" si="161"/>
        <v>11</v>
      </c>
      <c r="D2590" s="73" t="s">
        <v>300</v>
      </c>
      <c r="E2590" s="2"/>
      <c r="F2590" s="2" t="s">
        <v>325</v>
      </c>
      <c r="G2590" s="2" t="s">
        <v>473</v>
      </c>
      <c r="H2590" s="2" t="s">
        <v>323</v>
      </c>
      <c r="I2590" s="2" t="s">
        <v>350</v>
      </c>
      <c r="J2590" s="2" t="s">
        <v>353</v>
      </c>
      <c r="K2590" s="72">
        <v>2032.5</v>
      </c>
      <c r="L2590" s="39"/>
      <c r="M2590" s="72">
        <f t="shared" si="162"/>
        <v>-2032.5</v>
      </c>
      <c r="N2590" s="72">
        <f t="shared" si="163"/>
        <v>486000.72999999928</v>
      </c>
    </row>
    <row r="2591" spans="1:14" x14ac:dyDescent="0.2">
      <c r="A2591" s="73" t="s">
        <v>1484</v>
      </c>
      <c r="B2591" s="3">
        <f t="shared" si="160"/>
        <v>2025</v>
      </c>
      <c r="C2591" s="3">
        <f t="shared" si="161"/>
        <v>11</v>
      </c>
      <c r="D2591" s="73" t="s">
        <v>893</v>
      </c>
      <c r="E2591" s="2"/>
      <c r="F2591" s="2" t="s">
        <v>304</v>
      </c>
      <c r="G2591" s="2" t="s">
        <v>1320</v>
      </c>
      <c r="H2591" s="2" t="s">
        <v>1007</v>
      </c>
      <c r="I2591" s="1" t="s">
        <v>316</v>
      </c>
      <c r="J2591" s="2" t="s">
        <v>17</v>
      </c>
      <c r="K2591" s="72">
        <v>361.74</v>
      </c>
      <c r="L2591" s="39"/>
      <c r="M2591" s="72">
        <f t="shared" si="162"/>
        <v>-361.74</v>
      </c>
      <c r="N2591" s="72">
        <f t="shared" si="163"/>
        <v>485638.98999999929</v>
      </c>
    </row>
    <row r="2592" spans="1:14" x14ac:dyDescent="0.2">
      <c r="A2592" s="73" t="s">
        <v>1484</v>
      </c>
      <c r="B2592" s="3">
        <f t="shared" si="160"/>
        <v>2025</v>
      </c>
      <c r="C2592" s="3">
        <f t="shared" si="161"/>
        <v>11</v>
      </c>
      <c r="D2592" s="73" t="s">
        <v>300</v>
      </c>
      <c r="E2592" s="2"/>
      <c r="F2592" s="2" t="s">
        <v>321</v>
      </c>
      <c r="G2592" s="2" t="s">
        <v>1493</v>
      </c>
      <c r="H2592" s="2" t="s">
        <v>319</v>
      </c>
      <c r="I2592" s="2" t="s">
        <v>315</v>
      </c>
      <c r="J2592" s="2" t="s">
        <v>23</v>
      </c>
      <c r="K2592" s="72"/>
      <c r="L2592" s="39">
        <v>100000</v>
      </c>
      <c r="M2592" s="72">
        <f t="shared" si="162"/>
        <v>100000</v>
      </c>
      <c r="N2592" s="72">
        <f t="shared" si="163"/>
        <v>585638.98999999929</v>
      </c>
    </row>
    <row r="2593" spans="1:14" x14ac:dyDescent="0.2">
      <c r="A2593" s="73" t="s">
        <v>1484</v>
      </c>
      <c r="B2593" s="3">
        <f t="shared" si="160"/>
        <v>2025</v>
      </c>
      <c r="C2593" s="3">
        <f t="shared" si="161"/>
        <v>11</v>
      </c>
      <c r="D2593" s="73" t="s">
        <v>893</v>
      </c>
      <c r="E2593" s="2"/>
      <c r="F2593" s="2" t="s">
        <v>304</v>
      </c>
      <c r="G2593" s="2" t="s">
        <v>900</v>
      </c>
      <c r="H2593" s="2" t="s">
        <v>901</v>
      </c>
      <c r="I2593" s="1" t="s">
        <v>316</v>
      </c>
      <c r="J2593" s="2" t="s">
        <v>17</v>
      </c>
      <c r="K2593" s="72">
        <v>20</v>
      </c>
      <c r="L2593" s="39"/>
      <c r="M2593" s="72">
        <f t="shared" si="162"/>
        <v>-20</v>
      </c>
      <c r="N2593" s="72">
        <f t="shared" si="163"/>
        <v>585618.98999999929</v>
      </c>
    </row>
    <row r="2594" spans="1:14" x14ac:dyDescent="0.2">
      <c r="A2594" s="73" t="s">
        <v>1484</v>
      </c>
      <c r="B2594" s="3">
        <f t="shared" si="160"/>
        <v>2025</v>
      </c>
      <c r="C2594" s="3">
        <f t="shared" si="161"/>
        <v>11</v>
      </c>
      <c r="D2594" s="73" t="s">
        <v>893</v>
      </c>
      <c r="E2594" s="2"/>
      <c r="F2594" s="2" t="s">
        <v>304</v>
      </c>
      <c r="G2594" s="2" t="s">
        <v>1531</v>
      </c>
      <c r="H2594" s="2" t="s">
        <v>1007</v>
      </c>
      <c r="I2594" s="1" t="s">
        <v>316</v>
      </c>
      <c r="J2594" s="2" t="s">
        <v>17</v>
      </c>
      <c r="K2594" s="72">
        <v>25</v>
      </c>
      <c r="L2594" s="39"/>
      <c r="M2594" s="72">
        <f t="shared" si="162"/>
        <v>-25</v>
      </c>
      <c r="N2594" s="72">
        <f t="shared" si="163"/>
        <v>585593.98999999929</v>
      </c>
    </row>
    <row r="2595" spans="1:14" x14ac:dyDescent="0.2">
      <c r="A2595" s="73" t="s">
        <v>1484</v>
      </c>
      <c r="B2595" s="3">
        <f t="shared" si="160"/>
        <v>2025</v>
      </c>
      <c r="C2595" s="3">
        <f t="shared" si="161"/>
        <v>11</v>
      </c>
      <c r="D2595" s="73" t="s">
        <v>300</v>
      </c>
      <c r="E2595" s="2"/>
      <c r="F2595" s="2" t="s">
        <v>304</v>
      </c>
      <c r="G2595" s="2" t="s">
        <v>327</v>
      </c>
      <c r="H2595" s="2" t="s">
        <v>326</v>
      </c>
      <c r="I2595" s="2" t="s">
        <v>316</v>
      </c>
      <c r="J2595" s="2" t="s">
        <v>18</v>
      </c>
      <c r="K2595" s="72">
        <v>450.35</v>
      </c>
      <c r="L2595" s="39"/>
      <c r="M2595" s="72">
        <f t="shared" si="162"/>
        <v>-450.35</v>
      </c>
      <c r="N2595" s="72">
        <f t="shared" si="163"/>
        <v>585143.63999999932</v>
      </c>
    </row>
    <row r="2596" spans="1:14" x14ac:dyDescent="0.2">
      <c r="A2596" s="73" t="s">
        <v>1484</v>
      </c>
      <c r="B2596" s="3">
        <f t="shared" si="160"/>
        <v>2025</v>
      </c>
      <c r="C2596" s="3">
        <f t="shared" si="161"/>
        <v>11</v>
      </c>
      <c r="D2596" s="73" t="s">
        <v>300</v>
      </c>
      <c r="E2596" s="2"/>
      <c r="F2596" s="2" t="s">
        <v>321</v>
      </c>
      <c r="G2596" s="2" t="s">
        <v>1134</v>
      </c>
      <c r="H2596" s="2" t="s">
        <v>319</v>
      </c>
      <c r="I2596" s="2" t="s">
        <v>315</v>
      </c>
      <c r="J2596" s="2" t="s">
        <v>23</v>
      </c>
      <c r="K2596" s="72"/>
      <c r="L2596" s="39">
        <v>24777.599999999999</v>
      </c>
      <c r="M2596" s="72">
        <f t="shared" si="162"/>
        <v>24777.599999999999</v>
      </c>
      <c r="N2596" s="72">
        <f t="shared" si="163"/>
        <v>609921.23999999929</v>
      </c>
    </row>
    <row r="2597" spans="1:14" x14ac:dyDescent="0.2">
      <c r="A2597" s="73" t="s">
        <v>1484</v>
      </c>
      <c r="B2597" s="3">
        <f t="shared" si="160"/>
        <v>2025</v>
      </c>
      <c r="C2597" s="3">
        <f t="shared" si="161"/>
        <v>11</v>
      </c>
      <c r="D2597" s="73" t="s">
        <v>893</v>
      </c>
      <c r="E2597" s="2"/>
      <c r="F2597" s="2" t="s">
        <v>304</v>
      </c>
      <c r="G2597" s="2" t="s">
        <v>1026</v>
      </c>
      <c r="H2597" s="2" t="s">
        <v>1007</v>
      </c>
      <c r="I2597" s="1" t="s">
        <v>316</v>
      </c>
      <c r="J2597" s="2" t="s">
        <v>17</v>
      </c>
      <c r="K2597" s="72">
        <v>17.5</v>
      </c>
      <c r="L2597" s="39"/>
      <c r="M2597" s="72">
        <f t="shared" si="162"/>
        <v>-17.5</v>
      </c>
      <c r="N2597" s="72">
        <f t="shared" si="163"/>
        <v>609903.73999999929</v>
      </c>
    </row>
    <row r="2598" spans="1:14" x14ac:dyDescent="0.2">
      <c r="A2598" s="73" t="s">
        <v>1484</v>
      </c>
      <c r="B2598" s="3">
        <f t="shared" si="160"/>
        <v>2025</v>
      </c>
      <c r="C2598" s="3">
        <f t="shared" si="161"/>
        <v>11</v>
      </c>
      <c r="D2598" s="73" t="s">
        <v>300</v>
      </c>
      <c r="E2598" s="2"/>
      <c r="F2598" s="2" t="s">
        <v>299</v>
      </c>
      <c r="G2598" s="2"/>
      <c r="H2598" s="2" t="s">
        <v>298</v>
      </c>
      <c r="I2598" s="2" t="s">
        <v>297</v>
      </c>
      <c r="J2598" s="2" t="s">
        <v>296</v>
      </c>
      <c r="K2598" s="72">
        <v>117818.86</v>
      </c>
      <c r="L2598" s="39"/>
      <c r="M2598" s="72">
        <f t="shared" si="162"/>
        <v>-117818.86</v>
      </c>
      <c r="N2598" s="72">
        <f t="shared" si="163"/>
        <v>492084.87999999931</v>
      </c>
    </row>
    <row r="2599" spans="1:14" x14ac:dyDescent="0.2">
      <c r="A2599" s="73" t="s">
        <v>1501</v>
      </c>
      <c r="B2599" s="3">
        <f t="shared" si="160"/>
        <v>2025</v>
      </c>
      <c r="C2599" s="3">
        <f t="shared" si="161"/>
        <v>11</v>
      </c>
      <c r="D2599" s="73" t="s">
        <v>893</v>
      </c>
      <c r="E2599" s="2"/>
      <c r="F2599" s="2" t="s">
        <v>304</v>
      </c>
      <c r="G2599" s="2" t="s">
        <v>1008</v>
      </c>
      <c r="H2599" s="2" t="s">
        <v>1007</v>
      </c>
      <c r="I2599" s="1" t="s">
        <v>316</v>
      </c>
      <c r="J2599" s="2" t="s">
        <v>17</v>
      </c>
      <c r="K2599" s="72">
        <v>32.380000000000003</v>
      </c>
      <c r="L2599" s="39"/>
      <c r="M2599" s="72">
        <f t="shared" si="162"/>
        <v>-32.380000000000003</v>
      </c>
      <c r="N2599" s="72">
        <f t="shared" si="163"/>
        <v>492052.4999999993</v>
      </c>
    </row>
    <row r="2600" spans="1:14" x14ac:dyDescent="0.2">
      <c r="A2600" s="73" t="s">
        <v>1501</v>
      </c>
      <c r="B2600" s="3">
        <f t="shared" si="160"/>
        <v>2025</v>
      </c>
      <c r="C2600" s="3">
        <f t="shared" si="161"/>
        <v>11</v>
      </c>
      <c r="D2600" s="73" t="s">
        <v>893</v>
      </c>
      <c r="E2600" s="2"/>
      <c r="F2600" s="2" t="s">
        <v>304</v>
      </c>
      <c r="G2600" s="2" t="s">
        <v>1008</v>
      </c>
      <c r="H2600" s="2" t="s">
        <v>1007</v>
      </c>
      <c r="I2600" s="1" t="s">
        <v>316</v>
      </c>
      <c r="J2600" s="2" t="s">
        <v>17</v>
      </c>
      <c r="K2600" s="72">
        <v>3.19</v>
      </c>
      <c r="L2600" s="39"/>
      <c r="M2600" s="72">
        <f t="shared" si="162"/>
        <v>-3.19</v>
      </c>
      <c r="N2600" s="72">
        <f t="shared" si="163"/>
        <v>492049.3099999993</v>
      </c>
    </row>
    <row r="2601" spans="1:14" x14ac:dyDescent="0.2">
      <c r="A2601" s="73" t="s">
        <v>1501</v>
      </c>
      <c r="B2601" s="3">
        <f t="shared" si="160"/>
        <v>2025</v>
      </c>
      <c r="C2601" s="3">
        <f t="shared" si="161"/>
        <v>11</v>
      </c>
      <c r="D2601" s="73" t="s">
        <v>893</v>
      </c>
      <c r="E2601" s="2"/>
      <c r="F2601" s="2" t="s">
        <v>304</v>
      </c>
      <c r="G2601" s="2" t="s">
        <v>1008</v>
      </c>
      <c r="H2601" s="2" t="s">
        <v>1007</v>
      </c>
      <c r="I2601" s="1" t="s">
        <v>316</v>
      </c>
      <c r="J2601" s="2" t="s">
        <v>17</v>
      </c>
      <c r="K2601" s="72">
        <v>12.79</v>
      </c>
      <c r="L2601" s="39"/>
      <c r="M2601" s="72">
        <f t="shared" si="162"/>
        <v>-12.79</v>
      </c>
      <c r="N2601" s="72">
        <f t="shared" si="163"/>
        <v>492036.51999999932</v>
      </c>
    </row>
    <row r="2602" spans="1:14" x14ac:dyDescent="0.2">
      <c r="A2602" s="73" t="s">
        <v>1501</v>
      </c>
      <c r="B2602" s="3">
        <f t="shared" si="160"/>
        <v>2025</v>
      </c>
      <c r="C2602" s="3">
        <f t="shared" si="161"/>
        <v>11</v>
      </c>
      <c r="D2602" s="73" t="s">
        <v>893</v>
      </c>
      <c r="E2602" s="2"/>
      <c r="F2602" s="2" t="s">
        <v>304</v>
      </c>
      <c r="G2602" s="2" t="s">
        <v>1532</v>
      </c>
      <c r="H2602" s="2" t="s">
        <v>992</v>
      </c>
      <c r="I2602" s="2" t="s">
        <v>316</v>
      </c>
      <c r="J2602" s="2" t="s">
        <v>22</v>
      </c>
      <c r="K2602" s="72">
        <v>341.31</v>
      </c>
      <c r="L2602" s="39"/>
      <c r="M2602" s="72">
        <f t="shared" si="162"/>
        <v>-341.31</v>
      </c>
      <c r="N2602" s="72">
        <f t="shared" si="163"/>
        <v>491695.20999999932</v>
      </c>
    </row>
    <row r="2603" spans="1:14" x14ac:dyDescent="0.2">
      <c r="A2603" s="73" t="s">
        <v>1501</v>
      </c>
      <c r="B2603" s="3">
        <f t="shared" si="160"/>
        <v>2025</v>
      </c>
      <c r="C2603" s="3">
        <f t="shared" si="161"/>
        <v>11</v>
      </c>
      <c r="D2603" s="73" t="s">
        <v>893</v>
      </c>
      <c r="E2603" s="2"/>
      <c r="F2603" s="2" t="s">
        <v>304</v>
      </c>
      <c r="G2603" s="2" t="s">
        <v>1533</v>
      </c>
      <c r="H2603" s="2" t="s">
        <v>1001</v>
      </c>
      <c r="I2603" s="2" t="s">
        <v>316</v>
      </c>
      <c r="J2603" s="2" t="s">
        <v>22</v>
      </c>
      <c r="K2603" s="72">
        <v>277.5</v>
      </c>
      <c r="L2603" s="39"/>
      <c r="M2603" s="72">
        <f t="shared" si="162"/>
        <v>-277.5</v>
      </c>
      <c r="N2603" s="72">
        <f t="shared" si="163"/>
        <v>491417.70999999932</v>
      </c>
    </row>
    <row r="2604" spans="1:14" x14ac:dyDescent="0.2">
      <c r="A2604" s="73" t="s">
        <v>1501</v>
      </c>
      <c r="B2604" s="3">
        <f t="shared" si="160"/>
        <v>2025</v>
      </c>
      <c r="C2604" s="3">
        <f t="shared" si="161"/>
        <v>11</v>
      </c>
      <c r="D2604" s="73" t="s">
        <v>893</v>
      </c>
      <c r="E2604" s="2"/>
      <c r="F2604" s="2" t="s">
        <v>304</v>
      </c>
      <c r="G2604" s="2" t="s">
        <v>900</v>
      </c>
      <c r="H2604" s="2" t="s">
        <v>901</v>
      </c>
      <c r="I2604" s="1" t="s">
        <v>316</v>
      </c>
      <c r="J2604" s="2" t="s">
        <v>17</v>
      </c>
      <c r="K2604" s="72">
        <v>20</v>
      </c>
      <c r="L2604" s="39"/>
      <c r="M2604" s="72">
        <f t="shared" si="162"/>
        <v>-20</v>
      </c>
      <c r="N2604" s="72">
        <f t="shared" si="163"/>
        <v>491397.70999999932</v>
      </c>
    </row>
    <row r="2605" spans="1:14" x14ac:dyDescent="0.2">
      <c r="A2605" s="73" t="s">
        <v>1502</v>
      </c>
      <c r="B2605" s="3">
        <f t="shared" si="160"/>
        <v>2025</v>
      </c>
      <c r="C2605" s="3">
        <f t="shared" si="161"/>
        <v>11</v>
      </c>
      <c r="D2605" s="73" t="s">
        <v>893</v>
      </c>
      <c r="E2605" s="2"/>
      <c r="F2605" s="2" t="s">
        <v>304</v>
      </c>
      <c r="G2605" s="2" t="s">
        <v>1008</v>
      </c>
      <c r="H2605" s="2" t="s">
        <v>1007</v>
      </c>
      <c r="I2605" s="1" t="s">
        <v>316</v>
      </c>
      <c r="J2605" s="2" t="s">
        <v>17</v>
      </c>
      <c r="K2605" s="72">
        <v>34.96</v>
      </c>
      <c r="L2605" s="39"/>
      <c r="M2605" s="72">
        <f t="shared" si="162"/>
        <v>-34.96</v>
      </c>
      <c r="N2605" s="72">
        <f t="shared" si="163"/>
        <v>491362.7499999993</v>
      </c>
    </row>
    <row r="2606" spans="1:14" x14ac:dyDescent="0.2">
      <c r="A2606" s="73" t="s">
        <v>1502</v>
      </c>
      <c r="B2606" s="3">
        <f t="shared" si="160"/>
        <v>2025</v>
      </c>
      <c r="C2606" s="3">
        <f t="shared" si="161"/>
        <v>11</v>
      </c>
      <c r="D2606" s="73" t="s">
        <v>893</v>
      </c>
      <c r="E2606" s="2"/>
      <c r="F2606" s="2" t="s">
        <v>304</v>
      </c>
      <c r="G2606" s="2" t="s">
        <v>1008</v>
      </c>
      <c r="H2606" s="2" t="s">
        <v>1007</v>
      </c>
      <c r="I2606" s="1" t="s">
        <v>316</v>
      </c>
      <c r="J2606" s="2" t="s">
        <v>17</v>
      </c>
      <c r="K2606" s="72">
        <v>35.56</v>
      </c>
      <c r="L2606" s="39"/>
      <c r="M2606" s="72">
        <f t="shared" si="162"/>
        <v>-35.56</v>
      </c>
      <c r="N2606" s="72">
        <f t="shared" si="163"/>
        <v>491327.1899999993</v>
      </c>
    </row>
    <row r="2607" spans="1:14" x14ac:dyDescent="0.2">
      <c r="A2607" s="73" t="s">
        <v>1502</v>
      </c>
      <c r="B2607" s="3">
        <f t="shared" si="160"/>
        <v>2025</v>
      </c>
      <c r="C2607" s="3">
        <f t="shared" si="161"/>
        <v>11</v>
      </c>
      <c r="D2607" s="73" t="s">
        <v>893</v>
      </c>
      <c r="E2607" s="2"/>
      <c r="F2607" s="2" t="s">
        <v>304</v>
      </c>
      <c r="G2607" s="2" t="s">
        <v>1008</v>
      </c>
      <c r="H2607" s="2" t="s">
        <v>901</v>
      </c>
      <c r="I2607" s="1" t="s">
        <v>316</v>
      </c>
      <c r="J2607" s="2" t="s">
        <v>17</v>
      </c>
      <c r="K2607" s="72">
        <v>106</v>
      </c>
      <c r="L2607" s="39"/>
      <c r="M2607" s="72">
        <f t="shared" si="162"/>
        <v>-106</v>
      </c>
      <c r="N2607" s="72">
        <f t="shared" si="163"/>
        <v>491221.1899999993</v>
      </c>
    </row>
    <row r="2608" spans="1:14" x14ac:dyDescent="0.2">
      <c r="A2608" s="73" t="s">
        <v>1503</v>
      </c>
      <c r="B2608" s="3">
        <f t="shared" si="160"/>
        <v>2025</v>
      </c>
      <c r="C2608" s="3">
        <f t="shared" si="161"/>
        <v>11</v>
      </c>
      <c r="D2608" s="73" t="s">
        <v>893</v>
      </c>
      <c r="E2608" s="2"/>
      <c r="F2608" s="2" t="s">
        <v>304</v>
      </c>
      <c r="G2608" s="2" t="s">
        <v>1008</v>
      </c>
      <c r="H2608" s="2" t="s">
        <v>1007</v>
      </c>
      <c r="I2608" s="1" t="s">
        <v>316</v>
      </c>
      <c r="J2608" s="2" t="s">
        <v>17</v>
      </c>
      <c r="K2608" s="72">
        <v>34.71</v>
      </c>
      <c r="L2608" s="39"/>
      <c r="M2608" s="72">
        <f t="shared" si="162"/>
        <v>-34.71</v>
      </c>
      <c r="N2608" s="72">
        <f t="shared" si="163"/>
        <v>491186.47999999928</v>
      </c>
    </row>
    <row r="2609" spans="1:14" x14ac:dyDescent="0.2">
      <c r="A2609" s="73" t="s">
        <v>1503</v>
      </c>
      <c r="B2609" s="3">
        <f t="shared" si="160"/>
        <v>2025</v>
      </c>
      <c r="C2609" s="3">
        <f t="shared" si="161"/>
        <v>11</v>
      </c>
      <c r="D2609" s="73" t="s">
        <v>893</v>
      </c>
      <c r="E2609" s="2"/>
      <c r="F2609" s="2" t="s">
        <v>304</v>
      </c>
      <c r="G2609" s="2" t="s">
        <v>1008</v>
      </c>
      <c r="H2609" s="2" t="s">
        <v>1007</v>
      </c>
      <c r="I2609" s="1" t="s">
        <v>316</v>
      </c>
      <c r="J2609" s="2" t="s">
        <v>17</v>
      </c>
      <c r="K2609" s="72">
        <v>30.99</v>
      </c>
      <c r="L2609" s="39"/>
      <c r="M2609" s="72">
        <f t="shared" si="162"/>
        <v>-30.99</v>
      </c>
      <c r="N2609" s="72">
        <f t="shared" si="163"/>
        <v>491155.48999999929</v>
      </c>
    </row>
    <row r="2610" spans="1:14" x14ac:dyDescent="0.2">
      <c r="A2610" s="73" t="s">
        <v>1503</v>
      </c>
      <c r="B2610" s="3">
        <f t="shared" si="160"/>
        <v>2025</v>
      </c>
      <c r="C2610" s="3">
        <f t="shared" si="161"/>
        <v>11</v>
      </c>
      <c r="D2610" s="73" t="s">
        <v>893</v>
      </c>
      <c r="E2610" s="2"/>
      <c r="F2610" s="2" t="s">
        <v>304</v>
      </c>
      <c r="G2610" s="2" t="s">
        <v>1008</v>
      </c>
      <c r="H2610" s="2" t="s">
        <v>1007</v>
      </c>
      <c r="I2610" s="1" t="s">
        <v>316</v>
      </c>
      <c r="J2610" s="2" t="s">
        <v>17</v>
      </c>
      <c r="K2610" s="72">
        <v>33.67</v>
      </c>
      <c r="L2610" s="39"/>
      <c r="M2610" s="72">
        <f t="shared" si="162"/>
        <v>-33.67</v>
      </c>
      <c r="N2610" s="72">
        <f t="shared" si="163"/>
        <v>491121.81999999931</v>
      </c>
    </row>
    <row r="2611" spans="1:14" x14ac:dyDescent="0.2">
      <c r="A2611" s="73" t="s">
        <v>1503</v>
      </c>
      <c r="B2611" s="3">
        <f t="shared" si="160"/>
        <v>2025</v>
      </c>
      <c r="C2611" s="3">
        <f t="shared" si="161"/>
        <v>11</v>
      </c>
      <c r="D2611" s="73" t="s">
        <v>893</v>
      </c>
      <c r="E2611" s="2"/>
      <c r="F2611" s="2" t="s">
        <v>304</v>
      </c>
      <c r="G2611" s="2" t="s">
        <v>1008</v>
      </c>
      <c r="H2611" s="2" t="s">
        <v>1007</v>
      </c>
      <c r="I2611" s="1" t="s">
        <v>316</v>
      </c>
      <c r="J2611" s="2" t="s">
        <v>17</v>
      </c>
      <c r="K2611" s="72">
        <v>32.159999999999997</v>
      </c>
      <c r="L2611" s="39"/>
      <c r="M2611" s="72">
        <f t="shared" si="162"/>
        <v>-32.159999999999997</v>
      </c>
      <c r="N2611" s="72">
        <f t="shared" si="163"/>
        <v>491089.65999999933</v>
      </c>
    </row>
    <row r="2612" spans="1:14" x14ac:dyDescent="0.2">
      <c r="A2612" s="73" t="s">
        <v>1503</v>
      </c>
      <c r="B2612" s="3">
        <f t="shared" si="160"/>
        <v>2025</v>
      </c>
      <c r="C2612" s="3">
        <f t="shared" si="161"/>
        <v>11</v>
      </c>
      <c r="D2612" s="73" t="s">
        <v>893</v>
      </c>
      <c r="E2612" s="2"/>
      <c r="F2612" s="2" t="s">
        <v>304</v>
      </c>
      <c r="G2612" s="2" t="s">
        <v>1008</v>
      </c>
      <c r="H2612" s="2" t="s">
        <v>1007</v>
      </c>
      <c r="I2612" s="1" t="s">
        <v>316</v>
      </c>
      <c r="J2612" s="2" t="s">
        <v>17</v>
      </c>
      <c r="K2612" s="72">
        <v>31.46</v>
      </c>
      <c r="L2612" s="39"/>
      <c r="M2612" s="72">
        <f t="shared" si="162"/>
        <v>-31.46</v>
      </c>
      <c r="N2612" s="72">
        <f t="shared" si="163"/>
        <v>491058.19999999931</v>
      </c>
    </row>
    <row r="2613" spans="1:14" x14ac:dyDescent="0.2">
      <c r="A2613" s="73" t="s">
        <v>1503</v>
      </c>
      <c r="B2613" s="3">
        <f t="shared" si="160"/>
        <v>2025</v>
      </c>
      <c r="C2613" s="3">
        <f t="shared" si="161"/>
        <v>11</v>
      </c>
      <c r="D2613" s="73" t="s">
        <v>893</v>
      </c>
      <c r="E2613" s="2"/>
      <c r="F2613" s="2" t="s">
        <v>304</v>
      </c>
      <c r="G2613" s="2" t="s">
        <v>1190</v>
      </c>
      <c r="H2613" s="2" t="s">
        <v>1007</v>
      </c>
      <c r="I2613" s="1" t="s">
        <v>316</v>
      </c>
      <c r="J2613" s="2" t="s">
        <v>17</v>
      </c>
      <c r="K2613" s="72">
        <v>26.5</v>
      </c>
      <c r="L2613" s="39"/>
      <c r="M2613" s="72">
        <f t="shared" si="162"/>
        <v>-26.5</v>
      </c>
      <c r="N2613" s="72">
        <f t="shared" si="163"/>
        <v>491031.69999999931</v>
      </c>
    </row>
    <row r="2614" spans="1:14" x14ac:dyDescent="0.2">
      <c r="A2614" s="73" t="s">
        <v>1485</v>
      </c>
      <c r="B2614" s="3">
        <f t="shared" si="160"/>
        <v>2025</v>
      </c>
      <c r="C2614" s="3">
        <f t="shared" si="161"/>
        <v>11</v>
      </c>
      <c r="D2614" s="73" t="s">
        <v>893</v>
      </c>
      <c r="E2614" s="2"/>
      <c r="F2614" s="2" t="s">
        <v>304</v>
      </c>
      <c r="G2614" s="2" t="s">
        <v>1008</v>
      </c>
      <c r="H2614" s="2" t="s">
        <v>1007</v>
      </c>
      <c r="I2614" s="1" t="s">
        <v>316</v>
      </c>
      <c r="J2614" s="2" t="s">
        <v>17</v>
      </c>
      <c r="K2614" s="72">
        <v>33.76</v>
      </c>
      <c r="L2614" s="39"/>
      <c r="M2614" s="72">
        <f t="shared" si="162"/>
        <v>-33.76</v>
      </c>
      <c r="N2614" s="72">
        <f t="shared" si="163"/>
        <v>490997.9399999993</v>
      </c>
    </row>
    <row r="2615" spans="1:14" x14ac:dyDescent="0.2">
      <c r="A2615" s="73" t="s">
        <v>1485</v>
      </c>
      <c r="B2615" s="3">
        <f t="shared" si="160"/>
        <v>2025</v>
      </c>
      <c r="C2615" s="3">
        <f t="shared" si="161"/>
        <v>11</v>
      </c>
      <c r="D2615" s="73" t="s">
        <v>893</v>
      </c>
      <c r="E2615" s="2"/>
      <c r="F2615" s="2" t="s">
        <v>304</v>
      </c>
      <c r="G2615" s="2" t="s">
        <v>1008</v>
      </c>
      <c r="H2615" s="2" t="s">
        <v>1007</v>
      </c>
      <c r="I2615" s="1" t="s">
        <v>316</v>
      </c>
      <c r="J2615" s="2" t="s">
        <v>17</v>
      </c>
      <c r="K2615" s="72">
        <v>1977.6</v>
      </c>
      <c r="L2615" s="39"/>
      <c r="M2615" s="72">
        <f t="shared" si="162"/>
        <v>-1977.6</v>
      </c>
      <c r="N2615" s="72">
        <f t="shared" si="163"/>
        <v>489020.33999999933</v>
      </c>
    </row>
    <row r="2616" spans="1:14" x14ac:dyDescent="0.2">
      <c r="A2616" s="73" t="s">
        <v>1485</v>
      </c>
      <c r="B2616" s="3">
        <f t="shared" si="160"/>
        <v>2025</v>
      </c>
      <c r="C2616" s="3">
        <f t="shared" si="161"/>
        <v>11</v>
      </c>
      <c r="D2616" s="73" t="s">
        <v>300</v>
      </c>
      <c r="E2616" s="2"/>
      <c r="F2616" s="2" t="s">
        <v>325</v>
      </c>
      <c r="G2616" s="2" t="s">
        <v>363</v>
      </c>
      <c r="H2616" s="2" t="s">
        <v>323</v>
      </c>
      <c r="I2616" s="2" t="s">
        <v>350</v>
      </c>
      <c r="J2616" s="2" t="s">
        <v>353</v>
      </c>
      <c r="K2616" s="72">
        <v>23738.05</v>
      </c>
      <c r="L2616" s="39"/>
      <c r="M2616" s="72">
        <f t="shared" si="162"/>
        <v>-23738.05</v>
      </c>
      <c r="N2616" s="72">
        <f t="shared" si="163"/>
        <v>465282.28999999934</v>
      </c>
    </row>
    <row r="2617" spans="1:14" x14ac:dyDescent="0.2">
      <c r="A2617" s="73" t="s">
        <v>1485</v>
      </c>
      <c r="B2617" s="3">
        <f t="shared" si="160"/>
        <v>2025</v>
      </c>
      <c r="C2617" s="3">
        <f t="shared" si="161"/>
        <v>11</v>
      </c>
      <c r="D2617" s="73" t="s">
        <v>300</v>
      </c>
      <c r="E2617" s="2"/>
      <c r="F2617" s="2" t="s">
        <v>325</v>
      </c>
      <c r="G2617" s="2" t="s">
        <v>363</v>
      </c>
      <c r="H2617" s="2" t="s">
        <v>323</v>
      </c>
      <c r="I2617" s="2" t="s">
        <v>316</v>
      </c>
      <c r="J2617" s="2" t="s">
        <v>17</v>
      </c>
      <c r="K2617" s="72">
        <v>5</v>
      </c>
      <c r="L2617" s="39"/>
      <c r="M2617" s="72">
        <f t="shared" si="162"/>
        <v>-5</v>
      </c>
      <c r="N2617" s="72">
        <f t="shared" si="163"/>
        <v>465277.28999999934</v>
      </c>
    </row>
    <row r="2618" spans="1:14" x14ac:dyDescent="0.2">
      <c r="A2618" s="73" t="s">
        <v>1485</v>
      </c>
      <c r="B2618" s="3">
        <f t="shared" si="160"/>
        <v>2025</v>
      </c>
      <c r="C2618" s="3">
        <f t="shared" si="161"/>
        <v>11</v>
      </c>
      <c r="D2618" s="73" t="s">
        <v>893</v>
      </c>
      <c r="E2618" s="2"/>
      <c r="F2618" s="2" t="s">
        <v>938</v>
      </c>
      <c r="G2618" s="2" t="s">
        <v>1532</v>
      </c>
      <c r="H2618" s="2" t="s">
        <v>992</v>
      </c>
      <c r="I2618" s="2" t="s">
        <v>316</v>
      </c>
      <c r="J2618" s="2" t="s">
        <v>22</v>
      </c>
      <c r="K2618" s="72"/>
      <c r="L2618" s="39">
        <v>54.18</v>
      </c>
      <c r="M2618" s="72">
        <f t="shared" si="162"/>
        <v>54.18</v>
      </c>
      <c r="N2618" s="72">
        <f t="shared" si="163"/>
        <v>465331.46999999933</v>
      </c>
    </row>
    <row r="2619" spans="1:14" x14ac:dyDescent="0.2">
      <c r="A2619" s="73" t="s">
        <v>1485</v>
      </c>
      <c r="B2619" s="3">
        <f t="shared" si="160"/>
        <v>2025</v>
      </c>
      <c r="C2619" s="3">
        <f t="shared" si="161"/>
        <v>11</v>
      </c>
      <c r="D2619" s="73" t="s">
        <v>893</v>
      </c>
      <c r="E2619" s="2"/>
      <c r="F2619" s="2" t="s">
        <v>304</v>
      </c>
      <c r="G2619" s="2" t="s">
        <v>900</v>
      </c>
      <c r="H2619" s="2" t="s">
        <v>901</v>
      </c>
      <c r="I2619" s="1" t="s">
        <v>316</v>
      </c>
      <c r="J2619" s="2" t="s">
        <v>17</v>
      </c>
      <c r="K2619" s="72">
        <v>21.4</v>
      </c>
      <c r="L2619" s="39"/>
      <c r="M2619" s="72">
        <f t="shared" si="162"/>
        <v>-21.4</v>
      </c>
      <c r="N2619" s="72">
        <f t="shared" si="163"/>
        <v>465310.06999999931</v>
      </c>
    </row>
    <row r="2620" spans="1:14" x14ac:dyDescent="0.2">
      <c r="A2620" s="73" t="s">
        <v>1485</v>
      </c>
      <c r="B2620" s="3">
        <f t="shared" si="160"/>
        <v>2025</v>
      </c>
      <c r="C2620" s="3">
        <f t="shared" si="161"/>
        <v>11</v>
      </c>
      <c r="D2620" s="73" t="s">
        <v>893</v>
      </c>
      <c r="E2620" s="2"/>
      <c r="F2620" s="2" t="s">
        <v>304</v>
      </c>
      <c r="G2620" s="2" t="s">
        <v>900</v>
      </c>
      <c r="H2620" s="2" t="s">
        <v>1007</v>
      </c>
      <c r="I2620" s="1" t="s">
        <v>316</v>
      </c>
      <c r="J2620" s="2" t="s">
        <v>17</v>
      </c>
      <c r="K2620" s="72">
        <v>51.55</v>
      </c>
      <c r="L2620" s="39"/>
      <c r="M2620" s="72">
        <f t="shared" si="162"/>
        <v>-51.55</v>
      </c>
      <c r="N2620" s="72">
        <f t="shared" si="163"/>
        <v>465258.51999999932</v>
      </c>
    </row>
    <row r="2621" spans="1:14" x14ac:dyDescent="0.2">
      <c r="A2621" s="73" t="s">
        <v>1485</v>
      </c>
      <c r="B2621" s="3">
        <f t="shared" si="160"/>
        <v>2025</v>
      </c>
      <c r="C2621" s="3">
        <f t="shared" si="161"/>
        <v>11</v>
      </c>
      <c r="D2621" s="73" t="s">
        <v>300</v>
      </c>
      <c r="E2621" s="2"/>
      <c r="F2621" s="2" t="s">
        <v>304</v>
      </c>
      <c r="G2621" s="2" t="s">
        <v>306</v>
      </c>
      <c r="H2621" s="2" t="s">
        <v>305</v>
      </c>
      <c r="I2621" s="2" t="s">
        <v>301</v>
      </c>
      <c r="J2621" s="2" t="s">
        <v>19</v>
      </c>
      <c r="K2621" s="72">
        <v>465.17</v>
      </c>
      <c r="L2621" s="39"/>
      <c r="M2621" s="72">
        <f t="shared" si="162"/>
        <v>-465.17</v>
      </c>
      <c r="N2621" s="72">
        <f t="shared" si="163"/>
        <v>464793.34999999934</v>
      </c>
    </row>
    <row r="2622" spans="1:14" x14ac:dyDescent="0.2">
      <c r="A2622" s="73" t="s">
        <v>1485</v>
      </c>
      <c r="B2622" s="3">
        <f t="shared" si="160"/>
        <v>2025</v>
      </c>
      <c r="C2622" s="3">
        <f t="shared" si="161"/>
        <v>11</v>
      </c>
      <c r="D2622" s="73" t="s">
        <v>893</v>
      </c>
      <c r="E2622" s="2"/>
      <c r="F2622" s="2" t="s">
        <v>304</v>
      </c>
      <c r="G2622" s="2" t="s">
        <v>1534</v>
      </c>
      <c r="H2622" s="2" t="s">
        <v>1530</v>
      </c>
      <c r="I2622" s="2" t="s">
        <v>316</v>
      </c>
      <c r="J2622" s="2" t="s">
        <v>22</v>
      </c>
      <c r="K2622" s="72">
        <v>469.05</v>
      </c>
      <c r="L2622" s="39"/>
      <c r="M2622" s="72">
        <f t="shared" si="162"/>
        <v>-469.05</v>
      </c>
      <c r="N2622" s="72">
        <f t="shared" si="163"/>
        <v>464324.29999999935</v>
      </c>
    </row>
    <row r="2623" spans="1:14" x14ac:dyDescent="0.2">
      <c r="A2623" s="73" t="s">
        <v>1485</v>
      </c>
      <c r="B2623" s="3">
        <f t="shared" si="160"/>
        <v>2025</v>
      </c>
      <c r="C2623" s="3">
        <f t="shared" si="161"/>
        <v>11</v>
      </c>
      <c r="D2623" s="73" t="s">
        <v>300</v>
      </c>
      <c r="E2623" s="2"/>
      <c r="F2623" s="2" t="s">
        <v>304</v>
      </c>
      <c r="G2623" s="2" t="s">
        <v>303</v>
      </c>
      <c r="H2623" s="2" t="s">
        <v>302</v>
      </c>
      <c r="I2623" s="2" t="s">
        <v>301</v>
      </c>
      <c r="J2623" s="2" t="s">
        <v>11</v>
      </c>
      <c r="K2623" s="72">
        <v>63.65</v>
      </c>
      <c r="L2623" s="39"/>
      <c r="M2623" s="72">
        <f t="shared" si="162"/>
        <v>-63.65</v>
      </c>
      <c r="N2623" s="72">
        <f t="shared" si="163"/>
        <v>464260.64999999932</v>
      </c>
    </row>
    <row r="2624" spans="1:14" x14ac:dyDescent="0.2">
      <c r="A2624" s="73" t="s">
        <v>1485</v>
      </c>
      <c r="B2624" s="3">
        <f t="shared" si="160"/>
        <v>2025</v>
      </c>
      <c r="C2624" s="3">
        <f t="shared" si="161"/>
        <v>11</v>
      </c>
      <c r="D2624" s="73" t="s">
        <v>300</v>
      </c>
      <c r="E2624" s="2"/>
      <c r="F2624" s="2" t="s">
        <v>304</v>
      </c>
      <c r="G2624" s="2" t="s">
        <v>303</v>
      </c>
      <c r="H2624" s="2" t="s">
        <v>302</v>
      </c>
      <c r="I2624" s="2" t="s">
        <v>301</v>
      </c>
      <c r="J2624" s="2" t="s">
        <v>11</v>
      </c>
      <c r="K2624" s="72">
        <v>247.15</v>
      </c>
      <c r="L2624" s="39"/>
      <c r="M2624" s="72">
        <f t="shared" si="162"/>
        <v>-247.15</v>
      </c>
      <c r="N2624" s="72">
        <f t="shared" si="163"/>
        <v>464013.4999999993</v>
      </c>
    </row>
    <row r="2625" spans="1:14" x14ac:dyDescent="0.2">
      <c r="A2625" s="73" t="s">
        <v>1485</v>
      </c>
      <c r="B2625" s="3">
        <f t="shared" si="160"/>
        <v>2025</v>
      </c>
      <c r="C2625" s="3">
        <f t="shared" si="161"/>
        <v>11</v>
      </c>
      <c r="D2625" s="73" t="s">
        <v>300</v>
      </c>
      <c r="E2625" s="2"/>
      <c r="F2625" s="2" t="s">
        <v>299</v>
      </c>
      <c r="G2625" s="2"/>
      <c r="H2625" s="2" t="s">
        <v>298</v>
      </c>
      <c r="I2625" s="2" t="s">
        <v>297</v>
      </c>
      <c r="J2625" s="2" t="s">
        <v>296</v>
      </c>
      <c r="K2625" s="72"/>
      <c r="L2625" s="39">
        <v>24519.02</v>
      </c>
      <c r="M2625" s="72">
        <f t="shared" si="162"/>
        <v>24519.02</v>
      </c>
      <c r="N2625" s="72">
        <f t="shared" si="163"/>
        <v>488532.51999999932</v>
      </c>
    </row>
    <row r="2626" spans="1:14" x14ac:dyDescent="0.2">
      <c r="A2626" s="73" t="s">
        <v>1486</v>
      </c>
      <c r="B2626" s="3">
        <f t="shared" ref="B2626:B2658" si="164">YEAR(A2626)</f>
        <v>2025</v>
      </c>
      <c r="C2626" s="3">
        <f t="shared" ref="C2626:C2658" si="165">MONTH(A2626)</f>
        <v>11</v>
      </c>
      <c r="D2626" s="73" t="s">
        <v>893</v>
      </c>
      <c r="E2626" s="2"/>
      <c r="F2626" s="2" t="s">
        <v>304</v>
      </c>
      <c r="G2626" s="2" t="s">
        <v>1008</v>
      </c>
      <c r="H2626" s="2" t="s">
        <v>1007</v>
      </c>
      <c r="I2626" s="1" t="s">
        <v>316</v>
      </c>
      <c r="J2626" s="2" t="s">
        <v>17</v>
      </c>
      <c r="K2626" s="72">
        <v>31.51</v>
      </c>
      <c r="L2626" s="39"/>
      <c r="M2626" s="72">
        <f t="shared" ref="M2626:M2658" si="166">IF(ISBLANK(L2626),K2626*-1,L2626)</f>
        <v>-31.51</v>
      </c>
      <c r="N2626" s="72">
        <f t="shared" si="163"/>
        <v>488501.00999999931</v>
      </c>
    </row>
    <row r="2627" spans="1:14" x14ac:dyDescent="0.2">
      <c r="A2627" s="73" t="s">
        <v>1486</v>
      </c>
      <c r="B2627" s="3">
        <f t="shared" si="164"/>
        <v>2025</v>
      </c>
      <c r="C2627" s="3">
        <f t="shared" si="165"/>
        <v>11</v>
      </c>
      <c r="D2627" s="73" t="s">
        <v>893</v>
      </c>
      <c r="E2627" s="2"/>
      <c r="F2627" s="2" t="s">
        <v>304</v>
      </c>
      <c r="G2627" s="2" t="s">
        <v>1008</v>
      </c>
      <c r="H2627" s="2" t="s">
        <v>1007</v>
      </c>
      <c r="I2627" s="1" t="s">
        <v>316</v>
      </c>
      <c r="J2627" s="2" t="s">
        <v>17</v>
      </c>
      <c r="K2627" s="72">
        <v>31.09</v>
      </c>
      <c r="L2627" s="39"/>
      <c r="M2627" s="72">
        <f t="shared" si="166"/>
        <v>-31.09</v>
      </c>
      <c r="N2627" s="72">
        <f t="shared" ref="N2627:N2658" si="167">+N2626+M2627</f>
        <v>488469.91999999929</v>
      </c>
    </row>
    <row r="2628" spans="1:14" x14ac:dyDescent="0.2">
      <c r="A2628" s="73" t="s">
        <v>1486</v>
      </c>
      <c r="B2628" s="3">
        <f t="shared" si="164"/>
        <v>2025</v>
      </c>
      <c r="C2628" s="3">
        <f t="shared" si="165"/>
        <v>11</v>
      </c>
      <c r="D2628" s="73" t="s">
        <v>893</v>
      </c>
      <c r="E2628" s="2"/>
      <c r="F2628" s="2" t="s">
        <v>304</v>
      </c>
      <c r="G2628" s="2" t="s">
        <v>922</v>
      </c>
      <c r="H2628" s="2" t="s">
        <v>884</v>
      </c>
      <c r="I2628" s="2" t="s">
        <v>316</v>
      </c>
      <c r="J2628" s="2" t="s">
        <v>22</v>
      </c>
      <c r="K2628" s="72">
        <v>3756.4</v>
      </c>
      <c r="L2628" s="39"/>
      <c r="M2628" s="72">
        <f t="shared" si="166"/>
        <v>-3756.4</v>
      </c>
      <c r="N2628" s="72">
        <f t="shared" si="167"/>
        <v>484713.51999999926</v>
      </c>
    </row>
    <row r="2629" spans="1:14" x14ac:dyDescent="0.2">
      <c r="A2629" s="73" t="s">
        <v>1486</v>
      </c>
      <c r="B2629" s="3">
        <f t="shared" si="164"/>
        <v>2025</v>
      </c>
      <c r="C2629" s="3">
        <f t="shared" si="165"/>
        <v>11</v>
      </c>
      <c r="D2629" s="73" t="s">
        <v>893</v>
      </c>
      <c r="E2629" s="2"/>
      <c r="F2629" s="2" t="s">
        <v>938</v>
      </c>
      <c r="G2629" s="2" t="s">
        <v>1322</v>
      </c>
      <c r="H2629" s="2" t="s">
        <v>1530</v>
      </c>
      <c r="I2629" s="2" t="s">
        <v>316</v>
      </c>
      <c r="J2629" s="2" t="s">
        <v>28</v>
      </c>
      <c r="K2629" s="72"/>
      <c r="L2629" s="39">
        <v>117</v>
      </c>
      <c r="M2629" s="72">
        <f t="shared" si="166"/>
        <v>117</v>
      </c>
      <c r="N2629" s="72">
        <f t="shared" si="167"/>
        <v>484830.51999999926</v>
      </c>
    </row>
    <row r="2630" spans="1:14" x14ac:dyDescent="0.2">
      <c r="A2630" s="73" t="s">
        <v>1486</v>
      </c>
      <c r="B2630" s="3">
        <f t="shared" si="164"/>
        <v>2025</v>
      </c>
      <c r="C2630" s="3">
        <f t="shared" si="165"/>
        <v>11</v>
      </c>
      <c r="D2630" s="73" t="s">
        <v>300</v>
      </c>
      <c r="E2630" s="2"/>
      <c r="F2630" s="2" t="s">
        <v>325</v>
      </c>
      <c r="G2630" s="2" t="s">
        <v>363</v>
      </c>
      <c r="H2630" s="2" t="s">
        <v>323</v>
      </c>
      <c r="I2630" s="2" t="s">
        <v>316</v>
      </c>
      <c r="J2630" s="2" t="s">
        <v>17</v>
      </c>
      <c r="K2630" s="72">
        <v>15</v>
      </c>
      <c r="L2630" s="39"/>
      <c r="M2630" s="72">
        <f t="shared" si="166"/>
        <v>-15</v>
      </c>
      <c r="N2630" s="72">
        <f t="shared" si="167"/>
        <v>484815.51999999926</v>
      </c>
    </row>
    <row r="2631" spans="1:14" x14ac:dyDescent="0.2">
      <c r="A2631" s="73" t="s">
        <v>1486</v>
      </c>
      <c r="B2631" s="3">
        <f t="shared" si="164"/>
        <v>2025</v>
      </c>
      <c r="C2631" s="3">
        <f t="shared" si="165"/>
        <v>11</v>
      </c>
      <c r="D2631" s="73" t="s">
        <v>300</v>
      </c>
      <c r="E2631" s="2"/>
      <c r="F2631" s="2" t="s">
        <v>325</v>
      </c>
      <c r="G2631" s="2" t="s">
        <v>363</v>
      </c>
      <c r="H2631" s="2" t="s">
        <v>323</v>
      </c>
      <c r="I2631" s="2" t="s">
        <v>316</v>
      </c>
      <c r="J2631" s="2" t="s">
        <v>17</v>
      </c>
      <c r="K2631" s="72">
        <v>5</v>
      </c>
      <c r="L2631" s="39"/>
      <c r="M2631" s="72">
        <f t="shared" si="166"/>
        <v>-5</v>
      </c>
      <c r="N2631" s="72">
        <f t="shared" si="167"/>
        <v>484810.51999999926</v>
      </c>
    </row>
    <row r="2632" spans="1:14" x14ac:dyDescent="0.2">
      <c r="A2632" s="73" t="s">
        <v>1486</v>
      </c>
      <c r="B2632" s="3">
        <f t="shared" si="164"/>
        <v>2025</v>
      </c>
      <c r="C2632" s="3">
        <f t="shared" si="165"/>
        <v>11</v>
      </c>
      <c r="D2632" s="73" t="s">
        <v>300</v>
      </c>
      <c r="E2632" s="2"/>
      <c r="F2632" s="2" t="s">
        <v>325</v>
      </c>
      <c r="G2632" s="2" t="s">
        <v>363</v>
      </c>
      <c r="H2632" s="2" t="s">
        <v>323</v>
      </c>
      <c r="I2632" s="2" t="s">
        <v>350</v>
      </c>
      <c r="J2632" s="2" t="s">
        <v>353</v>
      </c>
      <c r="K2632" s="72">
        <v>250</v>
      </c>
      <c r="L2632" s="39"/>
      <c r="M2632" s="72">
        <f t="shared" si="166"/>
        <v>-250</v>
      </c>
      <c r="N2632" s="72">
        <f t="shared" si="167"/>
        <v>484560.51999999926</v>
      </c>
    </row>
    <row r="2633" spans="1:14" x14ac:dyDescent="0.2">
      <c r="A2633" s="73" t="s">
        <v>1486</v>
      </c>
      <c r="B2633" s="3">
        <f t="shared" si="164"/>
        <v>2025</v>
      </c>
      <c r="C2633" s="3">
        <f t="shared" si="165"/>
        <v>11</v>
      </c>
      <c r="D2633" s="73" t="s">
        <v>300</v>
      </c>
      <c r="E2633" s="2"/>
      <c r="F2633" s="2" t="s">
        <v>321</v>
      </c>
      <c r="G2633" s="2" t="s">
        <v>1494</v>
      </c>
      <c r="H2633" s="2" t="s">
        <v>319</v>
      </c>
      <c r="I2633" s="2" t="s">
        <v>315</v>
      </c>
      <c r="J2633" s="2" t="s">
        <v>23</v>
      </c>
      <c r="K2633" s="72"/>
      <c r="L2633" s="39">
        <v>3250</v>
      </c>
      <c r="M2633" s="72">
        <f t="shared" si="166"/>
        <v>3250</v>
      </c>
      <c r="N2633" s="72">
        <f t="shared" si="167"/>
        <v>487810.51999999926</v>
      </c>
    </row>
    <row r="2634" spans="1:14" x14ac:dyDescent="0.2">
      <c r="A2634" s="73" t="s">
        <v>1486</v>
      </c>
      <c r="B2634" s="3">
        <f t="shared" si="164"/>
        <v>2025</v>
      </c>
      <c r="C2634" s="3">
        <f t="shared" si="165"/>
        <v>11</v>
      </c>
      <c r="D2634" s="73" t="s">
        <v>300</v>
      </c>
      <c r="E2634" s="2"/>
      <c r="F2634" s="2" t="s">
        <v>304</v>
      </c>
      <c r="G2634" s="2" t="s">
        <v>306</v>
      </c>
      <c r="H2634" s="2" t="s">
        <v>516</v>
      </c>
      <c r="I2634" s="2" t="s">
        <v>301</v>
      </c>
      <c r="J2634" s="2" t="s">
        <v>24</v>
      </c>
      <c r="K2634" s="72">
        <v>71580.679999999993</v>
      </c>
      <c r="L2634" s="39"/>
      <c r="M2634" s="72">
        <f t="shared" si="166"/>
        <v>-71580.679999999993</v>
      </c>
      <c r="N2634" s="72">
        <f t="shared" si="167"/>
        <v>416229.83999999927</v>
      </c>
    </row>
    <row r="2635" spans="1:14" x14ac:dyDescent="0.2">
      <c r="A2635" s="73" t="s">
        <v>1486</v>
      </c>
      <c r="B2635" s="3">
        <f t="shared" si="164"/>
        <v>2025</v>
      </c>
      <c r="C2635" s="3">
        <f t="shared" si="165"/>
        <v>11</v>
      </c>
      <c r="D2635" s="73" t="s">
        <v>300</v>
      </c>
      <c r="E2635" s="2"/>
      <c r="F2635" s="2" t="s">
        <v>304</v>
      </c>
      <c r="G2635" s="2" t="s">
        <v>306</v>
      </c>
      <c r="H2635" s="2" t="s">
        <v>516</v>
      </c>
      <c r="I2635" s="2" t="s">
        <v>301</v>
      </c>
      <c r="J2635" s="2" t="s">
        <v>20</v>
      </c>
      <c r="K2635" s="72">
        <v>32865.07</v>
      </c>
      <c r="L2635" s="39"/>
      <c r="M2635" s="72">
        <f t="shared" si="166"/>
        <v>-32865.07</v>
      </c>
      <c r="N2635" s="72">
        <f t="shared" si="167"/>
        <v>383364.76999999926</v>
      </c>
    </row>
    <row r="2636" spans="1:14" x14ac:dyDescent="0.2">
      <c r="A2636" s="73" t="s">
        <v>1486</v>
      </c>
      <c r="B2636" s="3">
        <f t="shared" si="164"/>
        <v>2025</v>
      </c>
      <c r="C2636" s="3">
        <f t="shared" si="165"/>
        <v>11</v>
      </c>
      <c r="D2636" s="73" t="s">
        <v>300</v>
      </c>
      <c r="E2636" s="2"/>
      <c r="F2636" s="2" t="s">
        <v>304</v>
      </c>
      <c r="G2636" s="2" t="s">
        <v>306</v>
      </c>
      <c r="H2636" s="2" t="s">
        <v>516</v>
      </c>
      <c r="I2636" s="2" t="s">
        <v>301</v>
      </c>
      <c r="J2636" s="2" t="s">
        <v>11</v>
      </c>
      <c r="K2636" s="72">
        <v>2736.5</v>
      </c>
      <c r="L2636" s="39"/>
      <c r="M2636" s="72">
        <f t="shared" si="166"/>
        <v>-2736.5</v>
      </c>
      <c r="N2636" s="72">
        <f t="shared" si="167"/>
        <v>380628.26999999926</v>
      </c>
    </row>
    <row r="2637" spans="1:14" x14ac:dyDescent="0.2">
      <c r="A2637" s="73" t="s">
        <v>1486</v>
      </c>
      <c r="B2637" s="3">
        <f t="shared" si="164"/>
        <v>2025</v>
      </c>
      <c r="C2637" s="3">
        <f t="shared" si="165"/>
        <v>11</v>
      </c>
      <c r="D2637" s="73" t="s">
        <v>893</v>
      </c>
      <c r="E2637" s="2"/>
      <c r="F2637" s="2" t="s">
        <v>304</v>
      </c>
      <c r="G2637" s="2" t="s">
        <v>1535</v>
      </c>
      <c r="H2637" s="2" t="s">
        <v>1035</v>
      </c>
      <c r="I2637" s="2" t="s">
        <v>316</v>
      </c>
      <c r="J2637" s="2" t="s">
        <v>22</v>
      </c>
      <c r="K2637" s="72">
        <v>1250</v>
      </c>
      <c r="L2637" s="39"/>
      <c r="M2637" s="72">
        <f t="shared" si="166"/>
        <v>-1250</v>
      </c>
      <c r="N2637" s="72">
        <f t="shared" si="167"/>
        <v>379378.26999999926</v>
      </c>
    </row>
    <row r="2638" spans="1:14" x14ac:dyDescent="0.2">
      <c r="A2638" s="73" t="s">
        <v>1486</v>
      </c>
      <c r="B2638" s="3">
        <f t="shared" si="164"/>
        <v>2025</v>
      </c>
      <c r="C2638" s="3">
        <f t="shared" si="165"/>
        <v>11</v>
      </c>
      <c r="D2638" s="73" t="s">
        <v>893</v>
      </c>
      <c r="E2638" s="2"/>
      <c r="F2638" s="2" t="s">
        <v>304</v>
      </c>
      <c r="G2638" s="2" t="s">
        <v>1460</v>
      </c>
      <c r="H2638" s="2" t="s">
        <v>1007</v>
      </c>
      <c r="I2638" s="1" t="s">
        <v>316</v>
      </c>
      <c r="J2638" s="2" t="s">
        <v>17</v>
      </c>
      <c r="K2638" s="72">
        <v>15</v>
      </c>
      <c r="L2638" s="39"/>
      <c r="M2638" s="72">
        <f t="shared" si="166"/>
        <v>-15</v>
      </c>
      <c r="N2638" s="72">
        <f t="shared" si="167"/>
        <v>379363.26999999926</v>
      </c>
    </row>
    <row r="2639" spans="1:14" x14ac:dyDescent="0.2">
      <c r="A2639" s="73" t="s">
        <v>1486</v>
      </c>
      <c r="B2639" s="3">
        <f t="shared" si="164"/>
        <v>2025</v>
      </c>
      <c r="C2639" s="3">
        <f t="shared" si="165"/>
        <v>11</v>
      </c>
      <c r="D2639" s="73" t="s">
        <v>300</v>
      </c>
      <c r="E2639" s="2"/>
      <c r="F2639" s="2" t="s">
        <v>299</v>
      </c>
      <c r="G2639" s="2"/>
      <c r="H2639" s="2" t="s">
        <v>298</v>
      </c>
      <c r="I2639" s="2" t="s">
        <v>297</v>
      </c>
      <c r="J2639" s="2" t="s">
        <v>296</v>
      </c>
      <c r="K2639" s="72"/>
      <c r="L2639" s="39">
        <v>103932.25</v>
      </c>
      <c r="M2639" s="72">
        <f t="shared" si="166"/>
        <v>103932.25</v>
      </c>
      <c r="N2639" s="72">
        <f t="shared" si="167"/>
        <v>483295.51999999926</v>
      </c>
    </row>
    <row r="2640" spans="1:14" x14ac:dyDescent="0.2">
      <c r="A2640" s="73" t="s">
        <v>1487</v>
      </c>
      <c r="B2640" s="3">
        <f t="shared" si="164"/>
        <v>2025</v>
      </c>
      <c r="C2640" s="3">
        <f t="shared" si="165"/>
        <v>11</v>
      </c>
      <c r="D2640" s="73" t="s">
        <v>893</v>
      </c>
      <c r="E2640" s="2"/>
      <c r="F2640" s="2" t="s">
        <v>304</v>
      </c>
      <c r="G2640" s="2" t="s">
        <v>1008</v>
      </c>
      <c r="H2640" s="2" t="s">
        <v>1007</v>
      </c>
      <c r="I2640" s="1" t="s">
        <v>316</v>
      </c>
      <c r="J2640" s="2" t="s">
        <v>17</v>
      </c>
      <c r="K2640" s="72">
        <v>21.2</v>
      </c>
      <c r="L2640" s="39"/>
      <c r="M2640" s="72">
        <f t="shared" si="166"/>
        <v>-21.2</v>
      </c>
      <c r="N2640" s="72">
        <f t="shared" si="167"/>
        <v>483274.31999999925</v>
      </c>
    </row>
    <row r="2641" spans="1:15" x14ac:dyDescent="0.2">
      <c r="A2641" s="73" t="s">
        <v>1487</v>
      </c>
      <c r="B2641" s="3">
        <f t="shared" si="164"/>
        <v>2025</v>
      </c>
      <c r="C2641" s="3">
        <f t="shared" si="165"/>
        <v>11</v>
      </c>
      <c r="D2641" s="73" t="s">
        <v>300</v>
      </c>
      <c r="E2641" s="2"/>
      <c r="F2641" s="2" t="s">
        <v>325</v>
      </c>
      <c r="G2641" s="2" t="s">
        <v>693</v>
      </c>
      <c r="H2641" s="2" t="s">
        <v>323</v>
      </c>
      <c r="I2641" s="2" t="s">
        <v>316</v>
      </c>
      <c r="J2641" s="2" t="s">
        <v>22</v>
      </c>
      <c r="K2641" s="72">
        <v>40</v>
      </c>
      <c r="L2641" s="39"/>
      <c r="M2641" s="72">
        <f t="shared" si="166"/>
        <v>-40</v>
      </c>
      <c r="N2641" s="72">
        <f t="shared" si="167"/>
        <v>483234.31999999925</v>
      </c>
    </row>
    <row r="2642" spans="1:15" x14ac:dyDescent="0.2">
      <c r="A2642" s="73" t="s">
        <v>1487</v>
      </c>
      <c r="B2642" s="3">
        <f t="shared" si="164"/>
        <v>2025</v>
      </c>
      <c r="C2642" s="3">
        <f t="shared" si="165"/>
        <v>11</v>
      </c>
      <c r="D2642" s="73" t="s">
        <v>300</v>
      </c>
      <c r="E2642" s="2"/>
      <c r="F2642" s="2" t="s">
        <v>325</v>
      </c>
      <c r="G2642" s="2" t="s">
        <v>1492</v>
      </c>
      <c r="H2642" s="2" t="s">
        <v>323</v>
      </c>
      <c r="I2642" s="2" t="s">
        <v>316</v>
      </c>
      <c r="J2642" s="2" t="s">
        <v>22</v>
      </c>
      <c r="K2642" s="72">
        <v>160</v>
      </c>
      <c r="L2642" s="39"/>
      <c r="M2642" s="72">
        <f t="shared" si="166"/>
        <v>-160</v>
      </c>
      <c r="N2642" s="72">
        <f t="shared" si="167"/>
        <v>483074.31999999925</v>
      </c>
    </row>
    <row r="2643" spans="1:15" x14ac:dyDescent="0.2">
      <c r="A2643" s="73" t="s">
        <v>1487</v>
      </c>
      <c r="B2643" s="3">
        <f t="shared" si="164"/>
        <v>2025</v>
      </c>
      <c r="C2643" s="3">
        <f t="shared" si="165"/>
        <v>11</v>
      </c>
      <c r="D2643" s="73" t="s">
        <v>893</v>
      </c>
      <c r="E2643" s="2"/>
      <c r="F2643" s="2" t="s">
        <v>304</v>
      </c>
      <c r="G2643" s="2" t="s">
        <v>932</v>
      </c>
      <c r="H2643" s="2" t="s">
        <v>1007</v>
      </c>
      <c r="I2643" s="1" t="s">
        <v>316</v>
      </c>
      <c r="J2643" s="2" t="s">
        <v>17</v>
      </c>
      <c r="K2643" s="72">
        <v>95.39</v>
      </c>
      <c r="L2643" s="39"/>
      <c r="M2643" s="72">
        <f t="shared" si="166"/>
        <v>-95.39</v>
      </c>
      <c r="N2643" s="72">
        <f t="shared" si="167"/>
        <v>482978.92999999924</v>
      </c>
    </row>
    <row r="2644" spans="1:15" x14ac:dyDescent="0.2">
      <c r="A2644" s="73" t="s">
        <v>1487</v>
      </c>
      <c r="B2644" s="3">
        <f t="shared" si="164"/>
        <v>2025</v>
      </c>
      <c r="C2644" s="3">
        <f t="shared" si="165"/>
        <v>11</v>
      </c>
      <c r="D2644" s="73" t="s">
        <v>300</v>
      </c>
      <c r="E2644" s="2"/>
      <c r="F2644" s="2" t="s">
        <v>325</v>
      </c>
      <c r="G2644" s="2" t="s">
        <v>1397</v>
      </c>
      <c r="H2644" s="2" t="s">
        <v>323</v>
      </c>
      <c r="I2644" s="2" t="s">
        <v>316</v>
      </c>
      <c r="J2644" s="2" t="s">
        <v>22</v>
      </c>
      <c r="K2644" s="72">
        <v>30</v>
      </c>
      <c r="L2644" s="39"/>
      <c r="M2644" s="72">
        <f t="shared" si="166"/>
        <v>-30</v>
      </c>
      <c r="N2644" s="72">
        <f t="shared" si="167"/>
        <v>482948.92999999924</v>
      </c>
    </row>
    <row r="2645" spans="1:15" x14ac:dyDescent="0.2">
      <c r="A2645" s="73" t="s">
        <v>1488</v>
      </c>
      <c r="B2645" s="3">
        <f t="shared" si="164"/>
        <v>2025</v>
      </c>
      <c r="C2645" s="3">
        <f t="shared" si="165"/>
        <v>11</v>
      </c>
      <c r="D2645" s="73" t="s">
        <v>893</v>
      </c>
      <c r="E2645" s="2"/>
      <c r="F2645" s="2" t="s">
        <v>304</v>
      </c>
      <c r="G2645" s="2" t="s">
        <v>1008</v>
      </c>
      <c r="H2645" s="2" t="s">
        <v>1007</v>
      </c>
      <c r="I2645" s="1" t="s">
        <v>316</v>
      </c>
      <c r="J2645" s="2" t="s">
        <v>17</v>
      </c>
      <c r="K2645" s="72">
        <v>32.97</v>
      </c>
      <c r="L2645" s="39"/>
      <c r="M2645" s="72">
        <f t="shared" si="166"/>
        <v>-32.97</v>
      </c>
      <c r="N2645" s="72">
        <f t="shared" si="167"/>
        <v>482915.95999999926</v>
      </c>
    </row>
    <row r="2646" spans="1:15" x14ac:dyDescent="0.2">
      <c r="A2646" s="73" t="s">
        <v>1488</v>
      </c>
      <c r="B2646" s="3">
        <f t="shared" si="164"/>
        <v>2025</v>
      </c>
      <c r="C2646" s="3">
        <f t="shared" si="165"/>
        <v>11</v>
      </c>
      <c r="D2646" s="73" t="s">
        <v>300</v>
      </c>
      <c r="E2646" s="2"/>
      <c r="F2646" s="2" t="s">
        <v>325</v>
      </c>
      <c r="G2646" s="2" t="s">
        <v>386</v>
      </c>
      <c r="H2646" s="2" t="s">
        <v>323</v>
      </c>
      <c r="I2646" s="2" t="s">
        <v>350</v>
      </c>
      <c r="J2646" s="2" t="s">
        <v>353</v>
      </c>
      <c r="K2646" s="72">
        <v>5000</v>
      </c>
      <c r="L2646" s="39"/>
      <c r="M2646" s="72">
        <f t="shared" si="166"/>
        <v>-5000</v>
      </c>
      <c r="N2646" s="72">
        <f t="shared" si="167"/>
        <v>477915.95999999926</v>
      </c>
    </row>
    <row r="2647" spans="1:15" x14ac:dyDescent="0.2">
      <c r="A2647" s="73" t="s">
        <v>1488</v>
      </c>
      <c r="B2647" s="3">
        <f t="shared" si="164"/>
        <v>2025</v>
      </c>
      <c r="C2647" s="3">
        <f t="shared" si="165"/>
        <v>11</v>
      </c>
      <c r="D2647" s="73" t="s">
        <v>893</v>
      </c>
      <c r="E2647" s="2"/>
      <c r="F2647" s="2" t="s">
        <v>304</v>
      </c>
      <c r="G2647" s="2" t="s">
        <v>1038</v>
      </c>
      <c r="H2647" s="2" t="s">
        <v>1035</v>
      </c>
      <c r="I2647" s="2" t="s">
        <v>316</v>
      </c>
      <c r="J2647" s="2" t="s">
        <v>22</v>
      </c>
      <c r="K2647" s="72">
        <v>37.08</v>
      </c>
      <c r="L2647" s="39"/>
      <c r="M2647" s="72">
        <f t="shared" si="166"/>
        <v>-37.08</v>
      </c>
      <c r="N2647" s="72">
        <f t="shared" si="167"/>
        <v>477878.87999999925</v>
      </c>
    </row>
    <row r="2648" spans="1:15" x14ac:dyDescent="0.2">
      <c r="A2648" s="73" t="s">
        <v>1488</v>
      </c>
      <c r="B2648" s="3">
        <f t="shared" si="164"/>
        <v>2025</v>
      </c>
      <c r="C2648" s="3">
        <f t="shared" si="165"/>
        <v>11</v>
      </c>
      <c r="D2648" s="73" t="s">
        <v>300</v>
      </c>
      <c r="E2648" s="2"/>
      <c r="F2648" s="2" t="s">
        <v>309</v>
      </c>
      <c r="G2648" s="2" t="s">
        <v>308</v>
      </c>
      <c r="H2648" s="2" t="s">
        <v>307</v>
      </c>
      <c r="I2648" s="2" t="s">
        <v>297</v>
      </c>
      <c r="J2648" s="2" t="s">
        <v>48</v>
      </c>
      <c r="K2648" s="72"/>
      <c r="L2648" s="39">
        <v>312.41000000000003</v>
      </c>
      <c r="M2648" s="72">
        <f t="shared" si="166"/>
        <v>312.41000000000003</v>
      </c>
      <c r="N2648" s="72">
        <f t="shared" si="167"/>
        <v>478191.28999999922</v>
      </c>
    </row>
    <row r="2649" spans="1:15" x14ac:dyDescent="0.2">
      <c r="A2649" s="73" t="s">
        <v>1488</v>
      </c>
      <c r="B2649" s="3">
        <f t="shared" si="164"/>
        <v>2025</v>
      </c>
      <c r="C2649" s="3">
        <f t="shared" si="165"/>
        <v>11</v>
      </c>
      <c r="D2649" s="73" t="s">
        <v>300</v>
      </c>
      <c r="E2649" s="2"/>
      <c r="F2649" s="2" t="s">
        <v>325</v>
      </c>
      <c r="G2649" s="2" t="s">
        <v>375</v>
      </c>
      <c r="H2649" s="2" t="s">
        <v>323</v>
      </c>
      <c r="I2649" s="2" t="s">
        <v>316</v>
      </c>
      <c r="J2649" s="2" t="s">
        <v>29</v>
      </c>
      <c r="K2649" s="72">
        <v>340</v>
      </c>
      <c r="L2649" s="39"/>
      <c r="M2649" s="72">
        <f t="shared" si="166"/>
        <v>-340</v>
      </c>
      <c r="N2649" s="72">
        <f t="shared" si="167"/>
        <v>477851.28999999922</v>
      </c>
    </row>
    <row r="2650" spans="1:15" x14ac:dyDescent="0.2">
      <c r="A2650" s="73" t="s">
        <v>1488</v>
      </c>
      <c r="B2650" s="3">
        <f t="shared" si="164"/>
        <v>2025</v>
      </c>
      <c r="C2650" s="3">
        <f t="shared" si="165"/>
        <v>11</v>
      </c>
      <c r="D2650" s="73" t="s">
        <v>300</v>
      </c>
      <c r="E2650" s="2"/>
      <c r="F2650" s="2" t="s">
        <v>325</v>
      </c>
      <c r="G2650" s="2" t="s">
        <v>887</v>
      </c>
      <c r="H2650" s="2" t="s">
        <v>323</v>
      </c>
      <c r="I2650" s="2" t="s">
        <v>316</v>
      </c>
      <c r="J2650" s="2" t="s">
        <v>28</v>
      </c>
      <c r="K2650" s="72">
        <v>327.99</v>
      </c>
      <c r="L2650" s="39"/>
      <c r="M2650" s="72">
        <f t="shared" si="166"/>
        <v>-327.99</v>
      </c>
      <c r="N2650" s="72">
        <f t="shared" si="167"/>
        <v>477523.29999999923</v>
      </c>
    </row>
    <row r="2651" spans="1:15" x14ac:dyDescent="0.2">
      <c r="A2651" s="73" t="s">
        <v>1488</v>
      </c>
      <c r="B2651" s="3">
        <f t="shared" si="164"/>
        <v>2025</v>
      </c>
      <c r="C2651" s="3">
        <f t="shared" si="165"/>
        <v>11</v>
      </c>
      <c r="D2651" s="73" t="s">
        <v>300</v>
      </c>
      <c r="E2651" s="2"/>
      <c r="F2651" s="2" t="s">
        <v>325</v>
      </c>
      <c r="G2651" s="2" t="s">
        <v>887</v>
      </c>
      <c r="H2651" s="2" t="s">
        <v>323</v>
      </c>
      <c r="I2651" s="2" t="s">
        <v>316</v>
      </c>
      <c r="J2651" s="2" t="s">
        <v>28</v>
      </c>
      <c r="K2651" s="72">
        <v>438.58</v>
      </c>
      <c r="L2651" s="39"/>
      <c r="M2651" s="72">
        <f t="shared" si="166"/>
        <v>-438.58</v>
      </c>
      <c r="N2651" s="72">
        <f t="shared" si="167"/>
        <v>477084.71999999922</v>
      </c>
    </row>
    <row r="2652" spans="1:15" x14ac:dyDescent="0.2">
      <c r="A2652" s="73" t="s">
        <v>1488</v>
      </c>
      <c r="B2652" s="3">
        <f t="shared" si="164"/>
        <v>2025</v>
      </c>
      <c r="C2652" s="3">
        <f t="shared" si="165"/>
        <v>11</v>
      </c>
      <c r="D2652" s="73" t="s">
        <v>300</v>
      </c>
      <c r="E2652" s="2"/>
      <c r="F2652" s="2" t="s">
        <v>325</v>
      </c>
      <c r="G2652" s="2" t="s">
        <v>887</v>
      </c>
      <c r="H2652" s="2" t="s">
        <v>323</v>
      </c>
      <c r="I2652" s="2" t="s">
        <v>316</v>
      </c>
      <c r="J2652" s="2" t="s">
        <v>28</v>
      </c>
      <c r="K2652" s="72">
        <v>135.99</v>
      </c>
      <c r="L2652" s="39"/>
      <c r="M2652" s="72">
        <f t="shared" si="166"/>
        <v>-135.99</v>
      </c>
      <c r="N2652" s="72">
        <f t="shared" si="167"/>
        <v>476948.72999999922</v>
      </c>
    </row>
    <row r="2653" spans="1:15" x14ac:dyDescent="0.2">
      <c r="A2653" s="73" t="s">
        <v>1488</v>
      </c>
      <c r="B2653" s="3">
        <f t="shared" si="164"/>
        <v>2025</v>
      </c>
      <c r="C2653" s="3">
        <f t="shared" si="165"/>
        <v>11</v>
      </c>
      <c r="D2653" s="73" t="s">
        <v>300</v>
      </c>
      <c r="E2653" s="2"/>
      <c r="F2653" s="2" t="s">
        <v>325</v>
      </c>
      <c r="G2653" s="2" t="s">
        <v>374</v>
      </c>
      <c r="H2653" s="2" t="s">
        <v>323</v>
      </c>
      <c r="I2653" s="2" t="s">
        <v>316</v>
      </c>
      <c r="J2653" s="2" t="s">
        <v>29</v>
      </c>
      <c r="K2653" s="72">
        <v>1086</v>
      </c>
      <c r="L2653" s="39"/>
      <c r="M2653" s="72">
        <f t="shared" si="166"/>
        <v>-1086</v>
      </c>
      <c r="N2653" s="72">
        <f t="shared" si="167"/>
        <v>475862.72999999922</v>
      </c>
    </row>
    <row r="2654" spans="1:15" x14ac:dyDescent="0.2">
      <c r="A2654" s="73" t="s">
        <v>1488</v>
      </c>
      <c r="B2654" s="3">
        <f t="shared" si="164"/>
        <v>2025</v>
      </c>
      <c r="C2654" s="3">
        <f t="shared" si="165"/>
        <v>11</v>
      </c>
      <c r="D2654" s="73" t="s">
        <v>300</v>
      </c>
      <c r="E2654" s="2"/>
      <c r="F2654" s="2" t="s">
        <v>299</v>
      </c>
      <c r="G2654" s="2"/>
      <c r="H2654" s="2" t="s">
        <v>298</v>
      </c>
      <c r="I2654" s="2" t="s">
        <v>297</v>
      </c>
      <c r="J2654" s="2" t="s">
        <v>296</v>
      </c>
      <c r="K2654" s="72"/>
      <c r="L2654" s="39">
        <v>11061.78</v>
      </c>
      <c r="M2654" s="72">
        <f t="shared" si="166"/>
        <v>11061.78</v>
      </c>
      <c r="N2654" s="72">
        <f t="shared" si="167"/>
        <v>486924.50999999925</v>
      </c>
    </row>
    <row r="2655" spans="1:15" x14ac:dyDescent="0.2">
      <c r="A2655" s="73" t="s">
        <v>1504</v>
      </c>
      <c r="B2655" s="3">
        <f t="shared" si="164"/>
        <v>2025</v>
      </c>
      <c r="C2655" s="3">
        <f t="shared" si="165"/>
        <v>11</v>
      </c>
      <c r="D2655" s="73" t="s">
        <v>893</v>
      </c>
      <c r="E2655" s="2"/>
      <c r="F2655" s="2" t="s">
        <v>304</v>
      </c>
      <c r="G2655" s="2" t="s">
        <v>1008</v>
      </c>
      <c r="H2655" s="2" t="s">
        <v>1007</v>
      </c>
      <c r="I2655" s="1" t="s">
        <v>316</v>
      </c>
      <c r="J2655" s="2" t="s">
        <v>17</v>
      </c>
      <c r="K2655" s="72">
        <v>31.8</v>
      </c>
      <c r="L2655" s="39"/>
      <c r="M2655" s="72">
        <f t="shared" si="166"/>
        <v>-31.8</v>
      </c>
      <c r="N2655" s="72">
        <f t="shared" si="167"/>
        <v>486892.70999999926</v>
      </c>
    </row>
    <row r="2656" spans="1:15" x14ac:dyDescent="0.2">
      <c r="A2656" s="73" t="s">
        <v>1505</v>
      </c>
      <c r="B2656" s="3">
        <f t="shared" si="164"/>
        <v>2025</v>
      </c>
      <c r="C2656" s="3">
        <f t="shared" si="165"/>
        <v>11</v>
      </c>
      <c r="D2656" s="73" t="s">
        <v>893</v>
      </c>
      <c r="E2656" s="2"/>
      <c r="F2656" s="2" t="s">
        <v>304</v>
      </c>
      <c r="G2656" s="2" t="s">
        <v>1008</v>
      </c>
      <c r="H2656" s="2" t="s">
        <v>1007</v>
      </c>
      <c r="I2656" s="1" t="s">
        <v>316</v>
      </c>
      <c r="J2656" s="2" t="s">
        <v>17</v>
      </c>
      <c r="K2656" s="72">
        <v>31.75</v>
      </c>
      <c r="L2656" s="39"/>
      <c r="M2656" s="72">
        <f t="shared" si="166"/>
        <v>-31.75</v>
      </c>
      <c r="N2656" s="72">
        <f t="shared" si="167"/>
        <v>486860.95999999926</v>
      </c>
      <c r="O2656" s="72">
        <v>503545.63</v>
      </c>
    </row>
    <row r="2657" spans="1:16" x14ac:dyDescent="0.2">
      <c r="A2657" s="73" t="s">
        <v>1505</v>
      </c>
      <c r="B2657" s="3">
        <f t="shared" si="164"/>
        <v>2025</v>
      </c>
      <c r="C2657" s="3">
        <f t="shared" si="165"/>
        <v>11</v>
      </c>
      <c r="D2657" s="73" t="s">
        <v>893</v>
      </c>
      <c r="E2657" s="2"/>
      <c r="F2657" s="2" t="s">
        <v>304</v>
      </c>
      <c r="G2657" s="2" t="s">
        <v>1008</v>
      </c>
      <c r="H2657" s="2" t="s">
        <v>1007</v>
      </c>
      <c r="I2657" s="1" t="s">
        <v>316</v>
      </c>
      <c r="J2657" s="2" t="s">
        <v>17</v>
      </c>
      <c r="K2657" s="72">
        <v>32.17</v>
      </c>
      <c r="L2657" s="39"/>
      <c r="M2657" s="72">
        <f t="shared" si="166"/>
        <v>-32.17</v>
      </c>
      <c r="N2657" s="72">
        <f t="shared" si="167"/>
        <v>486828.78999999928</v>
      </c>
      <c r="O2657" s="72">
        <v>-16749.189999999999</v>
      </c>
    </row>
    <row r="2658" spans="1:16" x14ac:dyDescent="0.2">
      <c r="A2658" s="73" t="s">
        <v>1505</v>
      </c>
      <c r="B2658" s="3">
        <f t="shared" si="164"/>
        <v>2025</v>
      </c>
      <c r="C2658" s="3">
        <f t="shared" si="165"/>
        <v>11</v>
      </c>
      <c r="D2658" s="73" t="s">
        <v>893</v>
      </c>
      <c r="E2658" s="2"/>
      <c r="F2658" s="2" t="s">
        <v>304</v>
      </c>
      <c r="G2658" s="2" t="s">
        <v>1008</v>
      </c>
      <c r="H2658" s="2" t="s">
        <v>1007</v>
      </c>
      <c r="I2658" s="1" t="s">
        <v>316</v>
      </c>
      <c r="J2658" s="2" t="s">
        <v>17</v>
      </c>
      <c r="K2658" s="72">
        <v>32.35</v>
      </c>
      <c r="L2658" s="39"/>
      <c r="M2658" s="72">
        <f t="shared" si="166"/>
        <v>-32.35</v>
      </c>
      <c r="N2658" s="72">
        <f t="shared" si="167"/>
        <v>486796.4399999993</v>
      </c>
      <c r="O2658" s="72">
        <f>+O2656+O2657</f>
        <v>486796.44</v>
      </c>
      <c r="P2658" s="39">
        <f>ROUND(+N2658-O2658,2)</f>
        <v>0</v>
      </c>
    </row>
    <row r="2659" spans="1:16" x14ac:dyDescent="0.2">
      <c r="A2659" s="73"/>
      <c r="B2659" s="3"/>
      <c r="C2659" s="3"/>
      <c r="D2659" s="73"/>
      <c r="E2659" s="2"/>
      <c r="F2659" s="2"/>
      <c r="G2659" s="2"/>
      <c r="H2659" s="2"/>
      <c r="I2659" s="2"/>
      <c r="J2659" s="2"/>
      <c r="K2659" s="72"/>
      <c r="L2659" s="39"/>
      <c r="M2659" s="72"/>
      <c r="N2659" s="72"/>
    </row>
    <row r="2660" spans="1:16" x14ac:dyDescent="0.2">
      <c r="A2660" s="73"/>
      <c r="B2660" s="3"/>
      <c r="C2660" s="3"/>
      <c r="D2660" s="73"/>
      <c r="E2660" s="2"/>
      <c r="F2660" s="2"/>
      <c r="G2660" s="2"/>
      <c r="H2660" s="2"/>
      <c r="I2660" s="2"/>
      <c r="J2660" s="2"/>
      <c r="K2660" s="72"/>
      <c r="L2660" s="39"/>
      <c r="M2660" s="72"/>
      <c r="N2660" s="72"/>
    </row>
    <row r="2661" spans="1:16" x14ac:dyDescent="0.2">
      <c r="A2661" s="73"/>
      <c r="B2661" s="3"/>
      <c r="C2661" s="3"/>
      <c r="D2661" s="73"/>
      <c r="E2661" s="2"/>
      <c r="F2661" s="2"/>
      <c r="G2661" s="2"/>
      <c r="H2661" s="2"/>
      <c r="I2661" s="2"/>
      <c r="J2661" s="2"/>
      <c r="K2661" s="72"/>
      <c r="L2661" s="39"/>
      <c r="M2661" s="72"/>
      <c r="N2661" s="72"/>
    </row>
    <row r="2662" spans="1:16" x14ac:dyDescent="0.2">
      <c r="A2662" s="73"/>
      <c r="B2662" s="3"/>
      <c r="C2662" s="3"/>
      <c r="D2662" s="73"/>
      <c r="E2662" s="2"/>
      <c r="F2662" s="2"/>
      <c r="G2662" s="2"/>
      <c r="H2662" s="2"/>
      <c r="I2662" s="2"/>
      <c r="J2662" s="2"/>
      <c r="K2662" s="72"/>
      <c r="L2662" s="39"/>
      <c r="M2662" s="72"/>
      <c r="N2662" s="72"/>
    </row>
    <row r="2663" spans="1:16" x14ac:dyDescent="0.2">
      <c r="A2663" s="73"/>
      <c r="B2663" s="3"/>
      <c r="C2663" s="3"/>
      <c r="D2663" s="73"/>
      <c r="E2663" s="2"/>
      <c r="F2663" s="2"/>
      <c r="G2663" s="2"/>
      <c r="H2663" s="2"/>
      <c r="I2663" s="2"/>
      <c r="J2663" s="2"/>
      <c r="K2663" s="72"/>
      <c r="L2663" s="39"/>
      <c r="M2663" s="72"/>
      <c r="N2663" s="72"/>
    </row>
    <row r="2664" spans="1:16" x14ac:dyDescent="0.2">
      <c r="A2664" s="73"/>
      <c r="B2664" s="3"/>
      <c r="C2664" s="3"/>
      <c r="D2664" s="73"/>
      <c r="E2664" s="2"/>
      <c r="F2664" s="2"/>
      <c r="G2664" s="2"/>
      <c r="H2664" s="2"/>
      <c r="I2664" s="2"/>
      <c r="J2664" s="2"/>
      <c r="K2664" s="72"/>
      <c r="L2664" s="39"/>
      <c r="M2664" s="72"/>
      <c r="N2664" s="72"/>
    </row>
    <row r="2665" spans="1:16" x14ac:dyDescent="0.2">
      <c r="A2665" s="73"/>
      <c r="B2665" s="3"/>
      <c r="C2665" s="3"/>
      <c r="D2665" s="73"/>
      <c r="E2665" s="2"/>
      <c r="F2665" s="2"/>
      <c r="G2665" s="2"/>
      <c r="H2665" s="2"/>
      <c r="I2665" s="2"/>
      <c r="J2665" s="2"/>
      <c r="K2665" s="72"/>
      <c r="L2665" s="39"/>
      <c r="M2665" s="72"/>
      <c r="N2665" s="72"/>
    </row>
    <row r="2666" spans="1:16" x14ac:dyDescent="0.2">
      <c r="A2666" s="73"/>
      <c r="B2666" s="3"/>
      <c r="C2666" s="3"/>
      <c r="D2666" s="73"/>
      <c r="E2666" s="2"/>
      <c r="F2666" s="2"/>
      <c r="G2666" s="2"/>
      <c r="H2666" s="2"/>
      <c r="I2666" s="2"/>
      <c r="J2666" s="2"/>
      <c r="K2666" s="72"/>
      <c r="L2666" s="39"/>
      <c r="M2666" s="72"/>
      <c r="N2666" s="72"/>
    </row>
    <row r="2667" spans="1:16" x14ac:dyDescent="0.2">
      <c r="A2667" s="73"/>
      <c r="B2667" s="3"/>
      <c r="C2667" s="3"/>
      <c r="D2667" s="73"/>
      <c r="E2667" s="2"/>
      <c r="F2667" s="2"/>
      <c r="G2667" s="2"/>
      <c r="H2667" s="2"/>
      <c r="I2667" s="2"/>
      <c r="J2667" s="2"/>
      <c r="K2667" s="72"/>
      <c r="L2667" s="39"/>
      <c r="M2667" s="72"/>
      <c r="N2667" s="72"/>
    </row>
    <row r="2668" spans="1:16" x14ac:dyDescent="0.2">
      <c r="A2668" s="73"/>
      <c r="B2668" s="3"/>
      <c r="C2668" s="3"/>
      <c r="D2668" s="73"/>
      <c r="E2668" s="2"/>
      <c r="F2668" s="2"/>
      <c r="G2668" s="2"/>
      <c r="H2668" s="2"/>
      <c r="I2668" s="2"/>
      <c r="J2668" s="2"/>
      <c r="K2668" s="72"/>
      <c r="L2668" s="39"/>
      <c r="M2668" s="72"/>
      <c r="N2668" s="72"/>
    </row>
    <row r="2669" spans="1:16" x14ac:dyDescent="0.2">
      <c r="A2669" s="73"/>
      <c r="B2669" s="3"/>
      <c r="C2669" s="3"/>
      <c r="D2669" s="73"/>
      <c r="E2669" s="2"/>
      <c r="F2669" s="2"/>
      <c r="G2669" s="2"/>
      <c r="H2669" s="2"/>
      <c r="I2669" s="2"/>
      <c r="J2669" s="2"/>
      <c r="K2669" s="72"/>
      <c r="L2669" s="39"/>
      <c r="M2669" s="72"/>
      <c r="N2669" s="72"/>
    </row>
    <row r="2670" spans="1:16" x14ac:dyDescent="0.2">
      <c r="A2670" s="73"/>
      <c r="B2670" s="3"/>
      <c r="C2670" s="3"/>
      <c r="D2670" s="73"/>
      <c r="E2670" s="2"/>
      <c r="F2670" s="2"/>
      <c r="G2670" s="2"/>
      <c r="H2670" s="2"/>
      <c r="I2670" s="2"/>
      <c r="J2670" s="2"/>
      <c r="K2670" s="72"/>
      <c r="L2670" s="39"/>
      <c r="M2670" s="72"/>
      <c r="N2670" s="72"/>
    </row>
    <row r="2671" spans="1:16" x14ac:dyDescent="0.2">
      <c r="A2671" s="73"/>
      <c r="B2671" s="3"/>
      <c r="C2671" s="3"/>
      <c r="D2671" s="73"/>
      <c r="E2671" s="2"/>
      <c r="F2671" s="2"/>
      <c r="G2671" s="2"/>
      <c r="H2671" s="2"/>
      <c r="I2671" s="2"/>
      <c r="J2671" s="2"/>
      <c r="K2671" s="72"/>
      <c r="L2671" s="39"/>
      <c r="M2671" s="72"/>
      <c r="N2671" s="72"/>
    </row>
    <row r="2672" spans="1:16" x14ac:dyDescent="0.2">
      <c r="A2672" s="73"/>
      <c r="B2672" s="3"/>
      <c r="C2672" s="3"/>
      <c r="D2672" s="73"/>
      <c r="E2672" s="2"/>
      <c r="F2672" s="2"/>
      <c r="G2672" s="2"/>
      <c r="H2672" s="2"/>
      <c r="I2672" s="2"/>
      <c r="J2672" s="2"/>
      <c r="K2672" s="72"/>
      <c r="L2672" s="39"/>
      <c r="M2672" s="72"/>
      <c r="N2672" s="72"/>
    </row>
    <row r="2673" spans="1:14" x14ac:dyDescent="0.2">
      <c r="A2673" s="73"/>
      <c r="B2673" s="3"/>
      <c r="C2673" s="3"/>
      <c r="D2673" s="73"/>
      <c r="E2673" s="2"/>
      <c r="F2673" s="2"/>
      <c r="G2673" s="2"/>
      <c r="H2673" s="2"/>
      <c r="I2673" s="2"/>
      <c r="J2673" s="2"/>
      <c r="K2673" s="72"/>
      <c r="L2673" s="39"/>
      <c r="M2673" s="72"/>
      <c r="N2673" s="72"/>
    </row>
    <row r="2674" spans="1:14" x14ac:dyDescent="0.2">
      <c r="A2674" s="73"/>
      <c r="B2674" s="3"/>
      <c r="C2674" s="3"/>
      <c r="D2674" s="73"/>
      <c r="E2674" s="2"/>
      <c r="F2674" s="2"/>
      <c r="G2674" s="2"/>
      <c r="H2674" s="2"/>
      <c r="I2674" s="2"/>
      <c r="J2674" s="2"/>
      <c r="K2674" s="72"/>
      <c r="L2674" s="39"/>
      <c r="M2674" s="72"/>
      <c r="N2674" s="72"/>
    </row>
    <row r="2675" spans="1:14" x14ac:dyDescent="0.2">
      <c r="A2675" s="73"/>
      <c r="B2675" s="3"/>
      <c r="C2675" s="3"/>
      <c r="D2675" s="73"/>
      <c r="E2675" s="2"/>
      <c r="F2675" s="2"/>
      <c r="G2675" s="2"/>
      <c r="H2675" s="2"/>
      <c r="I2675" s="2"/>
      <c r="J2675" s="2"/>
      <c r="K2675" s="72"/>
      <c r="L2675" s="39"/>
      <c r="M2675" s="72"/>
      <c r="N2675" s="72"/>
    </row>
    <row r="2676" spans="1:14" x14ac:dyDescent="0.2">
      <c r="A2676" s="73"/>
      <c r="B2676" s="3"/>
      <c r="C2676" s="3"/>
      <c r="D2676" s="73"/>
      <c r="E2676" s="2"/>
      <c r="F2676" s="2"/>
      <c r="G2676" s="2"/>
      <c r="H2676" s="2"/>
      <c r="I2676" s="2"/>
      <c r="J2676" s="2"/>
      <c r="K2676" s="72"/>
      <c r="L2676" s="39"/>
      <c r="M2676" s="72"/>
      <c r="N2676" s="72"/>
    </row>
    <row r="2677" spans="1:14" x14ac:dyDescent="0.2">
      <c r="A2677" s="73"/>
      <c r="B2677" s="3"/>
      <c r="C2677" s="3"/>
      <c r="D2677" s="73"/>
      <c r="E2677" s="2"/>
      <c r="F2677" s="2"/>
      <c r="G2677" s="2"/>
      <c r="H2677" s="2"/>
      <c r="I2677" s="2"/>
      <c r="J2677" s="2"/>
      <c r="K2677" s="72"/>
      <c r="L2677" s="39"/>
      <c r="M2677" s="72"/>
      <c r="N2677" s="72"/>
    </row>
    <row r="2678" spans="1:14" x14ac:dyDescent="0.2">
      <c r="A2678" s="73"/>
      <c r="B2678" s="3"/>
      <c r="C2678" s="3"/>
      <c r="D2678" s="73"/>
      <c r="E2678" s="2"/>
      <c r="F2678" s="2"/>
      <c r="G2678" s="2"/>
      <c r="H2678" s="2"/>
      <c r="I2678" s="2"/>
      <c r="J2678" s="2"/>
      <c r="K2678" s="72"/>
      <c r="L2678" s="39"/>
      <c r="M2678" s="72"/>
      <c r="N2678" s="72"/>
    </row>
    <row r="2679" spans="1:14" x14ac:dyDescent="0.2">
      <c r="A2679" s="73"/>
      <c r="B2679" s="3"/>
      <c r="C2679" s="3"/>
      <c r="D2679" s="73"/>
      <c r="E2679" s="2"/>
      <c r="F2679" s="2"/>
      <c r="G2679" s="2"/>
      <c r="H2679" s="2"/>
      <c r="I2679" s="2"/>
      <c r="J2679" s="2"/>
      <c r="K2679" s="72"/>
      <c r="L2679" s="39"/>
      <c r="M2679" s="72"/>
      <c r="N2679" s="72"/>
    </row>
    <row r="2680" spans="1:14" x14ac:dyDescent="0.2">
      <c r="A2680" s="73"/>
      <c r="B2680" s="3"/>
      <c r="C2680" s="3"/>
      <c r="D2680" s="73"/>
      <c r="E2680" s="2"/>
      <c r="F2680" s="2"/>
      <c r="G2680" s="2"/>
      <c r="H2680" s="2"/>
      <c r="I2680" s="2"/>
      <c r="J2680" s="2"/>
      <c r="K2680" s="72"/>
      <c r="L2680" s="39"/>
      <c r="M2680" s="72"/>
      <c r="N2680" s="72"/>
    </row>
    <row r="2681" spans="1:14" x14ac:dyDescent="0.2">
      <c r="A2681" s="73"/>
      <c r="B2681" s="3"/>
      <c r="C2681" s="3"/>
      <c r="D2681" s="73"/>
      <c r="E2681" s="2"/>
      <c r="F2681" s="2"/>
      <c r="G2681" s="2"/>
      <c r="H2681" s="2"/>
      <c r="I2681" s="2"/>
      <c r="J2681" s="2"/>
      <c r="K2681" s="72"/>
      <c r="L2681" s="39"/>
      <c r="M2681" s="72"/>
      <c r="N2681" s="72"/>
    </row>
    <row r="2682" spans="1:14" x14ac:dyDescent="0.2">
      <c r="A2682" s="73"/>
      <c r="B2682" s="3"/>
      <c r="C2682" s="3"/>
      <c r="D2682" s="73"/>
      <c r="E2682" s="2"/>
      <c r="F2682" s="2"/>
      <c r="G2682" s="2"/>
      <c r="H2682" s="2"/>
      <c r="I2682" s="2"/>
      <c r="J2682" s="2"/>
      <c r="K2682" s="72"/>
      <c r="L2682" s="39"/>
      <c r="M2682" s="72"/>
      <c r="N2682" s="72"/>
    </row>
    <row r="2683" spans="1:14" x14ac:dyDescent="0.2">
      <c r="A2683" s="73"/>
      <c r="B2683" s="3"/>
      <c r="C2683" s="3"/>
      <c r="D2683" s="73"/>
      <c r="E2683" s="2"/>
      <c r="F2683" s="2"/>
      <c r="G2683" s="2"/>
      <c r="H2683" s="2"/>
      <c r="I2683" s="2"/>
      <c r="J2683" s="2"/>
      <c r="K2683" s="72"/>
      <c r="L2683" s="39"/>
      <c r="M2683" s="72"/>
      <c r="N2683" s="72"/>
    </row>
    <row r="2684" spans="1:14" x14ac:dyDescent="0.2">
      <c r="A2684" s="73"/>
      <c r="B2684" s="3"/>
      <c r="C2684" s="3"/>
      <c r="D2684" s="73"/>
      <c r="E2684" s="2"/>
      <c r="F2684" s="2"/>
      <c r="G2684" s="2"/>
      <c r="H2684" s="2"/>
      <c r="I2684" s="2"/>
      <c r="J2684" s="2"/>
      <c r="K2684" s="72"/>
      <c r="L2684" s="39"/>
      <c r="M2684" s="72"/>
      <c r="N2684" s="72"/>
    </row>
    <row r="2685" spans="1:14" x14ac:dyDescent="0.2">
      <c r="A2685" s="73"/>
      <c r="B2685" s="3"/>
      <c r="C2685" s="3"/>
      <c r="D2685" s="73"/>
      <c r="E2685" s="2"/>
      <c r="F2685" s="2"/>
      <c r="G2685" s="2"/>
      <c r="H2685" s="2"/>
      <c r="I2685" s="2"/>
      <c r="J2685" s="2"/>
      <c r="K2685" s="72"/>
      <c r="L2685" s="39"/>
      <c r="M2685" s="72"/>
      <c r="N2685" s="72"/>
    </row>
    <row r="2686" spans="1:14" x14ac:dyDescent="0.2">
      <c r="A2686" s="73"/>
      <c r="B2686" s="3"/>
      <c r="C2686" s="3"/>
      <c r="D2686" s="73"/>
      <c r="E2686" s="2"/>
      <c r="F2686" s="2"/>
      <c r="G2686" s="2"/>
      <c r="H2686" s="2"/>
      <c r="I2686" s="2"/>
      <c r="J2686" s="2"/>
      <c r="K2686" s="72"/>
      <c r="L2686" s="39"/>
      <c r="M2686" s="72"/>
      <c r="N2686" s="72"/>
    </row>
    <row r="2687" spans="1:14" x14ac:dyDescent="0.2">
      <c r="A2687" s="73"/>
      <c r="B2687" s="3"/>
      <c r="C2687" s="3"/>
      <c r="D2687" s="73"/>
      <c r="E2687" s="2"/>
      <c r="F2687" s="2"/>
      <c r="G2687" s="2"/>
      <c r="H2687" s="2"/>
      <c r="I2687" s="2"/>
      <c r="J2687" s="2"/>
      <c r="K2687" s="72"/>
      <c r="L2687" s="39"/>
      <c r="M2687" s="72"/>
      <c r="N2687" s="72"/>
    </row>
    <row r="2688" spans="1:14" x14ac:dyDescent="0.2">
      <c r="A2688" s="73"/>
      <c r="B2688" s="3"/>
      <c r="C2688" s="3"/>
      <c r="D2688" s="73"/>
      <c r="E2688" s="2"/>
      <c r="F2688" s="2"/>
      <c r="G2688" s="2"/>
      <c r="H2688" s="2"/>
      <c r="I2688" s="2"/>
      <c r="J2688" s="2"/>
      <c r="K2688" s="72"/>
      <c r="L2688" s="39"/>
      <c r="M2688" s="72"/>
      <c r="N2688" s="72"/>
    </row>
    <row r="2689" spans="1:14" x14ac:dyDescent="0.2">
      <c r="A2689" s="73"/>
      <c r="B2689" s="3"/>
      <c r="C2689" s="3"/>
      <c r="D2689" s="73"/>
      <c r="E2689" s="2"/>
      <c r="F2689" s="2"/>
      <c r="G2689" s="2"/>
      <c r="H2689" s="2"/>
      <c r="I2689" s="2"/>
      <c r="J2689" s="2"/>
      <c r="K2689" s="72"/>
      <c r="L2689" s="39"/>
      <c r="M2689" s="72"/>
      <c r="N2689" s="72"/>
    </row>
    <row r="2690" spans="1:14" x14ac:dyDescent="0.2">
      <c r="A2690" s="73"/>
      <c r="B2690" s="3"/>
      <c r="C2690" s="3"/>
      <c r="D2690" s="73"/>
      <c r="E2690" s="2"/>
      <c r="F2690" s="2"/>
      <c r="G2690" s="2"/>
      <c r="H2690" s="2"/>
      <c r="I2690" s="2"/>
      <c r="J2690" s="2"/>
      <c r="K2690" s="72"/>
      <c r="L2690" s="39"/>
      <c r="M2690" s="72"/>
      <c r="N2690" s="72"/>
    </row>
    <row r="2691" spans="1:14" x14ac:dyDescent="0.2">
      <c r="A2691" s="73"/>
      <c r="B2691" s="3"/>
      <c r="C2691" s="3"/>
      <c r="D2691" s="73"/>
      <c r="E2691" s="2"/>
      <c r="F2691" s="2"/>
      <c r="G2691" s="2"/>
      <c r="H2691" s="2"/>
      <c r="I2691" s="2"/>
      <c r="J2691" s="2"/>
      <c r="K2691" s="72"/>
      <c r="L2691" s="39"/>
      <c r="M2691" s="72"/>
      <c r="N2691" s="72"/>
    </row>
    <row r="2692" spans="1:14" x14ac:dyDescent="0.2">
      <c r="A2692" s="73"/>
      <c r="B2692" s="3"/>
      <c r="C2692" s="3"/>
      <c r="D2692" s="73"/>
      <c r="E2692" s="2"/>
      <c r="F2692" s="2"/>
      <c r="G2692" s="2"/>
      <c r="H2692" s="2"/>
      <c r="I2692" s="2"/>
      <c r="J2692" s="2"/>
      <c r="K2692" s="72"/>
      <c r="L2692" s="39"/>
      <c r="M2692" s="72"/>
      <c r="N2692" s="72"/>
    </row>
    <row r="2693" spans="1:14" x14ac:dyDescent="0.2">
      <c r="A2693" s="73"/>
      <c r="B2693" s="3"/>
      <c r="C2693" s="3"/>
      <c r="D2693" s="73"/>
      <c r="E2693" s="2"/>
      <c r="F2693" s="2"/>
      <c r="G2693" s="2"/>
      <c r="H2693" s="2"/>
      <c r="I2693" s="2"/>
      <c r="J2693" s="2"/>
      <c r="K2693" s="72"/>
      <c r="L2693" s="39"/>
      <c r="M2693" s="72"/>
      <c r="N2693" s="72"/>
    </row>
    <row r="2694" spans="1:14" x14ac:dyDescent="0.2">
      <c r="A2694" s="73"/>
      <c r="B2694" s="3"/>
      <c r="C2694" s="3"/>
      <c r="D2694" s="73"/>
      <c r="E2694" s="2"/>
      <c r="F2694" s="2"/>
      <c r="G2694" s="2"/>
      <c r="H2694" s="2"/>
      <c r="I2694" s="2"/>
      <c r="J2694" s="2"/>
      <c r="K2694" s="72"/>
      <c r="L2694" s="39"/>
      <c r="M2694" s="72"/>
      <c r="N2694" s="72"/>
    </row>
    <row r="2695" spans="1:14" x14ac:dyDescent="0.2">
      <c r="A2695" s="73"/>
      <c r="B2695" s="3"/>
      <c r="C2695" s="3"/>
      <c r="D2695" s="73"/>
      <c r="E2695" s="2"/>
      <c r="F2695" s="2"/>
      <c r="G2695" s="2"/>
      <c r="H2695" s="2"/>
      <c r="I2695" s="2"/>
      <c r="J2695" s="2"/>
      <c r="K2695" s="72"/>
      <c r="L2695" s="39"/>
      <c r="M2695" s="72"/>
      <c r="N2695" s="72"/>
    </row>
    <row r="2696" spans="1:14" x14ac:dyDescent="0.2">
      <c r="A2696" s="73"/>
      <c r="B2696" s="3"/>
      <c r="C2696" s="3"/>
      <c r="D2696" s="73"/>
      <c r="E2696" s="2"/>
      <c r="F2696" s="2"/>
      <c r="G2696" s="2"/>
      <c r="H2696" s="2"/>
      <c r="I2696" s="2"/>
      <c r="J2696" s="2"/>
      <c r="K2696" s="72"/>
      <c r="L2696" s="39"/>
      <c r="M2696" s="72"/>
      <c r="N2696" s="72"/>
    </row>
    <row r="2697" spans="1:14" x14ac:dyDescent="0.2">
      <c r="A2697" s="73"/>
      <c r="B2697" s="3"/>
      <c r="C2697" s="3"/>
      <c r="D2697" s="73"/>
      <c r="E2697" s="2"/>
      <c r="F2697" s="2"/>
      <c r="G2697" s="2"/>
      <c r="H2697" s="2"/>
      <c r="I2697" s="2"/>
      <c r="J2697" s="2"/>
      <c r="K2697" s="72"/>
      <c r="L2697" s="39"/>
      <c r="M2697" s="72"/>
      <c r="N2697" s="72"/>
    </row>
    <row r="2698" spans="1:14" x14ac:dyDescent="0.2">
      <c r="A2698" s="73"/>
      <c r="B2698" s="3"/>
      <c r="C2698" s="3"/>
      <c r="D2698" s="73"/>
      <c r="E2698" s="2"/>
      <c r="F2698" s="2"/>
      <c r="G2698" s="2"/>
      <c r="H2698" s="2"/>
      <c r="I2698" s="2"/>
      <c r="J2698" s="2"/>
      <c r="K2698" s="72"/>
      <c r="L2698" s="39"/>
      <c r="M2698" s="72"/>
      <c r="N2698" s="72"/>
    </row>
    <row r="2699" spans="1:14" x14ac:dyDescent="0.2">
      <c r="A2699" s="73"/>
      <c r="B2699" s="3"/>
      <c r="C2699" s="3"/>
      <c r="D2699" s="73"/>
      <c r="E2699" s="2"/>
      <c r="F2699" s="2"/>
      <c r="G2699" s="2"/>
      <c r="H2699" s="2"/>
      <c r="I2699" s="2"/>
      <c r="J2699" s="2"/>
      <c r="K2699" s="72"/>
      <c r="L2699" s="39"/>
      <c r="M2699" s="72"/>
      <c r="N2699" s="72"/>
    </row>
    <row r="2700" spans="1:14" x14ac:dyDescent="0.2">
      <c r="A2700" s="73"/>
      <c r="B2700" s="3"/>
      <c r="C2700" s="3"/>
      <c r="D2700" s="73"/>
      <c r="E2700" s="2"/>
      <c r="F2700" s="2"/>
      <c r="G2700" s="2"/>
      <c r="H2700" s="2"/>
      <c r="I2700" s="2"/>
      <c r="J2700" s="2"/>
      <c r="K2700" s="72"/>
      <c r="L2700" s="39"/>
      <c r="M2700" s="72"/>
      <c r="N2700" s="72"/>
    </row>
    <row r="2701" spans="1:14" x14ac:dyDescent="0.2">
      <c r="A2701" s="73"/>
      <c r="B2701" s="3"/>
      <c r="C2701" s="3"/>
      <c r="D2701" s="73"/>
      <c r="E2701" s="2"/>
      <c r="F2701" s="2"/>
      <c r="G2701" s="2"/>
      <c r="H2701" s="2"/>
      <c r="I2701" s="2"/>
      <c r="J2701" s="2"/>
      <c r="K2701" s="72"/>
      <c r="L2701" s="39"/>
      <c r="M2701" s="72"/>
      <c r="N2701" s="72"/>
    </row>
    <row r="2702" spans="1:14" x14ac:dyDescent="0.2">
      <c r="A2702" s="73"/>
      <c r="B2702" s="3"/>
      <c r="C2702" s="3"/>
      <c r="D2702" s="73"/>
      <c r="E2702" s="2"/>
      <c r="F2702" s="2"/>
      <c r="G2702" s="2"/>
      <c r="H2702" s="2"/>
      <c r="I2702" s="2"/>
      <c r="J2702" s="2"/>
      <c r="K2702" s="72"/>
      <c r="L2702" s="39"/>
      <c r="M2702" s="72"/>
      <c r="N2702" s="72"/>
    </row>
    <row r="2703" spans="1:14" x14ac:dyDescent="0.2">
      <c r="A2703" s="73"/>
      <c r="B2703" s="3"/>
      <c r="C2703" s="3"/>
      <c r="D2703" s="73"/>
      <c r="E2703" s="2"/>
      <c r="F2703" s="2"/>
      <c r="G2703" s="2"/>
      <c r="H2703" s="2"/>
      <c r="I2703" s="2"/>
      <c r="J2703" s="2"/>
      <c r="K2703" s="72"/>
      <c r="L2703" s="39"/>
      <c r="M2703" s="72"/>
      <c r="N2703" s="72"/>
    </row>
    <row r="2704" spans="1:14" x14ac:dyDescent="0.2">
      <c r="A2704" s="73"/>
      <c r="B2704" s="3"/>
      <c r="C2704" s="3"/>
      <c r="D2704" s="73"/>
      <c r="E2704" s="2"/>
      <c r="F2704" s="2"/>
      <c r="G2704" s="2"/>
      <c r="H2704" s="2"/>
      <c r="I2704" s="2"/>
      <c r="J2704" s="2"/>
      <c r="K2704" s="72"/>
      <c r="L2704" s="39"/>
      <c r="M2704" s="72"/>
      <c r="N2704" s="72"/>
    </row>
    <row r="2705" spans="1:14" x14ac:dyDescent="0.2">
      <c r="A2705" s="73"/>
      <c r="B2705" s="3"/>
      <c r="C2705" s="3"/>
      <c r="D2705" s="73"/>
      <c r="E2705" s="2"/>
      <c r="F2705" s="2"/>
      <c r="G2705" s="2"/>
      <c r="H2705" s="2"/>
      <c r="I2705" s="2"/>
      <c r="J2705" s="2"/>
      <c r="K2705" s="72"/>
      <c r="L2705" s="39"/>
      <c r="M2705" s="72"/>
      <c r="N2705" s="72"/>
    </row>
    <row r="2706" spans="1:14" x14ac:dyDescent="0.2">
      <c r="A2706" s="73"/>
      <c r="B2706" s="3"/>
      <c r="C2706" s="3"/>
      <c r="D2706" s="73"/>
      <c r="E2706" s="2"/>
      <c r="F2706" s="2"/>
      <c r="G2706" s="2"/>
      <c r="H2706" s="2"/>
      <c r="I2706" s="2"/>
      <c r="J2706" s="2"/>
      <c r="K2706" s="72"/>
      <c r="L2706" s="39"/>
      <c r="M2706" s="72"/>
      <c r="N2706" s="72"/>
    </row>
    <row r="2707" spans="1:14" x14ac:dyDescent="0.2">
      <c r="A2707" s="73"/>
      <c r="B2707" s="3"/>
      <c r="C2707" s="3"/>
      <c r="D2707" s="73"/>
      <c r="E2707" s="2"/>
      <c r="F2707" s="2"/>
      <c r="G2707" s="2"/>
      <c r="H2707" s="2"/>
      <c r="I2707" s="2"/>
      <c r="J2707" s="2"/>
      <c r="K2707" s="72"/>
      <c r="L2707" s="39"/>
      <c r="M2707" s="72"/>
      <c r="N2707" s="72"/>
    </row>
    <row r="2708" spans="1:14" x14ac:dyDescent="0.2">
      <c r="A2708" s="73"/>
      <c r="B2708" s="3"/>
      <c r="C2708" s="3"/>
      <c r="D2708" s="73"/>
      <c r="E2708" s="2"/>
      <c r="F2708" s="2"/>
      <c r="G2708" s="2"/>
      <c r="H2708" s="2"/>
      <c r="I2708" s="2"/>
      <c r="J2708" s="2"/>
      <c r="K2708" s="72"/>
      <c r="L2708" s="39"/>
      <c r="M2708" s="72"/>
      <c r="N2708" s="72"/>
    </row>
    <row r="2709" spans="1:14" x14ac:dyDescent="0.2">
      <c r="A2709" s="73"/>
      <c r="B2709" s="3"/>
      <c r="C2709" s="3"/>
      <c r="D2709" s="73"/>
      <c r="E2709" s="2"/>
      <c r="F2709" s="2"/>
      <c r="G2709" s="2"/>
      <c r="H2709" s="2"/>
      <c r="I2709" s="2"/>
      <c r="J2709" s="2"/>
      <c r="K2709" s="72"/>
      <c r="L2709" s="39"/>
      <c r="M2709" s="72"/>
      <c r="N2709" s="72"/>
    </row>
    <row r="2710" spans="1:14" x14ac:dyDescent="0.2">
      <c r="A2710" s="73"/>
      <c r="B2710" s="3"/>
      <c r="C2710" s="3"/>
      <c r="D2710" s="73"/>
      <c r="E2710" s="2"/>
      <c r="F2710" s="2"/>
      <c r="G2710" s="2"/>
      <c r="H2710" s="2"/>
      <c r="I2710" s="2"/>
      <c r="J2710" s="2"/>
      <c r="K2710" s="72"/>
      <c r="L2710" s="39"/>
      <c r="M2710" s="72"/>
      <c r="N2710" s="72"/>
    </row>
    <row r="2711" spans="1:14" x14ac:dyDescent="0.2">
      <c r="A2711" s="73"/>
      <c r="B2711" s="3"/>
      <c r="C2711" s="3"/>
      <c r="D2711" s="73"/>
      <c r="E2711" s="2"/>
      <c r="F2711" s="2"/>
      <c r="G2711" s="2"/>
      <c r="H2711" s="2"/>
      <c r="I2711" s="2"/>
      <c r="J2711" s="2"/>
      <c r="K2711" s="72"/>
      <c r="L2711" s="39"/>
      <c r="M2711" s="72"/>
      <c r="N2711" s="72"/>
    </row>
    <row r="2712" spans="1:14" x14ac:dyDescent="0.2">
      <c r="A2712" s="73"/>
      <c r="B2712" s="3"/>
      <c r="C2712" s="3"/>
      <c r="D2712" s="73"/>
      <c r="E2712" s="2"/>
      <c r="F2712" s="2"/>
      <c r="G2712" s="2"/>
      <c r="H2712" s="2"/>
      <c r="I2712" s="2"/>
      <c r="J2712" s="2"/>
      <c r="K2712" s="72"/>
      <c r="L2712" s="39"/>
      <c r="M2712" s="72"/>
      <c r="N2712" s="72"/>
    </row>
    <row r="2713" spans="1:14" x14ac:dyDescent="0.2">
      <c r="A2713" s="73"/>
      <c r="B2713" s="3"/>
      <c r="C2713" s="3"/>
      <c r="D2713" s="73"/>
      <c r="E2713" s="2"/>
      <c r="F2713" s="2"/>
      <c r="G2713" s="2"/>
      <c r="H2713" s="2"/>
      <c r="I2713" s="2"/>
      <c r="J2713" s="2"/>
      <c r="K2713" s="72"/>
      <c r="L2713" s="39"/>
      <c r="M2713" s="72"/>
      <c r="N2713" s="72"/>
    </row>
    <row r="2714" spans="1:14" x14ac:dyDescent="0.2">
      <c r="A2714" s="73"/>
      <c r="B2714" s="3"/>
      <c r="C2714" s="3"/>
      <c r="D2714" s="73"/>
      <c r="E2714" s="2"/>
      <c r="F2714" s="2"/>
      <c r="G2714" s="2"/>
      <c r="H2714" s="2"/>
      <c r="I2714" s="2"/>
      <c r="J2714" s="2"/>
      <c r="K2714" s="72"/>
      <c r="L2714" s="39"/>
      <c r="M2714" s="72"/>
      <c r="N2714" s="72"/>
    </row>
    <row r="2715" spans="1:14" x14ac:dyDescent="0.2">
      <c r="A2715" s="73"/>
      <c r="B2715" s="3"/>
      <c r="C2715" s="3"/>
      <c r="D2715" s="73"/>
      <c r="E2715" s="2"/>
      <c r="F2715" s="2"/>
      <c r="G2715" s="2"/>
      <c r="H2715" s="2"/>
      <c r="I2715" s="2"/>
      <c r="J2715" s="2"/>
      <c r="K2715" s="72"/>
      <c r="L2715" s="39"/>
      <c r="M2715" s="72"/>
      <c r="N2715" s="72"/>
    </row>
    <row r="2716" spans="1:14" x14ac:dyDescent="0.2">
      <c r="A2716" s="73"/>
      <c r="B2716" s="3"/>
      <c r="C2716" s="3"/>
      <c r="D2716" s="73"/>
      <c r="E2716" s="2"/>
      <c r="F2716" s="2"/>
      <c r="G2716" s="2"/>
      <c r="H2716" s="2"/>
      <c r="I2716" s="2"/>
      <c r="J2716" s="2"/>
      <c r="K2716" s="72"/>
      <c r="L2716" s="39"/>
      <c r="M2716" s="72"/>
      <c r="N2716" s="72"/>
    </row>
    <row r="2717" spans="1:14" x14ac:dyDescent="0.2">
      <c r="A2717" s="73"/>
      <c r="B2717" s="3"/>
      <c r="C2717" s="3"/>
      <c r="D2717" s="73"/>
      <c r="E2717" s="2"/>
      <c r="F2717" s="2"/>
      <c r="G2717" s="2"/>
      <c r="H2717" s="2"/>
      <c r="I2717" s="2"/>
      <c r="J2717" s="2"/>
      <c r="K2717" s="72"/>
      <c r="L2717" s="39"/>
      <c r="M2717" s="72"/>
      <c r="N2717" s="72"/>
    </row>
    <row r="2718" spans="1:14" x14ac:dyDescent="0.2">
      <c r="A2718" s="73"/>
      <c r="B2718" s="3"/>
      <c r="C2718" s="3"/>
      <c r="D2718" s="73"/>
      <c r="E2718" s="2"/>
      <c r="F2718" s="2"/>
      <c r="G2718" s="2"/>
      <c r="H2718" s="2"/>
      <c r="I2718" s="2"/>
      <c r="J2718" s="2"/>
      <c r="K2718" s="72"/>
      <c r="L2718" s="39"/>
      <c r="M2718" s="72"/>
      <c r="N2718" s="72"/>
    </row>
    <row r="2719" spans="1:14" x14ac:dyDescent="0.2">
      <c r="A2719" s="73"/>
      <c r="B2719" s="3"/>
      <c r="C2719" s="3"/>
      <c r="D2719" s="73"/>
      <c r="E2719" s="2"/>
      <c r="F2719" s="2"/>
      <c r="G2719" s="2"/>
      <c r="H2719" s="2"/>
      <c r="I2719" s="2"/>
      <c r="J2719" s="2"/>
      <c r="K2719" s="72"/>
      <c r="L2719" s="39"/>
      <c r="M2719" s="72"/>
      <c r="N2719" s="72"/>
    </row>
    <row r="2720" spans="1:14" x14ac:dyDescent="0.2">
      <c r="A2720" s="73"/>
      <c r="B2720" s="3"/>
      <c r="C2720" s="3"/>
      <c r="D2720" s="73"/>
      <c r="E2720" s="2"/>
      <c r="F2720" s="2"/>
      <c r="G2720" s="2"/>
      <c r="H2720" s="2"/>
      <c r="I2720" s="2"/>
      <c r="J2720" s="2"/>
      <c r="K2720" s="72"/>
      <c r="L2720" s="39"/>
      <c r="M2720" s="72"/>
      <c r="N2720" s="72"/>
    </row>
    <row r="2721" spans="1:14" x14ac:dyDescent="0.2">
      <c r="A2721" s="73"/>
      <c r="B2721" s="3"/>
      <c r="C2721" s="3"/>
      <c r="D2721" s="73"/>
      <c r="E2721" s="2"/>
      <c r="F2721" s="2"/>
      <c r="G2721" s="2"/>
      <c r="H2721" s="2"/>
      <c r="I2721" s="2"/>
      <c r="J2721" s="2"/>
      <c r="K2721" s="72"/>
      <c r="L2721" s="39"/>
      <c r="M2721" s="72"/>
      <c r="N2721" s="72"/>
    </row>
    <row r="2722" spans="1:14" x14ac:dyDescent="0.2">
      <c r="A2722" s="73"/>
      <c r="B2722" s="3"/>
      <c r="C2722" s="3"/>
      <c r="D2722" s="73"/>
      <c r="E2722" s="2"/>
      <c r="F2722" s="2"/>
      <c r="G2722" s="2"/>
      <c r="H2722" s="2"/>
      <c r="I2722" s="2"/>
      <c r="J2722" s="2"/>
      <c r="K2722" s="72"/>
      <c r="L2722" s="39"/>
      <c r="M2722" s="72"/>
      <c r="N2722" s="72"/>
    </row>
    <row r="2723" spans="1:14" x14ac:dyDescent="0.2">
      <c r="A2723" s="73"/>
      <c r="B2723" s="3"/>
      <c r="C2723" s="3"/>
      <c r="D2723" s="73"/>
      <c r="E2723" s="2"/>
      <c r="F2723" s="2"/>
      <c r="G2723" s="2"/>
      <c r="H2723" s="2"/>
      <c r="I2723" s="2"/>
      <c r="J2723" s="2"/>
      <c r="K2723" s="72"/>
      <c r="L2723" s="39"/>
      <c r="M2723" s="72"/>
      <c r="N2723" s="72"/>
    </row>
    <row r="2724" spans="1:14" x14ac:dyDescent="0.2">
      <c r="A2724" s="73"/>
      <c r="B2724" s="3"/>
      <c r="C2724" s="3"/>
      <c r="D2724" s="73"/>
      <c r="E2724" s="2"/>
      <c r="F2724" s="2"/>
      <c r="G2724" s="2"/>
      <c r="H2724" s="2"/>
      <c r="I2724" s="2"/>
      <c r="J2724" s="2"/>
      <c r="K2724" s="72"/>
      <c r="L2724" s="39"/>
      <c r="M2724" s="72"/>
      <c r="N2724" s="72"/>
    </row>
    <row r="2725" spans="1:14" x14ac:dyDescent="0.2">
      <c r="A2725" s="73"/>
      <c r="B2725" s="3"/>
      <c r="C2725" s="3"/>
      <c r="D2725" s="73"/>
      <c r="E2725" s="2"/>
      <c r="F2725" s="2"/>
      <c r="G2725" s="2"/>
      <c r="H2725" s="2"/>
      <c r="I2725" s="2"/>
      <c r="J2725" s="2"/>
      <c r="K2725" s="72"/>
      <c r="L2725" s="39"/>
      <c r="M2725" s="72"/>
      <c r="N2725" s="72"/>
    </row>
    <row r="2726" spans="1:14" x14ac:dyDescent="0.2">
      <c r="A2726" s="73"/>
      <c r="B2726" s="3"/>
      <c r="C2726" s="3"/>
      <c r="D2726" s="73"/>
      <c r="E2726" s="2"/>
      <c r="F2726" s="2"/>
      <c r="G2726" s="2"/>
      <c r="H2726" s="2"/>
      <c r="I2726" s="2"/>
      <c r="J2726" s="2"/>
      <c r="K2726" s="72"/>
      <c r="L2726" s="39"/>
      <c r="M2726" s="72"/>
      <c r="N2726" s="72"/>
    </row>
    <row r="2727" spans="1:14" x14ac:dyDescent="0.2">
      <c r="A2727" s="73"/>
      <c r="B2727" s="3"/>
      <c r="C2727" s="3"/>
      <c r="D2727" s="73"/>
      <c r="E2727" s="2"/>
      <c r="F2727" s="2"/>
      <c r="G2727" s="2"/>
      <c r="H2727" s="2"/>
      <c r="I2727" s="2"/>
      <c r="J2727" s="2"/>
      <c r="K2727" s="72"/>
      <c r="L2727" s="39"/>
      <c r="M2727" s="72"/>
      <c r="N2727" s="72"/>
    </row>
    <row r="2728" spans="1:14" x14ac:dyDescent="0.2">
      <c r="A2728" s="73"/>
      <c r="B2728" s="3"/>
      <c r="C2728" s="3"/>
      <c r="D2728" s="73"/>
      <c r="E2728" s="2"/>
      <c r="F2728" s="2"/>
      <c r="G2728" s="2"/>
      <c r="H2728" s="2"/>
      <c r="I2728" s="2"/>
      <c r="J2728" s="2"/>
      <c r="K2728" s="72"/>
      <c r="L2728" s="39"/>
      <c r="M2728" s="72"/>
      <c r="N2728" s="72"/>
    </row>
    <row r="2729" spans="1:14" x14ac:dyDescent="0.2">
      <c r="A2729" s="73"/>
      <c r="B2729" s="3"/>
      <c r="C2729" s="3"/>
      <c r="D2729" s="73"/>
      <c r="E2729" s="2"/>
      <c r="F2729" s="2"/>
      <c r="G2729" s="2"/>
      <c r="H2729" s="2"/>
      <c r="I2729" s="2"/>
      <c r="J2729" s="2"/>
      <c r="K2729" s="72"/>
      <c r="L2729" s="39"/>
      <c r="M2729" s="72"/>
      <c r="N2729" s="72"/>
    </row>
    <row r="2730" spans="1:14" x14ac:dyDescent="0.2">
      <c r="A2730" s="73"/>
      <c r="B2730" s="3"/>
      <c r="C2730" s="3"/>
      <c r="D2730" s="73"/>
      <c r="E2730" s="2"/>
      <c r="F2730" s="2"/>
      <c r="G2730" s="2"/>
      <c r="H2730" s="2"/>
      <c r="I2730" s="2"/>
      <c r="J2730" s="2"/>
      <c r="K2730" s="72"/>
      <c r="L2730" s="39"/>
      <c r="M2730" s="72"/>
      <c r="N2730" s="72"/>
    </row>
    <row r="2731" spans="1:14" x14ac:dyDescent="0.2">
      <c r="A2731" s="73"/>
      <c r="B2731" s="3"/>
      <c r="C2731" s="3"/>
      <c r="D2731" s="73"/>
      <c r="E2731" s="2"/>
      <c r="F2731" s="2"/>
      <c r="G2731" s="2"/>
      <c r="H2731" s="2"/>
      <c r="I2731" s="2"/>
      <c r="J2731" s="2"/>
      <c r="K2731" s="72"/>
      <c r="L2731" s="39"/>
      <c r="M2731" s="72"/>
      <c r="N2731" s="72"/>
    </row>
    <row r="2732" spans="1:14" x14ac:dyDescent="0.2">
      <c r="A2732" s="73"/>
      <c r="B2732" s="3"/>
      <c r="C2732" s="3"/>
      <c r="D2732" s="73"/>
      <c r="E2732" s="2"/>
      <c r="F2732" s="2"/>
      <c r="G2732" s="2"/>
      <c r="H2732" s="2"/>
      <c r="I2732" s="2"/>
      <c r="J2732" s="2"/>
      <c r="K2732" s="72"/>
      <c r="L2732" s="39"/>
      <c r="M2732" s="72"/>
      <c r="N2732" s="72"/>
    </row>
    <row r="2733" spans="1:14" x14ac:dyDescent="0.2">
      <c r="A2733" s="73"/>
      <c r="B2733" s="3"/>
      <c r="C2733" s="3"/>
      <c r="D2733" s="73"/>
      <c r="E2733" s="2"/>
      <c r="F2733" s="2"/>
      <c r="G2733" s="2"/>
      <c r="H2733" s="2"/>
      <c r="I2733" s="2"/>
      <c r="J2733" s="2"/>
      <c r="K2733" s="72"/>
      <c r="L2733" s="39"/>
      <c r="M2733" s="72"/>
      <c r="N2733" s="72"/>
    </row>
    <row r="2734" spans="1:14" x14ac:dyDescent="0.2">
      <c r="A2734" s="73"/>
      <c r="B2734" s="3"/>
      <c r="C2734" s="3"/>
      <c r="D2734" s="73"/>
      <c r="E2734" s="2"/>
      <c r="F2734" s="2"/>
      <c r="G2734" s="2"/>
      <c r="H2734" s="2"/>
      <c r="I2734" s="2"/>
      <c r="J2734" s="2"/>
      <c r="K2734" s="72"/>
      <c r="L2734" s="39"/>
      <c r="M2734" s="72"/>
      <c r="N2734" s="72"/>
    </row>
    <row r="2735" spans="1:14" x14ac:dyDescent="0.2">
      <c r="A2735" s="73"/>
      <c r="B2735" s="3"/>
      <c r="C2735" s="3"/>
      <c r="D2735" s="73"/>
      <c r="E2735" s="2"/>
      <c r="F2735" s="2"/>
      <c r="G2735" s="2"/>
      <c r="H2735" s="2"/>
      <c r="I2735" s="2"/>
      <c r="J2735" s="2"/>
      <c r="K2735" s="72"/>
      <c r="L2735" s="39"/>
      <c r="M2735" s="72"/>
      <c r="N2735" s="72"/>
    </row>
    <row r="2736" spans="1:14" x14ac:dyDescent="0.2">
      <c r="A2736" s="73"/>
      <c r="B2736" s="3"/>
      <c r="C2736" s="3"/>
      <c r="D2736" s="73"/>
      <c r="E2736" s="2"/>
      <c r="F2736" s="2"/>
      <c r="G2736" s="2"/>
      <c r="H2736" s="2"/>
      <c r="I2736" s="2"/>
      <c r="J2736" s="2"/>
      <c r="K2736" s="72"/>
      <c r="L2736" s="39"/>
      <c r="M2736" s="72"/>
      <c r="N2736" s="72"/>
    </row>
    <row r="2737" spans="1:14" x14ac:dyDescent="0.2">
      <c r="A2737" s="73"/>
      <c r="B2737" s="3"/>
      <c r="C2737" s="3"/>
      <c r="D2737" s="73"/>
      <c r="E2737" s="2"/>
      <c r="F2737" s="2"/>
      <c r="G2737" s="2"/>
      <c r="H2737" s="2"/>
      <c r="I2737" s="2"/>
      <c r="J2737" s="2"/>
      <c r="K2737" s="72"/>
      <c r="L2737" s="39"/>
      <c r="M2737" s="72"/>
      <c r="N2737" s="72"/>
    </row>
    <row r="2738" spans="1:14" x14ac:dyDescent="0.2">
      <c r="A2738" s="73"/>
      <c r="B2738" s="3"/>
      <c r="C2738" s="3"/>
      <c r="D2738" s="73"/>
      <c r="E2738" s="2"/>
      <c r="F2738" s="2"/>
      <c r="G2738" s="2"/>
      <c r="H2738" s="2"/>
      <c r="I2738" s="2"/>
      <c r="J2738" s="2"/>
      <c r="K2738" s="72"/>
      <c r="L2738" s="39"/>
      <c r="M2738" s="72"/>
      <c r="N2738" s="72"/>
    </row>
    <row r="2739" spans="1:14" x14ac:dyDescent="0.2">
      <c r="A2739" s="73"/>
      <c r="B2739" s="3"/>
      <c r="C2739" s="3"/>
      <c r="D2739" s="73"/>
      <c r="E2739" s="2"/>
      <c r="F2739" s="2"/>
      <c r="G2739" s="2"/>
      <c r="H2739" s="2"/>
      <c r="I2739" s="2"/>
      <c r="J2739" s="2"/>
      <c r="K2739" s="72"/>
      <c r="L2739" s="39"/>
      <c r="M2739" s="72"/>
      <c r="N2739" s="72"/>
    </row>
    <row r="2740" spans="1:14" x14ac:dyDescent="0.2">
      <c r="A2740" s="73"/>
      <c r="B2740" s="3"/>
      <c r="C2740" s="3"/>
      <c r="D2740" s="73"/>
      <c r="E2740" s="2"/>
      <c r="F2740" s="2"/>
      <c r="G2740" s="2"/>
      <c r="H2740" s="2"/>
      <c r="I2740" s="2"/>
      <c r="J2740" s="2"/>
      <c r="K2740" s="72"/>
      <c r="L2740" s="39"/>
      <c r="M2740" s="72"/>
      <c r="N2740" s="72"/>
    </row>
    <row r="2741" spans="1:14" x14ac:dyDescent="0.2">
      <c r="A2741" s="73"/>
      <c r="B2741" s="3"/>
      <c r="C2741" s="3"/>
      <c r="D2741" s="73"/>
      <c r="E2741" s="2"/>
      <c r="F2741" s="2"/>
      <c r="G2741" s="2"/>
      <c r="H2741" s="2"/>
      <c r="I2741" s="2"/>
      <c r="J2741" s="2"/>
      <c r="K2741" s="72"/>
      <c r="L2741" s="39"/>
      <c r="M2741" s="72"/>
      <c r="N2741" s="72"/>
    </row>
    <row r="2742" spans="1:14" x14ac:dyDescent="0.2">
      <c r="A2742" s="73"/>
      <c r="B2742" s="3"/>
      <c r="C2742" s="3"/>
      <c r="D2742" s="73"/>
      <c r="E2742" s="2"/>
      <c r="F2742" s="2"/>
      <c r="G2742" s="2"/>
      <c r="H2742" s="2"/>
      <c r="I2742" s="2"/>
      <c r="J2742" s="2"/>
      <c r="K2742" s="72"/>
      <c r="L2742" s="39"/>
      <c r="M2742" s="72"/>
      <c r="N2742" s="72"/>
    </row>
    <row r="2743" spans="1:14" x14ac:dyDescent="0.2">
      <c r="A2743" s="73"/>
      <c r="B2743" s="3"/>
      <c r="C2743" s="3"/>
      <c r="D2743" s="73"/>
      <c r="E2743" s="2"/>
      <c r="F2743" s="2"/>
      <c r="G2743" s="2"/>
      <c r="H2743" s="2"/>
      <c r="I2743" s="2"/>
      <c r="J2743" s="2"/>
      <c r="K2743" s="72"/>
      <c r="L2743" s="39"/>
      <c r="M2743" s="72"/>
      <c r="N2743" s="72"/>
    </row>
    <row r="2744" spans="1:14" x14ac:dyDescent="0.2">
      <c r="A2744" s="73"/>
      <c r="B2744" s="3"/>
      <c r="C2744" s="3"/>
      <c r="D2744" s="73"/>
      <c r="E2744" s="2"/>
      <c r="F2744" s="2"/>
      <c r="G2744" s="2"/>
      <c r="H2744" s="2"/>
      <c r="I2744" s="2"/>
      <c r="J2744" s="2"/>
      <c r="K2744" s="72"/>
      <c r="L2744" s="39"/>
      <c r="M2744" s="72"/>
      <c r="N2744" s="72"/>
    </row>
    <row r="2745" spans="1:14" x14ac:dyDescent="0.2">
      <c r="A2745" s="73"/>
      <c r="B2745" s="3"/>
      <c r="C2745" s="3"/>
      <c r="D2745" s="73"/>
      <c r="E2745" s="2"/>
      <c r="F2745" s="2"/>
      <c r="G2745" s="2"/>
      <c r="H2745" s="2"/>
      <c r="I2745" s="2"/>
      <c r="J2745" s="2"/>
      <c r="K2745" s="72"/>
      <c r="L2745" s="39"/>
      <c r="M2745" s="72"/>
      <c r="N2745" s="72"/>
    </row>
    <row r="2746" spans="1:14" x14ac:dyDescent="0.2">
      <c r="A2746" s="73"/>
      <c r="B2746" s="3"/>
      <c r="C2746" s="3"/>
      <c r="D2746" s="73"/>
      <c r="E2746" s="2"/>
      <c r="F2746" s="2"/>
      <c r="G2746" s="2"/>
      <c r="H2746" s="2"/>
      <c r="I2746" s="2"/>
      <c r="J2746" s="2"/>
      <c r="K2746" s="72"/>
      <c r="L2746" s="39"/>
      <c r="M2746" s="72"/>
      <c r="N2746" s="72"/>
    </row>
    <row r="2747" spans="1:14" x14ac:dyDescent="0.2">
      <c r="A2747" s="73"/>
      <c r="B2747" s="3"/>
      <c r="C2747" s="3"/>
      <c r="D2747" s="73"/>
      <c r="E2747" s="2"/>
      <c r="F2747" s="2"/>
      <c r="G2747" s="2"/>
      <c r="H2747" s="2"/>
      <c r="I2747" s="2"/>
      <c r="J2747" s="2"/>
      <c r="K2747" s="72"/>
      <c r="L2747" s="39"/>
      <c r="M2747" s="72"/>
      <c r="N2747" s="72"/>
    </row>
    <row r="2748" spans="1:14" x14ac:dyDescent="0.2">
      <c r="A2748" s="73"/>
      <c r="B2748" s="3"/>
      <c r="C2748" s="3"/>
      <c r="D2748" s="73"/>
      <c r="E2748" s="2"/>
      <c r="F2748" s="2"/>
      <c r="G2748" s="2"/>
      <c r="H2748" s="2"/>
      <c r="I2748" s="2"/>
      <c r="J2748" s="2"/>
      <c r="K2748" s="72"/>
      <c r="L2748" s="39"/>
      <c r="M2748" s="72"/>
      <c r="N2748" s="72"/>
    </row>
    <row r="2749" spans="1:14" x14ac:dyDescent="0.2">
      <c r="A2749" s="73"/>
      <c r="B2749" s="3"/>
      <c r="C2749" s="3"/>
      <c r="D2749" s="73"/>
      <c r="E2749" s="2"/>
      <c r="F2749" s="2"/>
      <c r="G2749" s="2"/>
      <c r="H2749" s="2"/>
      <c r="I2749" s="2"/>
      <c r="J2749" s="2"/>
      <c r="K2749" s="72"/>
      <c r="L2749" s="39"/>
      <c r="M2749" s="72"/>
      <c r="N2749" s="72"/>
    </row>
    <row r="2750" spans="1:14" x14ac:dyDescent="0.2">
      <c r="A2750" s="73"/>
      <c r="B2750" s="3"/>
      <c r="C2750" s="3"/>
      <c r="D2750" s="73"/>
      <c r="E2750" s="2"/>
      <c r="F2750" s="2"/>
      <c r="G2750" s="2"/>
      <c r="H2750" s="2"/>
      <c r="I2750" s="2"/>
      <c r="J2750" s="2"/>
      <c r="K2750" s="72"/>
      <c r="L2750" s="39"/>
      <c r="M2750" s="72"/>
      <c r="N2750" s="72"/>
    </row>
    <row r="2751" spans="1:14" x14ac:dyDescent="0.2">
      <c r="A2751" s="73"/>
      <c r="B2751" s="3"/>
      <c r="C2751" s="3"/>
      <c r="D2751" s="73"/>
      <c r="E2751" s="2"/>
      <c r="F2751" s="2"/>
      <c r="G2751" s="2"/>
      <c r="H2751" s="2"/>
      <c r="I2751" s="2"/>
      <c r="J2751" s="2"/>
      <c r="K2751" s="72"/>
      <c r="L2751" s="39"/>
      <c r="M2751" s="72"/>
      <c r="N2751" s="72"/>
    </row>
    <row r="2752" spans="1:14" x14ac:dyDescent="0.2">
      <c r="A2752" s="73"/>
      <c r="B2752" s="3"/>
      <c r="C2752" s="3"/>
      <c r="D2752" s="73"/>
      <c r="E2752" s="2"/>
      <c r="F2752" s="2"/>
      <c r="G2752" s="2"/>
      <c r="H2752" s="2"/>
      <c r="I2752" s="2"/>
      <c r="J2752" s="2"/>
      <c r="K2752" s="72"/>
      <c r="L2752" s="39"/>
      <c r="M2752" s="72"/>
      <c r="N2752" s="72"/>
    </row>
    <row r="2753" spans="1:14" x14ac:dyDescent="0.2">
      <c r="A2753" s="73"/>
      <c r="B2753" s="3"/>
      <c r="C2753" s="3"/>
      <c r="D2753" s="73"/>
      <c r="E2753" s="2"/>
      <c r="F2753" s="2"/>
      <c r="G2753" s="2"/>
      <c r="H2753" s="2"/>
      <c r="I2753" s="2"/>
      <c r="J2753" s="2"/>
      <c r="K2753" s="72"/>
      <c r="L2753" s="39"/>
      <c r="M2753" s="72"/>
      <c r="N2753" s="72"/>
    </row>
    <row r="2754" spans="1:14" x14ac:dyDescent="0.2">
      <c r="A2754" s="73"/>
      <c r="B2754" s="3"/>
      <c r="C2754" s="3"/>
      <c r="D2754" s="73"/>
      <c r="E2754" s="2"/>
      <c r="F2754" s="2"/>
      <c r="G2754" s="2"/>
      <c r="H2754" s="2"/>
      <c r="I2754" s="2"/>
      <c r="J2754" s="2"/>
      <c r="K2754" s="72"/>
      <c r="L2754" s="39"/>
      <c r="M2754" s="72"/>
      <c r="N2754" s="72"/>
    </row>
    <row r="2755" spans="1:14" x14ac:dyDescent="0.2">
      <c r="A2755" s="73"/>
      <c r="B2755" s="3"/>
      <c r="C2755" s="3"/>
      <c r="D2755" s="73"/>
      <c r="E2755" s="2"/>
      <c r="F2755" s="2"/>
      <c r="G2755" s="2"/>
      <c r="H2755" s="2"/>
      <c r="I2755" s="2"/>
      <c r="J2755" s="2"/>
      <c r="K2755" s="72"/>
      <c r="L2755" s="39"/>
      <c r="M2755" s="72"/>
      <c r="N2755" s="72"/>
    </row>
    <row r="2756" spans="1:14" x14ac:dyDescent="0.2">
      <c r="A2756" s="73"/>
      <c r="B2756" s="3"/>
      <c r="C2756" s="3"/>
      <c r="D2756" s="73"/>
      <c r="E2756" s="2"/>
      <c r="F2756" s="2"/>
      <c r="G2756" s="2"/>
      <c r="H2756" s="2"/>
      <c r="I2756" s="2"/>
      <c r="J2756" s="2"/>
      <c r="K2756" s="72"/>
      <c r="L2756" s="39"/>
      <c r="M2756" s="72"/>
      <c r="N2756" s="72"/>
    </row>
    <row r="2757" spans="1:14" x14ac:dyDescent="0.2">
      <c r="A2757" s="73"/>
      <c r="B2757" s="3"/>
      <c r="C2757" s="3"/>
      <c r="D2757" s="73"/>
      <c r="E2757" s="2"/>
      <c r="F2757" s="2"/>
      <c r="G2757" s="2"/>
      <c r="H2757" s="2"/>
      <c r="I2757" s="2"/>
      <c r="J2757" s="2"/>
      <c r="K2757" s="72"/>
      <c r="L2757" s="39"/>
      <c r="M2757" s="72"/>
      <c r="N2757" s="72"/>
    </row>
    <row r="2758" spans="1:14" x14ac:dyDescent="0.2">
      <c r="A2758" s="73"/>
      <c r="B2758" s="3"/>
      <c r="C2758" s="3"/>
      <c r="D2758" s="73"/>
      <c r="E2758" s="2"/>
      <c r="F2758" s="2"/>
      <c r="G2758" s="2"/>
      <c r="H2758" s="2"/>
      <c r="I2758" s="2"/>
      <c r="J2758" s="2"/>
      <c r="K2758" s="72"/>
      <c r="L2758" s="39"/>
      <c r="M2758" s="72"/>
      <c r="N2758" s="72"/>
    </row>
    <row r="2759" spans="1:14" x14ac:dyDescent="0.2">
      <c r="A2759" s="73"/>
      <c r="B2759" s="3"/>
      <c r="C2759" s="3"/>
      <c r="D2759" s="73"/>
      <c r="E2759" s="2"/>
      <c r="F2759" s="2"/>
      <c r="G2759" s="2"/>
      <c r="H2759" s="2"/>
      <c r="I2759" s="2"/>
      <c r="J2759" s="2"/>
      <c r="K2759" s="72"/>
      <c r="L2759" s="39"/>
      <c r="M2759" s="72"/>
      <c r="N2759" s="72"/>
    </row>
    <row r="2760" spans="1:14" x14ac:dyDescent="0.2">
      <c r="A2760" s="73"/>
      <c r="B2760" s="3"/>
      <c r="C2760" s="3"/>
      <c r="D2760" s="73"/>
      <c r="E2760" s="2"/>
      <c r="F2760" s="2"/>
      <c r="G2760" s="2"/>
      <c r="H2760" s="2"/>
      <c r="I2760" s="2"/>
      <c r="J2760" s="2"/>
      <c r="K2760" s="72"/>
      <c r="L2760" s="39"/>
      <c r="M2760" s="72"/>
      <c r="N2760" s="72"/>
    </row>
    <row r="2761" spans="1:14" x14ac:dyDescent="0.2">
      <c r="A2761" s="73"/>
      <c r="B2761" s="3"/>
      <c r="C2761" s="3"/>
      <c r="D2761" s="73"/>
      <c r="E2761" s="2"/>
      <c r="F2761" s="2"/>
      <c r="G2761" s="2"/>
      <c r="H2761" s="2"/>
      <c r="I2761" s="2"/>
      <c r="J2761" s="2"/>
      <c r="K2761" s="72"/>
      <c r="L2761" s="39"/>
      <c r="M2761" s="72"/>
      <c r="N2761" s="72"/>
    </row>
    <row r="2762" spans="1:14" x14ac:dyDescent="0.2">
      <c r="A2762" s="73"/>
      <c r="B2762" s="3"/>
      <c r="C2762" s="3"/>
      <c r="D2762" s="73"/>
      <c r="E2762" s="2"/>
      <c r="F2762" s="2"/>
      <c r="G2762" s="2"/>
      <c r="H2762" s="2"/>
      <c r="I2762" s="2"/>
      <c r="J2762" s="2"/>
      <c r="K2762" s="72"/>
      <c r="L2762" s="39"/>
      <c r="M2762" s="72"/>
      <c r="N2762" s="72"/>
    </row>
    <row r="2763" spans="1:14" x14ac:dyDescent="0.2">
      <c r="A2763" s="73"/>
      <c r="B2763" s="3"/>
      <c r="C2763" s="3"/>
      <c r="D2763" s="73"/>
      <c r="E2763" s="2"/>
      <c r="F2763" s="2"/>
      <c r="G2763" s="2"/>
      <c r="H2763" s="2"/>
      <c r="I2763" s="2"/>
      <c r="J2763" s="2"/>
      <c r="K2763" s="72"/>
      <c r="L2763" s="39"/>
      <c r="M2763" s="72"/>
      <c r="N2763" s="72"/>
    </row>
    <row r="2764" spans="1:14" x14ac:dyDescent="0.2">
      <c r="A2764" s="73"/>
      <c r="B2764" s="3"/>
      <c r="C2764" s="3"/>
      <c r="D2764" s="73"/>
      <c r="E2764" s="2"/>
      <c r="F2764" s="2"/>
      <c r="G2764" s="2"/>
      <c r="H2764" s="2"/>
      <c r="I2764" s="2"/>
      <c r="J2764" s="2"/>
      <c r="K2764" s="72"/>
      <c r="L2764" s="39"/>
      <c r="M2764" s="72"/>
      <c r="N2764" s="72"/>
    </row>
    <row r="2765" spans="1:14" x14ac:dyDescent="0.2">
      <c r="A2765" s="73"/>
      <c r="B2765" s="3"/>
      <c r="C2765" s="3"/>
      <c r="D2765" s="73"/>
      <c r="E2765" s="2"/>
      <c r="F2765" s="2"/>
      <c r="G2765" s="2"/>
      <c r="H2765" s="2"/>
      <c r="I2765" s="2"/>
      <c r="J2765" s="2"/>
      <c r="K2765" s="72"/>
      <c r="L2765" s="39"/>
      <c r="M2765" s="72"/>
      <c r="N2765" s="72"/>
    </row>
    <row r="2766" spans="1:14" x14ac:dyDescent="0.2">
      <c r="A2766" s="73"/>
      <c r="B2766" s="3"/>
      <c r="C2766" s="3"/>
      <c r="D2766" s="73"/>
      <c r="E2766" s="2"/>
      <c r="F2766" s="2"/>
      <c r="G2766" s="2"/>
      <c r="H2766" s="2"/>
      <c r="I2766" s="2"/>
      <c r="J2766" s="2"/>
      <c r="K2766" s="72"/>
      <c r="L2766" s="39"/>
      <c r="M2766" s="72"/>
      <c r="N2766" s="72"/>
    </row>
    <row r="2767" spans="1:14" x14ac:dyDescent="0.2">
      <c r="A2767" s="73"/>
      <c r="B2767" s="3"/>
      <c r="C2767" s="3"/>
      <c r="D2767" s="73"/>
      <c r="E2767" s="2"/>
      <c r="F2767" s="2"/>
      <c r="G2767" s="2"/>
      <c r="H2767" s="2"/>
      <c r="I2767" s="2"/>
      <c r="J2767" s="2"/>
      <c r="K2767" s="72"/>
      <c r="L2767" s="39"/>
      <c r="M2767" s="72"/>
      <c r="N2767" s="72"/>
    </row>
    <row r="2768" spans="1:14" x14ac:dyDescent="0.2">
      <c r="A2768" s="73"/>
      <c r="B2768" s="3"/>
      <c r="C2768" s="3"/>
      <c r="D2768" s="73"/>
      <c r="E2768" s="2"/>
      <c r="F2768" s="2"/>
      <c r="G2768" s="2"/>
      <c r="H2768" s="2"/>
      <c r="I2768" s="2"/>
      <c r="J2768" s="2"/>
      <c r="K2768" s="72"/>
      <c r="L2768" s="39"/>
      <c r="M2768" s="72"/>
      <c r="N2768" s="72"/>
    </row>
    <row r="2769" spans="1:14" x14ac:dyDescent="0.2">
      <c r="A2769" s="73"/>
      <c r="B2769" s="3"/>
      <c r="C2769" s="3"/>
      <c r="D2769" s="73"/>
      <c r="E2769" s="2"/>
      <c r="F2769" s="2"/>
      <c r="G2769" s="2"/>
      <c r="H2769" s="2"/>
      <c r="I2769" s="2"/>
      <c r="J2769" s="2"/>
      <c r="K2769" s="72"/>
      <c r="L2769" s="39"/>
      <c r="M2769" s="72"/>
      <c r="N2769" s="72"/>
    </row>
    <row r="2770" spans="1:14" x14ac:dyDescent="0.2">
      <c r="A2770" s="73"/>
      <c r="B2770" s="3"/>
      <c r="C2770" s="3"/>
      <c r="D2770" s="73"/>
      <c r="E2770" s="2"/>
      <c r="F2770" s="2"/>
      <c r="G2770" s="2"/>
      <c r="H2770" s="2"/>
      <c r="I2770" s="2"/>
      <c r="J2770" s="2"/>
      <c r="K2770" s="72"/>
      <c r="L2770" s="39"/>
      <c r="M2770" s="72"/>
      <c r="N2770" s="72"/>
    </row>
    <row r="2771" spans="1:14" x14ac:dyDescent="0.2">
      <c r="A2771" s="73"/>
      <c r="B2771" s="3"/>
      <c r="C2771" s="3"/>
      <c r="D2771" s="73"/>
      <c r="E2771" s="2"/>
      <c r="F2771" s="2"/>
      <c r="G2771" s="2"/>
      <c r="H2771" s="2"/>
      <c r="I2771" s="2"/>
      <c r="J2771" s="2"/>
      <c r="K2771" s="72"/>
      <c r="L2771" s="39"/>
      <c r="M2771" s="72"/>
      <c r="N2771" s="72"/>
    </row>
    <row r="2772" spans="1:14" x14ac:dyDescent="0.2">
      <c r="A2772" s="73"/>
      <c r="B2772" s="3"/>
      <c r="C2772" s="3"/>
      <c r="D2772" s="73"/>
      <c r="E2772" s="2"/>
      <c r="F2772" s="2"/>
      <c r="G2772" s="2"/>
      <c r="H2772" s="2"/>
      <c r="I2772" s="2"/>
      <c r="J2772" s="2"/>
      <c r="K2772" s="72"/>
      <c r="L2772" s="39"/>
      <c r="M2772" s="72"/>
      <c r="N2772" s="72"/>
    </row>
    <row r="2773" spans="1:14" x14ac:dyDescent="0.2">
      <c r="A2773" s="73"/>
      <c r="B2773" s="3"/>
      <c r="C2773" s="3"/>
      <c r="D2773" s="73"/>
      <c r="E2773" s="2"/>
      <c r="F2773" s="2"/>
      <c r="G2773" s="2"/>
      <c r="H2773" s="2"/>
      <c r="I2773" s="2"/>
      <c r="J2773" s="2"/>
      <c r="K2773" s="72"/>
      <c r="L2773" s="39"/>
      <c r="M2773" s="72"/>
      <c r="N2773" s="72"/>
    </row>
    <row r="2774" spans="1:14" x14ac:dyDescent="0.2">
      <c r="A2774" s="73"/>
      <c r="B2774" s="3"/>
      <c r="C2774" s="3"/>
      <c r="D2774" s="73"/>
      <c r="E2774" s="2"/>
      <c r="F2774" s="2"/>
      <c r="G2774" s="2"/>
      <c r="H2774" s="2"/>
      <c r="I2774" s="2"/>
      <c r="J2774" s="2"/>
      <c r="K2774" s="72"/>
      <c r="L2774" s="39"/>
      <c r="M2774" s="72"/>
      <c r="N2774" s="72"/>
    </row>
    <row r="2775" spans="1:14" x14ac:dyDescent="0.2">
      <c r="A2775" s="73"/>
      <c r="B2775" s="3"/>
      <c r="C2775" s="3"/>
      <c r="D2775" s="73"/>
      <c r="E2775" s="2"/>
      <c r="F2775" s="2"/>
      <c r="G2775" s="2"/>
      <c r="H2775" s="2"/>
      <c r="I2775" s="2"/>
      <c r="J2775" s="2"/>
      <c r="K2775" s="72"/>
      <c r="L2775" s="39"/>
      <c r="M2775" s="72"/>
      <c r="N2775" s="72"/>
    </row>
    <row r="2776" spans="1:14" x14ac:dyDescent="0.2">
      <c r="A2776" s="73"/>
      <c r="B2776" s="3"/>
      <c r="C2776" s="3"/>
      <c r="D2776" s="73"/>
      <c r="E2776" s="2"/>
      <c r="F2776" s="2"/>
      <c r="G2776" s="2"/>
      <c r="H2776" s="2"/>
      <c r="I2776" s="2"/>
      <c r="J2776" s="2"/>
      <c r="K2776" s="72"/>
      <c r="L2776" s="39"/>
      <c r="M2776" s="72"/>
      <c r="N2776" s="72"/>
    </row>
    <row r="2777" spans="1:14" x14ac:dyDescent="0.2">
      <c r="A2777" s="73"/>
      <c r="B2777" s="3"/>
      <c r="C2777" s="3"/>
      <c r="D2777" s="73"/>
      <c r="E2777" s="2"/>
      <c r="F2777" s="2"/>
      <c r="G2777" s="2"/>
      <c r="H2777" s="2"/>
      <c r="I2777" s="2"/>
      <c r="J2777" s="2"/>
      <c r="K2777" s="72"/>
      <c r="L2777" s="39"/>
      <c r="M2777" s="72"/>
      <c r="N2777" s="72"/>
    </row>
    <row r="2778" spans="1:14" x14ac:dyDescent="0.2">
      <c r="A2778" s="73"/>
      <c r="B2778" s="3"/>
      <c r="C2778" s="3"/>
      <c r="D2778" s="73"/>
      <c r="E2778" s="2"/>
      <c r="F2778" s="2"/>
      <c r="G2778" s="2"/>
      <c r="H2778" s="2"/>
      <c r="I2778" s="2"/>
      <c r="J2778" s="2"/>
      <c r="K2778" s="72"/>
      <c r="L2778" s="39"/>
      <c r="M2778" s="72"/>
      <c r="N2778" s="72"/>
    </row>
    <row r="2779" spans="1:14" x14ac:dyDescent="0.2">
      <c r="A2779" s="73"/>
      <c r="B2779" s="3"/>
      <c r="C2779" s="3"/>
      <c r="D2779" s="73"/>
      <c r="E2779" s="2"/>
      <c r="F2779" s="2"/>
      <c r="G2779" s="2"/>
      <c r="H2779" s="2"/>
      <c r="I2779" s="2"/>
      <c r="J2779" s="2"/>
      <c r="K2779" s="72"/>
      <c r="L2779" s="39"/>
      <c r="M2779" s="72"/>
      <c r="N2779" s="72"/>
    </row>
    <row r="2780" spans="1:14" x14ac:dyDescent="0.2">
      <c r="A2780" s="73"/>
      <c r="B2780" s="3"/>
      <c r="C2780" s="3"/>
      <c r="D2780" s="73"/>
      <c r="E2780" s="2"/>
      <c r="F2780" s="2"/>
      <c r="G2780" s="2"/>
      <c r="H2780" s="2"/>
      <c r="I2780" s="2"/>
      <c r="J2780" s="2"/>
      <c r="K2780" s="72"/>
      <c r="L2780" s="39"/>
      <c r="M2780" s="72"/>
      <c r="N2780" s="72"/>
    </row>
    <row r="2781" spans="1:14" x14ac:dyDescent="0.2">
      <c r="A2781" s="73"/>
      <c r="B2781" s="3"/>
      <c r="C2781" s="3"/>
      <c r="D2781" s="73"/>
      <c r="E2781" s="2"/>
      <c r="F2781" s="2"/>
      <c r="G2781" s="2"/>
      <c r="H2781" s="2"/>
      <c r="I2781" s="2"/>
      <c r="J2781" s="2"/>
      <c r="K2781" s="72"/>
      <c r="L2781" s="39"/>
      <c r="M2781" s="72"/>
      <c r="N2781" s="72"/>
    </row>
    <row r="2782" spans="1:14" x14ac:dyDescent="0.2">
      <c r="A2782" s="73"/>
      <c r="B2782" s="3"/>
      <c r="C2782" s="3"/>
      <c r="D2782" s="73"/>
      <c r="E2782" s="2"/>
      <c r="F2782" s="2"/>
      <c r="G2782" s="2"/>
      <c r="H2782" s="2"/>
      <c r="I2782" s="2"/>
      <c r="J2782" s="2"/>
      <c r="K2782" s="72"/>
      <c r="L2782" s="39"/>
      <c r="M2782" s="72"/>
      <c r="N2782" s="72"/>
    </row>
    <row r="2783" spans="1:14" x14ac:dyDescent="0.2">
      <c r="A2783" s="73"/>
      <c r="B2783" s="3"/>
      <c r="C2783" s="3"/>
      <c r="D2783" s="73"/>
      <c r="E2783" s="2"/>
      <c r="F2783" s="2"/>
      <c r="G2783" s="2"/>
      <c r="H2783" s="2"/>
      <c r="I2783" s="2"/>
      <c r="J2783" s="2"/>
      <c r="K2783" s="72"/>
      <c r="L2783" s="39"/>
      <c r="M2783" s="72"/>
      <c r="N2783" s="72"/>
    </row>
    <row r="2784" spans="1:14" x14ac:dyDescent="0.2">
      <c r="A2784" s="73"/>
      <c r="B2784" s="3"/>
      <c r="C2784" s="3"/>
      <c r="D2784" s="73"/>
      <c r="E2784" s="2"/>
      <c r="F2784" s="2"/>
      <c r="G2784" s="2"/>
      <c r="H2784" s="2"/>
      <c r="I2784" s="2"/>
      <c r="J2784" s="2"/>
      <c r="K2784" s="72"/>
      <c r="L2784" s="39"/>
      <c r="M2784" s="72"/>
      <c r="N2784" s="72"/>
    </row>
    <row r="2785" spans="1:14" x14ac:dyDescent="0.2">
      <c r="A2785" s="73"/>
      <c r="B2785" s="3"/>
      <c r="C2785" s="3"/>
      <c r="D2785" s="73"/>
      <c r="E2785" s="2"/>
      <c r="F2785" s="2"/>
      <c r="G2785" s="2"/>
      <c r="H2785" s="2"/>
      <c r="I2785" s="2"/>
      <c r="J2785" s="2"/>
      <c r="K2785" s="72"/>
      <c r="L2785" s="39"/>
      <c r="M2785" s="72"/>
      <c r="N2785" s="72"/>
    </row>
    <row r="2786" spans="1:14" x14ac:dyDescent="0.2">
      <c r="A2786" s="73"/>
      <c r="B2786" s="3"/>
      <c r="C2786" s="3"/>
      <c r="D2786" s="73"/>
      <c r="E2786" s="2"/>
      <c r="F2786" s="2"/>
      <c r="G2786" s="2"/>
      <c r="H2786" s="2"/>
      <c r="I2786" s="2"/>
      <c r="J2786" s="2"/>
      <c r="K2786" s="72"/>
      <c r="L2786" s="39"/>
      <c r="M2786" s="72"/>
      <c r="N2786" s="72"/>
    </row>
    <row r="2787" spans="1:14" x14ac:dyDescent="0.2">
      <c r="A2787" s="73"/>
      <c r="B2787" s="3"/>
      <c r="C2787" s="3"/>
      <c r="D2787" s="73"/>
      <c r="E2787" s="2"/>
      <c r="F2787" s="2"/>
      <c r="G2787" s="2"/>
      <c r="H2787" s="2"/>
      <c r="I2787" s="2"/>
      <c r="J2787" s="2"/>
      <c r="K2787" s="72"/>
      <c r="L2787" s="39"/>
      <c r="M2787" s="72"/>
      <c r="N2787" s="72"/>
    </row>
    <row r="2788" spans="1:14" x14ac:dyDescent="0.2">
      <c r="A2788" s="73"/>
      <c r="B2788" s="3"/>
      <c r="C2788" s="3"/>
      <c r="D2788" s="73"/>
      <c r="E2788" s="2"/>
      <c r="F2788" s="2"/>
      <c r="G2788" s="2"/>
      <c r="H2788" s="2"/>
      <c r="I2788" s="2"/>
      <c r="J2788" s="2"/>
      <c r="K2788" s="72"/>
      <c r="L2788" s="39"/>
      <c r="M2788" s="72"/>
      <c r="N2788" s="72"/>
    </row>
    <row r="2789" spans="1:14" x14ac:dyDescent="0.2">
      <c r="A2789" s="73"/>
      <c r="B2789" s="3"/>
      <c r="C2789" s="3"/>
      <c r="D2789" s="73"/>
      <c r="E2789" s="2"/>
      <c r="F2789" s="2"/>
      <c r="G2789" s="2"/>
      <c r="H2789" s="2"/>
      <c r="I2789" s="2"/>
      <c r="J2789" s="2"/>
      <c r="K2789" s="72"/>
      <c r="L2789" s="39"/>
      <c r="M2789" s="72"/>
      <c r="N2789" s="72"/>
    </row>
    <row r="2790" spans="1:14" x14ac:dyDescent="0.2">
      <c r="A2790" s="73"/>
      <c r="B2790" s="3"/>
      <c r="C2790" s="3"/>
      <c r="D2790" s="73"/>
      <c r="E2790" s="2"/>
      <c r="F2790" s="2"/>
      <c r="G2790" s="2"/>
      <c r="H2790" s="2"/>
      <c r="I2790" s="2"/>
      <c r="J2790" s="2"/>
      <c r="K2790" s="72"/>
      <c r="L2790" s="39"/>
      <c r="M2790" s="72"/>
      <c r="N2790" s="72"/>
    </row>
    <row r="2791" spans="1:14" x14ac:dyDescent="0.2">
      <c r="A2791" s="73"/>
      <c r="B2791" s="3"/>
      <c r="C2791" s="3"/>
      <c r="D2791" s="73"/>
      <c r="E2791" s="2"/>
      <c r="F2791" s="2"/>
      <c r="G2791" s="2"/>
      <c r="H2791" s="2"/>
      <c r="I2791" s="2"/>
      <c r="J2791" s="2"/>
      <c r="K2791" s="72"/>
      <c r="L2791" s="39"/>
      <c r="M2791" s="72"/>
      <c r="N2791" s="72"/>
    </row>
    <row r="2792" spans="1:14" x14ac:dyDescent="0.2">
      <c r="A2792" s="73"/>
      <c r="B2792" s="3"/>
      <c r="C2792" s="3"/>
      <c r="D2792" s="73"/>
      <c r="E2792" s="2"/>
      <c r="F2792" s="2"/>
      <c r="G2792" s="2"/>
      <c r="H2792" s="2"/>
      <c r="I2792" s="2"/>
      <c r="J2792" s="2"/>
      <c r="K2792" s="72"/>
      <c r="L2792" s="39"/>
      <c r="M2792" s="72"/>
      <c r="N2792" s="72"/>
    </row>
    <row r="2793" spans="1:14" x14ac:dyDescent="0.2">
      <c r="A2793" s="73"/>
      <c r="B2793" s="3"/>
      <c r="C2793" s="3"/>
      <c r="D2793" s="73"/>
      <c r="E2793" s="2"/>
      <c r="F2793" s="2"/>
      <c r="G2793" s="2"/>
      <c r="H2793" s="2"/>
      <c r="I2793" s="2"/>
      <c r="J2793" s="2"/>
      <c r="K2793" s="72"/>
      <c r="L2793" s="39"/>
      <c r="M2793" s="72"/>
      <c r="N2793" s="72"/>
    </row>
    <row r="2794" spans="1:14" x14ac:dyDescent="0.2">
      <c r="A2794" s="73"/>
      <c r="B2794" s="3"/>
      <c r="C2794" s="3"/>
      <c r="D2794" s="73"/>
      <c r="E2794" s="2"/>
      <c r="F2794" s="2"/>
      <c r="G2794" s="2"/>
      <c r="H2794" s="2"/>
      <c r="I2794" s="2"/>
      <c r="J2794" s="2"/>
      <c r="K2794" s="72"/>
      <c r="L2794" s="39"/>
      <c r="M2794" s="72"/>
      <c r="N2794" s="72"/>
    </row>
    <row r="2795" spans="1:14" x14ac:dyDescent="0.2">
      <c r="A2795" s="73"/>
      <c r="B2795" s="3"/>
      <c r="C2795" s="3"/>
      <c r="D2795" s="73"/>
      <c r="E2795" s="2"/>
      <c r="F2795" s="2"/>
      <c r="G2795" s="2"/>
      <c r="H2795" s="2"/>
      <c r="I2795" s="2"/>
      <c r="J2795" s="2"/>
      <c r="K2795" s="72"/>
      <c r="L2795" s="39"/>
      <c r="M2795" s="72"/>
      <c r="N2795" s="72"/>
    </row>
    <row r="2796" spans="1:14" x14ac:dyDescent="0.2">
      <c r="A2796" s="73"/>
      <c r="B2796" s="3"/>
      <c r="C2796" s="3"/>
      <c r="D2796" s="73"/>
      <c r="E2796" s="2"/>
      <c r="F2796" s="2"/>
      <c r="G2796" s="2"/>
      <c r="H2796" s="2"/>
      <c r="I2796" s="2"/>
      <c r="J2796" s="2"/>
      <c r="K2796" s="72"/>
      <c r="L2796" s="39"/>
      <c r="M2796" s="72"/>
      <c r="N2796" s="72"/>
    </row>
    <row r="2797" spans="1:14" x14ac:dyDescent="0.2">
      <c r="A2797" s="73"/>
      <c r="B2797" s="3"/>
      <c r="C2797" s="3"/>
      <c r="D2797" s="73"/>
      <c r="E2797" s="2"/>
      <c r="F2797" s="2"/>
      <c r="G2797" s="2"/>
      <c r="H2797" s="2"/>
      <c r="I2797" s="2"/>
      <c r="J2797" s="2"/>
      <c r="K2797" s="72"/>
      <c r="L2797" s="39"/>
      <c r="M2797" s="72"/>
      <c r="N2797" s="72"/>
    </row>
    <row r="2798" spans="1:14" x14ac:dyDescent="0.2">
      <c r="A2798" s="73"/>
      <c r="B2798" s="3"/>
      <c r="C2798" s="3"/>
      <c r="D2798" s="73"/>
      <c r="E2798" s="2"/>
      <c r="F2798" s="2"/>
      <c r="G2798" s="2"/>
      <c r="H2798" s="2"/>
      <c r="I2798" s="2"/>
      <c r="J2798" s="2"/>
      <c r="K2798" s="72"/>
      <c r="L2798" s="39"/>
      <c r="M2798" s="72"/>
      <c r="N2798" s="72"/>
    </row>
    <row r="2799" spans="1:14" x14ac:dyDescent="0.2">
      <c r="A2799" s="73"/>
      <c r="B2799" s="3"/>
      <c r="C2799" s="3"/>
      <c r="D2799" s="73"/>
      <c r="E2799" s="2"/>
      <c r="F2799" s="2"/>
      <c r="G2799" s="2"/>
      <c r="H2799" s="2"/>
      <c r="I2799" s="2"/>
      <c r="J2799" s="2"/>
      <c r="K2799" s="72"/>
      <c r="L2799" s="39"/>
      <c r="M2799" s="72"/>
      <c r="N2799" s="72"/>
    </row>
    <row r="2800" spans="1:14" x14ac:dyDescent="0.2">
      <c r="A2800" s="73"/>
      <c r="B2800" s="3"/>
      <c r="C2800" s="3"/>
      <c r="D2800" s="73"/>
      <c r="E2800" s="2"/>
      <c r="F2800" s="2"/>
      <c r="G2800" s="2"/>
      <c r="H2800" s="2"/>
      <c r="I2800" s="2"/>
      <c r="J2800" s="2"/>
      <c r="K2800" s="72"/>
      <c r="L2800" s="39"/>
      <c r="M2800" s="72"/>
      <c r="N2800" s="72"/>
    </row>
    <row r="2801" spans="1:14" x14ac:dyDescent="0.2">
      <c r="A2801" s="73"/>
      <c r="B2801" s="3"/>
      <c r="C2801" s="3"/>
      <c r="D2801" s="73"/>
      <c r="E2801" s="2"/>
      <c r="F2801" s="2"/>
      <c r="G2801" s="2"/>
      <c r="H2801" s="2"/>
      <c r="I2801" s="2"/>
      <c r="J2801" s="2"/>
      <c r="K2801" s="72"/>
      <c r="L2801" s="39"/>
      <c r="M2801" s="72"/>
      <c r="N2801" s="72"/>
    </row>
    <row r="2802" spans="1:14" x14ac:dyDescent="0.2">
      <c r="A2802" s="73"/>
      <c r="B2802" s="3"/>
      <c r="C2802" s="3"/>
      <c r="D2802" s="73"/>
      <c r="E2802" s="2"/>
      <c r="F2802" s="2"/>
      <c r="G2802" s="2"/>
      <c r="H2802" s="2"/>
      <c r="I2802" s="2"/>
      <c r="J2802" s="2"/>
      <c r="K2802" s="72"/>
      <c r="L2802" s="39"/>
      <c r="M2802" s="72"/>
      <c r="N2802" s="72"/>
    </row>
    <row r="2803" spans="1:14" x14ac:dyDescent="0.2">
      <c r="A2803" s="73"/>
      <c r="B2803" s="3"/>
      <c r="C2803" s="3"/>
      <c r="D2803" s="73"/>
      <c r="E2803" s="2"/>
      <c r="F2803" s="2"/>
      <c r="G2803" s="2"/>
      <c r="H2803" s="2"/>
      <c r="I2803" s="2"/>
      <c r="J2803" s="2"/>
      <c r="K2803" s="72"/>
      <c r="L2803" s="39"/>
      <c r="M2803" s="72"/>
      <c r="N2803" s="72"/>
    </row>
    <row r="2804" spans="1:14" x14ac:dyDescent="0.2">
      <c r="A2804" s="73"/>
      <c r="B2804" s="3"/>
      <c r="C2804" s="3"/>
      <c r="D2804" s="73"/>
      <c r="E2804" s="2"/>
      <c r="F2804" s="2"/>
      <c r="G2804" s="2"/>
      <c r="H2804" s="2"/>
      <c r="I2804" s="2"/>
      <c r="J2804" s="2"/>
      <c r="K2804" s="72"/>
      <c r="L2804" s="39"/>
      <c r="M2804" s="72"/>
      <c r="N2804" s="72"/>
    </row>
    <row r="2805" spans="1:14" x14ac:dyDescent="0.2">
      <c r="A2805" s="73"/>
      <c r="B2805" s="3"/>
      <c r="C2805" s="3"/>
      <c r="D2805" s="73"/>
      <c r="E2805" s="2"/>
      <c r="F2805" s="2"/>
      <c r="G2805" s="2"/>
      <c r="H2805" s="2"/>
      <c r="I2805" s="2"/>
      <c r="J2805" s="2"/>
      <c r="K2805" s="72"/>
      <c r="L2805" s="39"/>
      <c r="M2805" s="72"/>
      <c r="N2805" s="72"/>
    </row>
    <row r="2806" spans="1:14" x14ac:dyDescent="0.2">
      <c r="A2806" s="73"/>
      <c r="B2806" s="3"/>
      <c r="C2806" s="3"/>
      <c r="D2806" s="73"/>
      <c r="E2806" s="2"/>
      <c r="F2806" s="2"/>
      <c r="G2806" s="2"/>
      <c r="H2806" s="2"/>
      <c r="I2806" s="2"/>
      <c r="J2806" s="2"/>
      <c r="K2806" s="72"/>
      <c r="L2806" s="39"/>
      <c r="M2806" s="72"/>
      <c r="N2806" s="72"/>
    </row>
    <row r="2807" spans="1:14" x14ac:dyDescent="0.2">
      <c r="A2807" s="73"/>
      <c r="B2807" s="3"/>
      <c r="C2807" s="3"/>
      <c r="D2807" s="73"/>
      <c r="E2807" s="2"/>
      <c r="F2807" s="2"/>
      <c r="G2807" s="2"/>
      <c r="H2807" s="2"/>
      <c r="I2807" s="2"/>
      <c r="J2807" s="2"/>
      <c r="K2807" s="72"/>
      <c r="L2807" s="39"/>
      <c r="M2807" s="72"/>
      <c r="N2807" s="72"/>
    </row>
    <row r="2808" spans="1:14" x14ac:dyDescent="0.2">
      <c r="A2808" s="73"/>
      <c r="B2808" s="3"/>
      <c r="C2808" s="3"/>
      <c r="D2808" s="73"/>
      <c r="E2808" s="2"/>
      <c r="F2808" s="2"/>
      <c r="G2808" s="2"/>
      <c r="H2808" s="2"/>
      <c r="I2808" s="2"/>
      <c r="J2808" s="2"/>
      <c r="K2808" s="72"/>
      <c r="L2808" s="39"/>
      <c r="M2808" s="72"/>
      <c r="N2808" s="72"/>
    </row>
    <row r="2809" spans="1:14" x14ac:dyDescent="0.2">
      <c r="A2809" s="73"/>
      <c r="B2809" s="3"/>
      <c r="C2809" s="3"/>
      <c r="D2809" s="73"/>
      <c r="E2809" s="2"/>
      <c r="F2809" s="2"/>
      <c r="G2809" s="2"/>
      <c r="H2809" s="2"/>
      <c r="I2809" s="2"/>
      <c r="J2809" s="2"/>
      <c r="K2809" s="72"/>
      <c r="L2809" s="39"/>
      <c r="M2809" s="72"/>
      <c r="N2809" s="72"/>
    </row>
    <row r="2810" spans="1:14" x14ac:dyDescent="0.2">
      <c r="A2810" s="73"/>
      <c r="B2810" s="3"/>
      <c r="C2810" s="3"/>
      <c r="D2810" s="73"/>
      <c r="E2810" s="2"/>
      <c r="F2810" s="2"/>
      <c r="G2810" s="2"/>
      <c r="H2810" s="2"/>
      <c r="I2810" s="2"/>
      <c r="J2810" s="2"/>
      <c r="K2810" s="72"/>
      <c r="L2810" s="39"/>
      <c r="M2810" s="72"/>
      <c r="N2810" s="72"/>
    </row>
    <row r="2811" spans="1:14" x14ac:dyDescent="0.2">
      <c r="A2811" s="73"/>
      <c r="B2811" s="3"/>
      <c r="C2811" s="3"/>
      <c r="D2811" s="73"/>
      <c r="E2811" s="2"/>
      <c r="F2811" s="2"/>
      <c r="G2811" s="2"/>
      <c r="H2811" s="2"/>
      <c r="I2811" s="2"/>
      <c r="J2811" s="2"/>
      <c r="K2811" s="72"/>
      <c r="L2811" s="39"/>
      <c r="M2811" s="72"/>
      <c r="N2811" s="72"/>
    </row>
    <row r="2812" spans="1:14" x14ac:dyDescent="0.2">
      <c r="A2812" s="73"/>
      <c r="B2812" s="3"/>
      <c r="C2812" s="3"/>
      <c r="D2812" s="73"/>
      <c r="E2812" s="2"/>
      <c r="F2812" s="2"/>
      <c r="G2812" s="2"/>
      <c r="H2812" s="2"/>
      <c r="I2812" s="2"/>
      <c r="J2812" s="2"/>
      <c r="K2812" s="72"/>
      <c r="L2812" s="39"/>
      <c r="M2812" s="72"/>
      <c r="N2812" s="72"/>
    </row>
    <row r="2813" spans="1:14" x14ac:dyDescent="0.2">
      <c r="A2813" s="73"/>
      <c r="B2813" s="3"/>
      <c r="C2813" s="3"/>
      <c r="D2813" s="73"/>
      <c r="E2813" s="2"/>
      <c r="F2813" s="2"/>
      <c r="G2813" s="2"/>
      <c r="H2813" s="2"/>
      <c r="I2813" s="2"/>
      <c r="J2813" s="2"/>
      <c r="K2813" s="72"/>
      <c r="L2813" s="39"/>
      <c r="M2813" s="72"/>
      <c r="N2813" s="72"/>
    </row>
    <row r="2814" spans="1:14" x14ac:dyDescent="0.2">
      <c r="A2814" s="73"/>
      <c r="B2814" s="3"/>
      <c r="C2814" s="3"/>
      <c r="D2814" s="73"/>
      <c r="E2814" s="2"/>
      <c r="F2814" s="2"/>
      <c r="G2814" s="2"/>
      <c r="H2814" s="2"/>
      <c r="I2814" s="2"/>
      <c r="J2814" s="2"/>
      <c r="K2814" s="72"/>
      <c r="L2814" s="39"/>
      <c r="M2814" s="72"/>
      <c r="N2814" s="72"/>
    </row>
    <row r="2815" spans="1:14" x14ac:dyDescent="0.2">
      <c r="A2815" s="73"/>
      <c r="B2815" s="3"/>
      <c r="C2815" s="3"/>
      <c r="D2815" s="73"/>
      <c r="E2815" s="2"/>
      <c r="F2815" s="2"/>
      <c r="G2815" s="2"/>
      <c r="H2815" s="2"/>
      <c r="I2815" s="2"/>
      <c r="J2815" s="2"/>
      <c r="K2815" s="72"/>
      <c r="L2815" s="39"/>
      <c r="M2815" s="72"/>
      <c r="N2815" s="72"/>
    </row>
    <row r="2816" spans="1:14" x14ac:dyDescent="0.2">
      <c r="A2816" s="73"/>
      <c r="B2816" s="3"/>
      <c r="C2816" s="3"/>
      <c r="D2816" s="73"/>
      <c r="E2816" s="2"/>
      <c r="F2816" s="2"/>
      <c r="G2816" s="2"/>
      <c r="H2816" s="2"/>
      <c r="I2816" s="2"/>
      <c r="J2816" s="2"/>
      <c r="K2816" s="72"/>
      <c r="L2816" s="39"/>
      <c r="M2816" s="72"/>
      <c r="N2816" s="72"/>
    </row>
    <row r="2817" spans="1:14" x14ac:dyDescent="0.2">
      <c r="A2817" s="73"/>
      <c r="B2817" s="3"/>
      <c r="C2817" s="3"/>
      <c r="D2817" s="73"/>
      <c r="E2817" s="2"/>
      <c r="F2817" s="2"/>
      <c r="G2817" s="2"/>
      <c r="H2817" s="2"/>
      <c r="I2817" s="2"/>
      <c r="J2817" s="2"/>
      <c r="K2817" s="72"/>
      <c r="L2817" s="39"/>
      <c r="M2817" s="72"/>
      <c r="N2817" s="72"/>
    </row>
    <row r="2818" spans="1:14" x14ac:dyDescent="0.2">
      <c r="A2818" s="73"/>
      <c r="B2818" s="3"/>
      <c r="C2818" s="3"/>
      <c r="D2818" s="73"/>
      <c r="E2818" s="2"/>
      <c r="F2818" s="2"/>
      <c r="G2818" s="2"/>
      <c r="H2818" s="2"/>
      <c r="I2818" s="2"/>
      <c r="J2818" s="2"/>
      <c r="K2818" s="72"/>
      <c r="L2818" s="39"/>
      <c r="M2818" s="72"/>
      <c r="N2818" s="72"/>
    </row>
    <row r="2819" spans="1:14" x14ac:dyDescent="0.2">
      <c r="A2819" s="73"/>
      <c r="B2819" s="3"/>
      <c r="C2819" s="3"/>
      <c r="D2819" s="73"/>
      <c r="E2819" s="2"/>
      <c r="F2819" s="2"/>
      <c r="G2819" s="2"/>
      <c r="H2819" s="2"/>
      <c r="I2819" s="2"/>
      <c r="J2819" s="2"/>
      <c r="K2819" s="72"/>
      <c r="L2819" s="39"/>
      <c r="M2819" s="72"/>
      <c r="N2819" s="72"/>
    </row>
    <row r="2820" spans="1:14" x14ac:dyDescent="0.2">
      <c r="A2820" s="73"/>
      <c r="B2820" s="3"/>
      <c r="C2820" s="3"/>
      <c r="D2820" s="73"/>
      <c r="E2820" s="2"/>
      <c r="F2820" s="2"/>
      <c r="G2820" s="2"/>
      <c r="H2820" s="2"/>
      <c r="I2820" s="2"/>
      <c r="J2820" s="2"/>
      <c r="K2820" s="72"/>
      <c r="L2820" s="39"/>
      <c r="M2820" s="72"/>
      <c r="N2820" s="72"/>
    </row>
    <row r="2821" spans="1:14" x14ac:dyDescent="0.2">
      <c r="A2821" s="73"/>
      <c r="B2821" s="3"/>
      <c r="C2821" s="3"/>
      <c r="D2821" s="73"/>
      <c r="E2821" s="2"/>
      <c r="F2821" s="2"/>
      <c r="G2821" s="2"/>
      <c r="H2821" s="2"/>
      <c r="I2821" s="2"/>
      <c r="J2821" s="2"/>
      <c r="K2821" s="72"/>
      <c r="L2821" s="39"/>
      <c r="M2821" s="72"/>
      <c r="N2821" s="72"/>
    </row>
    <row r="2822" spans="1:14" x14ac:dyDescent="0.2">
      <c r="A2822" s="73"/>
      <c r="B2822" s="3"/>
      <c r="C2822" s="3"/>
      <c r="D2822" s="73"/>
      <c r="E2822" s="2"/>
      <c r="F2822" s="2"/>
      <c r="G2822" s="2"/>
      <c r="H2822" s="2"/>
      <c r="I2822" s="2"/>
      <c r="J2822" s="2"/>
      <c r="K2822" s="72"/>
      <c r="L2822" s="39"/>
      <c r="M2822" s="72"/>
      <c r="N2822" s="72"/>
    </row>
    <row r="2823" spans="1:14" x14ac:dyDescent="0.2">
      <c r="A2823" s="73"/>
      <c r="B2823" s="3"/>
      <c r="C2823" s="3"/>
      <c r="D2823" s="73"/>
      <c r="E2823" s="2"/>
      <c r="F2823" s="2"/>
      <c r="G2823" s="2"/>
      <c r="H2823" s="2"/>
      <c r="I2823" s="2"/>
      <c r="J2823" s="2"/>
      <c r="K2823" s="72"/>
      <c r="L2823" s="39"/>
      <c r="M2823" s="72"/>
      <c r="N2823" s="72"/>
    </row>
    <row r="2824" spans="1:14" x14ac:dyDescent="0.2">
      <c r="A2824" s="73"/>
      <c r="B2824" s="3"/>
      <c r="C2824" s="3"/>
      <c r="D2824" s="73"/>
      <c r="E2824" s="2"/>
      <c r="F2824" s="2"/>
      <c r="G2824" s="2"/>
      <c r="H2824" s="2"/>
      <c r="I2824" s="2"/>
      <c r="J2824" s="2"/>
      <c r="K2824" s="72"/>
      <c r="L2824" s="39"/>
      <c r="M2824" s="72"/>
      <c r="N2824" s="72"/>
    </row>
    <row r="2825" spans="1:14" x14ac:dyDescent="0.2">
      <c r="A2825" s="73"/>
      <c r="B2825" s="3"/>
      <c r="C2825" s="3"/>
      <c r="D2825" s="73"/>
      <c r="E2825" s="2"/>
      <c r="F2825" s="2"/>
      <c r="G2825" s="2"/>
      <c r="H2825" s="2"/>
      <c r="I2825" s="2"/>
      <c r="J2825" s="2"/>
      <c r="K2825" s="72"/>
      <c r="L2825" s="39"/>
      <c r="M2825" s="72"/>
      <c r="N2825" s="72"/>
    </row>
    <row r="2826" spans="1:14" x14ac:dyDescent="0.2">
      <c r="A2826" s="73"/>
      <c r="B2826" s="3"/>
      <c r="C2826" s="3"/>
      <c r="D2826" s="73"/>
      <c r="E2826" s="2"/>
      <c r="F2826" s="2"/>
      <c r="G2826" s="2"/>
      <c r="H2826" s="2"/>
      <c r="I2826" s="2"/>
      <c r="J2826" s="2"/>
      <c r="K2826" s="72"/>
      <c r="L2826" s="39"/>
      <c r="M2826" s="72"/>
      <c r="N2826" s="72"/>
    </row>
    <row r="2827" spans="1:14" x14ac:dyDescent="0.2">
      <c r="A2827" s="73"/>
      <c r="B2827" s="3"/>
      <c r="C2827" s="3"/>
      <c r="D2827" s="73"/>
      <c r="E2827" s="2"/>
      <c r="F2827" s="2"/>
      <c r="G2827" s="2"/>
      <c r="H2827" s="2"/>
      <c r="I2827" s="2"/>
      <c r="J2827" s="2"/>
      <c r="K2827" s="72"/>
      <c r="L2827" s="39"/>
      <c r="M2827" s="72"/>
      <c r="N2827" s="72"/>
    </row>
    <row r="2828" spans="1:14" x14ac:dyDescent="0.2">
      <c r="A2828" s="73"/>
      <c r="B2828" s="3"/>
      <c r="C2828" s="3"/>
      <c r="D2828" s="73"/>
      <c r="E2828" s="2"/>
      <c r="F2828" s="2"/>
      <c r="G2828" s="2"/>
      <c r="H2828" s="2"/>
      <c r="I2828" s="2"/>
      <c r="J2828" s="2"/>
      <c r="K2828" s="72"/>
      <c r="L2828" s="39"/>
      <c r="M2828" s="72"/>
      <c r="N2828" s="72"/>
    </row>
    <row r="2829" spans="1:14" x14ac:dyDescent="0.2">
      <c r="A2829" s="73"/>
      <c r="B2829" s="3"/>
      <c r="C2829" s="3"/>
      <c r="D2829" s="73"/>
      <c r="E2829" s="2"/>
      <c r="F2829" s="2"/>
      <c r="G2829" s="2"/>
      <c r="H2829" s="2"/>
      <c r="I2829" s="2"/>
      <c r="J2829" s="2"/>
      <c r="K2829" s="72"/>
      <c r="L2829" s="39"/>
      <c r="M2829" s="72"/>
      <c r="N2829" s="72"/>
    </row>
    <row r="2830" spans="1:14" x14ac:dyDescent="0.2">
      <c r="A2830" s="73"/>
      <c r="B2830" s="3"/>
      <c r="C2830" s="3"/>
      <c r="D2830" s="73"/>
      <c r="E2830" s="2"/>
      <c r="F2830" s="2"/>
      <c r="G2830" s="2"/>
      <c r="H2830" s="2"/>
      <c r="I2830" s="2"/>
      <c r="J2830" s="2"/>
      <c r="K2830" s="72"/>
      <c r="L2830" s="39"/>
      <c r="M2830" s="72"/>
      <c r="N2830" s="72"/>
    </row>
    <row r="2831" spans="1:14" x14ac:dyDescent="0.2">
      <c r="A2831" s="73"/>
      <c r="B2831" s="3"/>
      <c r="C2831" s="3"/>
      <c r="D2831" s="73"/>
      <c r="E2831" s="2"/>
      <c r="F2831" s="2"/>
      <c r="G2831" s="2"/>
      <c r="H2831" s="2"/>
      <c r="I2831" s="2"/>
      <c r="J2831" s="2"/>
      <c r="K2831" s="72"/>
      <c r="L2831" s="39"/>
      <c r="M2831" s="72"/>
      <c r="N2831" s="72"/>
    </row>
    <row r="2832" spans="1:14" x14ac:dyDescent="0.2">
      <c r="A2832" s="73"/>
      <c r="B2832" s="3"/>
      <c r="C2832" s="3"/>
      <c r="D2832" s="73"/>
      <c r="E2832" s="2"/>
      <c r="F2832" s="2"/>
      <c r="G2832" s="2"/>
      <c r="H2832" s="2"/>
      <c r="I2832" s="2"/>
      <c r="J2832" s="2"/>
      <c r="K2832" s="72"/>
      <c r="L2832" s="39"/>
      <c r="M2832" s="72"/>
      <c r="N2832" s="72"/>
    </row>
    <row r="2833" spans="1:14" x14ac:dyDescent="0.2">
      <c r="A2833" s="73"/>
      <c r="B2833" s="3"/>
      <c r="C2833" s="3"/>
      <c r="D2833" s="73"/>
      <c r="E2833" s="2"/>
      <c r="F2833" s="2"/>
      <c r="G2833" s="2"/>
      <c r="H2833" s="2"/>
      <c r="I2833" s="2"/>
      <c r="J2833" s="2"/>
      <c r="K2833" s="72"/>
      <c r="L2833" s="39"/>
      <c r="M2833" s="72"/>
      <c r="N2833" s="72"/>
    </row>
    <row r="2834" spans="1:14" x14ac:dyDescent="0.2">
      <c r="A2834" s="73"/>
      <c r="B2834" s="3"/>
      <c r="C2834" s="3"/>
      <c r="D2834" s="73"/>
      <c r="E2834" s="2"/>
      <c r="F2834" s="2"/>
      <c r="G2834" s="2"/>
      <c r="H2834" s="2"/>
      <c r="I2834" s="2"/>
      <c r="J2834" s="2"/>
      <c r="K2834" s="72"/>
      <c r="L2834" s="39"/>
      <c r="M2834" s="72"/>
      <c r="N2834" s="72"/>
    </row>
    <row r="2835" spans="1:14" x14ac:dyDescent="0.2">
      <c r="A2835" s="73"/>
      <c r="B2835" s="3"/>
      <c r="C2835" s="3"/>
      <c r="D2835" s="73"/>
      <c r="E2835" s="2"/>
      <c r="F2835" s="2"/>
      <c r="G2835" s="2"/>
      <c r="H2835" s="2"/>
      <c r="I2835" s="2"/>
      <c r="J2835" s="2"/>
      <c r="K2835" s="72"/>
      <c r="L2835" s="39"/>
      <c r="M2835" s="72"/>
      <c r="N2835" s="72"/>
    </row>
    <row r="2836" spans="1:14" x14ac:dyDescent="0.2">
      <c r="A2836" s="73"/>
      <c r="B2836" s="3"/>
      <c r="C2836" s="3"/>
      <c r="D2836" s="73"/>
      <c r="E2836" s="2"/>
      <c r="F2836" s="2"/>
      <c r="G2836" s="2"/>
      <c r="H2836" s="2"/>
      <c r="I2836" s="2"/>
      <c r="J2836" s="2"/>
      <c r="K2836" s="72"/>
      <c r="L2836" s="39"/>
      <c r="M2836" s="72"/>
      <c r="N2836" s="72"/>
    </row>
    <row r="2837" spans="1:14" x14ac:dyDescent="0.2">
      <c r="A2837" s="73"/>
      <c r="B2837" s="3"/>
      <c r="C2837" s="3"/>
      <c r="D2837" s="73"/>
      <c r="E2837" s="2"/>
      <c r="F2837" s="2"/>
      <c r="G2837" s="2"/>
      <c r="H2837" s="2"/>
      <c r="I2837" s="2"/>
      <c r="J2837" s="2"/>
      <c r="K2837" s="72"/>
      <c r="L2837" s="39"/>
      <c r="M2837" s="72"/>
      <c r="N2837" s="72"/>
    </row>
    <row r="2838" spans="1:14" x14ac:dyDescent="0.2">
      <c r="A2838" s="73"/>
      <c r="B2838" s="3"/>
      <c r="C2838" s="3"/>
      <c r="D2838" s="73"/>
      <c r="E2838" s="2"/>
      <c r="F2838" s="2"/>
      <c r="G2838" s="2"/>
      <c r="H2838" s="2"/>
      <c r="I2838" s="2"/>
      <c r="J2838" s="2"/>
      <c r="K2838" s="72"/>
      <c r="L2838" s="39"/>
      <c r="M2838" s="72"/>
      <c r="N2838" s="72"/>
    </row>
    <row r="2839" spans="1:14" x14ac:dyDescent="0.2">
      <c r="A2839" s="73"/>
      <c r="B2839" s="3"/>
      <c r="C2839" s="3"/>
      <c r="D2839" s="73"/>
      <c r="E2839" s="2"/>
      <c r="F2839" s="2"/>
      <c r="G2839" s="2"/>
      <c r="H2839" s="2"/>
      <c r="I2839" s="2"/>
      <c r="J2839" s="2"/>
      <c r="K2839" s="72"/>
      <c r="L2839" s="39"/>
      <c r="M2839" s="72"/>
      <c r="N2839" s="72"/>
    </row>
    <row r="2840" spans="1:14" x14ac:dyDescent="0.2">
      <c r="A2840" s="73"/>
      <c r="B2840" s="3"/>
      <c r="C2840" s="3"/>
      <c r="D2840" s="73"/>
      <c r="E2840" s="2"/>
      <c r="F2840" s="2"/>
      <c r="G2840" s="2"/>
      <c r="H2840" s="2"/>
      <c r="I2840" s="2"/>
      <c r="J2840" s="2"/>
      <c r="K2840" s="72"/>
      <c r="L2840" s="39"/>
      <c r="M2840" s="72"/>
      <c r="N2840" s="72"/>
    </row>
    <row r="2841" spans="1:14" x14ac:dyDescent="0.2">
      <c r="A2841" s="73"/>
      <c r="B2841" s="3"/>
      <c r="C2841" s="3"/>
      <c r="D2841" s="73"/>
      <c r="E2841" s="2"/>
      <c r="F2841" s="2"/>
      <c r="G2841" s="2"/>
      <c r="H2841" s="2"/>
      <c r="I2841" s="2"/>
      <c r="J2841" s="2"/>
      <c r="K2841" s="72"/>
      <c r="L2841" s="39"/>
      <c r="M2841" s="72"/>
      <c r="N2841" s="72"/>
    </row>
    <row r="2842" spans="1:14" x14ac:dyDescent="0.2">
      <c r="A2842" s="73"/>
      <c r="B2842" s="3"/>
      <c r="C2842" s="3"/>
      <c r="D2842" s="73"/>
      <c r="E2842" s="2"/>
      <c r="F2842" s="2"/>
      <c r="G2842" s="2"/>
      <c r="H2842" s="2"/>
      <c r="I2842" s="2"/>
      <c r="J2842" s="2"/>
      <c r="K2842" s="72"/>
      <c r="L2842" s="39"/>
      <c r="M2842" s="72"/>
      <c r="N2842" s="72"/>
    </row>
    <row r="2843" spans="1:14" x14ac:dyDescent="0.2">
      <c r="A2843" s="73"/>
      <c r="B2843" s="3"/>
      <c r="C2843" s="3"/>
      <c r="D2843" s="73"/>
      <c r="E2843" s="2"/>
      <c r="F2843" s="2"/>
      <c r="G2843" s="2"/>
      <c r="H2843" s="2"/>
      <c r="I2843" s="2"/>
      <c r="J2843" s="2"/>
      <c r="K2843" s="72"/>
      <c r="L2843" s="39"/>
      <c r="M2843" s="72"/>
      <c r="N2843" s="72"/>
    </row>
    <row r="2844" spans="1:14" x14ac:dyDescent="0.2">
      <c r="A2844" s="73"/>
      <c r="B2844" s="3"/>
      <c r="C2844" s="3"/>
      <c r="D2844" s="73"/>
      <c r="E2844" s="2"/>
      <c r="F2844" s="2"/>
      <c r="G2844" s="2"/>
      <c r="H2844" s="2"/>
      <c r="I2844" s="2"/>
      <c r="J2844" s="2"/>
      <c r="K2844" s="72"/>
      <c r="L2844" s="39"/>
      <c r="M2844" s="72"/>
      <c r="N2844" s="72"/>
    </row>
    <row r="2845" spans="1:14" x14ac:dyDescent="0.2">
      <c r="A2845" s="73"/>
      <c r="B2845" s="3"/>
      <c r="C2845" s="3"/>
      <c r="D2845" s="73"/>
      <c r="E2845" s="2"/>
      <c r="F2845" s="2"/>
      <c r="G2845" s="2"/>
      <c r="H2845" s="2"/>
      <c r="I2845" s="2"/>
      <c r="J2845" s="2"/>
      <c r="K2845" s="72"/>
      <c r="L2845" s="39"/>
      <c r="M2845" s="72"/>
      <c r="N2845" s="72"/>
    </row>
    <row r="2846" spans="1:14" x14ac:dyDescent="0.2">
      <c r="A2846" s="73"/>
      <c r="B2846" s="3"/>
      <c r="C2846" s="3"/>
      <c r="D2846" s="73"/>
      <c r="E2846" s="2"/>
      <c r="F2846" s="2"/>
      <c r="G2846" s="2"/>
      <c r="H2846" s="2"/>
      <c r="I2846" s="2"/>
      <c r="J2846" s="2"/>
      <c r="K2846" s="72"/>
      <c r="L2846" s="39"/>
      <c r="M2846" s="72"/>
      <c r="N2846" s="72"/>
    </row>
    <row r="2847" spans="1:14" x14ac:dyDescent="0.2">
      <c r="A2847" s="73"/>
      <c r="B2847" s="3"/>
      <c r="C2847" s="3"/>
      <c r="D2847" s="73"/>
      <c r="E2847" s="2"/>
      <c r="F2847" s="2"/>
      <c r="G2847" s="2"/>
      <c r="H2847" s="2"/>
      <c r="I2847" s="2"/>
      <c r="J2847" s="2"/>
      <c r="K2847" s="72"/>
      <c r="L2847" s="39"/>
      <c r="M2847" s="72"/>
      <c r="N2847" s="72"/>
    </row>
    <row r="2848" spans="1:14" x14ac:dyDescent="0.2">
      <c r="A2848" s="73"/>
      <c r="B2848" s="3"/>
      <c r="C2848" s="3"/>
      <c r="D2848" s="73"/>
      <c r="E2848" s="2"/>
      <c r="F2848" s="2"/>
      <c r="G2848" s="2"/>
      <c r="H2848" s="2"/>
      <c r="I2848" s="2"/>
      <c r="J2848" s="2"/>
      <c r="K2848" s="72"/>
      <c r="L2848" s="39"/>
      <c r="M2848" s="72"/>
      <c r="N2848" s="72"/>
    </row>
    <row r="2849" spans="1:14" x14ac:dyDescent="0.2">
      <c r="A2849" s="73"/>
      <c r="B2849" s="3"/>
      <c r="C2849" s="3"/>
      <c r="D2849" s="73"/>
      <c r="E2849" s="2"/>
      <c r="F2849" s="2"/>
      <c r="G2849" s="2"/>
      <c r="H2849" s="2"/>
      <c r="I2849" s="2"/>
      <c r="J2849" s="2"/>
      <c r="K2849" s="72"/>
      <c r="L2849" s="39"/>
      <c r="M2849" s="72"/>
      <c r="N2849" s="72"/>
    </row>
    <row r="2850" spans="1:14" x14ac:dyDescent="0.2">
      <c r="A2850" s="73"/>
      <c r="B2850" s="3"/>
      <c r="C2850" s="3"/>
      <c r="D2850" s="73"/>
      <c r="E2850" s="2"/>
      <c r="F2850" s="2"/>
      <c r="G2850" s="2"/>
      <c r="H2850" s="2"/>
      <c r="I2850" s="2"/>
      <c r="J2850" s="2"/>
      <c r="K2850" s="72"/>
      <c r="L2850" s="39"/>
      <c r="M2850" s="72"/>
      <c r="N2850" s="72"/>
    </row>
    <row r="2851" spans="1:14" x14ac:dyDescent="0.2">
      <c r="A2851" s="73"/>
      <c r="B2851" s="3"/>
      <c r="C2851" s="3"/>
      <c r="D2851" s="73"/>
      <c r="E2851" s="2"/>
      <c r="F2851" s="2"/>
      <c r="G2851" s="2"/>
      <c r="H2851" s="2"/>
      <c r="I2851" s="2"/>
      <c r="J2851" s="2"/>
      <c r="K2851" s="72"/>
      <c r="L2851" s="39"/>
      <c r="M2851" s="72"/>
      <c r="N2851" s="72"/>
    </row>
    <row r="2852" spans="1:14" x14ac:dyDescent="0.2">
      <c r="A2852" s="73"/>
      <c r="B2852" s="3"/>
      <c r="C2852" s="3"/>
      <c r="D2852" s="73"/>
      <c r="E2852" s="2"/>
      <c r="F2852" s="2"/>
      <c r="G2852" s="2"/>
      <c r="H2852" s="2"/>
      <c r="I2852" s="2"/>
      <c r="J2852" s="2"/>
      <c r="K2852" s="72"/>
      <c r="L2852" s="39"/>
      <c r="M2852" s="72"/>
      <c r="N2852" s="72"/>
    </row>
    <row r="2853" spans="1:14" x14ac:dyDescent="0.2">
      <c r="A2853" s="73"/>
      <c r="B2853" s="3"/>
      <c r="C2853" s="3"/>
      <c r="D2853" s="73"/>
      <c r="E2853" s="2"/>
      <c r="F2853" s="2"/>
      <c r="G2853" s="2"/>
      <c r="H2853" s="2"/>
      <c r="I2853" s="2"/>
      <c r="J2853" s="2"/>
      <c r="K2853" s="72"/>
      <c r="L2853" s="39"/>
      <c r="M2853" s="72"/>
      <c r="N2853" s="72"/>
    </row>
    <row r="2854" spans="1:14" x14ac:dyDescent="0.2">
      <c r="A2854" s="73"/>
      <c r="B2854" s="3"/>
      <c r="C2854" s="3"/>
      <c r="D2854" s="73"/>
      <c r="E2854" s="2"/>
      <c r="F2854" s="2"/>
      <c r="G2854" s="2"/>
      <c r="H2854" s="2"/>
      <c r="I2854" s="2"/>
      <c r="J2854" s="2"/>
      <c r="K2854" s="72"/>
      <c r="L2854" s="39"/>
      <c r="M2854" s="72"/>
      <c r="N2854" s="72"/>
    </row>
    <row r="2855" spans="1:14" x14ac:dyDescent="0.2">
      <c r="A2855" s="73"/>
      <c r="B2855" s="3"/>
      <c r="C2855" s="3"/>
      <c r="D2855" s="73"/>
      <c r="E2855" s="2"/>
      <c r="F2855" s="2"/>
      <c r="G2855" s="2"/>
      <c r="H2855" s="2"/>
      <c r="I2855" s="2"/>
      <c r="J2855" s="2"/>
      <c r="K2855" s="72"/>
      <c r="L2855" s="39"/>
      <c r="M2855" s="72"/>
      <c r="N2855" s="72"/>
    </row>
    <row r="2856" spans="1:14" x14ac:dyDescent="0.2">
      <c r="A2856" s="73"/>
      <c r="B2856" s="3"/>
      <c r="C2856" s="3"/>
      <c r="D2856" s="73"/>
      <c r="E2856" s="2"/>
      <c r="F2856" s="2"/>
      <c r="G2856" s="2"/>
      <c r="H2856" s="2"/>
      <c r="I2856" s="2"/>
      <c r="J2856" s="2"/>
      <c r="K2856" s="72"/>
      <c r="L2856" s="39"/>
      <c r="M2856" s="72"/>
      <c r="N2856" s="72"/>
    </row>
    <row r="2857" spans="1:14" x14ac:dyDescent="0.2">
      <c r="A2857" s="73"/>
      <c r="B2857" s="3"/>
      <c r="C2857" s="3"/>
      <c r="D2857" s="73"/>
      <c r="E2857" s="2"/>
      <c r="F2857" s="2"/>
      <c r="G2857" s="2"/>
      <c r="H2857" s="2"/>
      <c r="I2857" s="2"/>
      <c r="J2857" s="2"/>
      <c r="K2857" s="72"/>
      <c r="L2857" s="39"/>
      <c r="M2857" s="72"/>
      <c r="N2857" s="72"/>
    </row>
    <row r="2858" spans="1:14" x14ac:dyDescent="0.2">
      <c r="A2858" s="73"/>
      <c r="B2858" s="3"/>
      <c r="C2858" s="3"/>
      <c r="D2858" s="73"/>
      <c r="E2858" s="2"/>
      <c r="F2858" s="2"/>
      <c r="G2858" s="2"/>
      <c r="H2858" s="2"/>
      <c r="I2858" s="2"/>
      <c r="J2858" s="2"/>
      <c r="K2858" s="72"/>
      <c r="L2858" s="39"/>
      <c r="M2858" s="72"/>
      <c r="N2858" s="72"/>
    </row>
    <row r="2859" spans="1:14" x14ac:dyDescent="0.2">
      <c r="A2859" s="73"/>
      <c r="B2859" s="3"/>
      <c r="C2859" s="3"/>
      <c r="D2859" s="73"/>
      <c r="E2859" s="2"/>
      <c r="F2859" s="2"/>
      <c r="G2859" s="2"/>
      <c r="H2859" s="2"/>
      <c r="I2859" s="2"/>
      <c r="J2859" s="2"/>
      <c r="K2859" s="72"/>
      <c r="L2859" s="39"/>
      <c r="M2859" s="72"/>
      <c r="N2859" s="72"/>
    </row>
    <row r="2860" spans="1:14" x14ac:dyDescent="0.2">
      <c r="A2860" s="73"/>
      <c r="B2860" s="3"/>
      <c r="C2860" s="3"/>
      <c r="D2860" s="73"/>
      <c r="E2860" s="2"/>
      <c r="F2860" s="2"/>
      <c r="G2860" s="2"/>
      <c r="H2860" s="2"/>
      <c r="I2860" s="2"/>
      <c r="J2860" s="2"/>
      <c r="K2860" s="72"/>
      <c r="L2860" s="39"/>
      <c r="M2860" s="72"/>
      <c r="N2860" s="72"/>
    </row>
    <row r="2861" spans="1:14" x14ac:dyDescent="0.2">
      <c r="A2861" s="73"/>
      <c r="B2861" s="3"/>
      <c r="C2861" s="3"/>
      <c r="D2861" s="73"/>
      <c r="E2861" s="2"/>
      <c r="F2861" s="2"/>
      <c r="G2861" s="2"/>
      <c r="H2861" s="2"/>
      <c r="I2861" s="2"/>
      <c r="J2861" s="2"/>
      <c r="K2861" s="72"/>
      <c r="L2861" s="39"/>
      <c r="M2861" s="72"/>
      <c r="N2861" s="72"/>
    </row>
    <row r="2862" spans="1:14" x14ac:dyDescent="0.2">
      <c r="A2862" s="73"/>
      <c r="B2862" s="3"/>
      <c r="C2862" s="3"/>
      <c r="D2862" s="73"/>
      <c r="E2862" s="2"/>
      <c r="F2862" s="2"/>
      <c r="G2862" s="2"/>
      <c r="H2862" s="2"/>
      <c r="I2862" s="2"/>
      <c r="J2862" s="2"/>
      <c r="K2862" s="72"/>
      <c r="L2862" s="39"/>
      <c r="M2862" s="72"/>
      <c r="N2862" s="72"/>
    </row>
    <row r="2863" spans="1:14" x14ac:dyDescent="0.2">
      <c r="A2863" s="73"/>
      <c r="B2863" s="3"/>
      <c r="C2863" s="3"/>
      <c r="D2863" s="73"/>
      <c r="E2863" s="2"/>
      <c r="F2863" s="2"/>
      <c r="G2863" s="2"/>
      <c r="H2863" s="2"/>
      <c r="I2863" s="2"/>
      <c r="J2863" s="2"/>
      <c r="K2863" s="72"/>
      <c r="L2863" s="39"/>
      <c r="M2863" s="72"/>
      <c r="N2863" s="72"/>
    </row>
    <row r="2864" spans="1:14" x14ac:dyDescent="0.2">
      <c r="A2864" s="73"/>
      <c r="B2864" s="3"/>
      <c r="C2864" s="3"/>
      <c r="D2864" s="73"/>
      <c r="E2864" s="2"/>
      <c r="F2864" s="2"/>
      <c r="G2864" s="2"/>
      <c r="H2864" s="2"/>
      <c r="I2864" s="2"/>
      <c r="J2864" s="2"/>
      <c r="K2864" s="72"/>
      <c r="L2864" s="39"/>
      <c r="M2864" s="72"/>
      <c r="N2864" s="72"/>
    </row>
    <row r="2865" spans="1:14" x14ac:dyDescent="0.2">
      <c r="A2865" s="73"/>
      <c r="B2865" s="3"/>
      <c r="C2865" s="3"/>
      <c r="D2865" s="73"/>
      <c r="E2865" s="2"/>
      <c r="F2865" s="2"/>
      <c r="G2865" s="2"/>
      <c r="H2865" s="2"/>
      <c r="I2865" s="2"/>
      <c r="J2865" s="2"/>
      <c r="K2865" s="72"/>
      <c r="L2865" s="39"/>
      <c r="M2865" s="72"/>
      <c r="N2865" s="72"/>
    </row>
    <row r="2866" spans="1:14" x14ac:dyDescent="0.2">
      <c r="A2866" s="73"/>
      <c r="B2866" s="3"/>
      <c r="C2866" s="3"/>
      <c r="D2866" s="73"/>
      <c r="E2866" s="2"/>
      <c r="F2866" s="2"/>
      <c r="G2866" s="2"/>
      <c r="H2866" s="2"/>
      <c r="I2866" s="2"/>
      <c r="J2866" s="2"/>
      <c r="K2866" s="72"/>
      <c r="L2866" s="39"/>
      <c r="M2866" s="72"/>
      <c r="N2866" s="72"/>
    </row>
    <row r="2867" spans="1:14" x14ac:dyDescent="0.2">
      <c r="A2867" s="73"/>
      <c r="B2867" s="3"/>
      <c r="C2867" s="3"/>
      <c r="D2867" s="73"/>
      <c r="E2867" s="2"/>
      <c r="F2867" s="2"/>
      <c r="G2867" s="2"/>
      <c r="H2867" s="2"/>
      <c r="I2867" s="2"/>
      <c r="J2867" s="2"/>
      <c r="K2867" s="72"/>
      <c r="L2867" s="39"/>
      <c r="M2867" s="72"/>
      <c r="N2867" s="72"/>
    </row>
    <row r="2868" spans="1:14" x14ac:dyDescent="0.2">
      <c r="A2868" s="73"/>
      <c r="B2868" s="3"/>
      <c r="C2868" s="3"/>
      <c r="D2868" s="73"/>
      <c r="E2868" s="2"/>
      <c r="F2868" s="2"/>
      <c r="G2868" s="2"/>
      <c r="H2868" s="2"/>
      <c r="I2868" s="2"/>
      <c r="J2868" s="2"/>
      <c r="K2868" s="72"/>
      <c r="L2868" s="39"/>
      <c r="M2868" s="72"/>
      <c r="N2868" s="72"/>
    </row>
    <row r="2869" spans="1:14" x14ac:dyDescent="0.2">
      <c r="A2869" s="73"/>
      <c r="B2869" s="3"/>
      <c r="C2869" s="3"/>
      <c r="D2869" s="73"/>
      <c r="E2869" s="2"/>
      <c r="F2869" s="2"/>
      <c r="G2869" s="2"/>
      <c r="H2869" s="2"/>
      <c r="I2869" s="2"/>
      <c r="J2869" s="2"/>
      <c r="K2869" s="72"/>
      <c r="L2869" s="39"/>
      <c r="M2869" s="72"/>
      <c r="N2869" s="72"/>
    </row>
    <row r="2870" spans="1:14" x14ac:dyDescent="0.2">
      <c r="A2870" s="73"/>
      <c r="B2870" s="3"/>
      <c r="C2870" s="3"/>
      <c r="D2870" s="73"/>
      <c r="E2870" s="2"/>
      <c r="F2870" s="2"/>
      <c r="G2870" s="2"/>
      <c r="H2870" s="2"/>
      <c r="I2870" s="2"/>
      <c r="J2870" s="2"/>
      <c r="K2870" s="72"/>
      <c r="L2870" s="39"/>
      <c r="M2870" s="72"/>
      <c r="N2870" s="72"/>
    </row>
    <row r="2871" spans="1:14" x14ac:dyDescent="0.2">
      <c r="A2871" s="73"/>
      <c r="B2871" s="3"/>
      <c r="C2871" s="3"/>
      <c r="D2871" s="73"/>
      <c r="E2871" s="2"/>
      <c r="F2871" s="2"/>
      <c r="G2871" s="2"/>
      <c r="H2871" s="2"/>
      <c r="I2871" s="2"/>
      <c r="J2871" s="2"/>
      <c r="K2871" s="72"/>
      <c r="L2871" s="39"/>
      <c r="M2871" s="72"/>
      <c r="N2871" s="72"/>
    </row>
    <row r="2872" spans="1:14" x14ac:dyDescent="0.2">
      <c r="A2872" s="73"/>
      <c r="B2872" s="3"/>
      <c r="C2872" s="3"/>
      <c r="D2872" s="73"/>
      <c r="E2872" s="2"/>
      <c r="F2872" s="2"/>
      <c r="G2872" s="2"/>
      <c r="H2872" s="2"/>
      <c r="I2872" s="2"/>
      <c r="J2872" s="2"/>
      <c r="K2872" s="72"/>
      <c r="L2872" s="39"/>
      <c r="M2872" s="72"/>
      <c r="N2872" s="72"/>
    </row>
    <row r="2873" spans="1:14" x14ac:dyDescent="0.2">
      <c r="A2873" s="73"/>
      <c r="B2873" s="3"/>
      <c r="C2873" s="3"/>
      <c r="D2873" s="73"/>
      <c r="E2873" s="2"/>
      <c r="F2873" s="2"/>
      <c r="G2873" s="2"/>
      <c r="H2873" s="2"/>
      <c r="I2873" s="2"/>
      <c r="J2873" s="2"/>
      <c r="K2873" s="72"/>
      <c r="L2873" s="39"/>
      <c r="M2873" s="72"/>
      <c r="N2873" s="72"/>
    </row>
    <row r="2874" spans="1:14" x14ac:dyDescent="0.2">
      <c r="A2874" s="73"/>
      <c r="B2874" s="3"/>
      <c r="C2874" s="3"/>
      <c r="D2874" s="73"/>
      <c r="E2874" s="2"/>
      <c r="F2874" s="2"/>
      <c r="G2874" s="2"/>
      <c r="H2874" s="2"/>
      <c r="I2874" s="2"/>
      <c r="J2874" s="2"/>
      <c r="K2874" s="72"/>
      <c r="L2874" s="39"/>
      <c r="M2874" s="72"/>
      <c r="N2874" s="72"/>
    </row>
    <row r="2875" spans="1:14" x14ac:dyDescent="0.2">
      <c r="A2875" s="73"/>
      <c r="B2875" s="3"/>
      <c r="C2875" s="3"/>
      <c r="D2875" s="73"/>
      <c r="E2875" s="2"/>
      <c r="F2875" s="2"/>
      <c r="G2875" s="2"/>
      <c r="H2875" s="2"/>
      <c r="I2875" s="2"/>
      <c r="J2875" s="2"/>
      <c r="K2875" s="72"/>
      <c r="L2875" s="39"/>
      <c r="M2875" s="72"/>
      <c r="N2875" s="72"/>
    </row>
    <row r="2876" spans="1:14" x14ac:dyDescent="0.2">
      <c r="A2876" s="73"/>
      <c r="B2876" s="3"/>
      <c r="C2876" s="3"/>
      <c r="D2876" s="73"/>
      <c r="E2876" s="2"/>
      <c r="F2876" s="2"/>
      <c r="G2876" s="2"/>
      <c r="H2876" s="2"/>
      <c r="I2876" s="2"/>
      <c r="J2876" s="2"/>
      <c r="K2876" s="72"/>
      <c r="L2876" s="39"/>
      <c r="M2876" s="72"/>
      <c r="N2876" s="72"/>
    </row>
    <row r="2877" spans="1:14" x14ac:dyDescent="0.2">
      <c r="A2877" s="73"/>
      <c r="B2877" s="3"/>
      <c r="C2877" s="3"/>
      <c r="D2877" s="73"/>
      <c r="E2877" s="2"/>
      <c r="F2877" s="2"/>
      <c r="G2877" s="2"/>
      <c r="H2877" s="2"/>
      <c r="I2877" s="2"/>
      <c r="J2877" s="2"/>
      <c r="K2877" s="72"/>
      <c r="L2877" s="39"/>
      <c r="M2877" s="72"/>
      <c r="N2877" s="72"/>
    </row>
    <row r="2878" spans="1:14" x14ac:dyDescent="0.2">
      <c r="A2878" s="73"/>
      <c r="B2878" s="3"/>
      <c r="C2878" s="3"/>
      <c r="D2878" s="73"/>
      <c r="E2878" s="2"/>
      <c r="F2878" s="2"/>
      <c r="G2878" s="2"/>
      <c r="H2878" s="2"/>
      <c r="I2878" s="2"/>
      <c r="J2878" s="2"/>
      <c r="K2878" s="72"/>
      <c r="L2878" s="39"/>
      <c r="M2878" s="72"/>
      <c r="N2878" s="72"/>
    </row>
    <row r="2879" spans="1:14" x14ac:dyDescent="0.2">
      <c r="A2879" s="73"/>
      <c r="B2879" s="3"/>
      <c r="C2879" s="3"/>
      <c r="D2879" s="73"/>
      <c r="E2879" s="2"/>
      <c r="F2879" s="2"/>
      <c r="G2879" s="2"/>
      <c r="H2879" s="2"/>
      <c r="I2879" s="2"/>
      <c r="J2879" s="2"/>
      <c r="K2879" s="72"/>
      <c r="L2879" s="39"/>
      <c r="M2879" s="72"/>
      <c r="N2879" s="72"/>
    </row>
    <row r="2880" spans="1:14" x14ac:dyDescent="0.2">
      <c r="A2880" s="73"/>
      <c r="B2880" s="3"/>
      <c r="C2880" s="3"/>
      <c r="D2880" s="73"/>
      <c r="E2880" s="2"/>
      <c r="F2880" s="2"/>
      <c r="G2880" s="2"/>
      <c r="H2880" s="2"/>
      <c r="I2880" s="2"/>
      <c r="J2880" s="2"/>
      <c r="K2880" s="72"/>
      <c r="L2880" s="39"/>
      <c r="M2880" s="72"/>
      <c r="N2880" s="72"/>
    </row>
    <row r="2881" spans="1:14" x14ac:dyDescent="0.2">
      <c r="A2881" s="73"/>
      <c r="B2881" s="3"/>
      <c r="C2881" s="3"/>
      <c r="D2881" s="73"/>
      <c r="E2881" s="2"/>
      <c r="F2881" s="2"/>
      <c r="G2881" s="2"/>
      <c r="H2881" s="2"/>
      <c r="I2881" s="2"/>
      <c r="J2881" s="2"/>
      <c r="K2881" s="72"/>
      <c r="L2881" s="39"/>
      <c r="M2881" s="72"/>
      <c r="N2881" s="72"/>
    </row>
    <row r="2882" spans="1:14" x14ac:dyDescent="0.2">
      <c r="A2882" s="73"/>
      <c r="B2882" s="3"/>
      <c r="C2882" s="3"/>
      <c r="D2882" s="73"/>
      <c r="E2882" s="2"/>
      <c r="F2882" s="2"/>
      <c r="G2882" s="2"/>
      <c r="H2882" s="2"/>
      <c r="I2882" s="2"/>
      <c r="J2882" s="2"/>
      <c r="K2882" s="72"/>
      <c r="L2882" s="39"/>
      <c r="M2882" s="72"/>
      <c r="N2882" s="72"/>
    </row>
    <row r="2883" spans="1:14" x14ac:dyDescent="0.2">
      <c r="A2883" s="73"/>
      <c r="B2883" s="3"/>
      <c r="C2883" s="3"/>
      <c r="D2883" s="73"/>
      <c r="E2883" s="2"/>
      <c r="F2883" s="2"/>
      <c r="G2883" s="2"/>
      <c r="H2883" s="2"/>
      <c r="I2883" s="2"/>
      <c r="J2883" s="2"/>
      <c r="K2883" s="72"/>
      <c r="L2883" s="39"/>
      <c r="M2883" s="72"/>
      <c r="N2883" s="72"/>
    </row>
    <row r="2884" spans="1:14" x14ac:dyDescent="0.2">
      <c r="A2884" s="73"/>
      <c r="B2884" s="3"/>
      <c r="C2884" s="3"/>
      <c r="D2884" s="73"/>
      <c r="E2884" s="2"/>
      <c r="F2884" s="2"/>
      <c r="G2884" s="2"/>
      <c r="H2884" s="2"/>
      <c r="I2884" s="2"/>
      <c r="J2884" s="2"/>
      <c r="K2884" s="72"/>
      <c r="L2884" s="39"/>
      <c r="M2884" s="72"/>
      <c r="N2884" s="72"/>
    </row>
    <row r="2885" spans="1:14" x14ac:dyDescent="0.2">
      <c r="A2885" s="73"/>
      <c r="B2885" s="3"/>
      <c r="C2885" s="3"/>
      <c r="D2885" s="73"/>
      <c r="E2885" s="2"/>
      <c r="F2885" s="2"/>
      <c r="G2885" s="2"/>
      <c r="H2885" s="2"/>
      <c r="I2885" s="2"/>
      <c r="J2885" s="2"/>
      <c r="K2885" s="72"/>
      <c r="L2885" s="39"/>
      <c r="M2885" s="72"/>
      <c r="N2885" s="72"/>
    </row>
    <row r="2886" spans="1:14" x14ac:dyDescent="0.2">
      <c r="A2886" s="73"/>
      <c r="B2886" s="3"/>
      <c r="C2886" s="3"/>
      <c r="D2886" s="73"/>
      <c r="E2886" s="2"/>
      <c r="F2886" s="2"/>
      <c r="G2886" s="2"/>
      <c r="H2886" s="2"/>
      <c r="I2886" s="2"/>
      <c r="J2886" s="2"/>
      <c r="K2886" s="72"/>
      <c r="L2886" s="39"/>
      <c r="M2886" s="72"/>
      <c r="N2886" s="72"/>
    </row>
    <row r="2887" spans="1:14" x14ac:dyDescent="0.2">
      <c r="A2887" s="73"/>
      <c r="B2887" s="3"/>
      <c r="C2887" s="3"/>
      <c r="D2887" s="73"/>
      <c r="E2887" s="2"/>
      <c r="F2887" s="2"/>
      <c r="G2887" s="2"/>
      <c r="H2887" s="2"/>
      <c r="I2887" s="2"/>
      <c r="J2887" s="2"/>
      <c r="K2887" s="72"/>
      <c r="L2887" s="39"/>
      <c r="M2887" s="72"/>
      <c r="N2887" s="72"/>
    </row>
    <row r="2888" spans="1:14" x14ac:dyDescent="0.2">
      <c r="A2888" s="73"/>
      <c r="B2888" s="3"/>
      <c r="C2888" s="3"/>
      <c r="D2888" s="73"/>
      <c r="E2888" s="2"/>
      <c r="F2888" s="2"/>
      <c r="G2888" s="2"/>
      <c r="H2888" s="2"/>
      <c r="I2888" s="2"/>
      <c r="J2888" s="2"/>
      <c r="K2888" s="72"/>
      <c r="L2888" s="39"/>
      <c r="M2888" s="72"/>
      <c r="N2888" s="72"/>
    </row>
    <row r="2889" spans="1:14" x14ac:dyDescent="0.2">
      <c r="A2889" s="73"/>
      <c r="B2889" s="3"/>
      <c r="C2889" s="3"/>
      <c r="D2889" s="73"/>
      <c r="E2889" s="2"/>
      <c r="F2889" s="2"/>
      <c r="G2889" s="2"/>
      <c r="H2889" s="2"/>
      <c r="I2889" s="2"/>
      <c r="J2889" s="2"/>
      <c r="K2889" s="72"/>
      <c r="L2889" s="39"/>
      <c r="M2889" s="72"/>
      <c r="N2889" s="72"/>
    </row>
    <row r="2890" spans="1:14" x14ac:dyDescent="0.2">
      <c r="A2890" s="73"/>
      <c r="B2890" s="3"/>
      <c r="C2890" s="3"/>
      <c r="D2890" s="73"/>
      <c r="E2890" s="2"/>
      <c r="F2890" s="2"/>
      <c r="G2890" s="2"/>
      <c r="H2890" s="2"/>
      <c r="I2890" s="2"/>
      <c r="J2890" s="2"/>
      <c r="K2890" s="72"/>
      <c r="L2890" s="39"/>
      <c r="M2890" s="72"/>
      <c r="N2890" s="72"/>
    </row>
    <row r="2891" spans="1:14" x14ac:dyDescent="0.2">
      <c r="A2891" s="73"/>
      <c r="B2891" s="3"/>
      <c r="C2891" s="3"/>
      <c r="D2891" s="73"/>
      <c r="E2891" s="2"/>
      <c r="F2891" s="2"/>
      <c r="G2891" s="2"/>
      <c r="H2891" s="2"/>
      <c r="I2891" s="2"/>
      <c r="J2891" s="2"/>
      <c r="K2891" s="72"/>
      <c r="L2891" s="39"/>
      <c r="M2891" s="72"/>
      <c r="N2891" s="72"/>
    </row>
    <row r="2892" spans="1:14" x14ac:dyDescent="0.2">
      <c r="A2892" s="73"/>
      <c r="B2892" s="3"/>
      <c r="C2892" s="3"/>
      <c r="D2892" s="73"/>
      <c r="E2892" s="2"/>
      <c r="F2892" s="2"/>
      <c r="G2892" s="2"/>
      <c r="H2892" s="2"/>
      <c r="I2892" s="2"/>
      <c r="J2892" s="2"/>
      <c r="K2892" s="72"/>
      <c r="L2892" s="39"/>
      <c r="M2892" s="72"/>
      <c r="N2892" s="72"/>
    </row>
    <row r="2893" spans="1:14" x14ac:dyDescent="0.2">
      <c r="A2893" s="73"/>
      <c r="B2893" s="3"/>
      <c r="C2893" s="3"/>
      <c r="D2893" s="73"/>
      <c r="E2893" s="2"/>
      <c r="F2893" s="2"/>
      <c r="G2893" s="2"/>
      <c r="H2893" s="2"/>
      <c r="I2893" s="2"/>
      <c r="J2893" s="2"/>
      <c r="K2893" s="72"/>
      <c r="L2893" s="39"/>
      <c r="M2893" s="72"/>
      <c r="N2893" s="72"/>
    </row>
    <row r="2894" spans="1:14" x14ac:dyDescent="0.2">
      <c r="A2894" s="73"/>
      <c r="B2894" s="3"/>
      <c r="C2894" s="3"/>
      <c r="D2894" s="73"/>
      <c r="E2894" s="2"/>
      <c r="F2894" s="2"/>
      <c r="G2894" s="2"/>
      <c r="H2894" s="2"/>
      <c r="I2894" s="2"/>
      <c r="J2894" s="2"/>
      <c r="K2894" s="72"/>
      <c r="L2894" s="39"/>
      <c r="M2894" s="72"/>
      <c r="N2894" s="72"/>
    </row>
    <row r="2895" spans="1:14" x14ac:dyDescent="0.2">
      <c r="A2895" s="73"/>
      <c r="B2895" s="3"/>
      <c r="C2895" s="3"/>
      <c r="D2895" s="73"/>
      <c r="E2895" s="2"/>
      <c r="F2895" s="2"/>
      <c r="G2895" s="2"/>
      <c r="H2895" s="2"/>
      <c r="I2895" s="2"/>
      <c r="J2895" s="2"/>
      <c r="K2895" s="72"/>
      <c r="L2895" s="39"/>
      <c r="M2895" s="72"/>
      <c r="N2895" s="72"/>
    </row>
    <row r="2896" spans="1:14" x14ac:dyDescent="0.2">
      <c r="A2896" s="73"/>
      <c r="B2896" s="3"/>
      <c r="C2896" s="3"/>
      <c r="D2896" s="73"/>
      <c r="E2896" s="2"/>
      <c r="F2896" s="2"/>
      <c r="G2896" s="2"/>
      <c r="H2896" s="2"/>
      <c r="I2896" s="2"/>
      <c r="J2896" s="2"/>
      <c r="K2896" s="72"/>
      <c r="L2896" s="39"/>
      <c r="M2896" s="72"/>
      <c r="N2896" s="72"/>
    </row>
    <row r="2897" spans="1:14" x14ac:dyDescent="0.2">
      <c r="A2897" s="73"/>
      <c r="B2897" s="3"/>
      <c r="C2897" s="3"/>
      <c r="D2897" s="73"/>
      <c r="E2897" s="2"/>
      <c r="F2897" s="2"/>
      <c r="G2897" s="2"/>
      <c r="H2897" s="2"/>
      <c r="I2897" s="2"/>
      <c r="J2897" s="2"/>
      <c r="K2897" s="72"/>
      <c r="L2897" s="39"/>
      <c r="M2897" s="72"/>
      <c r="N2897" s="72"/>
    </row>
    <row r="2898" spans="1:14" x14ac:dyDescent="0.2">
      <c r="A2898" s="73"/>
      <c r="B2898" s="3"/>
      <c r="C2898" s="3"/>
      <c r="D2898" s="73"/>
      <c r="E2898" s="2"/>
      <c r="F2898" s="2"/>
      <c r="G2898" s="2"/>
      <c r="H2898" s="2"/>
      <c r="I2898" s="2"/>
      <c r="J2898" s="2"/>
      <c r="K2898" s="72"/>
      <c r="L2898" s="39"/>
      <c r="M2898" s="72"/>
      <c r="N2898" s="72"/>
    </row>
    <row r="2899" spans="1:14" x14ac:dyDescent="0.2">
      <c r="A2899" s="73"/>
      <c r="B2899" s="3"/>
      <c r="C2899" s="3"/>
      <c r="D2899" s="73"/>
      <c r="E2899" s="2"/>
      <c r="F2899" s="2"/>
      <c r="G2899" s="2"/>
      <c r="H2899" s="2"/>
      <c r="I2899" s="2"/>
      <c r="J2899" s="2"/>
      <c r="K2899" s="72"/>
      <c r="L2899" s="39"/>
      <c r="M2899" s="72"/>
      <c r="N2899" s="72"/>
    </row>
    <row r="2900" spans="1:14" x14ac:dyDescent="0.2">
      <c r="A2900" s="73"/>
      <c r="B2900" s="3"/>
      <c r="C2900" s="3"/>
      <c r="D2900" s="73"/>
      <c r="E2900" s="2"/>
      <c r="F2900" s="2"/>
      <c r="G2900" s="2"/>
      <c r="H2900" s="2"/>
      <c r="I2900" s="2"/>
      <c r="J2900" s="2"/>
      <c r="K2900" s="72"/>
      <c r="L2900" s="39"/>
      <c r="M2900" s="72"/>
      <c r="N2900" s="72"/>
    </row>
    <row r="2901" spans="1:14" x14ac:dyDescent="0.2">
      <c r="A2901" s="73"/>
      <c r="B2901" s="3"/>
      <c r="C2901" s="3"/>
      <c r="D2901" s="73"/>
      <c r="E2901" s="2"/>
      <c r="F2901" s="2"/>
      <c r="G2901" s="2"/>
      <c r="H2901" s="2"/>
      <c r="I2901" s="2"/>
      <c r="J2901" s="2"/>
      <c r="K2901" s="72"/>
      <c r="L2901" s="39"/>
      <c r="M2901" s="72"/>
      <c r="N2901" s="72"/>
    </row>
    <row r="2902" spans="1:14" x14ac:dyDescent="0.2">
      <c r="A2902" s="73"/>
      <c r="B2902" s="3"/>
      <c r="C2902" s="3"/>
      <c r="D2902" s="73"/>
      <c r="E2902" s="2"/>
      <c r="F2902" s="2"/>
      <c r="G2902" s="2"/>
      <c r="H2902" s="2"/>
      <c r="I2902" s="2"/>
      <c r="J2902" s="2"/>
      <c r="K2902" s="72"/>
      <c r="L2902" s="39"/>
      <c r="M2902" s="72"/>
      <c r="N2902" s="72"/>
    </row>
    <row r="2903" spans="1:14" x14ac:dyDescent="0.2">
      <c r="A2903" s="73"/>
      <c r="B2903" s="3"/>
      <c r="C2903" s="3"/>
      <c r="D2903" s="73"/>
      <c r="E2903" s="2"/>
      <c r="F2903" s="2"/>
      <c r="G2903" s="2"/>
      <c r="H2903" s="2"/>
      <c r="I2903" s="2"/>
      <c r="J2903" s="2"/>
      <c r="K2903" s="72"/>
      <c r="L2903" s="39"/>
      <c r="M2903" s="72"/>
      <c r="N2903" s="72"/>
    </row>
    <row r="2904" spans="1:14" x14ac:dyDescent="0.2">
      <c r="A2904" s="73"/>
      <c r="B2904" s="3"/>
      <c r="C2904" s="3"/>
      <c r="D2904" s="73"/>
      <c r="E2904" s="2"/>
      <c r="F2904" s="2"/>
      <c r="G2904" s="2"/>
      <c r="H2904" s="2"/>
      <c r="I2904" s="2"/>
      <c r="J2904" s="2"/>
      <c r="K2904" s="72"/>
      <c r="L2904" s="39"/>
      <c r="M2904" s="72"/>
      <c r="N2904" s="72"/>
    </row>
    <row r="2905" spans="1:14" x14ac:dyDescent="0.2">
      <c r="A2905" s="73"/>
      <c r="B2905" s="3"/>
      <c r="C2905" s="3"/>
      <c r="D2905" s="73"/>
      <c r="E2905" s="2"/>
      <c r="F2905" s="2"/>
      <c r="G2905" s="2"/>
      <c r="H2905" s="2"/>
      <c r="I2905" s="2"/>
      <c r="J2905" s="2"/>
      <c r="K2905" s="72"/>
      <c r="L2905" s="39"/>
      <c r="M2905" s="72"/>
      <c r="N2905" s="72"/>
    </row>
    <row r="2906" spans="1:14" x14ac:dyDescent="0.2">
      <c r="A2906" s="73"/>
      <c r="B2906" s="3"/>
      <c r="C2906" s="3"/>
      <c r="D2906" s="73"/>
      <c r="E2906" s="2"/>
      <c r="F2906" s="2"/>
      <c r="G2906" s="2"/>
      <c r="H2906" s="2"/>
      <c r="I2906" s="2"/>
      <c r="J2906" s="2"/>
      <c r="K2906" s="72"/>
      <c r="L2906" s="39"/>
      <c r="M2906" s="72"/>
      <c r="N2906" s="72"/>
    </row>
    <row r="2907" spans="1:14" x14ac:dyDescent="0.2">
      <c r="A2907" s="73"/>
      <c r="B2907" s="3"/>
      <c r="C2907" s="3"/>
      <c r="D2907" s="73"/>
      <c r="E2907" s="2"/>
      <c r="F2907" s="2"/>
      <c r="G2907" s="2"/>
      <c r="H2907" s="2"/>
      <c r="I2907" s="2"/>
      <c r="J2907" s="2"/>
      <c r="K2907" s="72"/>
      <c r="L2907" s="39"/>
      <c r="M2907" s="72"/>
      <c r="N2907" s="72"/>
    </row>
    <row r="2908" spans="1:14" x14ac:dyDescent="0.2">
      <c r="A2908" s="73"/>
      <c r="B2908" s="3"/>
      <c r="C2908" s="3"/>
      <c r="D2908" s="73"/>
      <c r="E2908" s="2"/>
      <c r="F2908" s="2"/>
      <c r="G2908" s="2"/>
      <c r="H2908" s="2"/>
      <c r="I2908" s="2"/>
      <c r="J2908" s="2"/>
      <c r="K2908" s="72"/>
      <c r="L2908" s="39"/>
      <c r="M2908" s="72"/>
      <c r="N2908" s="72"/>
    </row>
    <row r="2909" spans="1:14" x14ac:dyDescent="0.2">
      <c r="A2909" s="73"/>
      <c r="B2909" s="3"/>
      <c r="C2909" s="3"/>
      <c r="D2909" s="73"/>
      <c r="E2909" s="2"/>
      <c r="F2909" s="2"/>
      <c r="G2909" s="2"/>
      <c r="H2909" s="2"/>
      <c r="I2909" s="2"/>
      <c r="J2909" s="2"/>
      <c r="K2909" s="72"/>
      <c r="L2909" s="39"/>
      <c r="M2909" s="72"/>
      <c r="N2909" s="72"/>
    </row>
    <row r="2910" spans="1:14" x14ac:dyDescent="0.2">
      <c r="A2910" s="73"/>
      <c r="B2910" s="3"/>
      <c r="C2910" s="3"/>
      <c r="D2910" s="73"/>
      <c r="E2910" s="2"/>
      <c r="F2910" s="2"/>
      <c r="G2910" s="2"/>
      <c r="H2910" s="2"/>
      <c r="I2910" s="2"/>
      <c r="J2910" s="2"/>
      <c r="K2910" s="72"/>
      <c r="L2910" s="39"/>
      <c r="M2910" s="72"/>
      <c r="N2910" s="72"/>
    </row>
    <row r="2911" spans="1:14" x14ac:dyDescent="0.2">
      <c r="A2911" s="73"/>
      <c r="B2911" s="3"/>
      <c r="C2911" s="3"/>
      <c r="D2911" s="73"/>
      <c r="E2911" s="2"/>
      <c r="F2911" s="2"/>
      <c r="G2911" s="2"/>
      <c r="H2911" s="2"/>
      <c r="I2911" s="2"/>
      <c r="J2911" s="2"/>
      <c r="K2911" s="72"/>
      <c r="L2911" s="39"/>
      <c r="M2911" s="72"/>
      <c r="N2911" s="72"/>
    </row>
    <row r="2912" spans="1:14" x14ac:dyDescent="0.2">
      <c r="A2912" s="73"/>
      <c r="B2912" s="3"/>
      <c r="C2912" s="3"/>
      <c r="D2912" s="73"/>
      <c r="E2912" s="2"/>
      <c r="F2912" s="2"/>
      <c r="G2912" s="2"/>
      <c r="H2912" s="2"/>
      <c r="I2912" s="2"/>
      <c r="J2912" s="2"/>
      <c r="K2912" s="72"/>
      <c r="L2912" s="39"/>
      <c r="M2912" s="72"/>
      <c r="N2912" s="72"/>
    </row>
    <row r="2913" spans="1:14" x14ac:dyDescent="0.2">
      <c r="A2913" s="73"/>
      <c r="B2913" s="3"/>
      <c r="C2913" s="3"/>
      <c r="D2913" s="73"/>
      <c r="E2913" s="2"/>
      <c r="F2913" s="2"/>
      <c r="G2913" s="2"/>
      <c r="H2913" s="2"/>
      <c r="I2913" s="2"/>
      <c r="J2913" s="2"/>
      <c r="K2913" s="72"/>
      <c r="L2913" s="39"/>
      <c r="M2913" s="72"/>
      <c r="N2913" s="72"/>
    </row>
    <row r="2914" spans="1:14" x14ac:dyDescent="0.2">
      <c r="A2914" s="73"/>
      <c r="B2914" s="3"/>
      <c r="C2914" s="3"/>
      <c r="D2914" s="73"/>
      <c r="E2914" s="2"/>
      <c r="F2914" s="2"/>
      <c r="G2914" s="2"/>
      <c r="H2914" s="2"/>
      <c r="I2914" s="2"/>
      <c r="J2914" s="2"/>
      <c r="K2914" s="72"/>
      <c r="L2914" s="39"/>
      <c r="M2914" s="72"/>
      <c r="N2914" s="72"/>
    </row>
    <row r="2915" spans="1:14" x14ac:dyDescent="0.2">
      <c r="A2915" s="73"/>
      <c r="B2915" s="3"/>
      <c r="C2915" s="3"/>
      <c r="D2915" s="73"/>
      <c r="E2915" s="2"/>
      <c r="F2915" s="2"/>
      <c r="G2915" s="2"/>
      <c r="H2915" s="2"/>
      <c r="I2915" s="2"/>
      <c r="J2915" s="2"/>
      <c r="K2915" s="72"/>
      <c r="L2915" s="39"/>
      <c r="M2915" s="72"/>
      <c r="N2915" s="72"/>
    </row>
    <row r="2916" spans="1:14" x14ac:dyDescent="0.2">
      <c r="A2916" s="73"/>
      <c r="B2916" s="3"/>
      <c r="C2916" s="3"/>
      <c r="D2916" s="73"/>
      <c r="E2916" s="2"/>
      <c r="F2916" s="2"/>
      <c r="G2916" s="2"/>
      <c r="H2916" s="2"/>
      <c r="I2916" s="2"/>
      <c r="J2916" s="2"/>
      <c r="K2916" s="72"/>
      <c r="L2916" s="39"/>
      <c r="M2916" s="72"/>
      <c r="N2916" s="72"/>
    </row>
    <row r="2917" spans="1:14" x14ac:dyDescent="0.2">
      <c r="A2917" s="73"/>
      <c r="B2917" s="3"/>
      <c r="C2917" s="3"/>
      <c r="D2917" s="73"/>
      <c r="E2917" s="2"/>
      <c r="F2917" s="2"/>
      <c r="G2917" s="2"/>
      <c r="H2917" s="2"/>
      <c r="I2917" s="2"/>
      <c r="J2917" s="2"/>
      <c r="K2917" s="72"/>
      <c r="L2917" s="39"/>
      <c r="M2917" s="72"/>
      <c r="N2917" s="72"/>
    </row>
    <row r="2918" spans="1:14" x14ac:dyDescent="0.2">
      <c r="A2918" s="73"/>
      <c r="B2918" s="3"/>
      <c r="C2918" s="3"/>
      <c r="D2918" s="73"/>
      <c r="E2918" s="2"/>
      <c r="F2918" s="2"/>
      <c r="G2918" s="2"/>
      <c r="H2918" s="2"/>
      <c r="I2918" s="2"/>
      <c r="J2918" s="2"/>
      <c r="K2918" s="72"/>
      <c r="L2918" s="39"/>
      <c r="M2918" s="72"/>
      <c r="N2918" s="72"/>
    </row>
    <row r="2919" spans="1:14" x14ac:dyDescent="0.2">
      <c r="A2919" s="73"/>
      <c r="B2919" s="3"/>
      <c r="C2919" s="3"/>
      <c r="D2919" s="73"/>
      <c r="E2919" s="2"/>
      <c r="F2919" s="2"/>
      <c r="G2919" s="2"/>
      <c r="H2919" s="2"/>
      <c r="I2919" s="2"/>
      <c r="J2919" s="2"/>
      <c r="K2919" s="72"/>
      <c r="L2919" s="39"/>
      <c r="M2919" s="72"/>
      <c r="N2919" s="72"/>
    </row>
    <row r="2920" spans="1:14" x14ac:dyDescent="0.2">
      <c r="A2920" s="73"/>
      <c r="B2920" s="3"/>
      <c r="C2920" s="3"/>
      <c r="D2920" s="73"/>
      <c r="E2920" s="2"/>
      <c r="F2920" s="2"/>
      <c r="G2920" s="2"/>
      <c r="H2920" s="2"/>
      <c r="I2920" s="2"/>
      <c r="J2920" s="2"/>
      <c r="K2920" s="72"/>
      <c r="L2920" s="39"/>
      <c r="M2920" s="72"/>
      <c r="N2920" s="72"/>
    </row>
    <row r="2921" spans="1:14" x14ac:dyDescent="0.2">
      <c r="A2921" s="73"/>
      <c r="B2921" s="3"/>
      <c r="C2921" s="3"/>
      <c r="D2921" s="73"/>
      <c r="E2921" s="2"/>
      <c r="F2921" s="2"/>
      <c r="G2921" s="2"/>
      <c r="H2921" s="2"/>
      <c r="I2921" s="2"/>
      <c r="J2921" s="2"/>
      <c r="K2921" s="72"/>
      <c r="L2921" s="39"/>
      <c r="M2921" s="72"/>
      <c r="N2921" s="72"/>
    </row>
    <row r="2922" spans="1:14" x14ac:dyDescent="0.2">
      <c r="A2922" s="73"/>
      <c r="B2922" s="3"/>
      <c r="C2922" s="3"/>
      <c r="D2922" s="73"/>
      <c r="E2922" s="2"/>
      <c r="F2922" s="2"/>
      <c r="G2922" s="2"/>
      <c r="H2922" s="2"/>
      <c r="I2922" s="2"/>
      <c r="J2922" s="2"/>
      <c r="K2922" s="72"/>
      <c r="L2922" s="39"/>
      <c r="M2922" s="72"/>
      <c r="N2922" s="72"/>
    </row>
    <row r="2923" spans="1:14" x14ac:dyDescent="0.2">
      <c r="A2923" s="73"/>
      <c r="B2923" s="3"/>
      <c r="C2923" s="3"/>
      <c r="D2923" s="73"/>
      <c r="E2923" s="2"/>
      <c r="F2923" s="2"/>
      <c r="G2923" s="2"/>
      <c r="H2923" s="2"/>
      <c r="I2923" s="2"/>
      <c r="J2923" s="2"/>
      <c r="K2923" s="72"/>
      <c r="L2923" s="39"/>
      <c r="M2923" s="72"/>
      <c r="N2923" s="72"/>
    </row>
    <row r="2924" spans="1:14" x14ac:dyDescent="0.2">
      <c r="A2924" s="73"/>
      <c r="B2924" s="3"/>
      <c r="C2924" s="3"/>
      <c r="D2924" s="73"/>
      <c r="E2924" s="2"/>
      <c r="F2924" s="2"/>
      <c r="G2924" s="2"/>
      <c r="H2924" s="2"/>
      <c r="I2924" s="2"/>
      <c r="J2924" s="2"/>
      <c r="K2924" s="72"/>
      <c r="L2924" s="39"/>
      <c r="M2924" s="72"/>
      <c r="N2924" s="72"/>
    </row>
    <row r="2925" spans="1:14" x14ac:dyDescent="0.2">
      <c r="A2925" s="73"/>
      <c r="B2925" s="3"/>
      <c r="C2925" s="3"/>
      <c r="D2925" s="73"/>
      <c r="E2925" s="2"/>
      <c r="F2925" s="2"/>
      <c r="G2925" s="2"/>
      <c r="H2925" s="2"/>
      <c r="I2925" s="2"/>
      <c r="J2925" s="2"/>
      <c r="K2925" s="72"/>
      <c r="L2925" s="39"/>
      <c r="M2925" s="72"/>
      <c r="N2925" s="72"/>
    </row>
    <row r="2926" spans="1:14" x14ac:dyDescent="0.2">
      <c r="A2926" s="73"/>
      <c r="B2926" s="3"/>
      <c r="C2926" s="3"/>
      <c r="D2926" s="73"/>
      <c r="E2926" s="2"/>
      <c r="F2926" s="2"/>
      <c r="G2926" s="2"/>
      <c r="H2926" s="2"/>
      <c r="I2926" s="2"/>
      <c r="J2926" s="2"/>
      <c r="K2926" s="72"/>
      <c r="L2926" s="39"/>
      <c r="M2926" s="72"/>
      <c r="N2926" s="72"/>
    </row>
    <row r="2927" spans="1:14" x14ac:dyDescent="0.2">
      <c r="A2927" s="73"/>
      <c r="B2927" s="3"/>
      <c r="C2927" s="3"/>
      <c r="D2927" s="73"/>
      <c r="E2927" s="2"/>
      <c r="F2927" s="2"/>
      <c r="G2927" s="2"/>
      <c r="H2927" s="2"/>
      <c r="I2927" s="2"/>
      <c r="J2927" s="2"/>
      <c r="K2927" s="72"/>
      <c r="L2927" s="39"/>
      <c r="M2927" s="72"/>
      <c r="N2927" s="72"/>
    </row>
    <row r="2928" spans="1:14" x14ac:dyDescent="0.2">
      <c r="A2928" s="73"/>
      <c r="B2928" s="3"/>
      <c r="C2928" s="3"/>
      <c r="D2928" s="73"/>
      <c r="E2928" s="2"/>
      <c r="F2928" s="2"/>
      <c r="G2928" s="2"/>
      <c r="H2928" s="2"/>
      <c r="I2928" s="2"/>
      <c r="J2928" s="2"/>
      <c r="K2928" s="72"/>
      <c r="L2928" s="39"/>
      <c r="M2928" s="72"/>
      <c r="N2928" s="72"/>
    </row>
    <row r="2929" spans="1:14" x14ac:dyDescent="0.2">
      <c r="A2929" s="73"/>
      <c r="B2929" s="3"/>
      <c r="C2929" s="3"/>
      <c r="D2929" s="73"/>
      <c r="E2929" s="2"/>
      <c r="F2929" s="2"/>
      <c r="G2929" s="2"/>
      <c r="H2929" s="2"/>
      <c r="I2929" s="2"/>
      <c r="J2929" s="2"/>
      <c r="K2929" s="72"/>
      <c r="L2929" s="39"/>
      <c r="M2929" s="72"/>
      <c r="N2929" s="72"/>
    </row>
    <row r="2930" spans="1:14" x14ac:dyDescent="0.2">
      <c r="A2930" s="73"/>
      <c r="B2930" s="3"/>
      <c r="C2930" s="3"/>
      <c r="D2930" s="73"/>
      <c r="E2930" s="2"/>
      <c r="F2930" s="2"/>
      <c r="G2930" s="2"/>
      <c r="H2930" s="2"/>
      <c r="I2930" s="2"/>
      <c r="J2930" s="2"/>
      <c r="K2930" s="72"/>
      <c r="L2930" s="39"/>
      <c r="M2930" s="72"/>
      <c r="N2930" s="72"/>
    </row>
    <row r="2931" spans="1:14" x14ac:dyDescent="0.2">
      <c r="A2931" s="73"/>
      <c r="B2931" s="3"/>
      <c r="C2931" s="3"/>
      <c r="D2931" s="73"/>
      <c r="E2931" s="2"/>
      <c r="F2931" s="2"/>
      <c r="G2931" s="2"/>
      <c r="H2931" s="2"/>
      <c r="I2931" s="2"/>
      <c r="J2931" s="2"/>
      <c r="K2931" s="72"/>
      <c r="L2931" s="39"/>
      <c r="M2931" s="72"/>
      <c r="N2931" s="72"/>
    </row>
    <row r="2932" spans="1:14" x14ac:dyDescent="0.2">
      <c r="A2932" s="73"/>
      <c r="B2932" s="3"/>
      <c r="C2932" s="3"/>
      <c r="D2932" s="73"/>
      <c r="E2932" s="2"/>
      <c r="F2932" s="2"/>
      <c r="G2932" s="2"/>
      <c r="H2932" s="2"/>
      <c r="I2932" s="2"/>
      <c r="J2932" s="2"/>
      <c r="K2932" s="72"/>
      <c r="L2932" s="39"/>
      <c r="M2932" s="72"/>
      <c r="N2932" s="72"/>
    </row>
    <row r="2933" spans="1:14" x14ac:dyDescent="0.2">
      <c r="A2933" s="73"/>
      <c r="B2933" s="3"/>
      <c r="C2933" s="3"/>
      <c r="D2933" s="73"/>
      <c r="E2933" s="2"/>
      <c r="F2933" s="2"/>
      <c r="G2933" s="2"/>
      <c r="H2933" s="2"/>
      <c r="I2933" s="2"/>
      <c r="J2933" s="2"/>
      <c r="K2933" s="72"/>
      <c r="L2933" s="39"/>
      <c r="M2933" s="72"/>
      <c r="N2933" s="72"/>
    </row>
    <row r="2934" spans="1:14" x14ac:dyDescent="0.2">
      <c r="A2934" s="73"/>
      <c r="B2934" s="3"/>
      <c r="C2934" s="3"/>
      <c r="D2934" s="73"/>
      <c r="E2934" s="2"/>
      <c r="F2934" s="2"/>
      <c r="G2934" s="2"/>
      <c r="H2934" s="2"/>
      <c r="I2934" s="2"/>
      <c r="J2934" s="2"/>
      <c r="K2934" s="72"/>
      <c r="L2934" s="39"/>
      <c r="M2934" s="72"/>
      <c r="N2934" s="72"/>
    </row>
    <row r="2935" spans="1:14" x14ac:dyDescent="0.2">
      <c r="A2935" s="73"/>
      <c r="B2935" s="3"/>
      <c r="C2935" s="3"/>
      <c r="D2935" s="73"/>
      <c r="E2935" s="2"/>
      <c r="F2935" s="2"/>
      <c r="G2935" s="2"/>
      <c r="H2935" s="2"/>
      <c r="I2935" s="2"/>
      <c r="J2935" s="2"/>
      <c r="K2935" s="72"/>
      <c r="L2935" s="39"/>
      <c r="M2935" s="72"/>
      <c r="N2935" s="72"/>
    </row>
    <row r="2936" spans="1:14" x14ac:dyDescent="0.2">
      <c r="A2936" s="73"/>
      <c r="B2936" s="3"/>
      <c r="C2936" s="3"/>
      <c r="D2936" s="73"/>
      <c r="E2936" s="2"/>
      <c r="F2936" s="2"/>
      <c r="G2936" s="2"/>
      <c r="H2936" s="2"/>
      <c r="I2936" s="2"/>
      <c r="J2936" s="2"/>
      <c r="K2936" s="72"/>
      <c r="L2936" s="39"/>
      <c r="M2936" s="72"/>
      <c r="N2936" s="72"/>
    </row>
    <row r="2937" spans="1:14" x14ac:dyDescent="0.2">
      <c r="A2937" s="73"/>
      <c r="B2937" s="3"/>
      <c r="C2937" s="3"/>
      <c r="D2937" s="73"/>
      <c r="E2937" s="2"/>
      <c r="F2937" s="2"/>
      <c r="G2937" s="2"/>
      <c r="H2937" s="2"/>
      <c r="I2937" s="2"/>
      <c r="J2937" s="2"/>
      <c r="K2937" s="72"/>
      <c r="L2937" s="39"/>
      <c r="M2937" s="72"/>
      <c r="N2937" s="72"/>
    </row>
    <row r="2938" spans="1:14" x14ac:dyDescent="0.2">
      <c r="A2938" s="73"/>
      <c r="B2938" s="3"/>
      <c r="C2938" s="3"/>
      <c r="D2938" s="73"/>
      <c r="E2938" s="2"/>
      <c r="F2938" s="2"/>
      <c r="G2938" s="2"/>
      <c r="H2938" s="2"/>
      <c r="I2938" s="2"/>
      <c r="J2938" s="2"/>
      <c r="K2938" s="72"/>
      <c r="L2938" s="39"/>
      <c r="M2938" s="72"/>
      <c r="N2938" s="72"/>
    </row>
    <row r="2939" spans="1:14" x14ac:dyDescent="0.2">
      <c r="A2939" s="73"/>
      <c r="B2939" s="3"/>
      <c r="C2939" s="3"/>
      <c r="D2939" s="73"/>
      <c r="E2939" s="2"/>
      <c r="F2939" s="2"/>
      <c r="G2939" s="2"/>
      <c r="H2939" s="2"/>
      <c r="I2939" s="2"/>
      <c r="J2939" s="2"/>
      <c r="K2939" s="72"/>
      <c r="L2939" s="39"/>
      <c r="M2939" s="72"/>
      <c r="N2939" s="72"/>
    </row>
    <row r="2940" spans="1:14" x14ac:dyDescent="0.2">
      <c r="A2940" s="73"/>
      <c r="B2940" s="3"/>
      <c r="C2940" s="3"/>
      <c r="D2940" s="73"/>
      <c r="E2940" s="2"/>
      <c r="F2940" s="2"/>
      <c r="G2940" s="2"/>
      <c r="H2940" s="2"/>
      <c r="I2940" s="2"/>
      <c r="J2940" s="2"/>
      <c r="K2940" s="72"/>
      <c r="L2940" s="39"/>
      <c r="M2940" s="72"/>
      <c r="N2940" s="72"/>
    </row>
    <row r="2941" spans="1:14" x14ac:dyDescent="0.2">
      <c r="A2941" s="73"/>
      <c r="B2941" s="3"/>
      <c r="C2941" s="3"/>
      <c r="D2941" s="73"/>
      <c r="E2941" s="2"/>
      <c r="F2941" s="2"/>
      <c r="G2941" s="2"/>
      <c r="H2941" s="2"/>
      <c r="I2941" s="2"/>
      <c r="J2941" s="2"/>
      <c r="K2941" s="72"/>
      <c r="L2941" s="39"/>
      <c r="M2941" s="72"/>
      <c r="N2941" s="72"/>
    </row>
    <row r="2942" spans="1:14" x14ac:dyDescent="0.2">
      <c r="A2942" s="73"/>
      <c r="B2942" s="3"/>
      <c r="C2942" s="3"/>
      <c r="D2942" s="73"/>
      <c r="E2942" s="2"/>
      <c r="F2942" s="2"/>
      <c r="G2942" s="2"/>
      <c r="H2942" s="2"/>
      <c r="I2942" s="2"/>
      <c r="J2942" s="2"/>
      <c r="K2942" s="72"/>
      <c r="L2942" s="39"/>
      <c r="M2942" s="72"/>
      <c r="N2942" s="72"/>
    </row>
    <row r="2943" spans="1:14" x14ac:dyDescent="0.2">
      <c r="A2943" s="73"/>
      <c r="B2943" s="3"/>
      <c r="C2943" s="3"/>
      <c r="D2943" s="73"/>
      <c r="E2943" s="2"/>
      <c r="F2943" s="2"/>
      <c r="G2943" s="2"/>
      <c r="H2943" s="2"/>
      <c r="I2943" s="2"/>
      <c r="J2943" s="2"/>
      <c r="K2943" s="72"/>
      <c r="L2943" s="39"/>
      <c r="M2943" s="72"/>
      <c r="N2943" s="72"/>
    </row>
    <row r="2944" spans="1:14" x14ac:dyDescent="0.2">
      <c r="A2944" s="73"/>
      <c r="B2944" s="3"/>
      <c r="C2944" s="3"/>
      <c r="D2944" s="73"/>
      <c r="E2944" s="2"/>
      <c r="F2944" s="2"/>
      <c r="G2944" s="2"/>
      <c r="H2944" s="2"/>
      <c r="I2944" s="2"/>
      <c r="J2944" s="2"/>
      <c r="K2944" s="72"/>
      <c r="L2944" s="39"/>
      <c r="M2944" s="72"/>
      <c r="N2944" s="72"/>
    </row>
    <row r="2945" spans="1:14" x14ac:dyDescent="0.2">
      <c r="A2945" s="73"/>
      <c r="B2945" s="3"/>
      <c r="C2945" s="3"/>
      <c r="D2945" s="73"/>
      <c r="E2945" s="2"/>
      <c r="F2945" s="2"/>
      <c r="G2945" s="2"/>
      <c r="H2945" s="2"/>
      <c r="I2945" s="2"/>
      <c r="J2945" s="2"/>
      <c r="K2945" s="72"/>
      <c r="L2945" s="39"/>
      <c r="M2945" s="72"/>
      <c r="N2945" s="72"/>
    </row>
    <row r="2946" spans="1:14" x14ac:dyDescent="0.2">
      <c r="A2946" s="73"/>
      <c r="B2946" s="3"/>
      <c r="C2946" s="3"/>
      <c r="D2946" s="73"/>
      <c r="E2946" s="2"/>
      <c r="F2946" s="2"/>
      <c r="G2946" s="2"/>
      <c r="H2946" s="2"/>
      <c r="I2946" s="2"/>
      <c r="J2946" s="2"/>
      <c r="K2946" s="72"/>
      <c r="L2946" s="39"/>
      <c r="M2946" s="72"/>
      <c r="N2946" s="72"/>
    </row>
    <row r="2947" spans="1:14" x14ac:dyDescent="0.2">
      <c r="A2947" s="73"/>
      <c r="B2947" s="3"/>
      <c r="C2947" s="3"/>
      <c r="D2947" s="73"/>
      <c r="E2947" s="2"/>
      <c r="F2947" s="2"/>
      <c r="G2947" s="2"/>
      <c r="H2947" s="2"/>
      <c r="I2947" s="2"/>
      <c r="J2947" s="2"/>
      <c r="K2947" s="72"/>
      <c r="L2947" s="39"/>
      <c r="M2947" s="72"/>
      <c r="N2947" s="72"/>
    </row>
    <row r="2948" spans="1:14" x14ac:dyDescent="0.2">
      <c r="A2948" s="73"/>
      <c r="B2948" s="3"/>
      <c r="C2948" s="3"/>
      <c r="D2948" s="73"/>
      <c r="E2948" s="2"/>
      <c r="F2948" s="2"/>
      <c r="G2948" s="2"/>
      <c r="H2948" s="2"/>
      <c r="I2948" s="2"/>
      <c r="J2948" s="2"/>
      <c r="K2948" s="72"/>
      <c r="L2948" s="39"/>
      <c r="M2948" s="72"/>
      <c r="N2948" s="72"/>
    </row>
    <row r="2949" spans="1:14" x14ac:dyDescent="0.2">
      <c r="A2949" s="73"/>
      <c r="B2949" s="3"/>
      <c r="C2949" s="3"/>
      <c r="D2949" s="73"/>
      <c r="E2949" s="2"/>
      <c r="F2949" s="2"/>
      <c r="G2949" s="2"/>
      <c r="H2949" s="2"/>
      <c r="I2949" s="2"/>
      <c r="J2949" s="2"/>
      <c r="K2949" s="72"/>
      <c r="L2949" s="39"/>
      <c r="M2949" s="72"/>
      <c r="N2949" s="72"/>
    </row>
    <row r="2950" spans="1:14" x14ac:dyDescent="0.2">
      <c r="A2950" s="73"/>
      <c r="B2950" s="3"/>
      <c r="C2950" s="3"/>
      <c r="D2950" s="73"/>
      <c r="E2950" s="2"/>
      <c r="F2950" s="2"/>
      <c r="G2950" s="2"/>
      <c r="H2950" s="2"/>
      <c r="I2950" s="2"/>
      <c r="J2950" s="2"/>
      <c r="K2950" s="72"/>
      <c r="L2950" s="39"/>
      <c r="M2950" s="72"/>
      <c r="N2950" s="72"/>
    </row>
    <row r="2951" spans="1:14" x14ac:dyDescent="0.2">
      <c r="A2951" s="73"/>
      <c r="B2951" s="3"/>
      <c r="C2951" s="3"/>
      <c r="D2951" s="73"/>
      <c r="E2951" s="2"/>
      <c r="F2951" s="2"/>
      <c r="G2951" s="2"/>
      <c r="H2951" s="2"/>
      <c r="I2951" s="2"/>
      <c r="J2951" s="2"/>
      <c r="K2951" s="72"/>
      <c r="L2951" s="39"/>
      <c r="M2951" s="72"/>
      <c r="N2951" s="72"/>
    </row>
    <row r="2952" spans="1:14" x14ac:dyDescent="0.2">
      <c r="A2952" s="73"/>
      <c r="B2952" s="3"/>
      <c r="C2952" s="3"/>
      <c r="D2952" s="73"/>
      <c r="E2952" s="2"/>
      <c r="F2952" s="2"/>
      <c r="G2952" s="2"/>
      <c r="H2952" s="2"/>
      <c r="I2952" s="2"/>
      <c r="J2952" s="2"/>
      <c r="K2952" s="72"/>
      <c r="L2952" s="39"/>
      <c r="M2952" s="72"/>
      <c r="N2952" s="72"/>
    </row>
    <row r="2953" spans="1:14" x14ac:dyDescent="0.2">
      <c r="A2953" s="73"/>
      <c r="B2953" s="3"/>
      <c r="C2953" s="3"/>
      <c r="D2953" s="73"/>
      <c r="E2953" s="2"/>
      <c r="F2953" s="2"/>
      <c r="G2953" s="2"/>
      <c r="H2953" s="2"/>
      <c r="I2953" s="2"/>
      <c r="J2953" s="2"/>
      <c r="K2953" s="72"/>
      <c r="L2953" s="39"/>
      <c r="M2953" s="72"/>
      <c r="N2953" s="72"/>
    </row>
    <row r="2954" spans="1:14" x14ac:dyDescent="0.2">
      <c r="A2954" s="73"/>
      <c r="B2954" s="3"/>
      <c r="C2954" s="3"/>
      <c r="D2954" s="73"/>
      <c r="E2954" s="2"/>
      <c r="F2954" s="2"/>
      <c r="G2954" s="2"/>
      <c r="H2954" s="2"/>
      <c r="I2954" s="2"/>
      <c r="J2954" s="2"/>
      <c r="K2954" s="72"/>
      <c r="L2954" s="39"/>
      <c r="M2954" s="72"/>
      <c r="N2954" s="72"/>
    </row>
    <row r="2955" spans="1:14" x14ac:dyDescent="0.2">
      <c r="A2955" s="73"/>
      <c r="B2955" s="3"/>
      <c r="C2955" s="3"/>
      <c r="D2955" s="73"/>
      <c r="E2955" s="2"/>
      <c r="F2955" s="2"/>
      <c r="G2955" s="2"/>
      <c r="H2955" s="2"/>
      <c r="I2955" s="2"/>
      <c r="J2955" s="2"/>
      <c r="K2955" s="72"/>
      <c r="L2955" s="39"/>
      <c r="M2955" s="72"/>
      <c r="N2955" s="72"/>
    </row>
    <row r="2956" spans="1:14" x14ac:dyDescent="0.2">
      <c r="A2956" s="73"/>
      <c r="B2956" s="3"/>
      <c r="C2956" s="3"/>
      <c r="D2956" s="73"/>
      <c r="E2956" s="2"/>
      <c r="F2956" s="2"/>
      <c r="G2956" s="2"/>
      <c r="H2956" s="2"/>
      <c r="I2956" s="2"/>
      <c r="J2956" s="2"/>
      <c r="K2956" s="72"/>
      <c r="L2956" s="39"/>
      <c r="M2956" s="72"/>
      <c r="N2956" s="72"/>
    </row>
    <row r="2957" spans="1:14" x14ac:dyDescent="0.2">
      <c r="A2957" s="73"/>
      <c r="B2957" s="3"/>
      <c r="C2957" s="3"/>
      <c r="D2957" s="73"/>
      <c r="E2957" s="2"/>
      <c r="F2957" s="2"/>
      <c r="G2957" s="2"/>
      <c r="H2957" s="2"/>
      <c r="I2957" s="2"/>
      <c r="J2957" s="2"/>
      <c r="K2957" s="72"/>
      <c r="L2957" s="39"/>
      <c r="M2957" s="72"/>
      <c r="N2957" s="72"/>
    </row>
    <row r="2958" spans="1:14" x14ac:dyDescent="0.2">
      <c r="A2958" s="73"/>
      <c r="B2958" s="3"/>
      <c r="C2958" s="3"/>
      <c r="D2958" s="73"/>
      <c r="E2958" s="2"/>
      <c r="F2958" s="2"/>
      <c r="G2958" s="2"/>
      <c r="H2958" s="2"/>
      <c r="I2958" s="2"/>
      <c r="J2958" s="2"/>
      <c r="K2958" s="72"/>
      <c r="L2958" s="39"/>
      <c r="M2958" s="72"/>
      <c r="N2958" s="72"/>
    </row>
    <row r="2959" spans="1:14" x14ac:dyDescent="0.2">
      <c r="A2959" s="73"/>
      <c r="B2959" s="3"/>
      <c r="C2959" s="3"/>
      <c r="D2959" s="73"/>
      <c r="E2959" s="2"/>
      <c r="F2959" s="2"/>
      <c r="G2959" s="2"/>
      <c r="H2959" s="2"/>
      <c r="I2959" s="2"/>
      <c r="J2959" s="2"/>
      <c r="K2959" s="72"/>
      <c r="L2959" s="39"/>
      <c r="M2959" s="72"/>
      <c r="N2959" s="72"/>
    </row>
    <row r="2960" spans="1:14" x14ac:dyDescent="0.2">
      <c r="A2960" s="73"/>
      <c r="B2960" s="3"/>
      <c r="C2960" s="3"/>
      <c r="D2960" s="73"/>
      <c r="E2960" s="2"/>
      <c r="F2960" s="2"/>
      <c r="G2960" s="2"/>
      <c r="H2960" s="2"/>
      <c r="I2960" s="2"/>
      <c r="J2960" s="2"/>
      <c r="K2960" s="72"/>
      <c r="L2960" s="39"/>
      <c r="M2960" s="72"/>
      <c r="N2960" s="72"/>
    </row>
    <row r="2961" spans="1:14" x14ac:dyDescent="0.2">
      <c r="A2961" s="73"/>
      <c r="B2961" s="3"/>
      <c r="C2961" s="3"/>
      <c r="D2961" s="73"/>
      <c r="E2961" s="2"/>
      <c r="F2961" s="2"/>
      <c r="G2961" s="2"/>
      <c r="H2961" s="2"/>
      <c r="I2961" s="2"/>
      <c r="J2961" s="2"/>
      <c r="K2961" s="72"/>
      <c r="L2961" s="39"/>
      <c r="M2961" s="72"/>
      <c r="N2961" s="72"/>
    </row>
    <row r="2962" spans="1:14" x14ac:dyDescent="0.2">
      <c r="A2962" s="73"/>
      <c r="B2962" s="3"/>
      <c r="C2962" s="3"/>
      <c r="D2962" s="73"/>
      <c r="E2962" s="2"/>
      <c r="F2962" s="2"/>
      <c r="G2962" s="2"/>
      <c r="H2962" s="2"/>
      <c r="I2962" s="2"/>
      <c r="J2962" s="2"/>
      <c r="K2962" s="72"/>
      <c r="L2962" s="39"/>
      <c r="M2962" s="72"/>
      <c r="N2962" s="72"/>
    </row>
    <row r="2963" spans="1:14" x14ac:dyDescent="0.2">
      <c r="A2963" s="73"/>
      <c r="B2963" s="3"/>
      <c r="C2963" s="3"/>
      <c r="D2963" s="73"/>
      <c r="E2963" s="2"/>
      <c r="F2963" s="2"/>
      <c r="G2963" s="2"/>
      <c r="H2963" s="2"/>
      <c r="I2963" s="2"/>
      <c r="J2963" s="2"/>
      <c r="K2963" s="72"/>
      <c r="L2963" s="39"/>
      <c r="M2963" s="72"/>
      <c r="N2963" s="72"/>
    </row>
    <row r="2964" spans="1:14" x14ac:dyDescent="0.2">
      <c r="A2964" s="73"/>
      <c r="B2964" s="3"/>
      <c r="C2964" s="3"/>
      <c r="D2964" s="73"/>
      <c r="E2964" s="2"/>
      <c r="F2964" s="2"/>
      <c r="G2964" s="2"/>
      <c r="H2964" s="2"/>
      <c r="I2964" s="2"/>
      <c r="J2964" s="2"/>
      <c r="K2964" s="72"/>
      <c r="L2964" s="39"/>
      <c r="M2964" s="72"/>
      <c r="N2964" s="72"/>
    </row>
    <row r="2965" spans="1:14" x14ac:dyDescent="0.2">
      <c r="A2965" s="73"/>
      <c r="B2965" s="3"/>
      <c r="C2965" s="3"/>
      <c r="D2965" s="73"/>
      <c r="E2965" s="2"/>
      <c r="F2965" s="2"/>
      <c r="G2965" s="2"/>
      <c r="H2965" s="2"/>
      <c r="I2965" s="2"/>
      <c r="J2965" s="2"/>
      <c r="K2965" s="72"/>
      <c r="L2965" s="39"/>
      <c r="M2965" s="72"/>
      <c r="N2965" s="72"/>
    </row>
    <row r="2966" spans="1:14" x14ac:dyDescent="0.2">
      <c r="A2966" s="73"/>
      <c r="B2966" s="3"/>
      <c r="C2966" s="3"/>
      <c r="D2966" s="73"/>
      <c r="E2966" s="2"/>
      <c r="F2966" s="2"/>
      <c r="G2966" s="2"/>
      <c r="H2966" s="2"/>
      <c r="I2966" s="2"/>
      <c r="J2966" s="2"/>
      <c r="K2966" s="72"/>
      <c r="L2966" s="39"/>
      <c r="M2966" s="72"/>
      <c r="N2966" s="72"/>
    </row>
    <row r="2967" spans="1:14" x14ac:dyDescent="0.2">
      <c r="A2967" s="73"/>
      <c r="B2967" s="3"/>
      <c r="C2967" s="3"/>
      <c r="D2967" s="73"/>
      <c r="E2967" s="2"/>
      <c r="F2967" s="2"/>
      <c r="G2967" s="2"/>
      <c r="H2967" s="2"/>
      <c r="I2967" s="2"/>
      <c r="J2967" s="2"/>
      <c r="K2967" s="72"/>
      <c r="L2967" s="39"/>
      <c r="M2967" s="72"/>
      <c r="N2967" s="72"/>
    </row>
    <row r="2968" spans="1:14" x14ac:dyDescent="0.2">
      <c r="A2968" s="73"/>
      <c r="B2968" s="3"/>
      <c r="C2968" s="3"/>
      <c r="D2968" s="73"/>
      <c r="E2968" s="2"/>
      <c r="F2968" s="2"/>
      <c r="G2968" s="2"/>
      <c r="H2968" s="2"/>
      <c r="I2968" s="2"/>
      <c r="J2968" s="2"/>
      <c r="K2968" s="72"/>
      <c r="L2968" s="39"/>
      <c r="M2968" s="72"/>
      <c r="N2968" s="72"/>
    </row>
    <row r="2969" spans="1:14" x14ac:dyDescent="0.2">
      <c r="A2969" s="73"/>
      <c r="B2969" s="3"/>
      <c r="C2969" s="3"/>
      <c r="D2969" s="73"/>
      <c r="E2969" s="2"/>
      <c r="F2969" s="2"/>
      <c r="G2969" s="2"/>
      <c r="H2969" s="2"/>
      <c r="I2969" s="2"/>
      <c r="J2969" s="2"/>
      <c r="K2969" s="72"/>
      <c r="L2969" s="39"/>
      <c r="M2969" s="72"/>
      <c r="N2969" s="72"/>
    </row>
    <row r="2970" spans="1:14" x14ac:dyDescent="0.2">
      <c r="A2970" s="73"/>
      <c r="B2970" s="3"/>
      <c r="C2970" s="3"/>
      <c r="D2970" s="73"/>
      <c r="E2970" s="2"/>
      <c r="F2970" s="2"/>
      <c r="G2970" s="2"/>
      <c r="H2970" s="2"/>
      <c r="I2970" s="2"/>
      <c r="J2970" s="2"/>
      <c r="K2970" s="72"/>
      <c r="L2970" s="39"/>
      <c r="M2970" s="72"/>
      <c r="N2970" s="72"/>
    </row>
    <row r="2971" spans="1:14" x14ac:dyDescent="0.2">
      <c r="A2971" s="73"/>
      <c r="B2971" s="3"/>
      <c r="C2971" s="3"/>
      <c r="D2971" s="73"/>
      <c r="E2971" s="2"/>
      <c r="F2971" s="2"/>
      <c r="G2971" s="2"/>
      <c r="H2971" s="2"/>
      <c r="I2971" s="2"/>
      <c r="J2971" s="2"/>
      <c r="K2971" s="72"/>
      <c r="L2971" s="39"/>
      <c r="M2971" s="72"/>
      <c r="N2971" s="72"/>
    </row>
    <row r="2972" spans="1:14" x14ac:dyDescent="0.2">
      <c r="A2972" s="73"/>
      <c r="B2972" s="3"/>
      <c r="C2972" s="3"/>
      <c r="D2972" s="73"/>
      <c r="E2972" s="2"/>
      <c r="F2972" s="2"/>
      <c r="G2972" s="2"/>
      <c r="H2972" s="2"/>
      <c r="I2972" s="2"/>
      <c r="J2972" s="2"/>
      <c r="K2972" s="72"/>
      <c r="L2972" s="39"/>
      <c r="M2972" s="72"/>
      <c r="N2972" s="72"/>
    </row>
    <row r="2973" spans="1:14" x14ac:dyDescent="0.2">
      <c r="A2973" s="73"/>
      <c r="B2973" s="3"/>
      <c r="C2973" s="3"/>
      <c r="D2973" s="73"/>
      <c r="E2973" s="2"/>
      <c r="F2973" s="2"/>
      <c r="G2973" s="2"/>
      <c r="H2973" s="2"/>
      <c r="I2973" s="2"/>
      <c r="J2973" s="2"/>
      <c r="K2973" s="72"/>
      <c r="L2973" s="39"/>
      <c r="M2973" s="72"/>
      <c r="N2973" s="72"/>
    </row>
    <row r="2974" spans="1:14" x14ac:dyDescent="0.2">
      <c r="A2974" s="73"/>
      <c r="B2974" s="3"/>
      <c r="C2974" s="3"/>
      <c r="D2974" s="73"/>
      <c r="E2974" s="2"/>
      <c r="F2974" s="2"/>
      <c r="G2974" s="2"/>
      <c r="H2974" s="2"/>
      <c r="I2974" s="2"/>
      <c r="J2974" s="2"/>
      <c r="K2974" s="72"/>
      <c r="L2974" s="39"/>
      <c r="M2974" s="72"/>
      <c r="N2974" s="72"/>
    </row>
    <row r="2975" spans="1:14" x14ac:dyDescent="0.2">
      <c r="A2975" s="73"/>
      <c r="B2975" s="3"/>
      <c r="C2975" s="3"/>
      <c r="D2975" s="73"/>
      <c r="E2975" s="2"/>
      <c r="F2975" s="2"/>
      <c r="G2975" s="2"/>
      <c r="H2975" s="2"/>
      <c r="I2975" s="2"/>
      <c r="J2975" s="2"/>
      <c r="K2975" s="72"/>
      <c r="L2975" s="39"/>
      <c r="M2975" s="72"/>
      <c r="N2975" s="72"/>
    </row>
    <row r="2976" spans="1:14" x14ac:dyDescent="0.2">
      <c r="A2976" s="73"/>
      <c r="B2976" s="3"/>
      <c r="C2976" s="3"/>
      <c r="D2976" s="73"/>
      <c r="E2976" s="2"/>
      <c r="F2976" s="2"/>
      <c r="G2976" s="2"/>
      <c r="H2976" s="2"/>
      <c r="I2976" s="2"/>
      <c r="J2976" s="2"/>
      <c r="K2976" s="72"/>
      <c r="L2976" s="39"/>
      <c r="M2976" s="72"/>
      <c r="N2976" s="72"/>
    </row>
    <row r="2977" spans="1:14" x14ac:dyDescent="0.2">
      <c r="A2977" s="73"/>
      <c r="B2977" s="3"/>
      <c r="C2977" s="3"/>
      <c r="D2977" s="73"/>
      <c r="E2977" s="2"/>
      <c r="F2977" s="2"/>
      <c r="G2977" s="2"/>
      <c r="H2977" s="2"/>
      <c r="I2977" s="2"/>
      <c r="J2977" s="2"/>
      <c r="K2977" s="72"/>
      <c r="L2977" s="39"/>
      <c r="M2977" s="72"/>
      <c r="N2977" s="72"/>
    </row>
    <row r="2978" spans="1:14" x14ac:dyDescent="0.2">
      <c r="A2978" s="73"/>
      <c r="B2978" s="3"/>
      <c r="C2978" s="3"/>
      <c r="D2978" s="73"/>
      <c r="E2978" s="2"/>
      <c r="F2978" s="2"/>
      <c r="G2978" s="2"/>
      <c r="H2978" s="2"/>
      <c r="I2978" s="2"/>
      <c r="J2978" s="2"/>
      <c r="K2978" s="72"/>
      <c r="L2978" s="39"/>
      <c r="M2978" s="72"/>
      <c r="N2978" s="72"/>
    </row>
    <row r="2979" spans="1:14" x14ac:dyDescent="0.2">
      <c r="A2979" s="73"/>
      <c r="B2979" s="3"/>
      <c r="C2979" s="3"/>
      <c r="D2979" s="73"/>
      <c r="E2979" s="2"/>
      <c r="F2979" s="2"/>
      <c r="G2979" s="2"/>
      <c r="H2979" s="2"/>
      <c r="I2979" s="2"/>
      <c r="J2979" s="2"/>
      <c r="K2979" s="72"/>
      <c r="L2979" s="39"/>
      <c r="M2979" s="72"/>
      <c r="N2979" s="72"/>
    </row>
    <row r="2980" spans="1:14" x14ac:dyDescent="0.2">
      <c r="A2980" s="73"/>
      <c r="B2980" s="3"/>
      <c r="C2980" s="3"/>
      <c r="D2980" s="73"/>
      <c r="E2980" s="2"/>
      <c r="F2980" s="2"/>
      <c r="G2980" s="2"/>
      <c r="H2980" s="2"/>
      <c r="I2980" s="2"/>
      <c r="J2980" s="2"/>
      <c r="K2980" s="72"/>
      <c r="L2980" s="39"/>
      <c r="M2980" s="72"/>
      <c r="N2980" s="72"/>
    </row>
    <row r="2981" spans="1:14" x14ac:dyDescent="0.2">
      <c r="A2981" s="73"/>
      <c r="B2981" s="3"/>
      <c r="C2981" s="3"/>
      <c r="D2981" s="73"/>
      <c r="E2981" s="2"/>
      <c r="F2981" s="2"/>
      <c r="G2981" s="2"/>
      <c r="H2981" s="2"/>
      <c r="I2981" s="2"/>
      <c r="J2981" s="2"/>
      <c r="K2981" s="72"/>
      <c r="L2981" s="39"/>
      <c r="M2981" s="72"/>
      <c r="N2981" s="72"/>
    </row>
    <row r="2982" spans="1:14" x14ac:dyDescent="0.2">
      <c r="A2982" s="73"/>
      <c r="B2982" s="3"/>
      <c r="C2982" s="3"/>
      <c r="D2982" s="73"/>
      <c r="E2982" s="2"/>
      <c r="F2982" s="2"/>
      <c r="G2982" s="2"/>
      <c r="H2982" s="2"/>
      <c r="I2982" s="2"/>
      <c r="J2982" s="2"/>
      <c r="K2982" s="72"/>
      <c r="L2982" s="39"/>
      <c r="M2982" s="72"/>
      <c r="N2982" s="72"/>
    </row>
    <row r="2983" spans="1:14" x14ac:dyDescent="0.2">
      <c r="A2983" s="73"/>
      <c r="B2983" s="3"/>
      <c r="C2983" s="3"/>
      <c r="D2983" s="73"/>
      <c r="E2983" s="2"/>
      <c r="F2983" s="2"/>
      <c r="G2983" s="2"/>
      <c r="H2983" s="2"/>
      <c r="I2983" s="2"/>
      <c r="J2983" s="2"/>
      <c r="K2983" s="72"/>
      <c r="L2983" s="39"/>
      <c r="M2983" s="72"/>
      <c r="N2983" s="72"/>
    </row>
    <row r="2984" spans="1:14" x14ac:dyDescent="0.2">
      <c r="A2984" s="73"/>
      <c r="B2984" s="3"/>
      <c r="C2984" s="3"/>
      <c r="D2984" s="73"/>
      <c r="E2984" s="2"/>
      <c r="F2984" s="2"/>
      <c r="G2984" s="2"/>
      <c r="H2984" s="2"/>
      <c r="I2984" s="2"/>
      <c r="J2984" s="2"/>
      <c r="K2984" s="72"/>
      <c r="L2984" s="39"/>
      <c r="M2984" s="72"/>
      <c r="N2984" s="72"/>
    </row>
    <row r="2985" spans="1:14" x14ac:dyDescent="0.2">
      <c r="A2985" s="73"/>
      <c r="B2985" s="3"/>
      <c r="C2985" s="3"/>
      <c r="D2985" s="73"/>
      <c r="E2985" s="2"/>
      <c r="F2985" s="2"/>
      <c r="G2985" s="2"/>
      <c r="H2985" s="2"/>
      <c r="I2985" s="2"/>
      <c r="J2985" s="2"/>
      <c r="K2985" s="72"/>
      <c r="L2985" s="39"/>
      <c r="M2985" s="72"/>
      <c r="N2985" s="72"/>
    </row>
    <row r="2986" spans="1:14" x14ac:dyDescent="0.2">
      <c r="A2986" s="73"/>
      <c r="B2986" s="3"/>
      <c r="C2986" s="3"/>
      <c r="D2986" s="73"/>
      <c r="E2986" s="2"/>
      <c r="F2986" s="2"/>
      <c r="G2986" s="2"/>
      <c r="H2986" s="2"/>
      <c r="I2986" s="2"/>
      <c r="J2986" s="2"/>
      <c r="K2986" s="72"/>
      <c r="L2986" s="39"/>
      <c r="M2986" s="72"/>
      <c r="N2986" s="72"/>
    </row>
    <row r="2987" spans="1:14" x14ac:dyDescent="0.2">
      <c r="A2987" s="73"/>
      <c r="B2987" s="3"/>
      <c r="C2987" s="3"/>
      <c r="D2987" s="73"/>
      <c r="E2987" s="2"/>
      <c r="F2987" s="2"/>
      <c r="G2987" s="2"/>
      <c r="H2987" s="2"/>
      <c r="I2987" s="2"/>
      <c r="J2987" s="2"/>
      <c r="K2987" s="72"/>
      <c r="L2987" s="39"/>
      <c r="M2987" s="72"/>
      <c r="N2987" s="72"/>
    </row>
    <row r="2988" spans="1:14" x14ac:dyDescent="0.2">
      <c r="A2988" s="73"/>
      <c r="B2988" s="3"/>
      <c r="C2988" s="3"/>
      <c r="D2988" s="73"/>
      <c r="E2988" s="2"/>
      <c r="F2988" s="2"/>
      <c r="G2988" s="2"/>
      <c r="H2988" s="2"/>
      <c r="I2988" s="2"/>
      <c r="J2988" s="2"/>
      <c r="K2988" s="72"/>
      <c r="L2988" s="39"/>
      <c r="M2988" s="72"/>
      <c r="N2988" s="72"/>
    </row>
    <row r="2989" spans="1:14" x14ac:dyDescent="0.2">
      <c r="A2989" s="73"/>
      <c r="B2989" s="3"/>
      <c r="C2989" s="3"/>
      <c r="D2989" s="73"/>
      <c r="E2989" s="2"/>
      <c r="F2989" s="2"/>
      <c r="G2989" s="2"/>
      <c r="H2989" s="2"/>
      <c r="I2989" s="2"/>
      <c r="J2989" s="2"/>
      <c r="K2989" s="72"/>
      <c r="L2989" s="39"/>
      <c r="M2989" s="72"/>
      <c r="N2989" s="72"/>
    </row>
    <row r="2990" spans="1:14" x14ac:dyDescent="0.2">
      <c r="A2990" s="73"/>
      <c r="B2990" s="3"/>
      <c r="C2990" s="3"/>
      <c r="D2990" s="73"/>
      <c r="E2990" s="2"/>
      <c r="F2990" s="2"/>
      <c r="G2990" s="2"/>
      <c r="H2990" s="2"/>
      <c r="I2990" s="2"/>
      <c r="J2990" s="2"/>
      <c r="K2990" s="72"/>
      <c r="L2990" s="39"/>
      <c r="M2990" s="72"/>
      <c r="N2990" s="72"/>
    </row>
    <row r="2991" spans="1:14" x14ac:dyDescent="0.2">
      <c r="A2991" s="73"/>
      <c r="B2991" s="3"/>
      <c r="C2991" s="3"/>
      <c r="D2991" s="73"/>
      <c r="E2991" s="2"/>
      <c r="F2991" s="2"/>
      <c r="G2991" s="2"/>
      <c r="H2991" s="2"/>
      <c r="I2991" s="2"/>
      <c r="J2991" s="2"/>
      <c r="K2991" s="72"/>
      <c r="L2991" s="39"/>
      <c r="M2991" s="72"/>
      <c r="N2991" s="72"/>
    </row>
    <row r="2992" spans="1:14" x14ac:dyDescent="0.2">
      <c r="A2992" s="73"/>
      <c r="B2992" s="3"/>
      <c r="C2992" s="3"/>
      <c r="D2992" s="73"/>
      <c r="E2992" s="2"/>
      <c r="F2992" s="2"/>
      <c r="G2992" s="2"/>
      <c r="H2992" s="2"/>
      <c r="I2992" s="2"/>
      <c r="J2992" s="2"/>
      <c r="K2992" s="72"/>
      <c r="L2992" s="39"/>
      <c r="M2992" s="72"/>
      <c r="N2992" s="72"/>
    </row>
    <row r="2993" spans="1:14" x14ac:dyDescent="0.2">
      <c r="A2993" s="73"/>
      <c r="B2993" s="3"/>
      <c r="C2993" s="3"/>
      <c r="D2993" s="73"/>
      <c r="E2993" s="2"/>
      <c r="F2993" s="2"/>
      <c r="G2993" s="2"/>
      <c r="H2993" s="2"/>
      <c r="I2993" s="2"/>
      <c r="J2993" s="2"/>
      <c r="K2993" s="72"/>
      <c r="L2993" s="39"/>
      <c r="M2993" s="72"/>
      <c r="N2993" s="72"/>
    </row>
    <row r="2994" spans="1:14" x14ac:dyDescent="0.2">
      <c r="A2994" s="73"/>
      <c r="B2994" s="3"/>
      <c r="C2994" s="3"/>
      <c r="D2994" s="73"/>
      <c r="E2994" s="2"/>
      <c r="F2994" s="2"/>
      <c r="G2994" s="2"/>
      <c r="H2994" s="2"/>
      <c r="I2994" s="2"/>
      <c r="J2994" s="2"/>
      <c r="K2994" s="72"/>
      <c r="L2994" s="39"/>
      <c r="M2994" s="72"/>
      <c r="N2994" s="72"/>
    </row>
    <row r="2995" spans="1:14" x14ac:dyDescent="0.2">
      <c r="A2995" s="73"/>
      <c r="B2995" s="3"/>
      <c r="C2995" s="3"/>
      <c r="D2995" s="73"/>
      <c r="E2995" s="2"/>
      <c r="F2995" s="2"/>
      <c r="G2995" s="2"/>
      <c r="H2995" s="2"/>
      <c r="I2995" s="2"/>
      <c r="J2995" s="2"/>
      <c r="K2995" s="72"/>
      <c r="L2995" s="39"/>
      <c r="M2995" s="72"/>
      <c r="N2995" s="72"/>
    </row>
    <row r="2996" spans="1:14" x14ac:dyDescent="0.2">
      <c r="A2996" s="73"/>
      <c r="B2996" s="3"/>
      <c r="C2996" s="3"/>
      <c r="D2996" s="73"/>
      <c r="E2996" s="2"/>
      <c r="F2996" s="2"/>
      <c r="G2996" s="2"/>
      <c r="H2996" s="2"/>
      <c r="I2996" s="2"/>
      <c r="J2996" s="2"/>
      <c r="K2996" s="72"/>
      <c r="L2996" s="39"/>
      <c r="M2996" s="72"/>
      <c r="N2996" s="72"/>
    </row>
    <row r="2997" spans="1:14" x14ac:dyDescent="0.2">
      <c r="A2997" s="73"/>
      <c r="B2997" s="3"/>
      <c r="C2997" s="3"/>
      <c r="D2997" s="73"/>
      <c r="E2997" s="2"/>
      <c r="F2997" s="2"/>
      <c r="G2997" s="2"/>
      <c r="H2997" s="2"/>
      <c r="I2997" s="2"/>
      <c r="J2997" s="2"/>
      <c r="K2997" s="72"/>
      <c r="L2997" s="39"/>
      <c r="M2997" s="72"/>
      <c r="N2997" s="72"/>
    </row>
    <row r="2998" spans="1:14" x14ac:dyDescent="0.2">
      <c r="A2998" s="73"/>
      <c r="B2998" s="3"/>
      <c r="C2998" s="3"/>
      <c r="D2998" s="73"/>
      <c r="E2998" s="2"/>
      <c r="F2998" s="2"/>
      <c r="G2998" s="2"/>
      <c r="H2998" s="2"/>
      <c r="I2998" s="2"/>
      <c r="J2998" s="2"/>
      <c r="K2998" s="72"/>
      <c r="L2998" s="39"/>
      <c r="M2998" s="72"/>
      <c r="N2998" s="72"/>
    </row>
    <row r="2999" spans="1:14" x14ac:dyDescent="0.2">
      <c r="A2999" s="73"/>
      <c r="B2999" s="3"/>
      <c r="C2999" s="3"/>
      <c r="D2999" s="73"/>
      <c r="E2999" s="2"/>
      <c r="F2999" s="2"/>
      <c r="G2999" s="2"/>
      <c r="H2999" s="2"/>
      <c r="I2999" s="2"/>
      <c r="J2999" s="2"/>
      <c r="K2999" s="72"/>
      <c r="L2999" s="39"/>
      <c r="M2999" s="72"/>
      <c r="N2999" s="72"/>
    </row>
    <row r="3000" spans="1:14" x14ac:dyDescent="0.2">
      <c r="A3000" s="73"/>
      <c r="B3000" s="3"/>
      <c r="C3000" s="3"/>
      <c r="D3000" s="73"/>
      <c r="E3000" s="2"/>
      <c r="F3000" s="2"/>
      <c r="G3000" s="2"/>
      <c r="H3000" s="2"/>
      <c r="I3000" s="2"/>
      <c r="J3000" s="2"/>
      <c r="K3000" s="72"/>
      <c r="L3000" s="39"/>
      <c r="M3000" s="72"/>
      <c r="N3000" s="72"/>
    </row>
    <row r="3001" spans="1:14" x14ac:dyDescent="0.2">
      <c r="A3001" s="73"/>
      <c r="B3001" s="3"/>
      <c r="C3001" s="3"/>
      <c r="D3001" s="73"/>
      <c r="E3001" s="2"/>
      <c r="F3001" s="2"/>
      <c r="G3001" s="2"/>
      <c r="H3001" s="2"/>
      <c r="I3001" s="2"/>
      <c r="J3001" s="2"/>
      <c r="K3001" s="72"/>
      <c r="L3001" s="39"/>
      <c r="M3001" s="72"/>
      <c r="N3001" s="72"/>
    </row>
    <row r="3002" spans="1:14" x14ac:dyDescent="0.2">
      <c r="A3002" s="73"/>
      <c r="B3002" s="3"/>
      <c r="C3002" s="3"/>
      <c r="D3002" s="73"/>
      <c r="E3002" s="2"/>
      <c r="F3002" s="2"/>
      <c r="G3002" s="2"/>
      <c r="H3002" s="2"/>
      <c r="I3002" s="2"/>
      <c r="J3002" s="2"/>
      <c r="K3002" s="72"/>
      <c r="L3002" s="39"/>
      <c r="M3002" s="72"/>
      <c r="N3002" s="72"/>
    </row>
    <row r="3003" spans="1:14" x14ac:dyDescent="0.2">
      <c r="A3003" s="73"/>
      <c r="B3003" s="3"/>
      <c r="C3003" s="3"/>
      <c r="D3003" s="73"/>
      <c r="E3003" s="2"/>
      <c r="F3003" s="2"/>
      <c r="G3003" s="2"/>
      <c r="H3003" s="2"/>
      <c r="I3003" s="2"/>
      <c r="J3003" s="2"/>
      <c r="K3003" s="72"/>
      <c r="L3003" s="39"/>
      <c r="M3003" s="72"/>
      <c r="N3003" s="72"/>
    </row>
    <row r="3004" spans="1:14" x14ac:dyDescent="0.2">
      <c r="A3004" s="73"/>
      <c r="B3004" s="3"/>
      <c r="C3004" s="3"/>
      <c r="D3004" s="73"/>
      <c r="E3004" s="2"/>
      <c r="F3004" s="2"/>
      <c r="G3004" s="2"/>
      <c r="H3004" s="2"/>
      <c r="I3004" s="2"/>
      <c r="J3004" s="2"/>
      <c r="K3004" s="72"/>
      <c r="L3004" s="39"/>
      <c r="M3004" s="72"/>
      <c r="N3004" s="72"/>
    </row>
    <row r="3005" spans="1:14" x14ac:dyDescent="0.2">
      <c r="A3005" s="73"/>
      <c r="B3005" s="3"/>
      <c r="C3005" s="3"/>
      <c r="D3005" s="73"/>
      <c r="E3005" s="2"/>
      <c r="F3005" s="2"/>
      <c r="G3005" s="2"/>
      <c r="H3005" s="2"/>
      <c r="I3005" s="2"/>
      <c r="J3005" s="2"/>
      <c r="K3005" s="72"/>
      <c r="L3005" s="39"/>
      <c r="M3005" s="72"/>
      <c r="N3005" s="72"/>
    </row>
    <row r="3006" spans="1:14" x14ac:dyDescent="0.2">
      <c r="A3006" s="73"/>
      <c r="B3006" s="3"/>
      <c r="C3006" s="3"/>
      <c r="D3006" s="73"/>
      <c r="E3006" s="2"/>
      <c r="F3006" s="2"/>
      <c r="G3006" s="2"/>
      <c r="H3006" s="2"/>
      <c r="I3006" s="2"/>
      <c r="J3006" s="2"/>
      <c r="K3006" s="72"/>
      <c r="L3006" s="39"/>
      <c r="M3006" s="72"/>
      <c r="N3006" s="72"/>
    </row>
    <row r="3007" spans="1:14" x14ac:dyDescent="0.2">
      <c r="A3007" s="73"/>
      <c r="B3007" s="3"/>
      <c r="C3007" s="3"/>
      <c r="D3007" s="73"/>
      <c r="E3007" s="2"/>
      <c r="F3007" s="2"/>
      <c r="G3007" s="2"/>
      <c r="H3007" s="2"/>
      <c r="I3007" s="2"/>
      <c r="J3007" s="2"/>
      <c r="K3007" s="72"/>
      <c r="L3007" s="39"/>
      <c r="M3007" s="72"/>
      <c r="N3007" s="72"/>
    </row>
    <row r="3008" spans="1:14" x14ac:dyDescent="0.2">
      <c r="A3008" s="73"/>
      <c r="B3008" s="3"/>
      <c r="C3008" s="3"/>
      <c r="D3008" s="73"/>
      <c r="E3008" s="2"/>
      <c r="F3008" s="2"/>
      <c r="G3008" s="2"/>
      <c r="H3008" s="2"/>
      <c r="I3008" s="2"/>
      <c r="J3008" s="2"/>
      <c r="K3008" s="72"/>
      <c r="L3008" s="39"/>
      <c r="M3008" s="72"/>
      <c r="N3008" s="72"/>
    </row>
    <row r="3009" spans="1:14" x14ac:dyDescent="0.2">
      <c r="A3009" s="73"/>
      <c r="B3009" s="3"/>
      <c r="C3009" s="3"/>
      <c r="D3009" s="73"/>
      <c r="E3009" s="2"/>
      <c r="F3009" s="2"/>
      <c r="G3009" s="2"/>
      <c r="H3009" s="2"/>
      <c r="I3009" s="2"/>
      <c r="J3009" s="2"/>
      <c r="K3009" s="72"/>
      <c r="L3009" s="39"/>
      <c r="M3009" s="72"/>
      <c r="N3009" s="72"/>
    </row>
    <row r="3010" spans="1:14" x14ac:dyDescent="0.2">
      <c r="A3010" s="73"/>
      <c r="B3010" s="3"/>
      <c r="C3010" s="3"/>
      <c r="D3010" s="73"/>
      <c r="E3010" s="2"/>
      <c r="F3010" s="2"/>
      <c r="G3010" s="2"/>
      <c r="H3010" s="2"/>
      <c r="I3010" s="2"/>
      <c r="J3010" s="2"/>
      <c r="K3010" s="72"/>
      <c r="L3010" s="39"/>
      <c r="M3010" s="72"/>
      <c r="N3010" s="72"/>
    </row>
    <row r="3011" spans="1:14" x14ac:dyDescent="0.2">
      <c r="A3011" s="73"/>
      <c r="B3011" s="3"/>
      <c r="C3011" s="3"/>
      <c r="D3011" s="73"/>
      <c r="E3011" s="2"/>
      <c r="F3011" s="2"/>
      <c r="G3011" s="2"/>
      <c r="H3011" s="2"/>
      <c r="I3011" s="2"/>
      <c r="J3011" s="2"/>
      <c r="K3011" s="72"/>
      <c r="L3011" s="39"/>
      <c r="M3011" s="72"/>
      <c r="N3011" s="72"/>
    </row>
    <row r="3012" spans="1:14" x14ac:dyDescent="0.2">
      <c r="A3012" s="73"/>
      <c r="B3012" s="3"/>
      <c r="C3012" s="3"/>
      <c r="D3012" s="73"/>
      <c r="E3012" s="2"/>
      <c r="F3012" s="2"/>
      <c r="G3012" s="2"/>
      <c r="H3012" s="2"/>
      <c r="I3012" s="2"/>
      <c r="J3012" s="2"/>
      <c r="K3012" s="72"/>
      <c r="L3012" s="39"/>
      <c r="M3012" s="72"/>
      <c r="N3012" s="72"/>
    </row>
    <row r="3013" spans="1:14" x14ac:dyDescent="0.2">
      <c r="A3013" s="73"/>
      <c r="B3013" s="3"/>
      <c r="C3013" s="3"/>
      <c r="D3013" s="73"/>
      <c r="E3013" s="2"/>
      <c r="F3013" s="2"/>
      <c r="G3013" s="2"/>
      <c r="H3013" s="2"/>
      <c r="I3013" s="2"/>
      <c r="J3013" s="2"/>
      <c r="K3013" s="72"/>
      <c r="L3013" s="39"/>
      <c r="M3013" s="72"/>
      <c r="N3013" s="72"/>
    </row>
    <row r="3014" spans="1:14" x14ac:dyDescent="0.2">
      <c r="A3014" s="73"/>
      <c r="B3014" s="3"/>
      <c r="C3014" s="3"/>
      <c r="D3014" s="73"/>
      <c r="E3014" s="2"/>
      <c r="F3014" s="2"/>
      <c r="G3014" s="2"/>
      <c r="H3014" s="2"/>
      <c r="I3014" s="2"/>
      <c r="J3014" s="2"/>
      <c r="K3014" s="72"/>
      <c r="L3014" s="39"/>
      <c r="M3014" s="72"/>
      <c r="N3014" s="72"/>
    </row>
    <row r="3015" spans="1:14" x14ac:dyDescent="0.2">
      <c r="A3015" s="73"/>
      <c r="B3015" s="3"/>
      <c r="C3015" s="3"/>
      <c r="D3015" s="73"/>
      <c r="E3015" s="2"/>
      <c r="F3015" s="2"/>
      <c r="G3015" s="2"/>
      <c r="H3015" s="2"/>
      <c r="I3015" s="2"/>
      <c r="J3015" s="2"/>
      <c r="K3015" s="72"/>
      <c r="L3015" s="39"/>
      <c r="M3015" s="72"/>
      <c r="N3015" s="72"/>
    </row>
    <row r="3016" spans="1:14" x14ac:dyDescent="0.2">
      <c r="A3016" s="73"/>
      <c r="B3016" s="3"/>
      <c r="C3016" s="3"/>
      <c r="D3016" s="73"/>
      <c r="E3016" s="2"/>
      <c r="F3016" s="2"/>
      <c r="G3016" s="2"/>
      <c r="H3016" s="2"/>
      <c r="I3016" s="2"/>
      <c r="J3016" s="2"/>
      <c r="K3016" s="72"/>
      <c r="L3016" s="39"/>
      <c r="M3016" s="72"/>
      <c r="N3016" s="72"/>
    </row>
    <row r="3017" spans="1:14" x14ac:dyDescent="0.2">
      <c r="A3017" s="73"/>
      <c r="B3017" s="3"/>
      <c r="C3017" s="3"/>
      <c r="D3017" s="73"/>
      <c r="E3017" s="2"/>
      <c r="F3017" s="2"/>
      <c r="G3017" s="2"/>
      <c r="H3017" s="2"/>
      <c r="I3017" s="2"/>
      <c r="J3017" s="2"/>
      <c r="K3017" s="72"/>
      <c r="L3017" s="39"/>
      <c r="M3017" s="72"/>
      <c r="N3017" s="72"/>
    </row>
    <row r="3018" spans="1:14" x14ac:dyDescent="0.2">
      <c r="A3018" s="73"/>
      <c r="B3018" s="3"/>
      <c r="C3018" s="3"/>
      <c r="D3018" s="73"/>
      <c r="E3018" s="2"/>
      <c r="F3018" s="2"/>
      <c r="G3018" s="2"/>
      <c r="H3018" s="2"/>
      <c r="I3018" s="2"/>
      <c r="J3018" s="2"/>
      <c r="K3018" s="72"/>
      <c r="L3018" s="39"/>
      <c r="M3018" s="72"/>
      <c r="N3018" s="72"/>
    </row>
    <row r="3019" spans="1:14" x14ac:dyDescent="0.2">
      <c r="A3019" s="73"/>
      <c r="B3019" s="3"/>
      <c r="C3019" s="3"/>
      <c r="D3019" s="73"/>
      <c r="E3019" s="2"/>
      <c r="F3019" s="2"/>
      <c r="G3019" s="2"/>
      <c r="H3019" s="2"/>
      <c r="I3019" s="2"/>
      <c r="J3019" s="2"/>
      <c r="K3019" s="72"/>
      <c r="L3019" s="39"/>
      <c r="M3019" s="72"/>
      <c r="N3019" s="72"/>
    </row>
    <row r="3020" spans="1:14" x14ac:dyDescent="0.2">
      <c r="A3020" s="73"/>
      <c r="B3020" s="3"/>
      <c r="C3020" s="3"/>
      <c r="D3020" s="73"/>
      <c r="E3020" s="2"/>
      <c r="F3020" s="2"/>
      <c r="G3020" s="2"/>
      <c r="H3020" s="2"/>
      <c r="I3020" s="2"/>
      <c r="J3020" s="2"/>
      <c r="K3020" s="72"/>
      <c r="L3020" s="39"/>
      <c r="M3020" s="72"/>
      <c r="N3020" s="72"/>
    </row>
    <row r="3021" spans="1:14" x14ac:dyDescent="0.2">
      <c r="A3021" s="73"/>
      <c r="B3021" s="3"/>
      <c r="C3021" s="3"/>
      <c r="D3021" s="73"/>
      <c r="E3021" s="2"/>
      <c r="F3021" s="2"/>
      <c r="G3021" s="2"/>
      <c r="H3021" s="2"/>
      <c r="I3021" s="2"/>
      <c r="J3021" s="2"/>
      <c r="K3021" s="72"/>
      <c r="L3021" s="39"/>
      <c r="M3021" s="72"/>
      <c r="N3021" s="72"/>
    </row>
    <row r="3022" spans="1:14" x14ac:dyDescent="0.2">
      <c r="A3022" s="73"/>
      <c r="B3022" s="3"/>
      <c r="C3022" s="3"/>
      <c r="D3022" s="73"/>
      <c r="E3022" s="2"/>
      <c r="F3022" s="2"/>
      <c r="G3022" s="2"/>
      <c r="H3022" s="2"/>
      <c r="I3022" s="2"/>
      <c r="J3022" s="2"/>
      <c r="K3022" s="72"/>
      <c r="L3022" s="39"/>
      <c r="M3022" s="72"/>
      <c r="N3022" s="72"/>
    </row>
    <row r="3023" spans="1:14" x14ac:dyDescent="0.2">
      <c r="A3023" s="73"/>
      <c r="B3023" s="3"/>
      <c r="C3023" s="3"/>
      <c r="D3023" s="73"/>
      <c r="E3023" s="2"/>
      <c r="F3023" s="2"/>
      <c r="G3023" s="2"/>
      <c r="H3023" s="2"/>
      <c r="I3023" s="2"/>
      <c r="J3023" s="2"/>
      <c r="K3023" s="72"/>
      <c r="L3023" s="39"/>
      <c r="M3023" s="72"/>
      <c r="N3023" s="72"/>
    </row>
    <row r="3024" spans="1:14" x14ac:dyDescent="0.2">
      <c r="A3024" s="73"/>
      <c r="B3024" s="3"/>
      <c r="C3024" s="3"/>
      <c r="D3024" s="73"/>
      <c r="E3024" s="2"/>
      <c r="F3024" s="2"/>
      <c r="G3024" s="2"/>
      <c r="H3024" s="2"/>
      <c r="I3024" s="2"/>
      <c r="J3024" s="2"/>
      <c r="K3024" s="72"/>
      <c r="L3024" s="39"/>
      <c r="M3024" s="72"/>
      <c r="N3024" s="72"/>
    </row>
    <row r="3025" spans="1:14" x14ac:dyDescent="0.2">
      <c r="A3025" s="73"/>
      <c r="B3025" s="3"/>
      <c r="C3025" s="3"/>
      <c r="D3025" s="73"/>
      <c r="E3025" s="2"/>
      <c r="F3025" s="2"/>
      <c r="G3025" s="2"/>
      <c r="H3025" s="2"/>
      <c r="I3025" s="2"/>
      <c r="J3025" s="2"/>
      <c r="K3025" s="72"/>
      <c r="L3025" s="39"/>
      <c r="M3025" s="72"/>
      <c r="N3025" s="72"/>
    </row>
    <row r="3026" spans="1:14" x14ac:dyDescent="0.2">
      <c r="A3026" s="73"/>
      <c r="B3026" s="3"/>
      <c r="C3026" s="3"/>
      <c r="D3026" s="73"/>
      <c r="E3026" s="2"/>
      <c r="F3026" s="2"/>
      <c r="G3026" s="2"/>
      <c r="H3026" s="2"/>
      <c r="I3026" s="2"/>
      <c r="J3026" s="2"/>
      <c r="K3026" s="72"/>
      <c r="L3026" s="39"/>
      <c r="M3026" s="72"/>
      <c r="N3026" s="72"/>
    </row>
    <row r="3027" spans="1:14" x14ac:dyDescent="0.2">
      <c r="A3027" s="73"/>
      <c r="B3027" s="3"/>
      <c r="C3027" s="3"/>
      <c r="D3027" s="73"/>
      <c r="E3027" s="2"/>
      <c r="F3027" s="2"/>
      <c r="G3027" s="2"/>
      <c r="H3027" s="2"/>
      <c r="I3027" s="2"/>
      <c r="J3027" s="2"/>
      <c r="K3027" s="72"/>
      <c r="L3027" s="39"/>
      <c r="M3027" s="72"/>
      <c r="N3027" s="72"/>
    </row>
    <row r="3028" spans="1:14" x14ac:dyDescent="0.2">
      <c r="A3028" s="73"/>
      <c r="B3028" s="3"/>
      <c r="C3028" s="3"/>
      <c r="D3028" s="73"/>
      <c r="E3028" s="2"/>
      <c r="F3028" s="2"/>
      <c r="G3028" s="2"/>
      <c r="H3028" s="2"/>
      <c r="I3028" s="2"/>
      <c r="J3028" s="2"/>
      <c r="K3028" s="72"/>
      <c r="L3028" s="39"/>
      <c r="M3028" s="72"/>
      <c r="N3028" s="72"/>
    </row>
    <row r="3029" spans="1:14" x14ac:dyDescent="0.2">
      <c r="A3029" s="73"/>
      <c r="B3029" s="3"/>
      <c r="C3029" s="3"/>
      <c r="D3029" s="73"/>
      <c r="E3029" s="2"/>
      <c r="F3029" s="2"/>
      <c r="G3029" s="2"/>
      <c r="H3029" s="2"/>
      <c r="I3029" s="2"/>
      <c r="J3029" s="2"/>
      <c r="K3029" s="72"/>
      <c r="L3029" s="39"/>
      <c r="M3029" s="72"/>
      <c r="N3029" s="72"/>
    </row>
    <row r="3030" spans="1:14" x14ac:dyDescent="0.2">
      <c r="A3030" s="73"/>
      <c r="B3030" s="3"/>
      <c r="C3030" s="3"/>
      <c r="D3030" s="73"/>
      <c r="E3030" s="2"/>
      <c r="F3030" s="2"/>
      <c r="G3030" s="2"/>
      <c r="H3030" s="2"/>
      <c r="I3030" s="2"/>
      <c r="J3030" s="2"/>
      <c r="K3030" s="72"/>
      <c r="L3030" s="39"/>
      <c r="M3030" s="72"/>
      <c r="N3030" s="72"/>
    </row>
    <row r="3031" spans="1:14" x14ac:dyDescent="0.2">
      <c r="A3031" s="73"/>
      <c r="B3031" s="3"/>
      <c r="C3031" s="3"/>
      <c r="D3031" s="73"/>
      <c r="E3031" s="2"/>
      <c r="F3031" s="2"/>
      <c r="G3031" s="2"/>
      <c r="H3031" s="2"/>
      <c r="I3031" s="2"/>
      <c r="J3031" s="2"/>
      <c r="K3031" s="72"/>
      <c r="L3031" s="39"/>
      <c r="M3031" s="72"/>
      <c r="N3031" s="72"/>
    </row>
    <row r="3032" spans="1:14" x14ac:dyDescent="0.2">
      <c r="A3032" s="73"/>
      <c r="B3032" s="3"/>
      <c r="C3032" s="3"/>
      <c r="D3032" s="73"/>
      <c r="E3032" s="2"/>
      <c r="F3032" s="2"/>
      <c r="G3032" s="2"/>
      <c r="H3032" s="2"/>
      <c r="I3032" s="2"/>
      <c r="J3032" s="2"/>
      <c r="K3032" s="72"/>
      <c r="L3032" s="39"/>
      <c r="M3032" s="72"/>
      <c r="N3032" s="72"/>
    </row>
    <row r="3033" spans="1:14" x14ac:dyDescent="0.2">
      <c r="A3033" s="73"/>
      <c r="B3033" s="3"/>
      <c r="C3033" s="3"/>
      <c r="D3033" s="73"/>
      <c r="E3033" s="2"/>
      <c r="F3033" s="2"/>
      <c r="G3033" s="2"/>
      <c r="H3033" s="2"/>
      <c r="I3033" s="2"/>
      <c r="J3033" s="2"/>
      <c r="K3033" s="72"/>
      <c r="L3033" s="39"/>
      <c r="M3033" s="72"/>
      <c r="N3033" s="72"/>
    </row>
    <row r="3034" spans="1:14" x14ac:dyDescent="0.2">
      <c r="A3034" s="73"/>
      <c r="B3034" s="3"/>
      <c r="C3034" s="3"/>
      <c r="D3034" s="73"/>
      <c r="E3034" s="2"/>
      <c r="F3034" s="2"/>
      <c r="G3034" s="2"/>
      <c r="H3034" s="2"/>
      <c r="I3034" s="2"/>
      <c r="J3034" s="2"/>
      <c r="K3034" s="72"/>
      <c r="L3034" s="39"/>
      <c r="M3034" s="72"/>
      <c r="N3034" s="72"/>
    </row>
    <row r="3035" spans="1:14" x14ac:dyDescent="0.2">
      <c r="A3035" s="73"/>
      <c r="B3035" s="3"/>
      <c r="C3035" s="3"/>
      <c r="D3035" s="73"/>
      <c r="E3035" s="2"/>
      <c r="F3035" s="2"/>
      <c r="G3035" s="2"/>
      <c r="H3035" s="2"/>
      <c r="I3035" s="2"/>
      <c r="J3035" s="2"/>
      <c r="K3035" s="72"/>
      <c r="L3035" s="39"/>
      <c r="M3035" s="72"/>
      <c r="N3035" s="72"/>
    </row>
    <row r="3036" spans="1:14" x14ac:dyDescent="0.2">
      <c r="A3036" s="73"/>
      <c r="B3036" s="3"/>
      <c r="C3036" s="3"/>
      <c r="D3036" s="73"/>
      <c r="E3036" s="2"/>
      <c r="F3036" s="2"/>
      <c r="G3036" s="2"/>
      <c r="H3036" s="2"/>
      <c r="I3036" s="2"/>
      <c r="J3036" s="2"/>
      <c r="K3036" s="72"/>
      <c r="L3036" s="39"/>
      <c r="M3036" s="72"/>
      <c r="N3036" s="72"/>
    </row>
    <row r="3037" spans="1:14" x14ac:dyDescent="0.2">
      <c r="A3037" s="73"/>
      <c r="B3037" s="3"/>
      <c r="C3037" s="3"/>
      <c r="D3037" s="73"/>
      <c r="E3037" s="2"/>
      <c r="F3037" s="2"/>
      <c r="G3037" s="2"/>
      <c r="H3037" s="2"/>
      <c r="I3037" s="2"/>
      <c r="J3037" s="2"/>
      <c r="K3037" s="72"/>
      <c r="L3037" s="39"/>
      <c r="M3037" s="72"/>
      <c r="N3037" s="72"/>
    </row>
    <row r="3038" spans="1:14" x14ac:dyDescent="0.2">
      <c r="A3038" s="73"/>
      <c r="B3038" s="3"/>
      <c r="C3038" s="3"/>
      <c r="D3038" s="73"/>
      <c r="E3038" s="2"/>
      <c r="F3038" s="2"/>
      <c r="G3038" s="2"/>
      <c r="H3038" s="2"/>
      <c r="I3038" s="2"/>
      <c r="J3038" s="2"/>
      <c r="K3038" s="72"/>
      <c r="L3038" s="39"/>
      <c r="M3038" s="72"/>
      <c r="N3038" s="72"/>
    </row>
    <row r="3039" spans="1:14" x14ac:dyDescent="0.2">
      <c r="A3039" s="73"/>
      <c r="B3039" s="3"/>
      <c r="C3039" s="3"/>
      <c r="D3039" s="73"/>
      <c r="E3039" s="2"/>
      <c r="F3039" s="2"/>
      <c r="G3039" s="2"/>
      <c r="H3039" s="2"/>
      <c r="I3039" s="2"/>
      <c r="J3039" s="2"/>
      <c r="K3039" s="72"/>
      <c r="L3039" s="39"/>
      <c r="M3039" s="72"/>
      <c r="N3039" s="72"/>
    </row>
    <row r="3040" spans="1:14" x14ac:dyDescent="0.2">
      <c r="A3040" s="73"/>
      <c r="B3040" s="3"/>
      <c r="C3040" s="3"/>
      <c r="D3040" s="73"/>
      <c r="E3040" s="2"/>
      <c r="F3040" s="2"/>
      <c r="G3040" s="2"/>
      <c r="H3040" s="2"/>
      <c r="I3040" s="2"/>
      <c r="J3040" s="2"/>
      <c r="K3040" s="72"/>
      <c r="L3040" s="39"/>
      <c r="M3040" s="72"/>
      <c r="N3040" s="72"/>
    </row>
    <row r="3041" spans="1:14" x14ac:dyDescent="0.2">
      <c r="A3041" s="73"/>
      <c r="B3041" s="3"/>
      <c r="C3041" s="3"/>
      <c r="D3041" s="73"/>
      <c r="E3041" s="2"/>
      <c r="F3041" s="2"/>
      <c r="G3041" s="2"/>
      <c r="H3041" s="2"/>
      <c r="I3041" s="2"/>
      <c r="J3041" s="2"/>
      <c r="K3041" s="72"/>
      <c r="L3041" s="39"/>
      <c r="M3041" s="72"/>
      <c r="N3041" s="72"/>
    </row>
    <row r="3042" spans="1:14" x14ac:dyDescent="0.2">
      <c r="A3042" s="73"/>
      <c r="B3042" s="3"/>
      <c r="C3042" s="3"/>
      <c r="D3042" s="73"/>
      <c r="E3042" s="2"/>
      <c r="F3042" s="2"/>
      <c r="G3042" s="2"/>
      <c r="H3042" s="2"/>
      <c r="I3042" s="2"/>
      <c r="J3042" s="2"/>
      <c r="K3042" s="72"/>
      <c r="L3042" s="39"/>
      <c r="M3042" s="72"/>
      <c r="N3042" s="72"/>
    </row>
    <row r="3043" spans="1:14" x14ac:dyDescent="0.2">
      <c r="A3043" s="73"/>
      <c r="B3043" s="3"/>
      <c r="C3043" s="3"/>
      <c r="D3043" s="73"/>
      <c r="E3043" s="2"/>
      <c r="F3043" s="2"/>
      <c r="G3043" s="2"/>
      <c r="H3043" s="2"/>
      <c r="I3043" s="2"/>
      <c r="J3043" s="2"/>
      <c r="K3043" s="72"/>
      <c r="L3043" s="39"/>
      <c r="M3043" s="72"/>
      <c r="N3043" s="72"/>
    </row>
    <row r="3044" spans="1:14" x14ac:dyDescent="0.2">
      <c r="A3044" s="73"/>
      <c r="B3044" s="3"/>
      <c r="C3044" s="3"/>
      <c r="D3044" s="73"/>
      <c r="E3044" s="2"/>
      <c r="F3044" s="2"/>
      <c r="G3044" s="2"/>
      <c r="H3044" s="2"/>
      <c r="I3044" s="2"/>
      <c r="J3044" s="2"/>
      <c r="K3044" s="72"/>
      <c r="L3044" s="39"/>
      <c r="M3044" s="72"/>
      <c r="N3044" s="72"/>
    </row>
    <row r="3045" spans="1:14" x14ac:dyDescent="0.2">
      <c r="A3045" s="73"/>
      <c r="B3045" s="3"/>
      <c r="C3045" s="3"/>
      <c r="D3045" s="73"/>
      <c r="E3045" s="2"/>
      <c r="F3045" s="2"/>
      <c r="G3045" s="2"/>
      <c r="H3045" s="2"/>
      <c r="I3045" s="2"/>
      <c r="J3045" s="2"/>
      <c r="K3045" s="72"/>
      <c r="L3045" s="39"/>
      <c r="M3045" s="72"/>
      <c r="N3045" s="72"/>
    </row>
    <row r="3046" spans="1:14" x14ac:dyDescent="0.2">
      <c r="A3046" s="73"/>
      <c r="B3046" s="3"/>
      <c r="C3046" s="3"/>
      <c r="D3046" s="73"/>
      <c r="E3046" s="2"/>
      <c r="F3046" s="2"/>
      <c r="G3046" s="2"/>
      <c r="H3046" s="2"/>
      <c r="I3046" s="2"/>
      <c r="J3046" s="2"/>
      <c r="K3046" s="72"/>
      <c r="L3046" s="39"/>
      <c r="M3046" s="72"/>
      <c r="N3046" s="72"/>
    </row>
    <row r="3047" spans="1:14" x14ac:dyDescent="0.2">
      <c r="A3047" s="73"/>
      <c r="B3047" s="3"/>
      <c r="C3047" s="3"/>
      <c r="D3047" s="73"/>
      <c r="E3047" s="2"/>
      <c r="F3047" s="2"/>
      <c r="G3047" s="2"/>
      <c r="H3047" s="2"/>
      <c r="I3047" s="2"/>
      <c r="J3047" s="2"/>
      <c r="K3047" s="72"/>
      <c r="L3047" s="39"/>
      <c r="M3047" s="72"/>
      <c r="N3047" s="72"/>
    </row>
    <row r="3048" spans="1:14" x14ac:dyDescent="0.2">
      <c r="A3048" s="73"/>
      <c r="B3048" s="3"/>
      <c r="C3048" s="3"/>
      <c r="D3048" s="73"/>
      <c r="E3048" s="2"/>
      <c r="F3048" s="2"/>
      <c r="G3048" s="2"/>
      <c r="H3048" s="2"/>
      <c r="I3048" s="2"/>
      <c r="J3048" s="2"/>
      <c r="K3048" s="72"/>
      <c r="L3048" s="39"/>
      <c r="M3048" s="72"/>
      <c r="N3048" s="72"/>
    </row>
    <row r="3049" spans="1:14" x14ac:dyDescent="0.2">
      <c r="A3049" s="73"/>
      <c r="B3049" s="3"/>
      <c r="C3049" s="3"/>
      <c r="D3049" s="73"/>
      <c r="E3049" s="2"/>
      <c r="F3049" s="2"/>
      <c r="G3049" s="2"/>
      <c r="H3049" s="2"/>
      <c r="I3049" s="2"/>
      <c r="J3049" s="2"/>
      <c r="K3049" s="72"/>
      <c r="L3049" s="39"/>
      <c r="M3049" s="72"/>
      <c r="N3049" s="72"/>
    </row>
    <row r="3050" spans="1:14" x14ac:dyDescent="0.2">
      <c r="A3050" s="73"/>
      <c r="B3050" s="3"/>
      <c r="C3050" s="3"/>
      <c r="D3050" s="73"/>
      <c r="E3050" s="2"/>
      <c r="F3050" s="2"/>
      <c r="G3050" s="2"/>
      <c r="H3050" s="2"/>
      <c r="I3050" s="2"/>
      <c r="J3050" s="2"/>
      <c r="K3050" s="72"/>
      <c r="L3050" s="39"/>
      <c r="M3050" s="72"/>
      <c r="N3050" s="72"/>
    </row>
    <row r="3051" spans="1:14" x14ac:dyDescent="0.2">
      <c r="A3051" s="73"/>
      <c r="B3051" s="3"/>
      <c r="C3051" s="3"/>
      <c r="D3051" s="73"/>
      <c r="E3051" s="2"/>
      <c r="F3051" s="2"/>
      <c r="G3051" s="2"/>
      <c r="H3051" s="2"/>
      <c r="I3051" s="2"/>
      <c r="J3051" s="2"/>
      <c r="K3051" s="72"/>
      <c r="L3051" s="39"/>
      <c r="M3051" s="72"/>
      <c r="N3051" s="72"/>
    </row>
    <row r="3052" spans="1:14" x14ac:dyDescent="0.2">
      <c r="A3052" s="73"/>
      <c r="B3052" s="3"/>
      <c r="C3052" s="3"/>
      <c r="D3052" s="73"/>
      <c r="E3052" s="2"/>
      <c r="F3052" s="2"/>
      <c r="G3052" s="2"/>
      <c r="H3052" s="2"/>
      <c r="I3052" s="2"/>
      <c r="J3052" s="2"/>
      <c r="K3052" s="72"/>
      <c r="L3052" s="39"/>
      <c r="M3052" s="72"/>
      <c r="N3052" s="72"/>
    </row>
    <row r="3053" spans="1:14" x14ac:dyDescent="0.2">
      <c r="A3053" s="73"/>
      <c r="B3053" s="3"/>
      <c r="C3053" s="3"/>
      <c r="D3053" s="73"/>
      <c r="E3053" s="2"/>
      <c r="F3053" s="2"/>
      <c r="G3053" s="2"/>
      <c r="H3053" s="2"/>
      <c r="I3053" s="2"/>
      <c r="J3053" s="2"/>
      <c r="K3053" s="72"/>
      <c r="L3053" s="39"/>
      <c r="M3053" s="72"/>
      <c r="N3053" s="72"/>
    </row>
    <row r="3054" spans="1:14" x14ac:dyDescent="0.2">
      <c r="A3054" s="73"/>
      <c r="B3054" s="3"/>
      <c r="C3054" s="3"/>
      <c r="D3054" s="73"/>
      <c r="E3054" s="2"/>
      <c r="F3054" s="2"/>
      <c r="G3054" s="2"/>
      <c r="H3054" s="2"/>
      <c r="I3054" s="2"/>
      <c r="J3054" s="2"/>
      <c r="K3054" s="72"/>
      <c r="L3054" s="39"/>
      <c r="M3054" s="72"/>
      <c r="N3054" s="72"/>
    </row>
    <row r="3055" spans="1:14" x14ac:dyDescent="0.2">
      <c r="A3055" s="73"/>
      <c r="B3055" s="3"/>
      <c r="C3055" s="3"/>
      <c r="D3055" s="73"/>
      <c r="E3055" s="2"/>
      <c r="F3055" s="2"/>
      <c r="G3055" s="2"/>
      <c r="H3055" s="2"/>
      <c r="I3055" s="2"/>
      <c r="J3055" s="2"/>
      <c r="K3055" s="72"/>
      <c r="L3055" s="39"/>
      <c r="M3055" s="72"/>
      <c r="N3055" s="72"/>
    </row>
    <row r="3056" spans="1:14" x14ac:dyDescent="0.2">
      <c r="A3056" s="73"/>
      <c r="B3056" s="3"/>
      <c r="C3056" s="3"/>
      <c r="D3056" s="73"/>
      <c r="E3056" s="2"/>
      <c r="F3056" s="2"/>
      <c r="G3056" s="2"/>
      <c r="H3056" s="2"/>
      <c r="I3056" s="2"/>
      <c r="J3056" s="2"/>
      <c r="K3056" s="72"/>
      <c r="L3056" s="39"/>
      <c r="M3056" s="72"/>
      <c r="N3056" s="72"/>
    </row>
    <row r="3057" spans="1:14" x14ac:dyDescent="0.2">
      <c r="A3057" s="73"/>
      <c r="B3057" s="3"/>
      <c r="C3057" s="3"/>
      <c r="D3057" s="73"/>
      <c r="E3057" s="2"/>
      <c r="F3057" s="2"/>
      <c r="G3057" s="2"/>
      <c r="H3057" s="2"/>
      <c r="I3057" s="2"/>
      <c r="J3057" s="2"/>
      <c r="K3057" s="72"/>
      <c r="L3057" s="39"/>
      <c r="M3057" s="72"/>
      <c r="N3057" s="72"/>
    </row>
    <row r="3058" spans="1:14" x14ac:dyDescent="0.2">
      <c r="A3058" s="73"/>
      <c r="B3058" s="3"/>
      <c r="C3058" s="3"/>
      <c r="D3058" s="73"/>
      <c r="E3058" s="2"/>
      <c r="F3058" s="2"/>
      <c r="G3058" s="2"/>
      <c r="H3058" s="2"/>
      <c r="I3058" s="2"/>
      <c r="J3058" s="2"/>
      <c r="K3058" s="72"/>
      <c r="L3058" s="39"/>
      <c r="M3058" s="72"/>
      <c r="N3058" s="72"/>
    </row>
    <row r="3059" spans="1:14" x14ac:dyDescent="0.2">
      <c r="A3059" s="73"/>
      <c r="B3059" s="3"/>
      <c r="C3059" s="3"/>
      <c r="D3059" s="73"/>
      <c r="E3059" s="2"/>
      <c r="F3059" s="2"/>
      <c r="G3059" s="2"/>
      <c r="H3059" s="2"/>
      <c r="I3059" s="2"/>
      <c r="J3059" s="2"/>
      <c r="K3059" s="72"/>
      <c r="L3059" s="39"/>
      <c r="M3059" s="72"/>
      <c r="N3059" s="72"/>
    </row>
    <row r="3060" spans="1:14" x14ac:dyDescent="0.2">
      <c r="A3060" s="73"/>
      <c r="B3060" s="3"/>
      <c r="C3060" s="3"/>
      <c r="D3060" s="73"/>
      <c r="E3060" s="2"/>
      <c r="F3060" s="2"/>
      <c r="G3060" s="2"/>
      <c r="H3060" s="2"/>
      <c r="I3060" s="2"/>
      <c r="J3060" s="2"/>
      <c r="K3060" s="72"/>
      <c r="L3060" s="39"/>
      <c r="M3060" s="72"/>
      <c r="N3060" s="72"/>
    </row>
    <row r="3061" spans="1:14" x14ac:dyDescent="0.2">
      <c r="A3061" s="73"/>
      <c r="B3061" s="3"/>
      <c r="C3061" s="3"/>
      <c r="D3061" s="73"/>
      <c r="E3061" s="2"/>
      <c r="F3061" s="2"/>
      <c r="G3061" s="2"/>
      <c r="H3061" s="2"/>
      <c r="I3061" s="2"/>
      <c r="J3061" s="2"/>
      <c r="K3061" s="72"/>
      <c r="L3061" s="39"/>
      <c r="M3061" s="72"/>
      <c r="N3061" s="72"/>
    </row>
    <row r="3062" spans="1:14" x14ac:dyDescent="0.2">
      <c r="A3062" s="73"/>
      <c r="B3062" s="3"/>
      <c r="C3062" s="3"/>
      <c r="D3062" s="73"/>
      <c r="E3062" s="2"/>
      <c r="F3062" s="2"/>
      <c r="G3062" s="2"/>
      <c r="H3062" s="2"/>
      <c r="I3062" s="2"/>
      <c r="J3062" s="2"/>
      <c r="K3062" s="72"/>
      <c r="L3062" s="39"/>
      <c r="M3062" s="72"/>
      <c r="N3062" s="72"/>
    </row>
    <row r="3063" spans="1:14" x14ac:dyDescent="0.2">
      <c r="A3063" s="73"/>
      <c r="B3063" s="3"/>
      <c r="C3063" s="3"/>
      <c r="D3063" s="73"/>
      <c r="E3063" s="2"/>
      <c r="F3063" s="2"/>
      <c r="G3063" s="2"/>
      <c r="H3063" s="2"/>
      <c r="I3063" s="2"/>
      <c r="J3063" s="2"/>
      <c r="K3063" s="72"/>
      <c r="L3063" s="39"/>
      <c r="M3063" s="72"/>
      <c r="N3063" s="72"/>
    </row>
    <row r="3064" spans="1:14" x14ac:dyDescent="0.2">
      <c r="A3064" s="73"/>
      <c r="B3064" s="3"/>
      <c r="C3064" s="3"/>
      <c r="D3064" s="73"/>
      <c r="E3064" s="2"/>
      <c r="F3064" s="2"/>
      <c r="G3064" s="2"/>
      <c r="H3064" s="2"/>
      <c r="I3064" s="2"/>
      <c r="J3064" s="2"/>
      <c r="K3064" s="72"/>
      <c r="L3064" s="39"/>
      <c r="M3064" s="72"/>
      <c r="N3064" s="72"/>
    </row>
    <row r="3065" spans="1:14" x14ac:dyDescent="0.2">
      <c r="A3065" s="73"/>
      <c r="B3065" s="3"/>
      <c r="C3065" s="3"/>
      <c r="D3065" s="73"/>
      <c r="E3065" s="2"/>
      <c r="F3065" s="2"/>
      <c r="G3065" s="2"/>
      <c r="H3065" s="2"/>
      <c r="I3065" s="2"/>
      <c r="J3065" s="2"/>
      <c r="K3065" s="72"/>
      <c r="L3065" s="39"/>
      <c r="M3065" s="72"/>
      <c r="N3065" s="72"/>
    </row>
    <row r="3066" spans="1:14" x14ac:dyDescent="0.2">
      <c r="A3066" s="73"/>
      <c r="B3066" s="3"/>
      <c r="C3066" s="3"/>
      <c r="D3066" s="73"/>
      <c r="E3066" s="2"/>
      <c r="F3066" s="2"/>
      <c r="G3066" s="2"/>
      <c r="H3066" s="2"/>
      <c r="I3066" s="2"/>
      <c r="J3066" s="2"/>
      <c r="K3066" s="72"/>
      <c r="L3066" s="39"/>
      <c r="M3066" s="72"/>
      <c r="N3066" s="72"/>
    </row>
    <row r="3067" spans="1:14" x14ac:dyDescent="0.2">
      <c r="A3067" s="73"/>
      <c r="B3067" s="3"/>
      <c r="C3067" s="3"/>
      <c r="D3067" s="73"/>
      <c r="E3067" s="2"/>
      <c r="F3067" s="2"/>
      <c r="G3067" s="2"/>
      <c r="H3067" s="2"/>
      <c r="I3067" s="2"/>
      <c r="J3067" s="2"/>
      <c r="K3067" s="72"/>
      <c r="L3067" s="39"/>
      <c r="M3067" s="72"/>
      <c r="N3067" s="72"/>
    </row>
    <row r="3068" spans="1:14" x14ac:dyDescent="0.2">
      <c r="A3068" s="73"/>
      <c r="B3068" s="3"/>
      <c r="C3068" s="3"/>
      <c r="D3068" s="73"/>
      <c r="E3068" s="2"/>
      <c r="F3068" s="2"/>
      <c r="G3068" s="2"/>
      <c r="H3068" s="2"/>
      <c r="I3068" s="2"/>
      <c r="J3068" s="2"/>
      <c r="K3068" s="72"/>
      <c r="L3068" s="39"/>
      <c r="M3068" s="72"/>
      <c r="N3068" s="72"/>
    </row>
    <row r="3069" spans="1:14" x14ac:dyDescent="0.2">
      <c r="A3069" s="73"/>
      <c r="B3069" s="3"/>
      <c r="C3069" s="3"/>
      <c r="D3069" s="73"/>
      <c r="E3069" s="2"/>
      <c r="F3069" s="2"/>
      <c r="G3069" s="2"/>
      <c r="H3069" s="2"/>
      <c r="I3069" s="2"/>
      <c r="J3069" s="2"/>
      <c r="K3069" s="72"/>
      <c r="L3069" s="39"/>
      <c r="M3069" s="72"/>
      <c r="N3069" s="72"/>
    </row>
    <row r="3070" spans="1:14" x14ac:dyDescent="0.2">
      <c r="A3070" s="73"/>
      <c r="B3070" s="3"/>
      <c r="C3070" s="3"/>
      <c r="D3070" s="73"/>
      <c r="E3070" s="2"/>
      <c r="F3070" s="2"/>
      <c r="G3070" s="2"/>
      <c r="H3070" s="2"/>
      <c r="I3070" s="2"/>
      <c r="J3070" s="2"/>
      <c r="K3070" s="72"/>
      <c r="L3070" s="39"/>
      <c r="M3070" s="72"/>
      <c r="N3070" s="72"/>
    </row>
    <row r="3071" spans="1:14" x14ac:dyDescent="0.2">
      <c r="A3071" s="73"/>
      <c r="B3071" s="3"/>
      <c r="C3071" s="3"/>
      <c r="D3071" s="73"/>
      <c r="E3071" s="2"/>
      <c r="F3071" s="2"/>
      <c r="G3071" s="2"/>
      <c r="H3071" s="2"/>
      <c r="I3071" s="2"/>
      <c r="J3071" s="2"/>
      <c r="K3071" s="72"/>
      <c r="L3071" s="39"/>
      <c r="M3071" s="72"/>
      <c r="N3071" s="72"/>
    </row>
    <row r="3072" spans="1:14" x14ac:dyDescent="0.2">
      <c r="A3072" s="73"/>
      <c r="B3072" s="3"/>
      <c r="C3072" s="3"/>
      <c r="D3072" s="73"/>
      <c r="E3072" s="2"/>
      <c r="F3072" s="2"/>
      <c r="G3072" s="2"/>
      <c r="H3072" s="2"/>
      <c r="I3072" s="2"/>
      <c r="J3072" s="2"/>
      <c r="K3072" s="72"/>
      <c r="L3072" s="39"/>
      <c r="M3072" s="72"/>
      <c r="N3072" s="72"/>
    </row>
    <row r="3073" spans="1:14" x14ac:dyDescent="0.2">
      <c r="A3073" s="73"/>
      <c r="B3073" s="3"/>
      <c r="C3073" s="3"/>
      <c r="D3073" s="73"/>
      <c r="E3073" s="2"/>
      <c r="F3073" s="2"/>
      <c r="G3073" s="2"/>
      <c r="H3073" s="2"/>
      <c r="I3073" s="2"/>
      <c r="J3073" s="2"/>
      <c r="K3073" s="72"/>
      <c r="L3073" s="39"/>
      <c r="M3073" s="72"/>
      <c r="N3073" s="72"/>
    </row>
    <row r="3074" spans="1:14" x14ac:dyDescent="0.2">
      <c r="A3074" s="73"/>
      <c r="B3074" s="3"/>
      <c r="C3074" s="3"/>
      <c r="D3074" s="73"/>
      <c r="E3074" s="2"/>
      <c r="F3074" s="2"/>
      <c r="G3074" s="2"/>
      <c r="H3074" s="2"/>
      <c r="I3074" s="2"/>
      <c r="J3074" s="2"/>
      <c r="K3074" s="72"/>
      <c r="L3074" s="39"/>
      <c r="M3074" s="72"/>
      <c r="N3074" s="72"/>
    </row>
    <row r="3075" spans="1:14" x14ac:dyDescent="0.2">
      <c r="A3075" s="73"/>
      <c r="B3075" s="3"/>
      <c r="C3075" s="3"/>
      <c r="D3075" s="73"/>
      <c r="E3075" s="2"/>
      <c r="F3075" s="2"/>
      <c r="G3075" s="2"/>
      <c r="H3075" s="2"/>
      <c r="I3075" s="2"/>
      <c r="J3075" s="2"/>
      <c r="K3075" s="72"/>
      <c r="L3075" s="39"/>
      <c r="M3075" s="72"/>
      <c r="N3075" s="72"/>
    </row>
    <row r="3076" spans="1:14" x14ac:dyDescent="0.2">
      <c r="A3076" s="73"/>
      <c r="B3076" s="3"/>
      <c r="C3076" s="3"/>
      <c r="D3076" s="73"/>
      <c r="E3076" s="2"/>
      <c r="F3076" s="2"/>
      <c r="G3076" s="2"/>
      <c r="H3076" s="2"/>
      <c r="I3076" s="2"/>
      <c r="J3076" s="2"/>
      <c r="K3076" s="72"/>
      <c r="L3076" s="39"/>
      <c r="M3076" s="72"/>
      <c r="N3076" s="72"/>
    </row>
    <row r="3077" spans="1:14" x14ac:dyDescent="0.2">
      <c r="A3077" s="73"/>
      <c r="B3077" s="3"/>
      <c r="C3077" s="3"/>
      <c r="D3077" s="73"/>
      <c r="E3077" s="2"/>
      <c r="F3077" s="2"/>
      <c r="G3077" s="2"/>
      <c r="H3077" s="2"/>
      <c r="I3077" s="2"/>
      <c r="J3077" s="2"/>
      <c r="K3077" s="72"/>
      <c r="L3077" s="39"/>
      <c r="M3077" s="72"/>
      <c r="N3077" s="72"/>
    </row>
    <row r="3078" spans="1:14" x14ac:dyDescent="0.2">
      <c r="A3078" s="73"/>
      <c r="B3078" s="3"/>
      <c r="C3078" s="3"/>
      <c r="D3078" s="73"/>
      <c r="E3078" s="2"/>
      <c r="F3078" s="2"/>
      <c r="G3078" s="2"/>
      <c r="H3078" s="2"/>
      <c r="I3078" s="2"/>
      <c r="J3078" s="2"/>
      <c r="K3078" s="72"/>
      <c r="L3078" s="39"/>
      <c r="M3078" s="72"/>
      <c r="N3078" s="72"/>
    </row>
    <row r="3079" spans="1:14" x14ac:dyDescent="0.2">
      <c r="A3079" s="73"/>
      <c r="B3079" s="3"/>
      <c r="C3079" s="3"/>
      <c r="D3079" s="73"/>
      <c r="E3079" s="2"/>
      <c r="F3079" s="2"/>
      <c r="G3079" s="2"/>
      <c r="H3079" s="2"/>
      <c r="I3079" s="2"/>
      <c r="J3079" s="2"/>
      <c r="K3079" s="72"/>
      <c r="L3079" s="39"/>
      <c r="M3079" s="72"/>
      <c r="N3079" s="72"/>
    </row>
    <row r="3080" spans="1:14" x14ac:dyDescent="0.2">
      <c r="A3080" s="73"/>
      <c r="B3080" s="3"/>
      <c r="C3080" s="3"/>
      <c r="D3080" s="73"/>
      <c r="E3080" s="2"/>
      <c r="F3080" s="2"/>
      <c r="G3080" s="2"/>
      <c r="H3080" s="2"/>
      <c r="I3080" s="2"/>
      <c r="J3080" s="2"/>
      <c r="K3080" s="72"/>
      <c r="L3080" s="39"/>
      <c r="M3080" s="72"/>
      <c r="N3080" s="72"/>
    </row>
    <row r="3081" spans="1:14" x14ac:dyDescent="0.2">
      <c r="A3081" s="73"/>
      <c r="B3081" s="3"/>
      <c r="C3081" s="3"/>
      <c r="D3081" s="73"/>
      <c r="E3081" s="2"/>
      <c r="F3081" s="2"/>
      <c r="G3081" s="2"/>
      <c r="H3081" s="2"/>
      <c r="I3081" s="2"/>
      <c r="J3081" s="2"/>
      <c r="K3081" s="72"/>
      <c r="L3081" s="39"/>
      <c r="M3081" s="72"/>
      <c r="N3081" s="72"/>
    </row>
    <row r="3082" spans="1:14" x14ac:dyDescent="0.2">
      <c r="A3082" s="73"/>
      <c r="B3082" s="3"/>
      <c r="C3082" s="3"/>
      <c r="D3082" s="73"/>
      <c r="E3082" s="2"/>
      <c r="F3082" s="2"/>
      <c r="G3082" s="2"/>
      <c r="H3082" s="2"/>
      <c r="I3082" s="2"/>
      <c r="J3082" s="2"/>
      <c r="K3082" s="72"/>
      <c r="L3082" s="39"/>
      <c r="M3082" s="72"/>
      <c r="N3082" s="72"/>
    </row>
    <row r="3083" spans="1:14" x14ac:dyDescent="0.2">
      <c r="A3083" s="73"/>
      <c r="B3083" s="3"/>
      <c r="C3083" s="3"/>
      <c r="D3083" s="73"/>
      <c r="E3083" s="2"/>
      <c r="F3083" s="2"/>
      <c r="G3083" s="2"/>
      <c r="H3083" s="2"/>
      <c r="I3083" s="2"/>
      <c r="J3083" s="2"/>
      <c r="K3083" s="72"/>
      <c r="L3083" s="39"/>
      <c r="M3083" s="72"/>
      <c r="N3083" s="72"/>
    </row>
    <row r="3084" spans="1:14" x14ac:dyDescent="0.2">
      <c r="A3084" s="73"/>
      <c r="B3084" s="3"/>
      <c r="C3084" s="3"/>
      <c r="D3084" s="73"/>
      <c r="E3084" s="2"/>
      <c r="F3084" s="2"/>
      <c r="G3084" s="2"/>
      <c r="H3084" s="2"/>
      <c r="I3084" s="2"/>
      <c r="J3084" s="2"/>
      <c r="K3084" s="72"/>
      <c r="L3084" s="39"/>
      <c r="M3084" s="72"/>
      <c r="N3084" s="72"/>
    </row>
    <row r="3085" spans="1:14" x14ac:dyDescent="0.2">
      <c r="A3085" s="73"/>
      <c r="B3085" s="3"/>
      <c r="C3085" s="3"/>
      <c r="D3085" s="73"/>
      <c r="E3085" s="2"/>
      <c r="F3085" s="2"/>
      <c r="G3085" s="2"/>
      <c r="H3085" s="2"/>
      <c r="I3085" s="2"/>
      <c r="J3085" s="2"/>
      <c r="K3085" s="72"/>
      <c r="L3085" s="39"/>
      <c r="M3085" s="72"/>
      <c r="N3085" s="72"/>
    </row>
    <row r="3086" spans="1:14" x14ac:dyDescent="0.2">
      <c r="A3086" s="73"/>
      <c r="B3086" s="3"/>
      <c r="C3086" s="3"/>
      <c r="D3086" s="73"/>
      <c r="E3086" s="2"/>
      <c r="F3086" s="2"/>
      <c r="G3086" s="2"/>
      <c r="H3086" s="2"/>
      <c r="I3086" s="2"/>
      <c r="J3086" s="2"/>
      <c r="K3086" s="72"/>
      <c r="L3086" s="39"/>
      <c r="M3086" s="72"/>
      <c r="N3086" s="72"/>
    </row>
    <row r="3087" spans="1:14" x14ac:dyDescent="0.2">
      <c r="A3087" s="73"/>
      <c r="B3087" s="3"/>
      <c r="C3087" s="3"/>
      <c r="D3087" s="73"/>
      <c r="E3087" s="2"/>
      <c r="F3087" s="2"/>
      <c r="G3087" s="2"/>
      <c r="H3087" s="2"/>
      <c r="I3087" s="2"/>
      <c r="J3087" s="2"/>
      <c r="K3087" s="72"/>
      <c r="L3087" s="39"/>
      <c r="M3087" s="72"/>
      <c r="N3087" s="72"/>
    </row>
    <row r="3088" spans="1:14" x14ac:dyDescent="0.2">
      <c r="A3088" s="73"/>
      <c r="B3088" s="3"/>
      <c r="C3088" s="3"/>
      <c r="D3088" s="73"/>
      <c r="E3088" s="2"/>
      <c r="F3088" s="2"/>
      <c r="G3088" s="2"/>
      <c r="H3088" s="2"/>
      <c r="I3088" s="2"/>
      <c r="J3088" s="2"/>
      <c r="K3088" s="72"/>
      <c r="L3088" s="39"/>
      <c r="M3088" s="72"/>
      <c r="N3088" s="72"/>
    </row>
    <row r="3089" spans="1:14" x14ac:dyDescent="0.2">
      <c r="A3089" s="73"/>
      <c r="B3089" s="3"/>
      <c r="C3089" s="3"/>
      <c r="D3089" s="73"/>
      <c r="E3089" s="2"/>
      <c r="F3089" s="2"/>
      <c r="G3089" s="2"/>
      <c r="H3089" s="2"/>
      <c r="I3089" s="2"/>
      <c r="J3089" s="2"/>
      <c r="K3089" s="72"/>
      <c r="L3089" s="39"/>
      <c r="M3089" s="72"/>
      <c r="N3089" s="72"/>
    </row>
    <row r="3090" spans="1:14" x14ac:dyDescent="0.2">
      <c r="A3090" s="73"/>
      <c r="B3090" s="3"/>
      <c r="C3090" s="3"/>
      <c r="D3090" s="73"/>
      <c r="E3090" s="2"/>
      <c r="F3090" s="2"/>
      <c r="G3090" s="2"/>
      <c r="H3090" s="2"/>
      <c r="I3090" s="2"/>
      <c r="J3090" s="2"/>
      <c r="K3090" s="72"/>
      <c r="L3090" s="39"/>
      <c r="M3090" s="72"/>
      <c r="N3090" s="72"/>
    </row>
    <row r="3091" spans="1:14" x14ac:dyDescent="0.2">
      <c r="A3091" s="73"/>
      <c r="B3091" s="3"/>
      <c r="C3091" s="3"/>
      <c r="D3091" s="73"/>
      <c r="E3091" s="2"/>
      <c r="F3091" s="2"/>
      <c r="G3091" s="2"/>
      <c r="H3091" s="2"/>
      <c r="I3091" s="2"/>
      <c r="J3091" s="2"/>
      <c r="K3091" s="72"/>
      <c r="L3091" s="39"/>
      <c r="M3091" s="72"/>
      <c r="N3091" s="72"/>
    </row>
    <row r="3092" spans="1:14" x14ac:dyDescent="0.2">
      <c r="A3092" s="73"/>
      <c r="B3092" s="3"/>
      <c r="C3092" s="3"/>
      <c r="D3092" s="73"/>
      <c r="E3092" s="2"/>
      <c r="F3092" s="2"/>
      <c r="G3092" s="2"/>
      <c r="H3092" s="2"/>
      <c r="I3092" s="2"/>
      <c r="J3092" s="2"/>
      <c r="K3092" s="72"/>
      <c r="L3092" s="39"/>
      <c r="M3092" s="72"/>
      <c r="N3092" s="72"/>
    </row>
    <row r="3093" spans="1:14" x14ac:dyDescent="0.2">
      <c r="A3093" s="73"/>
      <c r="B3093" s="3"/>
      <c r="C3093" s="3"/>
      <c r="D3093" s="73"/>
      <c r="E3093" s="2"/>
      <c r="F3093" s="2"/>
      <c r="G3093" s="2"/>
      <c r="H3093" s="2"/>
      <c r="I3093" s="2"/>
      <c r="J3093" s="2"/>
      <c r="K3093" s="72"/>
      <c r="L3093" s="39"/>
      <c r="M3093" s="72"/>
      <c r="N3093" s="72"/>
    </row>
    <row r="3094" spans="1:14" x14ac:dyDescent="0.2">
      <c r="A3094" s="73"/>
      <c r="B3094" s="3"/>
      <c r="C3094" s="3"/>
      <c r="D3094" s="73"/>
      <c r="E3094" s="2"/>
      <c r="F3094" s="2"/>
      <c r="G3094" s="2"/>
      <c r="H3094" s="2"/>
      <c r="I3094" s="2"/>
      <c r="J3094" s="2"/>
      <c r="K3094" s="72"/>
      <c r="L3094" s="39"/>
      <c r="M3094" s="72"/>
      <c r="N3094" s="72"/>
    </row>
    <row r="3095" spans="1:14" x14ac:dyDescent="0.2">
      <c r="A3095" s="73"/>
      <c r="B3095" s="3"/>
      <c r="C3095" s="3"/>
      <c r="D3095" s="73"/>
      <c r="E3095" s="2"/>
      <c r="F3095" s="2"/>
      <c r="G3095" s="2"/>
      <c r="H3095" s="2"/>
      <c r="I3095" s="2"/>
      <c r="J3095" s="2"/>
      <c r="K3095" s="72"/>
      <c r="L3095" s="39"/>
      <c r="M3095" s="72"/>
      <c r="N3095" s="72"/>
    </row>
    <row r="3096" spans="1:14" x14ac:dyDescent="0.2">
      <c r="A3096" s="73"/>
      <c r="B3096" s="3"/>
      <c r="C3096" s="3"/>
      <c r="D3096" s="73"/>
      <c r="E3096" s="2"/>
      <c r="F3096" s="2"/>
      <c r="G3096" s="2"/>
      <c r="H3096" s="2"/>
      <c r="I3096" s="2"/>
      <c r="J3096" s="2"/>
      <c r="K3096" s="72"/>
      <c r="L3096" s="39"/>
      <c r="M3096" s="72"/>
      <c r="N3096" s="72"/>
    </row>
    <row r="3097" spans="1:14" x14ac:dyDescent="0.2">
      <c r="A3097" s="73"/>
      <c r="B3097" s="3"/>
      <c r="C3097" s="3"/>
      <c r="D3097" s="73"/>
      <c r="E3097" s="2"/>
      <c r="F3097" s="2"/>
      <c r="G3097" s="2"/>
      <c r="H3097" s="2"/>
      <c r="I3097" s="2"/>
      <c r="J3097" s="2"/>
      <c r="K3097" s="72"/>
      <c r="L3097" s="39"/>
      <c r="M3097" s="72"/>
      <c r="N3097" s="72"/>
    </row>
    <row r="3098" spans="1:14" x14ac:dyDescent="0.2">
      <c r="A3098" s="73"/>
      <c r="B3098" s="3"/>
      <c r="C3098" s="3"/>
      <c r="D3098" s="73"/>
      <c r="E3098" s="2"/>
      <c r="F3098" s="2"/>
      <c r="G3098" s="2"/>
      <c r="H3098" s="2"/>
      <c r="I3098" s="2"/>
      <c r="J3098" s="2"/>
      <c r="K3098" s="72"/>
      <c r="L3098" s="39"/>
      <c r="M3098" s="72"/>
      <c r="N3098" s="72"/>
    </row>
    <row r="3099" spans="1:14" x14ac:dyDescent="0.2">
      <c r="A3099" s="73"/>
      <c r="B3099" s="3"/>
      <c r="C3099" s="3"/>
      <c r="D3099" s="73"/>
      <c r="E3099" s="2"/>
      <c r="F3099" s="2"/>
      <c r="G3099" s="2"/>
      <c r="H3099" s="2"/>
      <c r="I3099" s="2"/>
      <c r="J3099" s="2"/>
      <c r="K3099" s="72"/>
      <c r="L3099" s="39"/>
      <c r="M3099" s="72"/>
      <c r="N3099" s="72"/>
    </row>
    <row r="3100" spans="1:14" x14ac:dyDescent="0.2">
      <c r="A3100" s="73"/>
      <c r="B3100" s="3"/>
      <c r="C3100" s="3"/>
      <c r="D3100" s="73"/>
      <c r="E3100" s="2"/>
      <c r="F3100" s="2"/>
      <c r="G3100" s="2"/>
      <c r="H3100" s="2"/>
      <c r="I3100" s="2"/>
      <c r="J3100" s="2"/>
      <c r="K3100" s="72"/>
      <c r="L3100" s="39"/>
      <c r="M3100" s="72"/>
      <c r="N3100" s="72"/>
    </row>
    <row r="3101" spans="1:14" x14ac:dyDescent="0.2">
      <c r="A3101" s="73"/>
      <c r="B3101" s="3"/>
      <c r="C3101" s="3"/>
      <c r="D3101" s="73"/>
      <c r="E3101" s="2"/>
      <c r="F3101" s="2"/>
      <c r="G3101" s="2"/>
      <c r="H3101" s="2"/>
      <c r="I3101" s="2"/>
      <c r="J3101" s="2"/>
      <c r="K3101" s="72"/>
      <c r="L3101" s="39"/>
      <c r="M3101" s="72"/>
      <c r="N3101" s="72"/>
    </row>
    <row r="3102" spans="1:14" x14ac:dyDescent="0.2">
      <c r="A3102" s="73"/>
      <c r="B3102" s="3"/>
      <c r="C3102" s="3"/>
      <c r="D3102" s="73"/>
      <c r="E3102" s="2"/>
      <c r="F3102" s="2"/>
      <c r="G3102" s="2"/>
      <c r="H3102" s="2"/>
      <c r="I3102" s="2"/>
      <c r="J3102" s="2"/>
      <c r="K3102" s="72"/>
      <c r="L3102" s="39"/>
      <c r="M3102" s="72"/>
      <c r="N3102" s="72"/>
    </row>
    <row r="3103" spans="1:14" x14ac:dyDescent="0.2">
      <c r="A3103" s="73"/>
      <c r="B3103" s="3"/>
      <c r="C3103" s="3"/>
      <c r="D3103" s="73"/>
      <c r="E3103" s="2"/>
      <c r="F3103" s="2"/>
      <c r="G3103" s="2"/>
      <c r="H3103" s="2"/>
      <c r="I3103" s="2"/>
      <c r="J3103" s="2"/>
      <c r="K3103" s="72"/>
      <c r="L3103" s="39"/>
      <c r="M3103" s="72"/>
      <c r="N3103" s="72"/>
    </row>
    <row r="3104" spans="1:14" x14ac:dyDescent="0.2">
      <c r="A3104" s="73"/>
      <c r="B3104" s="3"/>
      <c r="C3104" s="3"/>
      <c r="D3104" s="73"/>
      <c r="E3104" s="2"/>
      <c r="F3104" s="2"/>
      <c r="G3104" s="2"/>
      <c r="H3104" s="2"/>
      <c r="I3104" s="2"/>
      <c r="J3104" s="2"/>
      <c r="K3104" s="72"/>
      <c r="L3104" s="39"/>
      <c r="M3104" s="72"/>
      <c r="N3104" s="72"/>
    </row>
    <row r="3105" spans="1:14" x14ac:dyDescent="0.2">
      <c r="A3105" s="73"/>
      <c r="B3105" s="3"/>
      <c r="C3105" s="3"/>
      <c r="D3105" s="73"/>
      <c r="E3105" s="2"/>
      <c r="F3105" s="2"/>
      <c r="G3105" s="2"/>
      <c r="H3105" s="2"/>
      <c r="I3105" s="2"/>
      <c r="J3105" s="2"/>
      <c r="K3105" s="72"/>
      <c r="L3105" s="39"/>
      <c r="M3105" s="72"/>
      <c r="N3105" s="72"/>
    </row>
    <row r="3106" spans="1:14" x14ac:dyDescent="0.2">
      <c r="A3106" s="73"/>
      <c r="B3106" s="3"/>
      <c r="C3106" s="3"/>
      <c r="D3106" s="73"/>
      <c r="E3106" s="2"/>
      <c r="F3106" s="2"/>
      <c r="G3106" s="2"/>
      <c r="H3106" s="2"/>
      <c r="I3106" s="2"/>
      <c r="J3106" s="2"/>
      <c r="K3106" s="72"/>
      <c r="L3106" s="39"/>
      <c r="M3106" s="72"/>
      <c r="N3106" s="72"/>
    </row>
    <row r="3107" spans="1:14" x14ac:dyDescent="0.2">
      <c r="A3107" s="73"/>
      <c r="B3107" s="3"/>
      <c r="C3107" s="3"/>
      <c r="D3107" s="73"/>
      <c r="E3107" s="2"/>
      <c r="F3107" s="2"/>
      <c r="G3107" s="2"/>
      <c r="H3107" s="2"/>
      <c r="I3107" s="2"/>
      <c r="J3107" s="2"/>
      <c r="K3107" s="72"/>
      <c r="L3107" s="39"/>
      <c r="M3107" s="72"/>
      <c r="N3107" s="72"/>
    </row>
    <row r="3108" spans="1:14" x14ac:dyDescent="0.2">
      <c r="A3108" s="73"/>
      <c r="B3108" s="3"/>
      <c r="C3108" s="3"/>
      <c r="D3108" s="73"/>
      <c r="E3108" s="2"/>
      <c r="F3108" s="2"/>
      <c r="G3108" s="2"/>
      <c r="H3108" s="2"/>
      <c r="I3108" s="2"/>
      <c r="J3108" s="2"/>
      <c r="K3108" s="72"/>
      <c r="L3108" s="39"/>
      <c r="M3108" s="72"/>
      <c r="N3108" s="72"/>
    </row>
    <row r="3109" spans="1:14" x14ac:dyDescent="0.2">
      <c r="A3109" s="73"/>
      <c r="B3109" s="3"/>
      <c r="C3109" s="3"/>
      <c r="D3109" s="73"/>
      <c r="E3109" s="2"/>
      <c r="F3109" s="2"/>
      <c r="G3109" s="2"/>
      <c r="H3109" s="2"/>
      <c r="I3109" s="2"/>
      <c r="J3109" s="2"/>
      <c r="K3109" s="72"/>
      <c r="L3109" s="39"/>
      <c r="M3109" s="72"/>
      <c r="N3109" s="72"/>
    </row>
    <row r="3110" spans="1:14" x14ac:dyDescent="0.2">
      <c r="A3110" s="73"/>
      <c r="B3110" s="3"/>
      <c r="C3110" s="3"/>
      <c r="D3110" s="73"/>
      <c r="E3110" s="2"/>
      <c r="F3110" s="2"/>
      <c r="G3110" s="2"/>
      <c r="H3110" s="2"/>
      <c r="I3110" s="2"/>
      <c r="J3110" s="2"/>
      <c r="K3110" s="72"/>
      <c r="L3110" s="39"/>
      <c r="M3110" s="72"/>
      <c r="N3110" s="72"/>
    </row>
    <row r="3111" spans="1:14" x14ac:dyDescent="0.2">
      <c r="A3111" s="73"/>
      <c r="B3111" s="3"/>
      <c r="C3111" s="3"/>
      <c r="D3111" s="73"/>
      <c r="E3111" s="2"/>
      <c r="F3111" s="2"/>
      <c r="G3111" s="2"/>
      <c r="H3111" s="2"/>
      <c r="I3111" s="2"/>
      <c r="J3111" s="2"/>
      <c r="K3111" s="72"/>
      <c r="L3111" s="39"/>
      <c r="M3111" s="72"/>
      <c r="N3111" s="72"/>
    </row>
    <row r="3112" spans="1:14" x14ac:dyDescent="0.2">
      <c r="A3112" s="73"/>
      <c r="B3112" s="3"/>
      <c r="C3112" s="3"/>
      <c r="D3112" s="73"/>
      <c r="E3112" s="2"/>
      <c r="F3112" s="2"/>
      <c r="G3112" s="2"/>
      <c r="H3112" s="2"/>
      <c r="I3112" s="2"/>
      <c r="J3112" s="2"/>
      <c r="K3112" s="72"/>
      <c r="L3112" s="39"/>
      <c r="M3112" s="72"/>
      <c r="N3112" s="72"/>
    </row>
    <row r="3113" spans="1:14" x14ac:dyDescent="0.2">
      <c r="A3113" s="73"/>
      <c r="B3113" s="3"/>
      <c r="C3113" s="3"/>
      <c r="D3113" s="73"/>
      <c r="E3113" s="2"/>
      <c r="F3113" s="2"/>
      <c r="G3113" s="2"/>
      <c r="H3113" s="2"/>
      <c r="I3113" s="2"/>
      <c r="J3113" s="2"/>
      <c r="K3113" s="72"/>
      <c r="L3113" s="39"/>
      <c r="M3113" s="72"/>
      <c r="N3113" s="72"/>
    </row>
    <row r="3114" spans="1:14" x14ac:dyDescent="0.2">
      <c r="A3114" s="73"/>
      <c r="B3114" s="3"/>
      <c r="C3114" s="3"/>
      <c r="D3114" s="73"/>
      <c r="E3114" s="2"/>
      <c r="F3114" s="2"/>
      <c r="G3114" s="2"/>
      <c r="H3114" s="2"/>
      <c r="I3114" s="2"/>
      <c r="J3114" s="2"/>
      <c r="K3114" s="72"/>
      <c r="L3114" s="39"/>
      <c r="M3114" s="72"/>
      <c r="N3114" s="72"/>
    </row>
    <row r="3115" spans="1:14" x14ac:dyDescent="0.2">
      <c r="A3115" s="73"/>
      <c r="B3115" s="3"/>
      <c r="C3115" s="3"/>
      <c r="D3115" s="73"/>
      <c r="E3115" s="2"/>
      <c r="F3115" s="2"/>
      <c r="G3115" s="2"/>
      <c r="H3115" s="2"/>
      <c r="I3115" s="2"/>
      <c r="J3115" s="2"/>
      <c r="K3115" s="72"/>
      <c r="L3115" s="39"/>
      <c r="M3115" s="72"/>
      <c r="N3115" s="72"/>
    </row>
    <row r="3116" spans="1:14" x14ac:dyDescent="0.2">
      <c r="A3116" s="73"/>
      <c r="B3116" s="3"/>
      <c r="C3116" s="3"/>
      <c r="D3116" s="73"/>
      <c r="E3116" s="2"/>
      <c r="F3116" s="2"/>
      <c r="G3116" s="2"/>
      <c r="H3116" s="2"/>
      <c r="I3116" s="2"/>
      <c r="J3116" s="2"/>
      <c r="K3116" s="72"/>
      <c r="L3116" s="39"/>
      <c r="M3116" s="72"/>
      <c r="N3116" s="72"/>
    </row>
    <row r="3117" spans="1:14" x14ac:dyDescent="0.2">
      <c r="A3117" s="73"/>
      <c r="B3117" s="3"/>
      <c r="C3117" s="3"/>
      <c r="D3117" s="73"/>
      <c r="E3117" s="2"/>
      <c r="F3117" s="2"/>
      <c r="G3117" s="2"/>
      <c r="H3117" s="2"/>
      <c r="I3117" s="2"/>
      <c r="J3117" s="2"/>
      <c r="K3117" s="72"/>
      <c r="L3117" s="39"/>
      <c r="M3117" s="72"/>
      <c r="N3117" s="72"/>
    </row>
    <row r="3118" spans="1:14" x14ac:dyDescent="0.2">
      <c r="A3118" s="73"/>
      <c r="B3118" s="3"/>
      <c r="C3118" s="3"/>
      <c r="D3118" s="73"/>
      <c r="E3118" s="2"/>
      <c r="F3118" s="2"/>
      <c r="G3118" s="2"/>
      <c r="H3118" s="2"/>
      <c r="I3118" s="2"/>
      <c r="J3118" s="2"/>
      <c r="K3118" s="72"/>
      <c r="L3118" s="39"/>
      <c r="M3118" s="72"/>
      <c r="N3118" s="72"/>
    </row>
    <row r="3119" spans="1:14" x14ac:dyDescent="0.2">
      <c r="A3119" s="73"/>
      <c r="B3119" s="3"/>
      <c r="C3119" s="3"/>
      <c r="D3119" s="73"/>
      <c r="E3119" s="2"/>
      <c r="F3119" s="2"/>
      <c r="G3119" s="2"/>
      <c r="H3119" s="2"/>
      <c r="I3119" s="2"/>
      <c r="J3119" s="2"/>
      <c r="K3119" s="72"/>
      <c r="L3119" s="39"/>
      <c r="M3119" s="72"/>
      <c r="N3119" s="72"/>
    </row>
    <row r="3120" spans="1:14" x14ac:dyDescent="0.2">
      <c r="A3120" s="73"/>
      <c r="B3120" s="3"/>
      <c r="C3120" s="3"/>
      <c r="D3120" s="73"/>
      <c r="E3120" s="2"/>
      <c r="F3120" s="2"/>
      <c r="G3120" s="2"/>
      <c r="H3120" s="2"/>
      <c r="I3120" s="2"/>
      <c r="J3120" s="2"/>
      <c r="K3120" s="72"/>
      <c r="L3120" s="39"/>
      <c r="M3120" s="72"/>
      <c r="N3120" s="72"/>
    </row>
    <row r="3121" spans="1:14" x14ac:dyDescent="0.2">
      <c r="A3121" s="73"/>
      <c r="B3121" s="3"/>
      <c r="C3121" s="3"/>
      <c r="D3121" s="73"/>
      <c r="E3121" s="2"/>
      <c r="F3121" s="2"/>
      <c r="G3121" s="2"/>
      <c r="H3121" s="2"/>
      <c r="I3121" s="2"/>
      <c r="J3121" s="2"/>
      <c r="K3121" s="72"/>
      <c r="L3121" s="39"/>
      <c r="M3121" s="72"/>
      <c r="N3121" s="72"/>
    </row>
    <row r="3122" spans="1:14" x14ac:dyDescent="0.2">
      <c r="A3122" s="73"/>
      <c r="B3122" s="3"/>
      <c r="C3122" s="3"/>
      <c r="D3122" s="73"/>
      <c r="E3122" s="2"/>
      <c r="F3122" s="2"/>
      <c r="G3122" s="2"/>
      <c r="H3122" s="2"/>
      <c r="I3122" s="2"/>
      <c r="J3122" s="2"/>
      <c r="K3122" s="72"/>
      <c r="L3122" s="39"/>
      <c r="M3122" s="72"/>
      <c r="N3122" s="72"/>
    </row>
    <row r="3123" spans="1:14" x14ac:dyDescent="0.2">
      <c r="A3123" s="73"/>
      <c r="B3123" s="3"/>
      <c r="C3123" s="3"/>
      <c r="D3123" s="73"/>
      <c r="E3123" s="2"/>
      <c r="F3123" s="2"/>
      <c r="G3123" s="2"/>
      <c r="H3123" s="2"/>
      <c r="I3123" s="2"/>
      <c r="J3123" s="2"/>
      <c r="K3123" s="72"/>
      <c r="L3123" s="39"/>
      <c r="M3123" s="72"/>
      <c r="N3123" s="72"/>
    </row>
    <row r="3124" spans="1:14" x14ac:dyDescent="0.2">
      <c r="A3124" s="73"/>
      <c r="B3124" s="3"/>
      <c r="C3124" s="3"/>
      <c r="D3124" s="73"/>
      <c r="E3124" s="2"/>
      <c r="F3124" s="2"/>
      <c r="G3124" s="2"/>
      <c r="H3124" s="2"/>
      <c r="I3124" s="2"/>
      <c r="J3124" s="2"/>
      <c r="K3124" s="72"/>
      <c r="L3124" s="39"/>
      <c r="M3124" s="72"/>
      <c r="N3124" s="72"/>
    </row>
    <row r="3125" spans="1:14" x14ac:dyDescent="0.2">
      <c r="A3125" s="73"/>
      <c r="B3125" s="3"/>
      <c r="C3125" s="3"/>
      <c r="D3125" s="73"/>
      <c r="E3125" s="2"/>
      <c r="F3125" s="2"/>
      <c r="G3125" s="2"/>
      <c r="H3125" s="2"/>
      <c r="I3125" s="2"/>
      <c r="J3125" s="2"/>
      <c r="K3125" s="72"/>
      <c r="L3125" s="39"/>
      <c r="M3125" s="72"/>
      <c r="N3125" s="72"/>
    </row>
    <row r="3126" spans="1:14" x14ac:dyDescent="0.2">
      <c r="A3126" s="73"/>
      <c r="B3126" s="3"/>
      <c r="C3126" s="3"/>
      <c r="D3126" s="73"/>
      <c r="E3126" s="2"/>
      <c r="F3126" s="2"/>
      <c r="G3126" s="2"/>
      <c r="H3126" s="2"/>
      <c r="I3126" s="2"/>
      <c r="J3126" s="2"/>
      <c r="K3126" s="72"/>
      <c r="L3126" s="39"/>
      <c r="M3126" s="72"/>
      <c r="N3126" s="72"/>
    </row>
    <row r="3127" spans="1:14" x14ac:dyDescent="0.2">
      <c r="A3127" s="73"/>
      <c r="B3127" s="3"/>
      <c r="C3127" s="3"/>
      <c r="D3127" s="73"/>
      <c r="E3127" s="2"/>
      <c r="F3127" s="2"/>
      <c r="G3127" s="2"/>
      <c r="H3127" s="2"/>
      <c r="I3127" s="2"/>
      <c r="J3127" s="2"/>
      <c r="K3127" s="72"/>
      <c r="L3127" s="39"/>
      <c r="M3127" s="72"/>
      <c r="N3127" s="72"/>
    </row>
    <row r="3128" spans="1:14" x14ac:dyDescent="0.2">
      <c r="A3128" s="73"/>
      <c r="B3128" s="3"/>
      <c r="C3128" s="3"/>
      <c r="D3128" s="73"/>
      <c r="E3128" s="2"/>
      <c r="F3128" s="2"/>
      <c r="G3128" s="2"/>
      <c r="H3128" s="2"/>
      <c r="I3128" s="2"/>
      <c r="J3128" s="2"/>
      <c r="K3128" s="72"/>
      <c r="L3128" s="39"/>
      <c r="M3128" s="72"/>
      <c r="N3128" s="72"/>
    </row>
    <row r="3129" spans="1:14" x14ac:dyDescent="0.2">
      <c r="A3129" s="73"/>
      <c r="B3129" s="3"/>
      <c r="C3129" s="3"/>
      <c r="D3129" s="73"/>
      <c r="E3129" s="2"/>
      <c r="F3129" s="2"/>
      <c r="G3129" s="2"/>
      <c r="H3129" s="2"/>
      <c r="I3129" s="2"/>
      <c r="J3129" s="2"/>
      <c r="K3129" s="72"/>
      <c r="L3129" s="39"/>
      <c r="M3129" s="72"/>
      <c r="N3129" s="72"/>
    </row>
    <row r="3130" spans="1:14" x14ac:dyDescent="0.2">
      <c r="A3130" s="73"/>
      <c r="B3130" s="3"/>
      <c r="C3130" s="3"/>
      <c r="D3130" s="73"/>
      <c r="E3130" s="2"/>
      <c r="F3130" s="2"/>
      <c r="G3130" s="2"/>
      <c r="H3130" s="2"/>
      <c r="I3130" s="2"/>
      <c r="J3130" s="2"/>
      <c r="K3130" s="72"/>
      <c r="L3130" s="39"/>
      <c r="M3130" s="72"/>
      <c r="N3130" s="72"/>
    </row>
    <row r="3131" spans="1:14" x14ac:dyDescent="0.2">
      <c r="A3131" s="73"/>
      <c r="B3131" s="3"/>
      <c r="C3131" s="3"/>
      <c r="D3131" s="73"/>
      <c r="E3131" s="2"/>
      <c r="F3131" s="2"/>
      <c r="G3131" s="2"/>
      <c r="H3131" s="2"/>
      <c r="I3131" s="2"/>
      <c r="J3131" s="2"/>
      <c r="K3131" s="72"/>
      <c r="L3131" s="39"/>
      <c r="M3131" s="72"/>
      <c r="N3131" s="72"/>
    </row>
    <row r="3132" spans="1:14" x14ac:dyDescent="0.2">
      <c r="A3132" s="73"/>
      <c r="B3132" s="3"/>
      <c r="C3132" s="3"/>
      <c r="D3132" s="73"/>
      <c r="E3132" s="2"/>
      <c r="F3132" s="2"/>
      <c r="G3132" s="2"/>
      <c r="H3132" s="2"/>
      <c r="I3132" s="2"/>
      <c r="J3132" s="2"/>
      <c r="K3132" s="72"/>
      <c r="L3132" s="39"/>
      <c r="M3132" s="72"/>
      <c r="N3132" s="72"/>
    </row>
    <row r="3133" spans="1:14" x14ac:dyDescent="0.2">
      <c r="A3133" s="73"/>
      <c r="B3133" s="3"/>
      <c r="C3133" s="3"/>
      <c r="D3133" s="73"/>
      <c r="E3133" s="2"/>
      <c r="F3133" s="2"/>
      <c r="G3133" s="2"/>
      <c r="H3133" s="2"/>
      <c r="I3133" s="2"/>
      <c r="J3133" s="2"/>
      <c r="K3133" s="72"/>
      <c r="L3133" s="39"/>
      <c r="M3133" s="72"/>
      <c r="N3133" s="72"/>
    </row>
    <row r="3134" spans="1:14" x14ac:dyDescent="0.2">
      <c r="A3134" s="73"/>
      <c r="B3134" s="3"/>
      <c r="C3134" s="3"/>
      <c r="D3134" s="73"/>
      <c r="E3134" s="2"/>
      <c r="F3134" s="2"/>
      <c r="G3134" s="2"/>
      <c r="H3134" s="2"/>
      <c r="I3134" s="2"/>
      <c r="J3134" s="2"/>
      <c r="K3134" s="72"/>
      <c r="L3134" s="39"/>
      <c r="M3134" s="72"/>
      <c r="N3134" s="72"/>
    </row>
    <row r="3135" spans="1:14" x14ac:dyDescent="0.2">
      <c r="A3135" s="73"/>
      <c r="B3135" s="3"/>
      <c r="C3135" s="3"/>
      <c r="D3135" s="73"/>
      <c r="E3135" s="2"/>
      <c r="F3135" s="2"/>
      <c r="G3135" s="2"/>
      <c r="H3135" s="2"/>
      <c r="I3135" s="2"/>
      <c r="J3135" s="2"/>
      <c r="K3135" s="72"/>
      <c r="L3135" s="39"/>
      <c r="M3135" s="72"/>
      <c r="N3135" s="72"/>
    </row>
    <row r="3136" spans="1:14" x14ac:dyDescent="0.2">
      <c r="A3136" s="73"/>
      <c r="B3136" s="3"/>
      <c r="C3136" s="3"/>
      <c r="D3136" s="73"/>
      <c r="E3136" s="2"/>
      <c r="F3136" s="2"/>
      <c r="G3136" s="2"/>
      <c r="H3136" s="2"/>
      <c r="I3136" s="2"/>
      <c r="J3136" s="2"/>
      <c r="K3136" s="72"/>
      <c r="L3136" s="39"/>
      <c r="M3136" s="72"/>
      <c r="N3136" s="72"/>
    </row>
    <row r="3137" spans="1:14" x14ac:dyDescent="0.2">
      <c r="A3137" s="73"/>
      <c r="B3137" s="3"/>
      <c r="C3137" s="3"/>
      <c r="D3137" s="73"/>
      <c r="E3137" s="2"/>
      <c r="F3137" s="2"/>
      <c r="G3137" s="2"/>
      <c r="H3137" s="2"/>
      <c r="I3137" s="2"/>
      <c r="J3137" s="2"/>
      <c r="K3137" s="72"/>
      <c r="L3137" s="39"/>
      <c r="M3137" s="72"/>
      <c r="N3137" s="72"/>
    </row>
    <row r="3138" spans="1:14" x14ac:dyDescent="0.2">
      <c r="A3138" s="73"/>
      <c r="B3138" s="3"/>
      <c r="C3138" s="3"/>
      <c r="D3138" s="73"/>
      <c r="E3138" s="2"/>
      <c r="F3138" s="2"/>
      <c r="G3138" s="2"/>
      <c r="H3138" s="2"/>
      <c r="I3138" s="2"/>
      <c r="J3138" s="2"/>
      <c r="K3138" s="72"/>
      <c r="L3138" s="39"/>
      <c r="M3138" s="72"/>
      <c r="N3138" s="72"/>
    </row>
    <row r="3139" spans="1:14" x14ac:dyDescent="0.2">
      <c r="A3139" s="73"/>
      <c r="B3139" s="3"/>
      <c r="C3139" s="3"/>
      <c r="D3139" s="73"/>
      <c r="E3139" s="2"/>
      <c r="F3139" s="2"/>
      <c r="G3139" s="2"/>
      <c r="H3139" s="2"/>
      <c r="I3139" s="2"/>
      <c r="J3139" s="2"/>
      <c r="K3139" s="72"/>
      <c r="L3139" s="39"/>
      <c r="M3139" s="72"/>
      <c r="N3139" s="72"/>
    </row>
    <row r="3140" spans="1:14" x14ac:dyDescent="0.2">
      <c r="A3140" s="73"/>
      <c r="B3140" s="3"/>
      <c r="C3140" s="3"/>
      <c r="D3140" s="73"/>
      <c r="E3140" s="2"/>
      <c r="F3140" s="2"/>
      <c r="G3140" s="2"/>
      <c r="H3140" s="2"/>
      <c r="I3140" s="2"/>
      <c r="J3140" s="2"/>
      <c r="K3140" s="72"/>
      <c r="L3140" s="39"/>
      <c r="M3140" s="72"/>
      <c r="N3140" s="72"/>
    </row>
    <row r="3141" spans="1:14" x14ac:dyDescent="0.2">
      <c r="A3141" s="73"/>
      <c r="B3141" s="3"/>
      <c r="C3141" s="3"/>
      <c r="D3141" s="73"/>
      <c r="E3141" s="2"/>
      <c r="F3141" s="2"/>
      <c r="G3141" s="2"/>
      <c r="H3141" s="2"/>
      <c r="I3141" s="2"/>
      <c r="J3141" s="2"/>
      <c r="K3141" s="72"/>
      <c r="L3141" s="39"/>
      <c r="M3141" s="72"/>
      <c r="N3141" s="72"/>
    </row>
    <row r="3142" spans="1:14" x14ac:dyDescent="0.2">
      <c r="A3142" s="73"/>
      <c r="B3142" s="3"/>
      <c r="C3142" s="3"/>
      <c r="D3142" s="73"/>
      <c r="E3142" s="2"/>
      <c r="F3142" s="2"/>
      <c r="G3142" s="2"/>
      <c r="H3142" s="2"/>
      <c r="I3142" s="2"/>
      <c r="J3142" s="2"/>
      <c r="K3142" s="72"/>
      <c r="L3142" s="39"/>
      <c r="M3142" s="72"/>
      <c r="N3142" s="72"/>
    </row>
    <row r="3143" spans="1:14" x14ac:dyDescent="0.2">
      <c r="A3143" s="73"/>
      <c r="B3143" s="3"/>
      <c r="C3143" s="3"/>
      <c r="D3143" s="73"/>
      <c r="E3143" s="2"/>
      <c r="F3143" s="2"/>
      <c r="G3143" s="2"/>
      <c r="H3143" s="2"/>
      <c r="I3143" s="2"/>
      <c r="J3143" s="2"/>
      <c r="K3143" s="72"/>
      <c r="L3143" s="39"/>
      <c r="M3143" s="72"/>
      <c r="N3143" s="72"/>
    </row>
    <row r="3144" spans="1:14" x14ac:dyDescent="0.2">
      <c r="A3144" s="73"/>
      <c r="B3144" s="3"/>
      <c r="C3144" s="3"/>
      <c r="D3144" s="73"/>
      <c r="E3144" s="2"/>
      <c r="F3144" s="2"/>
      <c r="G3144" s="2"/>
      <c r="H3144" s="2"/>
      <c r="I3144" s="2"/>
      <c r="J3144" s="2"/>
      <c r="K3144" s="72"/>
      <c r="L3144" s="39"/>
      <c r="M3144" s="72"/>
      <c r="N3144" s="72"/>
    </row>
    <row r="3145" spans="1:14" x14ac:dyDescent="0.2">
      <c r="A3145" s="73"/>
      <c r="B3145" s="3"/>
      <c r="C3145" s="3"/>
      <c r="D3145" s="73"/>
      <c r="E3145" s="2"/>
      <c r="F3145" s="2"/>
      <c r="G3145" s="2"/>
      <c r="H3145" s="2"/>
      <c r="I3145" s="2"/>
      <c r="J3145" s="2"/>
      <c r="K3145" s="72"/>
      <c r="L3145" s="39"/>
      <c r="M3145" s="72"/>
      <c r="N3145" s="72"/>
    </row>
    <row r="3146" spans="1:14" x14ac:dyDescent="0.2">
      <c r="A3146" s="73"/>
      <c r="B3146" s="3"/>
      <c r="C3146" s="3"/>
      <c r="D3146" s="73"/>
      <c r="E3146" s="2"/>
      <c r="F3146" s="2"/>
      <c r="G3146" s="2"/>
      <c r="H3146" s="2"/>
      <c r="I3146" s="2"/>
      <c r="J3146" s="2"/>
      <c r="K3146" s="72"/>
      <c r="L3146" s="39"/>
      <c r="M3146" s="72"/>
      <c r="N3146" s="72"/>
    </row>
    <row r="3147" spans="1:14" x14ac:dyDescent="0.2">
      <c r="A3147" s="73"/>
      <c r="B3147" s="3"/>
      <c r="C3147" s="3"/>
      <c r="D3147" s="73"/>
      <c r="E3147" s="2"/>
      <c r="F3147" s="2"/>
      <c r="G3147" s="2"/>
      <c r="H3147" s="2"/>
      <c r="I3147" s="2"/>
      <c r="J3147" s="2"/>
      <c r="K3147" s="72"/>
      <c r="L3147" s="39"/>
      <c r="M3147" s="72"/>
      <c r="N3147" s="72"/>
    </row>
    <row r="3148" spans="1:14" x14ac:dyDescent="0.2">
      <c r="A3148" s="73"/>
      <c r="B3148" s="3"/>
      <c r="C3148" s="3"/>
      <c r="D3148" s="73"/>
      <c r="E3148" s="2"/>
      <c r="F3148" s="2"/>
      <c r="G3148" s="2"/>
      <c r="H3148" s="2"/>
      <c r="I3148" s="2"/>
      <c r="J3148" s="2"/>
      <c r="K3148" s="72"/>
      <c r="L3148" s="39"/>
      <c r="M3148" s="72"/>
      <c r="N3148" s="72"/>
    </row>
    <row r="3149" spans="1:14" x14ac:dyDescent="0.2">
      <c r="A3149" s="73"/>
      <c r="B3149" s="3"/>
      <c r="C3149" s="3"/>
      <c r="D3149" s="73"/>
      <c r="E3149" s="2"/>
      <c r="F3149" s="2"/>
      <c r="G3149" s="2"/>
      <c r="H3149" s="2"/>
      <c r="I3149" s="2"/>
      <c r="J3149" s="2"/>
      <c r="K3149" s="72"/>
      <c r="L3149" s="39"/>
      <c r="M3149" s="72"/>
      <c r="N3149" s="72"/>
    </row>
    <row r="3150" spans="1:14" x14ac:dyDescent="0.2">
      <c r="A3150" s="73"/>
      <c r="B3150" s="3"/>
      <c r="C3150" s="3"/>
      <c r="D3150" s="73"/>
      <c r="E3150" s="2"/>
      <c r="F3150" s="2"/>
      <c r="G3150" s="2"/>
      <c r="H3150" s="2"/>
      <c r="I3150" s="2"/>
      <c r="J3150" s="2"/>
      <c r="K3150" s="72"/>
      <c r="L3150" s="39"/>
      <c r="M3150" s="72"/>
      <c r="N3150" s="72"/>
    </row>
    <row r="3151" spans="1:14" x14ac:dyDescent="0.2">
      <c r="A3151" s="73"/>
      <c r="B3151" s="3"/>
      <c r="C3151" s="3"/>
      <c r="D3151" s="73"/>
      <c r="E3151" s="2"/>
      <c r="F3151" s="2"/>
      <c r="G3151" s="2"/>
      <c r="H3151" s="2"/>
      <c r="I3151" s="2"/>
      <c r="J3151" s="2"/>
      <c r="K3151" s="72"/>
      <c r="L3151" s="39"/>
      <c r="M3151" s="72"/>
      <c r="N3151" s="72"/>
    </row>
    <row r="3152" spans="1:14" x14ac:dyDescent="0.2">
      <c r="A3152" s="73"/>
      <c r="B3152" s="3"/>
      <c r="C3152" s="3"/>
      <c r="D3152" s="73"/>
      <c r="E3152" s="2"/>
      <c r="F3152" s="2"/>
      <c r="G3152" s="2"/>
      <c r="H3152" s="2"/>
      <c r="I3152" s="2"/>
      <c r="J3152" s="2"/>
      <c r="K3152" s="72"/>
      <c r="L3152" s="39"/>
      <c r="M3152" s="72"/>
      <c r="N3152" s="72"/>
    </row>
    <row r="3153" spans="1:14" x14ac:dyDescent="0.2">
      <c r="A3153" s="73"/>
      <c r="B3153" s="3"/>
      <c r="C3153" s="3"/>
      <c r="D3153" s="73"/>
      <c r="E3153" s="2"/>
      <c r="F3153" s="2"/>
      <c r="G3153" s="2"/>
      <c r="H3153" s="2"/>
      <c r="I3153" s="2"/>
      <c r="J3153" s="2"/>
      <c r="K3153" s="72"/>
      <c r="L3153" s="39"/>
      <c r="M3153" s="72"/>
      <c r="N3153" s="72"/>
    </row>
    <row r="3154" spans="1:14" x14ac:dyDescent="0.2">
      <c r="A3154" s="73"/>
      <c r="B3154" s="3"/>
      <c r="C3154" s="3"/>
      <c r="D3154" s="73"/>
      <c r="E3154" s="2"/>
      <c r="F3154" s="2"/>
      <c r="G3154" s="2"/>
      <c r="H3154" s="2"/>
      <c r="I3154" s="2"/>
      <c r="J3154" s="2"/>
      <c r="K3154" s="72"/>
      <c r="L3154" s="39"/>
      <c r="M3154" s="72"/>
      <c r="N3154" s="72"/>
    </row>
    <row r="3155" spans="1:14" x14ac:dyDescent="0.2">
      <c r="A3155" s="73"/>
      <c r="B3155" s="3"/>
      <c r="C3155" s="3"/>
      <c r="D3155" s="73"/>
      <c r="E3155" s="2"/>
      <c r="F3155" s="2"/>
      <c r="G3155" s="2"/>
      <c r="H3155" s="2"/>
      <c r="I3155" s="2"/>
      <c r="J3155" s="2"/>
      <c r="K3155" s="72"/>
      <c r="L3155" s="39"/>
      <c r="M3155" s="72"/>
      <c r="N3155" s="72"/>
    </row>
    <row r="3156" spans="1:14" x14ac:dyDescent="0.2">
      <c r="A3156" s="73"/>
      <c r="B3156" s="3"/>
      <c r="C3156" s="3"/>
      <c r="D3156" s="73"/>
      <c r="E3156" s="2"/>
      <c r="F3156" s="2"/>
      <c r="G3156" s="2"/>
      <c r="H3156" s="2"/>
      <c r="I3156" s="2"/>
      <c r="J3156" s="2"/>
      <c r="K3156" s="72"/>
      <c r="L3156" s="39"/>
      <c r="M3156" s="72"/>
      <c r="N3156" s="72"/>
    </row>
    <row r="3157" spans="1:14" x14ac:dyDescent="0.2">
      <c r="A3157" s="73"/>
      <c r="B3157" s="3"/>
      <c r="C3157" s="3"/>
      <c r="D3157" s="73"/>
      <c r="E3157" s="2"/>
      <c r="F3157" s="2"/>
      <c r="G3157" s="2"/>
      <c r="H3157" s="2"/>
      <c r="I3157" s="2"/>
      <c r="J3157" s="2"/>
      <c r="K3157" s="72"/>
      <c r="L3157" s="39"/>
      <c r="M3157" s="72"/>
      <c r="N3157" s="72"/>
    </row>
    <row r="3158" spans="1:14" x14ac:dyDescent="0.2">
      <c r="A3158" s="73"/>
      <c r="B3158" s="3"/>
      <c r="C3158" s="3"/>
      <c r="D3158" s="73"/>
      <c r="E3158" s="2"/>
      <c r="F3158" s="2"/>
      <c r="G3158" s="2"/>
      <c r="H3158" s="2"/>
      <c r="I3158" s="2"/>
      <c r="J3158" s="2"/>
      <c r="K3158" s="72"/>
      <c r="L3158" s="39"/>
      <c r="M3158" s="72"/>
      <c r="N3158" s="72"/>
    </row>
    <row r="3159" spans="1:14" x14ac:dyDescent="0.2">
      <c r="A3159" s="73"/>
      <c r="B3159" s="3"/>
      <c r="C3159" s="3"/>
      <c r="D3159" s="73"/>
      <c r="E3159" s="2"/>
      <c r="F3159" s="2"/>
      <c r="G3159" s="2"/>
      <c r="H3159" s="2"/>
      <c r="I3159" s="2"/>
      <c r="J3159" s="2"/>
      <c r="K3159" s="72"/>
      <c r="L3159" s="39"/>
      <c r="M3159" s="72"/>
      <c r="N3159" s="72"/>
    </row>
    <row r="3160" spans="1:14" x14ac:dyDescent="0.2">
      <c r="A3160" s="73"/>
      <c r="B3160" s="3"/>
      <c r="C3160" s="3"/>
      <c r="D3160" s="73"/>
      <c r="E3160" s="2"/>
      <c r="F3160" s="2"/>
      <c r="G3160" s="2"/>
      <c r="H3160" s="2"/>
      <c r="I3160" s="2"/>
      <c r="J3160" s="2"/>
      <c r="K3160" s="72"/>
      <c r="L3160" s="39"/>
      <c r="M3160" s="72"/>
      <c r="N3160" s="72"/>
    </row>
    <row r="3161" spans="1:14" x14ac:dyDescent="0.2">
      <c r="A3161" s="73"/>
      <c r="B3161" s="3"/>
      <c r="C3161" s="3"/>
      <c r="D3161" s="73"/>
      <c r="E3161" s="2"/>
      <c r="F3161" s="2"/>
      <c r="G3161" s="2"/>
      <c r="H3161" s="2"/>
      <c r="I3161" s="2"/>
      <c r="J3161" s="2"/>
      <c r="K3161" s="72"/>
      <c r="L3161" s="39"/>
      <c r="M3161" s="72"/>
      <c r="N3161" s="72"/>
    </row>
    <row r="3162" spans="1:14" x14ac:dyDescent="0.2">
      <c r="A3162" s="73"/>
      <c r="B3162" s="3"/>
      <c r="C3162" s="3"/>
      <c r="D3162" s="73"/>
      <c r="E3162" s="2"/>
      <c r="F3162" s="2"/>
      <c r="G3162" s="2"/>
      <c r="H3162" s="2"/>
      <c r="I3162" s="2"/>
      <c r="J3162" s="2"/>
      <c r="K3162" s="72"/>
      <c r="L3162" s="39"/>
      <c r="M3162" s="72"/>
      <c r="N3162" s="72"/>
    </row>
    <row r="3163" spans="1:14" x14ac:dyDescent="0.2">
      <c r="A3163" s="73"/>
      <c r="B3163" s="3"/>
      <c r="C3163" s="3"/>
      <c r="D3163" s="73"/>
      <c r="E3163" s="2"/>
      <c r="F3163" s="2"/>
      <c r="G3163" s="2"/>
      <c r="H3163" s="2"/>
      <c r="I3163" s="2"/>
      <c r="J3163" s="2"/>
      <c r="K3163" s="72"/>
      <c r="L3163" s="39"/>
      <c r="M3163" s="72"/>
      <c r="N3163" s="72"/>
    </row>
    <row r="3164" spans="1:14" x14ac:dyDescent="0.2">
      <c r="A3164" s="73"/>
      <c r="B3164" s="3"/>
      <c r="C3164" s="3"/>
      <c r="D3164" s="73"/>
      <c r="E3164" s="2"/>
      <c r="F3164" s="2"/>
      <c r="G3164" s="2"/>
      <c r="H3164" s="2"/>
      <c r="I3164" s="2"/>
      <c r="J3164" s="2"/>
      <c r="K3164" s="72"/>
      <c r="L3164" s="39"/>
      <c r="M3164" s="72"/>
      <c r="N3164" s="72"/>
    </row>
    <row r="3165" spans="1:14" x14ac:dyDescent="0.2">
      <c r="A3165" s="73"/>
      <c r="B3165" s="3"/>
      <c r="C3165" s="3"/>
      <c r="D3165" s="73"/>
      <c r="E3165" s="2"/>
      <c r="F3165" s="2"/>
      <c r="G3165" s="2"/>
      <c r="H3165" s="2"/>
      <c r="I3165" s="2"/>
      <c r="J3165" s="2"/>
      <c r="K3165" s="72"/>
      <c r="L3165" s="39"/>
      <c r="M3165" s="72"/>
      <c r="N3165" s="72"/>
    </row>
    <row r="3166" spans="1:14" x14ac:dyDescent="0.2">
      <c r="A3166" s="73"/>
      <c r="B3166" s="3"/>
      <c r="C3166" s="3"/>
      <c r="D3166" s="73"/>
      <c r="E3166" s="2"/>
      <c r="F3166" s="2"/>
      <c r="G3166" s="2"/>
      <c r="H3166" s="2"/>
      <c r="I3166" s="2"/>
      <c r="J3166" s="2"/>
      <c r="K3166" s="72"/>
      <c r="L3166" s="39"/>
      <c r="M3166" s="72"/>
      <c r="N3166" s="72"/>
    </row>
    <row r="3167" spans="1:14" x14ac:dyDescent="0.2">
      <c r="A3167" s="73"/>
      <c r="B3167" s="3"/>
      <c r="C3167" s="3"/>
      <c r="D3167" s="73"/>
      <c r="E3167" s="2"/>
      <c r="F3167" s="2"/>
      <c r="G3167" s="2"/>
      <c r="H3167" s="2"/>
      <c r="I3167" s="2"/>
      <c r="J3167" s="2"/>
      <c r="K3167" s="72"/>
      <c r="L3167" s="39"/>
      <c r="M3167" s="72"/>
      <c r="N3167" s="72"/>
    </row>
    <row r="3168" spans="1:14" x14ac:dyDescent="0.2">
      <c r="A3168" s="73"/>
      <c r="B3168" s="3"/>
      <c r="C3168" s="3"/>
      <c r="D3168" s="73"/>
      <c r="E3168" s="2"/>
      <c r="F3168" s="2"/>
      <c r="G3168" s="2"/>
      <c r="H3168" s="2"/>
      <c r="I3168" s="2"/>
      <c r="J3168" s="2"/>
      <c r="K3168" s="72"/>
      <c r="L3168" s="39"/>
      <c r="M3168" s="72"/>
      <c r="N3168" s="72"/>
    </row>
    <row r="3169" spans="1:14" x14ac:dyDescent="0.2">
      <c r="A3169" s="73"/>
      <c r="B3169" s="3"/>
      <c r="C3169" s="3"/>
      <c r="D3169" s="73"/>
      <c r="E3169" s="2"/>
      <c r="F3169" s="2"/>
      <c r="G3169" s="2"/>
      <c r="H3169" s="2"/>
      <c r="I3169" s="2"/>
      <c r="J3169" s="2"/>
      <c r="K3169" s="72"/>
      <c r="L3169" s="39"/>
      <c r="M3169" s="72"/>
      <c r="N3169" s="72"/>
    </row>
    <row r="3170" spans="1:14" x14ac:dyDescent="0.2">
      <c r="A3170" s="73"/>
      <c r="B3170" s="3"/>
      <c r="C3170" s="3"/>
      <c r="D3170" s="73"/>
      <c r="E3170" s="2"/>
      <c r="F3170" s="2"/>
      <c r="G3170" s="2"/>
      <c r="H3170" s="2"/>
      <c r="I3170" s="2"/>
      <c r="J3170" s="2"/>
      <c r="K3170" s="72"/>
      <c r="L3170" s="39"/>
      <c r="M3170" s="72"/>
      <c r="N3170" s="72"/>
    </row>
    <row r="3171" spans="1:14" x14ac:dyDescent="0.2">
      <c r="A3171" s="73"/>
      <c r="B3171" s="3"/>
      <c r="C3171" s="3"/>
      <c r="D3171" s="73"/>
      <c r="E3171" s="2"/>
      <c r="F3171" s="2"/>
      <c r="G3171" s="2"/>
      <c r="H3171" s="2"/>
      <c r="I3171" s="2"/>
      <c r="J3171" s="2"/>
      <c r="K3171" s="72"/>
      <c r="L3171" s="39"/>
      <c r="M3171" s="72"/>
      <c r="N3171" s="72"/>
    </row>
    <row r="3172" spans="1:14" x14ac:dyDescent="0.2">
      <c r="A3172" s="73"/>
      <c r="B3172" s="3"/>
      <c r="C3172" s="3"/>
      <c r="D3172" s="73"/>
      <c r="E3172" s="2"/>
      <c r="F3172" s="2"/>
      <c r="G3172" s="2"/>
      <c r="H3172" s="2"/>
      <c r="I3172" s="2"/>
      <c r="J3172" s="2"/>
      <c r="K3172" s="72"/>
      <c r="L3172" s="39"/>
      <c r="M3172" s="72"/>
      <c r="N3172" s="72"/>
    </row>
    <row r="3173" spans="1:14" x14ac:dyDescent="0.2">
      <c r="A3173" s="73"/>
      <c r="B3173" s="3"/>
      <c r="C3173" s="3"/>
      <c r="D3173" s="73"/>
      <c r="E3173" s="2"/>
      <c r="F3173" s="2"/>
      <c r="G3173" s="2"/>
      <c r="H3173" s="2"/>
      <c r="I3173" s="2"/>
      <c r="J3173" s="2"/>
      <c r="K3173" s="72"/>
      <c r="L3173" s="39"/>
      <c r="M3173" s="72"/>
      <c r="N3173" s="72"/>
    </row>
    <row r="3174" spans="1:14" x14ac:dyDescent="0.2">
      <c r="A3174" s="73"/>
      <c r="B3174" s="3"/>
      <c r="C3174" s="3"/>
      <c r="D3174" s="73"/>
      <c r="E3174" s="2"/>
      <c r="F3174" s="2"/>
      <c r="G3174" s="2"/>
      <c r="H3174" s="2"/>
      <c r="I3174" s="2"/>
      <c r="J3174" s="2"/>
      <c r="K3174" s="72"/>
      <c r="L3174" s="39"/>
      <c r="M3174" s="72"/>
      <c r="N3174" s="72"/>
    </row>
    <row r="3175" spans="1:14" x14ac:dyDescent="0.2">
      <c r="A3175" s="73"/>
      <c r="B3175" s="3"/>
      <c r="C3175" s="3"/>
      <c r="D3175" s="73"/>
      <c r="E3175" s="2"/>
      <c r="F3175" s="2"/>
      <c r="G3175" s="2"/>
      <c r="H3175" s="2"/>
      <c r="I3175" s="2"/>
      <c r="J3175" s="2"/>
      <c r="K3175" s="72"/>
      <c r="L3175" s="39"/>
      <c r="M3175" s="72"/>
      <c r="N3175" s="72"/>
    </row>
    <row r="3176" spans="1:14" x14ac:dyDescent="0.2">
      <c r="A3176" s="73"/>
      <c r="B3176" s="3"/>
      <c r="C3176" s="3"/>
      <c r="D3176" s="73"/>
      <c r="E3176" s="2"/>
      <c r="F3176" s="2"/>
      <c r="G3176" s="2"/>
      <c r="H3176" s="2"/>
      <c r="I3176" s="2"/>
      <c r="J3176" s="2"/>
      <c r="K3176" s="72"/>
      <c r="L3176" s="39"/>
      <c r="M3176" s="72"/>
      <c r="N3176" s="72"/>
    </row>
    <row r="3177" spans="1:14" x14ac:dyDescent="0.2">
      <c r="A3177" s="73"/>
      <c r="B3177" s="3"/>
      <c r="C3177" s="3"/>
      <c r="D3177" s="73"/>
      <c r="E3177" s="2"/>
      <c r="F3177" s="2"/>
      <c r="G3177" s="2"/>
      <c r="H3177" s="2"/>
      <c r="I3177" s="2"/>
      <c r="J3177" s="2"/>
      <c r="K3177" s="72"/>
      <c r="L3177" s="39"/>
      <c r="M3177" s="72"/>
      <c r="N3177" s="72"/>
    </row>
    <row r="3178" spans="1:14" x14ac:dyDescent="0.2">
      <c r="A3178" s="73"/>
      <c r="B3178" s="3"/>
      <c r="C3178" s="3"/>
      <c r="D3178" s="73"/>
      <c r="E3178" s="2"/>
      <c r="F3178" s="2"/>
      <c r="G3178" s="2"/>
      <c r="H3178" s="2"/>
      <c r="I3178" s="2"/>
      <c r="J3178" s="2"/>
      <c r="K3178" s="72"/>
      <c r="L3178" s="39"/>
      <c r="M3178" s="72"/>
      <c r="N3178" s="72"/>
    </row>
    <row r="3179" spans="1:14" x14ac:dyDescent="0.2">
      <c r="A3179" s="73"/>
      <c r="B3179" s="3"/>
      <c r="C3179" s="3"/>
      <c r="D3179" s="73"/>
      <c r="E3179" s="2"/>
      <c r="F3179" s="2"/>
      <c r="G3179" s="2"/>
      <c r="H3179" s="2"/>
      <c r="I3179" s="2"/>
      <c r="J3179" s="2"/>
      <c r="K3179" s="72"/>
      <c r="L3179" s="39"/>
      <c r="M3179" s="72"/>
      <c r="N3179" s="72"/>
    </row>
    <row r="3180" spans="1:14" x14ac:dyDescent="0.2">
      <c r="A3180" s="73"/>
      <c r="B3180" s="3"/>
      <c r="C3180" s="3"/>
      <c r="D3180" s="73"/>
      <c r="E3180" s="2"/>
      <c r="F3180" s="2"/>
      <c r="G3180" s="2"/>
      <c r="H3180" s="2"/>
      <c r="I3180" s="2"/>
      <c r="J3180" s="2"/>
      <c r="K3180" s="72"/>
      <c r="L3180" s="39"/>
      <c r="M3180" s="72"/>
      <c r="N3180" s="72"/>
    </row>
    <row r="3181" spans="1:14" x14ac:dyDescent="0.2">
      <c r="A3181" s="73"/>
      <c r="B3181" s="3"/>
      <c r="C3181" s="3"/>
      <c r="D3181" s="73"/>
      <c r="E3181" s="2"/>
      <c r="F3181" s="2"/>
      <c r="G3181" s="2"/>
      <c r="H3181" s="2"/>
      <c r="I3181" s="2"/>
      <c r="J3181" s="2"/>
      <c r="K3181" s="72"/>
      <c r="L3181" s="39"/>
      <c r="M3181" s="72"/>
      <c r="N3181" s="72"/>
    </row>
    <row r="3182" spans="1:14" x14ac:dyDescent="0.2">
      <c r="A3182" s="73"/>
      <c r="B3182" s="3"/>
      <c r="C3182" s="3"/>
      <c r="D3182" s="73"/>
      <c r="E3182" s="2"/>
      <c r="F3182" s="2"/>
      <c r="G3182" s="2"/>
      <c r="H3182" s="2"/>
      <c r="I3182" s="2"/>
      <c r="J3182" s="2"/>
      <c r="K3182" s="72"/>
      <c r="L3182" s="39"/>
      <c r="M3182" s="72"/>
      <c r="N3182" s="72"/>
    </row>
    <row r="3183" spans="1:14" x14ac:dyDescent="0.2">
      <c r="A3183" s="73"/>
      <c r="B3183" s="3"/>
      <c r="C3183" s="3"/>
      <c r="D3183" s="73"/>
      <c r="E3183" s="2"/>
      <c r="F3183" s="2"/>
      <c r="G3183" s="2"/>
      <c r="H3183" s="2"/>
      <c r="I3183" s="2"/>
      <c r="J3183" s="2"/>
      <c r="K3183" s="72"/>
      <c r="L3183" s="39"/>
      <c r="M3183" s="72"/>
      <c r="N3183" s="72"/>
    </row>
    <row r="3184" spans="1:14" x14ac:dyDescent="0.2">
      <c r="A3184" s="73"/>
      <c r="B3184" s="3"/>
      <c r="C3184" s="3"/>
      <c r="D3184" s="73"/>
      <c r="E3184" s="2"/>
      <c r="F3184" s="2"/>
      <c r="G3184" s="2"/>
      <c r="H3184" s="2"/>
      <c r="I3184" s="2"/>
      <c r="J3184" s="2"/>
      <c r="K3184" s="72"/>
      <c r="L3184" s="39"/>
      <c r="M3184" s="72"/>
      <c r="N3184" s="72"/>
    </row>
    <row r="3185" spans="1:14" x14ac:dyDescent="0.2">
      <c r="A3185" s="73"/>
      <c r="B3185" s="3"/>
      <c r="C3185" s="3"/>
      <c r="D3185" s="73"/>
      <c r="E3185" s="2"/>
      <c r="F3185" s="2"/>
      <c r="G3185" s="2"/>
      <c r="H3185" s="2"/>
      <c r="I3185" s="2"/>
      <c r="J3185" s="2"/>
      <c r="K3185" s="72"/>
      <c r="L3185" s="39"/>
      <c r="M3185" s="72"/>
      <c r="N3185" s="72"/>
    </row>
    <row r="3186" spans="1:14" x14ac:dyDescent="0.2">
      <c r="A3186" s="73"/>
      <c r="B3186" s="3"/>
      <c r="C3186" s="3"/>
      <c r="D3186" s="73"/>
      <c r="E3186" s="2"/>
      <c r="F3186" s="2"/>
      <c r="G3186" s="2"/>
      <c r="H3186" s="2"/>
      <c r="I3186" s="2"/>
      <c r="J3186" s="2"/>
      <c r="K3186" s="72"/>
      <c r="L3186" s="39"/>
      <c r="M3186" s="72"/>
      <c r="N3186" s="72"/>
    </row>
    <row r="3187" spans="1:14" x14ac:dyDescent="0.2">
      <c r="A3187" s="73"/>
      <c r="B3187" s="3"/>
      <c r="C3187" s="3"/>
      <c r="D3187" s="73"/>
      <c r="E3187" s="2"/>
      <c r="F3187" s="2"/>
      <c r="G3187" s="2"/>
      <c r="H3187" s="2"/>
      <c r="I3187" s="2"/>
      <c r="J3187" s="2"/>
      <c r="K3187" s="72"/>
      <c r="L3187" s="39"/>
      <c r="M3187" s="72"/>
      <c r="N3187" s="72"/>
    </row>
    <row r="3188" spans="1:14" x14ac:dyDescent="0.2">
      <c r="A3188" s="73"/>
      <c r="B3188" s="3"/>
      <c r="C3188" s="3"/>
      <c r="D3188" s="73"/>
      <c r="E3188" s="2"/>
      <c r="F3188" s="2"/>
      <c r="G3188" s="2"/>
      <c r="H3188" s="2"/>
      <c r="I3188" s="2"/>
      <c r="J3188" s="2"/>
      <c r="K3188" s="72"/>
      <c r="L3188" s="39"/>
      <c r="M3188" s="72"/>
      <c r="N3188" s="72"/>
    </row>
    <row r="3189" spans="1:14" x14ac:dyDescent="0.2">
      <c r="A3189" s="73"/>
      <c r="B3189" s="3"/>
      <c r="C3189" s="3"/>
      <c r="D3189" s="73"/>
      <c r="E3189" s="2"/>
      <c r="F3189" s="2"/>
      <c r="G3189" s="2"/>
      <c r="H3189" s="2"/>
      <c r="I3189" s="2"/>
      <c r="J3189" s="2"/>
      <c r="K3189" s="72"/>
      <c r="L3189" s="39"/>
      <c r="M3189" s="72"/>
      <c r="N3189" s="72"/>
    </row>
    <row r="3190" spans="1:14" x14ac:dyDescent="0.2">
      <c r="A3190" s="73"/>
      <c r="B3190" s="3"/>
      <c r="C3190" s="3"/>
      <c r="D3190" s="73"/>
      <c r="E3190" s="2"/>
      <c r="F3190" s="2"/>
      <c r="G3190" s="2"/>
      <c r="H3190" s="2"/>
      <c r="I3190" s="2"/>
      <c r="J3190" s="2"/>
      <c r="K3190" s="72"/>
      <c r="L3190" s="39"/>
      <c r="M3190" s="72"/>
      <c r="N3190" s="72"/>
    </row>
    <row r="3191" spans="1:14" x14ac:dyDescent="0.2">
      <c r="A3191" s="73"/>
      <c r="B3191" s="3"/>
      <c r="C3191" s="3"/>
      <c r="D3191" s="73"/>
      <c r="E3191" s="2"/>
      <c r="F3191" s="2"/>
      <c r="G3191" s="2"/>
      <c r="H3191" s="2"/>
      <c r="I3191" s="2"/>
      <c r="J3191" s="2"/>
      <c r="K3191" s="72"/>
      <c r="L3191" s="39"/>
      <c r="M3191" s="72"/>
      <c r="N3191" s="72"/>
    </row>
    <row r="3192" spans="1:14" x14ac:dyDescent="0.2">
      <c r="A3192" s="73"/>
      <c r="B3192" s="3"/>
      <c r="C3192" s="3"/>
      <c r="D3192" s="73"/>
      <c r="E3192" s="2"/>
      <c r="F3192" s="2"/>
      <c r="G3192" s="2"/>
      <c r="H3192" s="2"/>
      <c r="I3192" s="2"/>
      <c r="J3192" s="2"/>
      <c r="K3192" s="72"/>
      <c r="L3192" s="39"/>
      <c r="M3192" s="72"/>
      <c r="N3192" s="72"/>
    </row>
    <row r="3193" spans="1:14" x14ac:dyDescent="0.2">
      <c r="A3193" s="73"/>
      <c r="B3193" s="3"/>
      <c r="C3193" s="3"/>
      <c r="D3193" s="73"/>
      <c r="E3193" s="2"/>
      <c r="F3193" s="2"/>
      <c r="G3193" s="2"/>
      <c r="H3193" s="2"/>
      <c r="I3193" s="2"/>
      <c r="J3193" s="2"/>
      <c r="K3193" s="72"/>
      <c r="L3193" s="39"/>
      <c r="M3193" s="72"/>
      <c r="N3193" s="72"/>
    </row>
    <row r="3194" spans="1:14" x14ac:dyDescent="0.2">
      <c r="A3194" s="73"/>
      <c r="B3194" s="3"/>
      <c r="C3194" s="3"/>
      <c r="D3194" s="73"/>
      <c r="E3194" s="2"/>
      <c r="F3194" s="2"/>
      <c r="G3194" s="2"/>
      <c r="H3194" s="2"/>
      <c r="I3194" s="2"/>
      <c r="J3194" s="2"/>
      <c r="K3194" s="72"/>
      <c r="L3194" s="39"/>
      <c r="M3194" s="72"/>
      <c r="N3194" s="72"/>
    </row>
    <row r="3195" spans="1:14" x14ac:dyDescent="0.2">
      <c r="A3195" s="73"/>
      <c r="B3195" s="3"/>
      <c r="C3195" s="3"/>
      <c r="D3195" s="73"/>
      <c r="E3195" s="2"/>
      <c r="F3195" s="2"/>
      <c r="G3195" s="2"/>
      <c r="H3195" s="2"/>
      <c r="I3195" s="2"/>
      <c r="J3195" s="2"/>
      <c r="K3195" s="72"/>
      <c r="L3195" s="39"/>
      <c r="M3195" s="72"/>
      <c r="N3195" s="72"/>
    </row>
    <row r="3196" spans="1:14" x14ac:dyDescent="0.2">
      <c r="A3196" s="73"/>
      <c r="B3196" s="3"/>
      <c r="C3196" s="3"/>
      <c r="D3196" s="73"/>
      <c r="E3196" s="2"/>
      <c r="F3196" s="2"/>
      <c r="G3196" s="2"/>
      <c r="H3196" s="2"/>
      <c r="I3196" s="2"/>
      <c r="J3196" s="2"/>
      <c r="K3196" s="72"/>
      <c r="L3196" s="39"/>
      <c r="M3196" s="72"/>
      <c r="N3196" s="72"/>
    </row>
    <row r="3197" spans="1:14" x14ac:dyDescent="0.2">
      <c r="A3197" s="73"/>
      <c r="B3197" s="3"/>
      <c r="C3197" s="3"/>
      <c r="D3197" s="73"/>
      <c r="E3197" s="2"/>
      <c r="F3197" s="2"/>
      <c r="G3197" s="2"/>
      <c r="H3197" s="2"/>
      <c r="I3197" s="2"/>
      <c r="J3197" s="2"/>
      <c r="K3197" s="72"/>
      <c r="L3197" s="39"/>
      <c r="M3197" s="72"/>
      <c r="N3197" s="72"/>
    </row>
    <row r="3198" spans="1:14" x14ac:dyDescent="0.2">
      <c r="A3198" s="73"/>
      <c r="B3198" s="3"/>
      <c r="C3198" s="3"/>
      <c r="D3198" s="73"/>
      <c r="E3198" s="2"/>
      <c r="F3198" s="2"/>
      <c r="G3198" s="2"/>
      <c r="H3198" s="2"/>
      <c r="I3198" s="2"/>
      <c r="J3198" s="2"/>
      <c r="K3198" s="72"/>
      <c r="L3198" s="39"/>
      <c r="M3198" s="72"/>
      <c r="N3198" s="72"/>
    </row>
    <row r="3199" spans="1:14" x14ac:dyDescent="0.2">
      <c r="A3199" s="73"/>
      <c r="B3199" s="3"/>
      <c r="C3199" s="3"/>
      <c r="D3199" s="73"/>
      <c r="E3199" s="2"/>
      <c r="F3199" s="2"/>
      <c r="G3199" s="2"/>
      <c r="H3199" s="2"/>
      <c r="I3199" s="2"/>
      <c r="J3199" s="2"/>
      <c r="K3199" s="72"/>
      <c r="L3199" s="39"/>
      <c r="M3199" s="72"/>
      <c r="N3199" s="72"/>
    </row>
    <row r="3200" spans="1:14" x14ac:dyDescent="0.2">
      <c r="A3200" s="73"/>
      <c r="B3200" s="3"/>
      <c r="C3200" s="3"/>
      <c r="D3200" s="73"/>
      <c r="E3200" s="2"/>
      <c r="F3200" s="2"/>
      <c r="G3200" s="2"/>
      <c r="H3200" s="2"/>
      <c r="I3200" s="2"/>
      <c r="J3200" s="2"/>
      <c r="K3200" s="72"/>
      <c r="L3200" s="39"/>
      <c r="M3200" s="72"/>
      <c r="N3200" s="72"/>
    </row>
    <row r="3201" spans="1:14" x14ac:dyDescent="0.2">
      <c r="A3201" s="73"/>
      <c r="B3201" s="3"/>
      <c r="C3201" s="3"/>
      <c r="D3201" s="73"/>
      <c r="E3201" s="2"/>
      <c r="F3201" s="2"/>
      <c r="G3201" s="2"/>
      <c r="H3201" s="2"/>
      <c r="I3201" s="2"/>
      <c r="J3201" s="2"/>
      <c r="K3201" s="72"/>
      <c r="L3201" s="39"/>
      <c r="M3201" s="72"/>
      <c r="N3201" s="72"/>
    </row>
    <row r="3202" spans="1:14" x14ac:dyDescent="0.2">
      <c r="A3202" s="73"/>
      <c r="B3202" s="3"/>
      <c r="C3202" s="3"/>
      <c r="D3202" s="73"/>
      <c r="E3202" s="2"/>
      <c r="F3202" s="2"/>
      <c r="G3202" s="2"/>
      <c r="H3202" s="2"/>
      <c r="I3202" s="2"/>
      <c r="J3202" s="2"/>
      <c r="K3202" s="72"/>
      <c r="L3202" s="39"/>
      <c r="M3202" s="72"/>
      <c r="N3202" s="72"/>
    </row>
    <row r="3203" spans="1:14" x14ac:dyDescent="0.2">
      <c r="A3203" s="73"/>
      <c r="B3203" s="3"/>
      <c r="C3203" s="3"/>
      <c r="D3203" s="73"/>
      <c r="E3203" s="2"/>
      <c r="F3203" s="2"/>
      <c r="G3203" s="2"/>
      <c r="H3203" s="2"/>
      <c r="I3203" s="2"/>
      <c r="J3203" s="2"/>
      <c r="K3203" s="72"/>
      <c r="L3203" s="39"/>
      <c r="M3203" s="72"/>
      <c r="N3203" s="72"/>
    </row>
    <row r="3204" spans="1:14" x14ac:dyDescent="0.2">
      <c r="A3204" s="73"/>
      <c r="B3204" s="3"/>
      <c r="C3204" s="3"/>
      <c r="D3204" s="73"/>
      <c r="E3204" s="2"/>
      <c r="F3204" s="2"/>
      <c r="G3204" s="2"/>
      <c r="H3204" s="2"/>
      <c r="I3204" s="2"/>
      <c r="J3204" s="2"/>
      <c r="K3204" s="72"/>
      <c r="L3204" s="39"/>
      <c r="M3204" s="72"/>
      <c r="N3204" s="72"/>
    </row>
    <row r="3205" spans="1:14" x14ac:dyDescent="0.2">
      <c r="A3205" s="73"/>
      <c r="B3205" s="3"/>
      <c r="C3205" s="3"/>
      <c r="D3205" s="73"/>
      <c r="E3205" s="2"/>
      <c r="F3205" s="2"/>
      <c r="G3205" s="2"/>
      <c r="H3205" s="2"/>
      <c r="I3205" s="2"/>
      <c r="J3205" s="2"/>
      <c r="K3205" s="72"/>
      <c r="L3205" s="39"/>
      <c r="M3205" s="72"/>
      <c r="N3205" s="72"/>
    </row>
    <row r="3206" spans="1:14" x14ac:dyDescent="0.2">
      <c r="A3206" s="73"/>
      <c r="B3206" s="3"/>
      <c r="C3206" s="3"/>
      <c r="D3206" s="73"/>
      <c r="E3206" s="2"/>
      <c r="F3206" s="2"/>
      <c r="G3206" s="2"/>
      <c r="H3206" s="2"/>
      <c r="I3206" s="2"/>
      <c r="J3206" s="2"/>
      <c r="K3206" s="72"/>
      <c r="L3206" s="39"/>
      <c r="M3206" s="72"/>
      <c r="N3206" s="72"/>
    </row>
    <row r="3207" spans="1:14" x14ac:dyDescent="0.2">
      <c r="A3207" s="73"/>
      <c r="B3207" s="3"/>
      <c r="C3207" s="3"/>
      <c r="D3207" s="73"/>
      <c r="E3207" s="2"/>
      <c r="F3207" s="2"/>
      <c r="G3207" s="2"/>
      <c r="H3207" s="2"/>
      <c r="I3207" s="2"/>
      <c r="J3207" s="2"/>
      <c r="K3207" s="72"/>
      <c r="L3207" s="39"/>
      <c r="M3207" s="72"/>
      <c r="N3207" s="72"/>
    </row>
    <row r="3208" spans="1:14" x14ac:dyDescent="0.2">
      <c r="A3208" s="73"/>
      <c r="B3208" s="3"/>
      <c r="C3208" s="3"/>
      <c r="D3208" s="73"/>
      <c r="E3208" s="2"/>
      <c r="F3208" s="2"/>
      <c r="G3208" s="2"/>
      <c r="H3208" s="2"/>
      <c r="I3208" s="2"/>
      <c r="J3208" s="2"/>
      <c r="K3208" s="72"/>
      <c r="L3208" s="39"/>
      <c r="M3208" s="72"/>
      <c r="N3208" s="72"/>
    </row>
    <row r="3209" spans="1:14" x14ac:dyDescent="0.2">
      <c r="A3209" s="73"/>
      <c r="B3209" s="3"/>
      <c r="C3209" s="3"/>
      <c r="D3209" s="73"/>
      <c r="E3209" s="2"/>
      <c r="F3209" s="2"/>
      <c r="G3209" s="2"/>
      <c r="H3209" s="2"/>
      <c r="I3209" s="2"/>
      <c r="J3209" s="2"/>
      <c r="K3209" s="72"/>
      <c r="L3209" s="39"/>
      <c r="M3209" s="72"/>
      <c r="N3209" s="72"/>
    </row>
    <row r="3210" spans="1:14" x14ac:dyDescent="0.2">
      <c r="A3210" s="73"/>
      <c r="B3210" s="3"/>
      <c r="C3210" s="3"/>
      <c r="D3210" s="73"/>
      <c r="E3210" s="2"/>
      <c r="F3210" s="2"/>
      <c r="G3210" s="2"/>
      <c r="H3210" s="2"/>
      <c r="I3210" s="2"/>
      <c r="J3210" s="2"/>
      <c r="K3210" s="72"/>
      <c r="L3210" s="39"/>
      <c r="M3210" s="72"/>
      <c r="N3210" s="72"/>
    </row>
    <row r="3211" spans="1:14" x14ac:dyDescent="0.2">
      <c r="A3211" s="73"/>
      <c r="B3211" s="3"/>
      <c r="C3211" s="3"/>
      <c r="D3211" s="73"/>
      <c r="E3211" s="2"/>
      <c r="F3211" s="2"/>
      <c r="G3211" s="2"/>
      <c r="H3211" s="2"/>
      <c r="I3211" s="2"/>
      <c r="J3211" s="2"/>
      <c r="K3211" s="72"/>
      <c r="L3211" s="39"/>
      <c r="M3211" s="72"/>
      <c r="N3211" s="72"/>
    </row>
    <row r="3212" spans="1:14" x14ac:dyDescent="0.2">
      <c r="A3212" s="73"/>
      <c r="B3212" s="3"/>
      <c r="C3212" s="3"/>
      <c r="D3212" s="73"/>
      <c r="E3212" s="2"/>
      <c r="F3212" s="2"/>
      <c r="G3212" s="2"/>
      <c r="H3212" s="2"/>
      <c r="I3212" s="2"/>
      <c r="J3212" s="2"/>
      <c r="K3212" s="72"/>
      <c r="L3212" s="39"/>
      <c r="M3212" s="72"/>
      <c r="N3212" s="72"/>
    </row>
    <row r="3213" spans="1:14" x14ac:dyDescent="0.2">
      <c r="A3213" s="73"/>
      <c r="B3213" s="3"/>
      <c r="C3213" s="3"/>
      <c r="D3213" s="73"/>
      <c r="E3213" s="2"/>
      <c r="F3213" s="2"/>
      <c r="G3213" s="2"/>
      <c r="H3213" s="2"/>
      <c r="I3213" s="2"/>
      <c r="J3213" s="2"/>
      <c r="K3213" s="72"/>
      <c r="L3213" s="39"/>
      <c r="M3213" s="72"/>
      <c r="N3213" s="72"/>
    </row>
    <row r="3214" spans="1:14" x14ac:dyDescent="0.2">
      <c r="A3214" s="73"/>
      <c r="B3214" s="3"/>
      <c r="C3214" s="3"/>
      <c r="D3214" s="73"/>
      <c r="E3214" s="2"/>
      <c r="F3214" s="2"/>
      <c r="G3214" s="2"/>
      <c r="H3214" s="2"/>
      <c r="I3214" s="2"/>
      <c r="J3214" s="2"/>
      <c r="K3214" s="72"/>
      <c r="L3214" s="39"/>
      <c r="M3214" s="72"/>
      <c r="N3214" s="72"/>
    </row>
    <row r="3215" spans="1:14" x14ac:dyDescent="0.2">
      <c r="A3215" s="73"/>
      <c r="B3215" s="3"/>
      <c r="C3215" s="3"/>
      <c r="D3215" s="73"/>
      <c r="E3215" s="2"/>
      <c r="F3215" s="2"/>
      <c r="G3215" s="2"/>
      <c r="H3215" s="2"/>
      <c r="I3215" s="2"/>
      <c r="J3215" s="2"/>
      <c r="K3215" s="72"/>
      <c r="L3215" s="39"/>
      <c r="M3215" s="72"/>
      <c r="N3215" s="72"/>
    </row>
    <row r="3216" spans="1:14" x14ac:dyDescent="0.2">
      <c r="A3216" s="73"/>
      <c r="B3216" s="3"/>
      <c r="C3216" s="3"/>
      <c r="D3216" s="73"/>
      <c r="E3216" s="2"/>
      <c r="F3216" s="2"/>
      <c r="G3216" s="2"/>
      <c r="H3216" s="2"/>
      <c r="I3216" s="2"/>
      <c r="J3216" s="2"/>
      <c r="K3216" s="72"/>
      <c r="L3216" s="39"/>
      <c r="M3216" s="72"/>
      <c r="N3216" s="72"/>
    </row>
    <row r="3217" spans="1:14" x14ac:dyDescent="0.2">
      <c r="A3217" s="73"/>
      <c r="B3217" s="3"/>
      <c r="C3217" s="3"/>
      <c r="D3217" s="73"/>
      <c r="E3217" s="2"/>
      <c r="F3217" s="2"/>
      <c r="G3217" s="2"/>
      <c r="H3217" s="2"/>
      <c r="I3217" s="2"/>
      <c r="J3217" s="2"/>
      <c r="K3217" s="72"/>
      <c r="L3217" s="39"/>
      <c r="M3217" s="72"/>
      <c r="N3217" s="72"/>
    </row>
    <row r="3218" spans="1:14" x14ac:dyDescent="0.2">
      <c r="A3218" s="73"/>
      <c r="B3218" s="3"/>
      <c r="C3218" s="3"/>
      <c r="D3218" s="73"/>
      <c r="E3218" s="2"/>
      <c r="F3218" s="2"/>
      <c r="G3218" s="2"/>
      <c r="H3218" s="2"/>
      <c r="I3218" s="2"/>
      <c r="J3218" s="2"/>
      <c r="K3218" s="72"/>
      <c r="L3218" s="39"/>
      <c r="M3218" s="72"/>
      <c r="N3218" s="72"/>
    </row>
    <row r="3219" spans="1:14" x14ac:dyDescent="0.2">
      <c r="A3219" s="73"/>
      <c r="B3219" s="3"/>
      <c r="C3219" s="3"/>
      <c r="D3219" s="73"/>
      <c r="E3219" s="2"/>
      <c r="F3219" s="2"/>
      <c r="G3219" s="2"/>
      <c r="H3219" s="2"/>
      <c r="I3219" s="2"/>
      <c r="J3219" s="2"/>
      <c r="K3219" s="72"/>
      <c r="L3219" s="39"/>
      <c r="M3219" s="72"/>
      <c r="N3219" s="72"/>
    </row>
    <row r="3220" spans="1:14" x14ac:dyDescent="0.2">
      <c r="A3220" s="73"/>
      <c r="B3220" s="3"/>
      <c r="C3220" s="3"/>
      <c r="D3220" s="73"/>
      <c r="E3220" s="2"/>
      <c r="F3220" s="2"/>
      <c r="G3220" s="2"/>
      <c r="H3220" s="2"/>
      <c r="I3220" s="2"/>
      <c r="J3220" s="2"/>
      <c r="K3220" s="72"/>
      <c r="L3220" s="39"/>
      <c r="M3220" s="72"/>
      <c r="N3220" s="72"/>
    </row>
    <row r="3221" spans="1:14" x14ac:dyDescent="0.2">
      <c r="A3221" s="73"/>
      <c r="B3221" s="3"/>
      <c r="C3221" s="3"/>
      <c r="D3221" s="73"/>
      <c r="E3221" s="2"/>
      <c r="F3221" s="2"/>
      <c r="G3221" s="2"/>
      <c r="H3221" s="2"/>
      <c r="I3221" s="2"/>
      <c r="J3221" s="2"/>
      <c r="K3221" s="72"/>
      <c r="L3221" s="39"/>
      <c r="M3221" s="72"/>
      <c r="N3221" s="72"/>
    </row>
    <row r="3222" spans="1:14" x14ac:dyDescent="0.2">
      <c r="A3222" s="73"/>
      <c r="B3222" s="3"/>
      <c r="C3222" s="3"/>
      <c r="D3222" s="73"/>
      <c r="E3222" s="2"/>
      <c r="F3222" s="2"/>
      <c r="G3222" s="2"/>
      <c r="H3222" s="2"/>
      <c r="I3222" s="2"/>
      <c r="J3222" s="2"/>
      <c r="K3222" s="72"/>
      <c r="L3222" s="39"/>
      <c r="M3222" s="72"/>
      <c r="N3222" s="72"/>
    </row>
    <row r="3223" spans="1:14" x14ac:dyDescent="0.2">
      <c r="A3223" s="73"/>
      <c r="B3223" s="3"/>
      <c r="C3223" s="3"/>
      <c r="D3223" s="73"/>
      <c r="E3223" s="2"/>
      <c r="F3223" s="2"/>
      <c r="G3223" s="2"/>
      <c r="H3223" s="2"/>
      <c r="I3223" s="2"/>
      <c r="J3223" s="2"/>
      <c r="K3223" s="72"/>
      <c r="L3223" s="39"/>
      <c r="M3223" s="72"/>
      <c r="N3223" s="72"/>
    </row>
    <row r="3224" spans="1:14" x14ac:dyDescent="0.2">
      <c r="A3224" s="73"/>
      <c r="B3224" s="3"/>
      <c r="C3224" s="3"/>
      <c r="D3224" s="73"/>
      <c r="E3224" s="2"/>
      <c r="F3224" s="2"/>
      <c r="G3224" s="2"/>
      <c r="H3224" s="2"/>
      <c r="I3224" s="2"/>
      <c r="J3224" s="2"/>
      <c r="K3224" s="72"/>
      <c r="L3224" s="39"/>
      <c r="M3224" s="72"/>
      <c r="N3224" s="72"/>
    </row>
    <row r="3225" spans="1:14" x14ac:dyDescent="0.2">
      <c r="A3225" s="73"/>
      <c r="B3225" s="3"/>
      <c r="C3225" s="3"/>
      <c r="D3225" s="73"/>
      <c r="E3225" s="2"/>
      <c r="F3225" s="2"/>
      <c r="G3225" s="2"/>
      <c r="H3225" s="2"/>
      <c r="I3225" s="2"/>
      <c r="J3225" s="2"/>
      <c r="K3225" s="72"/>
      <c r="L3225" s="39"/>
      <c r="M3225" s="72"/>
      <c r="N3225" s="72"/>
    </row>
    <row r="3226" spans="1:14" x14ac:dyDescent="0.2">
      <c r="A3226" s="73"/>
      <c r="B3226" s="3"/>
      <c r="C3226" s="3"/>
      <c r="D3226" s="73"/>
      <c r="E3226" s="2"/>
      <c r="F3226" s="2"/>
      <c r="G3226" s="2"/>
      <c r="H3226" s="2"/>
      <c r="I3226" s="2"/>
      <c r="J3226" s="2"/>
      <c r="K3226" s="72"/>
      <c r="L3226" s="39"/>
      <c r="M3226" s="72"/>
      <c r="N3226" s="72"/>
    </row>
    <row r="3227" spans="1:14" x14ac:dyDescent="0.2">
      <c r="A3227" s="73"/>
      <c r="B3227" s="3"/>
      <c r="C3227" s="3"/>
      <c r="D3227" s="73"/>
      <c r="E3227" s="2"/>
      <c r="F3227" s="2"/>
      <c r="G3227" s="2"/>
      <c r="H3227" s="2"/>
      <c r="I3227" s="2"/>
      <c r="J3227" s="2"/>
      <c r="K3227" s="72"/>
      <c r="L3227" s="39"/>
      <c r="M3227" s="72"/>
      <c r="N3227" s="72"/>
    </row>
    <row r="3228" spans="1:14" x14ac:dyDescent="0.2">
      <c r="A3228" s="73"/>
      <c r="B3228" s="3"/>
      <c r="C3228" s="3"/>
      <c r="D3228" s="73"/>
      <c r="E3228" s="2"/>
      <c r="F3228" s="2"/>
      <c r="G3228" s="2"/>
      <c r="H3228" s="2"/>
      <c r="I3228" s="2"/>
      <c r="J3228" s="2"/>
      <c r="K3228" s="72"/>
      <c r="L3228" s="39"/>
      <c r="M3228" s="72"/>
      <c r="N3228" s="72"/>
    </row>
    <row r="3229" spans="1:14" x14ac:dyDescent="0.2">
      <c r="A3229" s="73"/>
      <c r="B3229" s="3"/>
      <c r="C3229" s="3"/>
      <c r="D3229" s="73"/>
      <c r="E3229" s="2"/>
      <c r="F3229" s="2"/>
      <c r="G3229" s="2"/>
      <c r="H3229" s="2"/>
      <c r="I3229" s="2"/>
      <c r="J3229" s="2"/>
      <c r="K3229" s="72"/>
      <c r="L3229" s="39"/>
      <c r="M3229" s="72"/>
      <c r="N3229" s="72"/>
    </row>
    <row r="3230" spans="1:14" x14ac:dyDescent="0.2">
      <c r="A3230" s="73"/>
      <c r="B3230" s="3"/>
      <c r="C3230" s="3"/>
      <c r="D3230" s="73"/>
      <c r="E3230" s="2"/>
      <c r="F3230" s="2"/>
      <c r="G3230" s="2"/>
      <c r="H3230" s="2"/>
      <c r="I3230" s="2"/>
      <c r="J3230" s="2"/>
      <c r="K3230" s="72"/>
      <c r="L3230" s="39"/>
      <c r="M3230" s="72"/>
      <c r="N3230" s="72"/>
    </row>
    <row r="3231" spans="1:14" x14ac:dyDescent="0.2">
      <c r="A3231" s="73"/>
      <c r="B3231" s="3"/>
      <c r="C3231" s="3"/>
      <c r="D3231" s="73"/>
      <c r="E3231" s="2"/>
      <c r="F3231" s="2"/>
      <c r="G3231" s="2"/>
      <c r="H3231" s="2"/>
      <c r="I3231" s="2"/>
      <c r="J3231" s="2"/>
      <c r="K3231" s="72"/>
      <c r="L3231" s="39"/>
      <c r="M3231" s="72"/>
      <c r="N3231" s="72"/>
    </row>
    <row r="3232" spans="1:14" x14ac:dyDescent="0.2">
      <c r="A3232" s="73"/>
      <c r="B3232" s="3"/>
      <c r="C3232" s="3"/>
      <c r="D3232" s="73"/>
      <c r="E3232" s="2"/>
      <c r="F3232" s="2"/>
      <c r="G3232" s="2"/>
      <c r="H3232" s="2"/>
      <c r="I3232" s="2"/>
      <c r="J3232" s="2"/>
      <c r="K3232" s="72"/>
      <c r="L3232" s="39"/>
      <c r="M3232" s="72"/>
      <c r="N3232" s="72"/>
    </row>
    <row r="3233" spans="1:14" x14ac:dyDescent="0.2">
      <c r="A3233" s="73"/>
      <c r="B3233" s="3"/>
      <c r="C3233" s="3"/>
      <c r="D3233" s="73"/>
      <c r="E3233" s="2"/>
      <c r="F3233" s="2"/>
      <c r="G3233" s="2"/>
      <c r="H3233" s="2"/>
      <c r="I3233" s="2"/>
      <c r="J3233" s="2"/>
      <c r="K3233" s="72"/>
      <c r="L3233" s="39"/>
      <c r="M3233" s="72"/>
      <c r="N3233" s="72"/>
    </row>
    <row r="3234" spans="1:14" x14ac:dyDescent="0.2">
      <c r="A3234" s="73"/>
      <c r="B3234" s="3"/>
      <c r="C3234" s="3"/>
      <c r="D3234" s="73"/>
      <c r="E3234" s="2"/>
      <c r="F3234" s="2"/>
      <c r="G3234" s="2"/>
      <c r="H3234" s="2"/>
      <c r="I3234" s="2"/>
      <c r="J3234" s="2"/>
      <c r="K3234" s="72"/>
      <c r="L3234" s="39"/>
      <c r="M3234" s="72"/>
      <c r="N3234" s="72"/>
    </row>
    <row r="3235" spans="1:14" x14ac:dyDescent="0.2">
      <c r="A3235" s="73"/>
      <c r="B3235" s="3"/>
      <c r="C3235" s="3"/>
      <c r="D3235" s="73"/>
      <c r="E3235" s="2"/>
      <c r="F3235" s="2"/>
      <c r="G3235" s="2"/>
      <c r="H3235" s="2"/>
      <c r="I3235" s="2"/>
      <c r="J3235" s="2"/>
      <c r="K3235" s="72"/>
      <c r="L3235" s="39"/>
      <c r="M3235" s="72"/>
      <c r="N3235" s="72"/>
    </row>
    <row r="3236" spans="1:14" x14ac:dyDescent="0.2">
      <c r="A3236" s="73"/>
      <c r="B3236" s="3"/>
      <c r="C3236" s="3"/>
      <c r="D3236" s="73"/>
      <c r="E3236" s="2"/>
      <c r="F3236" s="2"/>
      <c r="G3236" s="2"/>
      <c r="H3236" s="2"/>
      <c r="I3236" s="2"/>
      <c r="J3236" s="2"/>
      <c r="K3236" s="72"/>
      <c r="L3236" s="39"/>
      <c r="M3236" s="72"/>
      <c r="N3236" s="72"/>
    </row>
    <row r="3237" spans="1:14" x14ac:dyDescent="0.2">
      <c r="A3237" s="73"/>
      <c r="B3237" s="3"/>
      <c r="C3237" s="3"/>
      <c r="D3237" s="73"/>
      <c r="E3237" s="2"/>
      <c r="F3237" s="2"/>
      <c r="G3237" s="2"/>
      <c r="H3237" s="2"/>
      <c r="I3237" s="2"/>
      <c r="J3237" s="2"/>
      <c r="K3237" s="72"/>
      <c r="L3237" s="39"/>
      <c r="M3237" s="72"/>
      <c r="N3237" s="72"/>
    </row>
    <row r="3238" spans="1:14" x14ac:dyDescent="0.2">
      <c r="A3238" s="73"/>
      <c r="B3238" s="3"/>
      <c r="C3238" s="3"/>
      <c r="D3238" s="73"/>
      <c r="E3238" s="2"/>
      <c r="F3238" s="2"/>
      <c r="G3238" s="2"/>
      <c r="H3238" s="2"/>
      <c r="I3238" s="2"/>
      <c r="J3238" s="2"/>
      <c r="K3238" s="72"/>
      <c r="L3238" s="39"/>
      <c r="M3238" s="72"/>
      <c r="N3238" s="72"/>
    </row>
    <row r="3239" spans="1:14" x14ac:dyDescent="0.2">
      <c r="A3239" s="73"/>
      <c r="B3239" s="3"/>
      <c r="C3239" s="3"/>
      <c r="D3239" s="73"/>
      <c r="E3239" s="2"/>
      <c r="F3239" s="2"/>
      <c r="G3239" s="2"/>
      <c r="H3239" s="2"/>
      <c r="I3239" s="2"/>
      <c r="J3239" s="2"/>
      <c r="K3239" s="72"/>
      <c r="L3239" s="39"/>
      <c r="M3239" s="72"/>
      <c r="N3239" s="72"/>
    </row>
    <row r="3240" spans="1:14" x14ac:dyDescent="0.2">
      <c r="A3240" s="73"/>
      <c r="B3240" s="3"/>
      <c r="C3240" s="3"/>
      <c r="D3240" s="73"/>
      <c r="E3240" s="2"/>
      <c r="F3240" s="2"/>
      <c r="G3240" s="2"/>
      <c r="H3240" s="2"/>
      <c r="I3240" s="2"/>
      <c r="J3240" s="2"/>
      <c r="K3240" s="72"/>
      <c r="L3240" s="39"/>
      <c r="M3240" s="72"/>
      <c r="N3240" s="72"/>
    </row>
    <row r="3241" spans="1:14" x14ac:dyDescent="0.2">
      <c r="A3241" s="73"/>
      <c r="B3241" s="3"/>
      <c r="C3241" s="3"/>
      <c r="D3241" s="73"/>
      <c r="E3241" s="2"/>
      <c r="F3241" s="2"/>
      <c r="G3241" s="2"/>
      <c r="H3241" s="2"/>
      <c r="I3241" s="2"/>
      <c r="J3241" s="2"/>
      <c r="K3241" s="72"/>
      <c r="L3241" s="39"/>
      <c r="M3241" s="72"/>
      <c r="N3241" s="72"/>
    </row>
    <row r="3242" spans="1:14" x14ac:dyDescent="0.2">
      <c r="A3242" s="73"/>
      <c r="B3242" s="3"/>
      <c r="C3242" s="3"/>
      <c r="D3242" s="73"/>
      <c r="E3242" s="2"/>
      <c r="F3242" s="2"/>
      <c r="G3242" s="2"/>
      <c r="H3242" s="2"/>
      <c r="I3242" s="2"/>
      <c r="J3242" s="2"/>
      <c r="K3242" s="72"/>
      <c r="L3242" s="39"/>
      <c r="M3242" s="72"/>
      <c r="N3242" s="72"/>
    </row>
    <row r="3243" spans="1:14" x14ac:dyDescent="0.2">
      <c r="A3243" s="73"/>
      <c r="B3243" s="3"/>
      <c r="C3243" s="3"/>
      <c r="D3243" s="73"/>
      <c r="E3243" s="2"/>
      <c r="F3243" s="2"/>
      <c r="G3243" s="2"/>
      <c r="H3243" s="2"/>
      <c r="I3243" s="2"/>
      <c r="J3243" s="2"/>
      <c r="K3243" s="72"/>
      <c r="L3243" s="39"/>
      <c r="M3243" s="72"/>
      <c r="N3243" s="72"/>
    </row>
    <row r="3244" spans="1:14" x14ac:dyDescent="0.2">
      <c r="A3244" s="73"/>
      <c r="B3244" s="3"/>
      <c r="C3244" s="3"/>
      <c r="D3244" s="73"/>
      <c r="E3244" s="2"/>
      <c r="F3244" s="2"/>
      <c r="G3244" s="2"/>
      <c r="H3244" s="2"/>
      <c r="I3244" s="2"/>
      <c r="J3244" s="2"/>
      <c r="K3244" s="72"/>
      <c r="L3244" s="39"/>
      <c r="M3244" s="72"/>
      <c r="N3244" s="72"/>
    </row>
    <row r="3245" spans="1:14" x14ac:dyDescent="0.2">
      <c r="A3245" s="73"/>
      <c r="B3245" s="3"/>
      <c r="C3245" s="3"/>
      <c r="D3245" s="73"/>
      <c r="E3245" s="2"/>
      <c r="F3245" s="2"/>
      <c r="G3245" s="2"/>
      <c r="H3245" s="2"/>
      <c r="I3245" s="2"/>
      <c r="J3245" s="2"/>
      <c r="K3245" s="72"/>
      <c r="L3245" s="39"/>
      <c r="M3245" s="72"/>
      <c r="N3245" s="72"/>
    </row>
    <row r="3246" spans="1:14" x14ac:dyDescent="0.2">
      <c r="A3246" s="73"/>
      <c r="B3246" s="3"/>
      <c r="C3246" s="3"/>
      <c r="D3246" s="73"/>
      <c r="E3246" s="2"/>
      <c r="F3246" s="2"/>
      <c r="G3246" s="2"/>
      <c r="H3246" s="2"/>
      <c r="I3246" s="2"/>
      <c r="J3246" s="2"/>
      <c r="K3246" s="72"/>
      <c r="L3246" s="39"/>
      <c r="M3246" s="72"/>
      <c r="N3246" s="72"/>
    </row>
    <row r="3247" spans="1:14" x14ac:dyDescent="0.2">
      <c r="A3247" s="73"/>
      <c r="B3247" s="3"/>
      <c r="C3247" s="3"/>
      <c r="D3247" s="73"/>
      <c r="E3247" s="2"/>
      <c r="F3247" s="2"/>
      <c r="G3247" s="2"/>
      <c r="H3247" s="2"/>
      <c r="I3247" s="2"/>
      <c r="J3247" s="2"/>
      <c r="K3247" s="72"/>
      <c r="L3247" s="39"/>
      <c r="M3247" s="72"/>
      <c r="N3247" s="72"/>
    </row>
    <row r="3248" spans="1:14" x14ac:dyDescent="0.2">
      <c r="A3248" s="73"/>
      <c r="B3248" s="3"/>
      <c r="C3248" s="3"/>
      <c r="D3248" s="73"/>
      <c r="E3248" s="2"/>
      <c r="F3248" s="2"/>
      <c r="G3248" s="2"/>
      <c r="H3248" s="2"/>
      <c r="I3248" s="2"/>
      <c r="J3248" s="2"/>
      <c r="K3248" s="72"/>
      <c r="L3248" s="39"/>
      <c r="M3248" s="72"/>
      <c r="N3248" s="72"/>
    </row>
    <row r="3249" spans="1:14" x14ac:dyDescent="0.2">
      <c r="A3249" s="73"/>
      <c r="B3249" s="3"/>
      <c r="C3249" s="3"/>
      <c r="D3249" s="73"/>
      <c r="E3249" s="2"/>
      <c r="F3249" s="2"/>
      <c r="G3249" s="2"/>
      <c r="H3249" s="2"/>
      <c r="I3249" s="2"/>
      <c r="J3249" s="2"/>
      <c r="K3249" s="72"/>
      <c r="L3249" s="39"/>
      <c r="M3249" s="72"/>
      <c r="N3249" s="72"/>
    </row>
    <row r="3250" spans="1:14" x14ac:dyDescent="0.2">
      <c r="A3250" s="73"/>
      <c r="B3250" s="3"/>
      <c r="C3250" s="3"/>
      <c r="D3250" s="73"/>
      <c r="E3250" s="2"/>
      <c r="F3250" s="2"/>
      <c r="G3250" s="2"/>
      <c r="H3250" s="2"/>
      <c r="I3250" s="2"/>
      <c r="J3250" s="2"/>
      <c r="K3250" s="72"/>
      <c r="L3250" s="39"/>
      <c r="M3250" s="72"/>
      <c r="N3250" s="72"/>
    </row>
    <row r="3251" spans="1:14" x14ac:dyDescent="0.2">
      <c r="A3251" s="73"/>
      <c r="B3251" s="3"/>
      <c r="C3251" s="3"/>
      <c r="D3251" s="73"/>
      <c r="E3251" s="2"/>
      <c r="F3251" s="2"/>
      <c r="G3251" s="2"/>
      <c r="H3251" s="2"/>
      <c r="I3251" s="2"/>
      <c r="J3251" s="2"/>
      <c r="K3251" s="72"/>
      <c r="L3251" s="39"/>
      <c r="M3251" s="72"/>
      <c r="N3251" s="72"/>
    </row>
    <row r="3252" spans="1:14" x14ac:dyDescent="0.2">
      <c r="A3252" s="73"/>
      <c r="B3252" s="3"/>
      <c r="C3252" s="3"/>
      <c r="D3252" s="73"/>
      <c r="E3252" s="2"/>
      <c r="F3252" s="2"/>
      <c r="G3252" s="2"/>
      <c r="H3252" s="2"/>
      <c r="I3252" s="2"/>
      <c r="J3252" s="2"/>
      <c r="K3252" s="72"/>
      <c r="L3252" s="39"/>
      <c r="M3252" s="72"/>
      <c r="N3252" s="72"/>
    </row>
    <row r="3253" spans="1:14" x14ac:dyDescent="0.2">
      <c r="A3253" s="73"/>
      <c r="B3253" s="3"/>
      <c r="C3253" s="3"/>
      <c r="D3253" s="73"/>
      <c r="E3253" s="2"/>
      <c r="F3253" s="2"/>
      <c r="G3253" s="2"/>
      <c r="H3253" s="2"/>
      <c r="I3253" s="2"/>
      <c r="J3253" s="2"/>
      <c r="K3253" s="72"/>
      <c r="L3253" s="39"/>
      <c r="M3253" s="72"/>
      <c r="N3253" s="72"/>
    </row>
    <row r="3254" spans="1:14" x14ac:dyDescent="0.2">
      <c r="A3254" s="73"/>
      <c r="B3254" s="3"/>
      <c r="C3254" s="3"/>
      <c r="D3254" s="73"/>
      <c r="E3254" s="2"/>
      <c r="F3254" s="2"/>
      <c r="G3254" s="2"/>
      <c r="H3254" s="2"/>
      <c r="I3254" s="2"/>
      <c r="J3254" s="2"/>
      <c r="K3254" s="72"/>
      <c r="L3254" s="39"/>
      <c r="M3254" s="72"/>
      <c r="N3254" s="72"/>
    </row>
    <row r="3255" spans="1:14" x14ac:dyDescent="0.2">
      <c r="A3255" s="73"/>
      <c r="B3255" s="3"/>
      <c r="C3255" s="3"/>
      <c r="D3255" s="73"/>
      <c r="E3255" s="2"/>
      <c r="F3255" s="2"/>
      <c r="G3255" s="2"/>
      <c r="H3255" s="2"/>
      <c r="I3255" s="2"/>
      <c r="J3255" s="2"/>
      <c r="K3255" s="72"/>
      <c r="L3255" s="39"/>
      <c r="M3255" s="72"/>
      <c r="N3255" s="72"/>
    </row>
    <row r="3256" spans="1:14" x14ac:dyDescent="0.2">
      <c r="A3256" s="73"/>
      <c r="B3256" s="3"/>
      <c r="C3256" s="3"/>
      <c r="D3256" s="73"/>
      <c r="E3256" s="2"/>
      <c r="F3256" s="2"/>
      <c r="G3256" s="2"/>
      <c r="H3256" s="2"/>
      <c r="I3256" s="2"/>
      <c r="J3256" s="2"/>
      <c r="K3256" s="72"/>
      <c r="L3256" s="39"/>
      <c r="M3256" s="72"/>
      <c r="N3256" s="72"/>
    </row>
    <row r="3257" spans="1:14" x14ac:dyDescent="0.2">
      <c r="A3257" s="73"/>
      <c r="B3257" s="3"/>
      <c r="C3257" s="3"/>
      <c r="D3257" s="73"/>
      <c r="E3257" s="2"/>
      <c r="F3257" s="2"/>
      <c r="G3257" s="2"/>
      <c r="H3257" s="2"/>
      <c r="I3257" s="2"/>
      <c r="J3257" s="2"/>
      <c r="K3257" s="72"/>
      <c r="L3257" s="39"/>
      <c r="M3257" s="72"/>
      <c r="N3257" s="72"/>
    </row>
    <row r="3258" spans="1:14" x14ac:dyDescent="0.2">
      <c r="A3258" s="73"/>
      <c r="B3258" s="3"/>
      <c r="C3258" s="3"/>
      <c r="D3258" s="73"/>
      <c r="E3258" s="2"/>
      <c r="F3258" s="2"/>
      <c r="G3258" s="2"/>
      <c r="H3258" s="2"/>
      <c r="I3258" s="2"/>
      <c r="J3258" s="2"/>
      <c r="K3258" s="72"/>
      <c r="L3258" s="39"/>
      <c r="M3258" s="72"/>
      <c r="N3258" s="72"/>
    </row>
    <row r="3259" spans="1:14" x14ac:dyDescent="0.2">
      <c r="A3259" s="73"/>
      <c r="B3259" s="3"/>
      <c r="C3259" s="3"/>
      <c r="D3259" s="73"/>
      <c r="E3259" s="2"/>
      <c r="F3259" s="2"/>
      <c r="G3259" s="2"/>
      <c r="H3259" s="2"/>
      <c r="I3259" s="2"/>
      <c r="J3259" s="2"/>
      <c r="K3259" s="72"/>
      <c r="L3259" s="39"/>
      <c r="M3259" s="72"/>
      <c r="N3259" s="72"/>
    </row>
    <row r="3260" spans="1:14" x14ac:dyDescent="0.2">
      <c r="A3260" s="73"/>
      <c r="B3260" s="3"/>
      <c r="C3260" s="3"/>
      <c r="D3260" s="73"/>
      <c r="E3260" s="2"/>
      <c r="F3260" s="2"/>
      <c r="G3260" s="2"/>
      <c r="H3260" s="2"/>
      <c r="I3260" s="2"/>
      <c r="J3260" s="2"/>
      <c r="K3260" s="72"/>
      <c r="L3260" s="39"/>
      <c r="M3260" s="72"/>
      <c r="N3260" s="72"/>
    </row>
    <row r="3261" spans="1:14" x14ac:dyDescent="0.2">
      <c r="A3261" s="73"/>
      <c r="B3261" s="3"/>
      <c r="C3261" s="3"/>
      <c r="D3261" s="73"/>
      <c r="E3261" s="2"/>
      <c r="F3261" s="2"/>
      <c r="G3261" s="2"/>
      <c r="H3261" s="2"/>
      <c r="I3261" s="2"/>
      <c r="J3261" s="2"/>
      <c r="K3261" s="72"/>
      <c r="L3261" s="39"/>
      <c r="M3261" s="72"/>
      <c r="N3261" s="72"/>
    </row>
    <row r="3262" spans="1:14" x14ac:dyDescent="0.2">
      <c r="A3262" s="73"/>
      <c r="B3262" s="3"/>
      <c r="C3262" s="3"/>
      <c r="D3262" s="73"/>
      <c r="E3262" s="2"/>
      <c r="F3262" s="2"/>
      <c r="G3262" s="2"/>
      <c r="H3262" s="2"/>
      <c r="I3262" s="2"/>
      <c r="J3262" s="2"/>
      <c r="K3262" s="72"/>
      <c r="L3262" s="39"/>
      <c r="M3262" s="72"/>
      <c r="N3262" s="72"/>
    </row>
    <row r="3263" spans="1:14" x14ac:dyDescent="0.2">
      <c r="A3263" s="73"/>
      <c r="B3263" s="3"/>
      <c r="C3263" s="3"/>
      <c r="D3263" s="73"/>
      <c r="E3263" s="2"/>
      <c r="F3263" s="2"/>
      <c r="G3263" s="2"/>
      <c r="H3263" s="2"/>
      <c r="I3263" s="2"/>
      <c r="J3263" s="2"/>
      <c r="K3263" s="72"/>
      <c r="L3263" s="39"/>
      <c r="M3263" s="72"/>
      <c r="N3263" s="72"/>
    </row>
    <row r="3264" spans="1:14" x14ac:dyDescent="0.2">
      <c r="A3264" s="73"/>
      <c r="B3264" s="3"/>
      <c r="C3264" s="3"/>
      <c r="D3264" s="73"/>
      <c r="E3264" s="2"/>
      <c r="F3264" s="2"/>
      <c r="G3264" s="2"/>
      <c r="H3264" s="2"/>
      <c r="I3264" s="2"/>
      <c r="J3264" s="2"/>
      <c r="K3264" s="72"/>
      <c r="L3264" s="39"/>
      <c r="M3264" s="72"/>
      <c r="N3264" s="72"/>
    </row>
    <row r="3265" spans="1:14" x14ac:dyDescent="0.2">
      <c r="A3265" s="73"/>
      <c r="B3265" s="3"/>
      <c r="C3265" s="3"/>
      <c r="D3265" s="73"/>
      <c r="E3265" s="2"/>
      <c r="F3265" s="2"/>
      <c r="G3265" s="2"/>
      <c r="H3265" s="2"/>
      <c r="I3265" s="2"/>
      <c r="J3265" s="2"/>
      <c r="K3265" s="72"/>
      <c r="L3265" s="39"/>
      <c r="M3265" s="72"/>
      <c r="N3265" s="72"/>
    </row>
    <row r="3266" spans="1:14" x14ac:dyDescent="0.2">
      <c r="A3266" s="73"/>
      <c r="B3266" s="3"/>
      <c r="C3266" s="3"/>
      <c r="D3266" s="73"/>
      <c r="E3266" s="2"/>
      <c r="F3266" s="2"/>
      <c r="G3266" s="2"/>
      <c r="H3266" s="2"/>
      <c r="I3266" s="2"/>
      <c r="J3266" s="2"/>
      <c r="K3266" s="72"/>
      <c r="L3266" s="39"/>
      <c r="M3266" s="72"/>
      <c r="N3266" s="72"/>
    </row>
    <row r="3267" spans="1:14" x14ac:dyDescent="0.2">
      <c r="A3267" s="73"/>
      <c r="B3267" s="3"/>
      <c r="C3267" s="3"/>
      <c r="D3267" s="73"/>
      <c r="E3267" s="2"/>
      <c r="F3267" s="2"/>
      <c r="G3267" s="2"/>
      <c r="H3267" s="2"/>
      <c r="I3267" s="2"/>
      <c r="J3267" s="2"/>
      <c r="K3267" s="72"/>
      <c r="L3267" s="39"/>
      <c r="M3267" s="72"/>
      <c r="N3267" s="72"/>
    </row>
    <row r="3268" spans="1:14" x14ac:dyDescent="0.2">
      <c r="A3268" s="73"/>
      <c r="B3268" s="3"/>
      <c r="C3268" s="3"/>
      <c r="D3268" s="73"/>
      <c r="E3268" s="2"/>
      <c r="F3268" s="2"/>
      <c r="G3268" s="2"/>
      <c r="H3268" s="2"/>
      <c r="I3268" s="2"/>
      <c r="J3268" s="2"/>
      <c r="K3268" s="72"/>
      <c r="L3268" s="39"/>
      <c r="M3268" s="72"/>
      <c r="N3268" s="72"/>
    </row>
    <row r="3269" spans="1:14" x14ac:dyDescent="0.2">
      <c r="A3269" s="73"/>
      <c r="B3269" s="3"/>
      <c r="C3269" s="3"/>
      <c r="D3269" s="73"/>
      <c r="E3269" s="2"/>
      <c r="F3269" s="2"/>
      <c r="G3269" s="2"/>
      <c r="H3269" s="2"/>
      <c r="I3269" s="2"/>
      <c r="J3269" s="2"/>
      <c r="K3269" s="72"/>
      <c r="L3269" s="39"/>
      <c r="M3269" s="72"/>
      <c r="N3269" s="72"/>
    </row>
    <row r="3270" spans="1:14" x14ac:dyDescent="0.2">
      <c r="A3270" s="73"/>
      <c r="B3270" s="3"/>
      <c r="C3270" s="3"/>
      <c r="D3270" s="73"/>
      <c r="E3270" s="2"/>
      <c r="F3270" s="2"/>
      <c r="G3270" s="2"/>
      <c r="H3270" s="2"/>
      <c r="I3270" s="2"/>
      <c r="J3270" s="2"/>
      <c r="K3270" s="72"/>
      <c r="L3270" s="39"/>
      <c r="M3270" s="72"/>
      <c r="N3270" s="72"/>
    </row>
    <row r="3271" spans="1:14" x14ac:dyDescent="0.2">
      <c r="A3271" s="73"/>
      <c r="B3271" s="3"/>
      <c r="C3271" s="3"/>
      <c r="D3271" s="73"/>
      <c r="E3271" s="2"/>
      <c r="F3271" s="2"/>
      <c r="G3271" s="2"/>
      <c r="H3271" s="2"/>
      <c r="I3271" s="2"/>
      <c r="J3271" s="2"/>
      <c r="K3271" s="72"/>
      <c r="L3271" s="39"/>
      <c r="M3271" s="72"/>
      <c r="N3271" s="72"/>
    </row>
    <row r="3272" spans="1:14" x14ac:dyDescent="0.2">
      <c r="A3272" s="73"/>
      <c r="B3272" s="3"/>
      <c r="C3272" s="3"/>
      <c r="D3272" s="73"/>
      <c r="E3272" s="2"/>
      <c r="F3272" s="2"/>
      <c r="G3272" s="2"/>
      <c r="H3272" s="2"/>
      <c r="I3272" s="2"/>
      <c r="J3272" s="2"/>
      <c r="K3272" s="72"/>
      <c r="L3272" s="39"/>
      <c r="M3272" s="72"/>
      <c r="N3272" s="72"/>
    </row>
    <row r="3273" spans="1:14" x14ac:dyDescent="0.2">
      <c r="A3273" s="73"/>
      <c r="B3273" s="3"/>
      <c r="C3273" s="3"/>
      <c r="D3273" s="73"/>
      <c r="E3273" s="2"/>
      <c r="F3273" s="2"/>
      <c r="G3273" s="2"/>
      <c r="H3273" s="2"/>
      <c r="I3273" s="2"/>
      <c r="J3273" s="2"/>
      <c r="K3273" s="72"/>
      <c r="L3273" s="39"/>
      <c r="M3273" s="72"/>
      <c r="N3273" s="72"/>
    </row>
    <row r="3274" spans="1:14" x14ac:dyDescent="0.2">
      <c r="A3274" s="73"/>
      <c r="B3274" s="3"/>
      <c r="C3274" s="3"/>
      <c r="D3274" s="73"/>
      <c r="E3274" s="2"/>
      <c r="F3274" s="2"/>
      <c r="G3274" s="2"/>
      <c r="H3274" s="2"/>
      <c r="I3274" s="2"/>
      <c r="J3274" s="2"/>
      <c r="K3274" s="72"/>
      <c r="L3274" s="39"/>
      <c r="M3274" s="72"/>
      <c r="N3274" s="72"/>
    </row>
    <row r="3275" spans="1:14" x14ac:dyDescent="0.2">
      <c r="A3275" s="73"/>
      <c r="B3275" s="3"/>
      <c r="C3275" s="3"/>
      <c r="D3275" s="73"/>
      <c r="E3275" s="2"/>
      <c r="F3275" s="2"/>
      <c r="G3275" s="2"/>
      <c r="H3275" s="2"/>
      <c r="I3275" s="2"/>
      <c r="J3275" s="2"/>
      <c r="K3275" s="72"/>
      <c r="L3275" s="39"/>
      <c r="M3275" s="72"/>
      <c r="N3275" s="72"/>
    </row>
    <row r="3276" spans="1:14" x14ac:dyDescent="0.2">
      <c r="A3276" s="73"/>
      <c r="B3276" s="3"/>
      <c r="C3276" s="3"/>
      <c r="D3276" s="73"/>
      <c r="E3276" s="2"/>
      <c r="F3276" s="2"/>
      <c r="G3276" s="2"/>
      <c r="H3276" s="2"/>
      <c r="I3276" s="2"/>
      <c r="J3276" s="2"/>
      <c r="K3276" s="72"/>
      <c r="L3276" s="39"/>
      <c r="M3276" s="72"/>
      <c r="N3276" s="72"/>
    </row>
    <row r="3277" spans="1:14" x14ac:dyDescent="0.2">
      <c r="A3277" s="73"/>
      <c r="B3277" s="3"/>
      <c r="C3277" s="3"/>
      <c r="D3277" s="73"/>
      <c r="E3277" s="2"/>
      <c r="F3277" s="2"/>
      <c r="G3277" s="2"/>
      <c r="H3277" s="2"/>
      <c r="I3277" s="2"/>
      <c r="J3277" s="2"/>
      <c r="K3277" s="72"/>
      <c r="L3277" s="39"/>
      <c r="M3277" s="72"/>
      <c r="N3277" s="72"/>
    </row>
    <row r="3278" spans="1:14" x14ac:dyDescent="0.2">
      <c r="A3278" s="73"/>
      <c r="B3278" s="3"/>
      <c r="C3278" s="3"/>
      <c r="D3278" s="73"/>
      <c r="E3278" s="2"/>
      <c r="F3278" s="2"/>
      <c r="G3278" s="2"/>
      <c r="H3278" s="2"/>
      <c r="I3278" s="2"/>
      <c r="J3278" s="2"/>
      <c r="K3278" s="72"/>
      <c r="L3278" s="39"/>
      <c r="M3278" s="72"/>
      <c r="N3278" s="72"/>
    </row>
    <row r="3279" spans="1:14" x14ac:dyDescent="0.2">
      <c r="A3279" s="73"/>
      <c r="B3279" s="3"/>
      <c r="C3279" s="3"/>
      <c r="D3279" s="73"/>
      <c r="E3279" s="2"/>
      <c r="F3279" s="2"/>
      <c r="G3279" s="2"/>
      <c r="H3279" s="2"/>
      <c r="I3279" s="2"/>
      <c r="J3279" s="2"/>
      <c r="K3279" s="72"/>
      <c r="L3279" s="39"/>
      <c r="M3279" s="72"/>
      <c r="N3279" s="72"/>
    </row>
    <row r="3280" spans="1:14" x14ac:dyDescent="0.2">
      <c r="A3280" s="73"/>
      <c r="B3280" s="3"/>
      <c r="C3280" s="3"/>
      <c r="D3280" s="73"/>
      <c r="E3280" s="2"/>
      <c r="F3280" s="2"/>
      <c r="G3280" s="2"/>
      <c r="H3280" s="2"/>
      <c r="I3280" s="2"/>
      <c r="J3280" s="2"/>
      <c r="K3280" s="72"/>
      <c r="L3280" s="39"/>
      <c r="M3280" s="72"/>
      <c r="N3280" s="72"/>
    </row>
    <row r="3281" spans="1:14" x14ac:dyDescent="0.2">
      <c r="A3281" s="73"/>
      <c r="B3281" s="3"/>
      <c r="C3281" s="3"/>
      <c r="D3281" s="73"/>
      <c r="E3281" s="2"/>
      <c r="F3281" s="2"/>
      <c r="G3281" s="2"/>
      <c r="H3281" s="2"/>
      <c r="I3281" s="2"/>
      <c r="J3281" s="2"/>
      <c r="K3281" s="72"/>
      <c r="L3281" s="39"/>
      <c r="M3281" s="72"/>
      <c r="N3281" s="72"/>
    </row>
    <row r="3282" spans="1:14" x14ac:dyDescent="0.2">
      <c r="A3282" s="73"/>
      <c r="B3282" s="3"/>
      <c r="C3282" s="3"/>
      <c r="D3282" s="73"/>
      <c r="E3282" s="2"/>
      <c r="F3282" s="2"/>
      <c r="G3282" s="2"/>
      <c r="H3282" s="2"/>
      <c r="I3282" s="2"/>
      <c r="J3282" s="2"/>
      <c r="K3282" s="72"/>
      <c r="L3282" s="39"/>
      <c r="M3282" s="72"/>
      <c r="N3282" s="72"/>
    </row>
    <row r="3283" spans="1:14" x14ac:dyDescent="0.2">
      <c r="A3283" s="73"/>
      <c r="B3283" s="3"/>
      <c r="C3283" s="3"/>
      <c r="D3283" s="73"/>
      <c r="E3283" s="2"/>
      <c r="F3283" s="2"/>
      <c r="G3283" s="2"/>
      <c r="H3283" s="2"/>
      <c r="I3283" s="2"/>
      <c r="J3283" s="2"/>
      <c r="K3283" s="72"/>
      <c r="L3283" s="39"/>
      <c r="M3283" s="72"/>
      <c r="N3283" s="72"/>
    </row>
    <row r="3284" spans="1:14" x14ac:dyDescent="0.2">
      <c r="A3284" s="73"/>
      <c r="B3284" s="3"/>
      <c r="C3284" s="3"/>
      <c r="D3284" s="73"/>
      <c r="E3284" s="2"/>
      <c r="F3284" s="2"/>
      <c r="G3284" s="2"/>
      <c r="H3284" s="2"/>
      <c r="I3284" s="2"/>
      <c r="J3284" s="2"/>
      <c r="K3284" s="72"/>
      <c r="L3284" s="39"/>
      <c r="M3284" s="72"/>
      <c r="N3284" s="72"/>
    </row>
    <row r="3285" spans="1:14" x14ac:dyDescent="0.2">
      <c r="A3285" s="73"/>
      <c r="B3285" s="3"/>
      <c r="C3285" s="3"/>
      <c r="D3285" s="73"/>
      <c r="E3285" s="2"/>
      <c r="F3285" s="2"/>
      <c r="G3285" s="2"/>
      <c r="H3285" s="2"/>
      <c r="I3285" s="2"/>
      <c r="J3285" s="2"/>
      <c r="K3285" s="72"/>
      <c r="L3285" s="39"/>
      <c r="M3285" s="72"/>
      <c r="N3285" s="72"/>
    </row>
    <row r="3286" spans="1:14" x14ac:dyDescent="0.2">
      <c r="A3286" s="73"/>
      <c r="B3286" s="3"/>
      <c r="C3286" s="3"/>
      <c r="D3286" s="73"/>
      <c r="E3286" s="2"/>
      <c r="F3286" s="2"/>
      <c r="G3286" s="2"/>
      <c r="H3286" s="2"/>
      <c r="I3286" s="2"/>
      <c r="J3286" s="2"/>
      <c r="K3286" s="72"/>
      <c r="L3286" s="39"/>
      <c r="M3286" s="72"/>
      <c r="N3286" s="72"/>
    </row>
    <row r="3287" spans="1:14" x14ac:dyDescent="0.2">
      <c r="A3287" s="73"/>
      <c r="B3287" s="3"/>
      <c r="C3287" s="3"/>
      <c r="D3287" s="73"/>
      <c r="E3287" s="2"/>
      <c r="F3287" s="2"/>
      <c r="G3287" s="2"/>
      <c r="H3287" s="2"/>
      <c r="I3287" s="2"/>
      <c r="J3287" s="2"/>
      <c r="K3287" s="72"/>
      <c r="L3287" s="39"/>
      <c r="M3287" s="72"/>
      <c r="N3287" s="72"/>
    </row>
    <row r="3288" spans="1:14" x14ac:dyDescent="0.2">
      <c r="A3288" s="73"/>
      <c r="B3288" s="3"/>
      <c r="C3288" s="3"/>
      <c r="D3288" s="73"/>
      <c r="E3288" s="2"/>
      <c r="F3288" s="2"/>
      <c r="G3288" s="2"/>
      <c r="H3288" s="2"/>
      <c r="I3288" s="2"/>
      <c r="J3288" s="2"/>
      <c r="K3288" s="72"/>
      <c r="L3288" s="39"/>
      <c r="M3288" s="72"/>
      <c r="N3288" s="72"/>
    </row>
    <row r="3289" spans="1:14" x14ac:dyDescent="0.2">
      <c r="A3289" s="73"/>
      <c r="B3289" s="3"/>
      <c r="C3289" s="3"/>
      <c r="D3289" s="73"/>
      <c r="E3289" s="2"/>
      <c r="F3289" s="2"/>
      <c r="G3289" s="2"/>
      <c r="H3289" s="2"/>
      <c r="I3289" s="2"/>
      <c r="J3289" s="2"/>
      <c r="K3289" s="72"/>
      <c r="L3289" s="39"/>
      <c r="M3289" s="72"/>
      <c r="N3289" s="72"/>
    </row>
    <row r="3290" spans="1:14" x14ac:dyDescent="0.2">
      <c r="A3290" s="73"/>
      <c r="B3290" s="3"/>
      <c r="C3290" s="3"/>
      <c r="D3290" s="73"/>
      <c r="E3290" s="2"/>
      <c r="F3290" s="2"/>
      <c r="G3290" s="2"/>
      <c r="H3290" s="2"/>
      <c r="I3290" s="2"/>
      <c r="J3290" s="2"/>
      <c r="K3290" s="72"/>
      <c r="L3290" s="39"/>
      <c r="M3290" s="72"/>
      <c r="N3290" s="72"/>
    </row>
    <row r="3291" spans="1:14" x14ac:dyDescent="0.2">
      <c r="A3291" s="73"/>
      <c r="B3291" s="3"/>
      <c r="C3291" s="3"/>
      <c r="D3291" s="73"/>
      <c r="E3291" s="2"/>
      <c r="F3291" s="2"/>
      <c r="G3291" s="2"/>
      <c r="H3291" s="2"/>
      <c r="I3291" s="2"/>
      <c r="J3291" s="2"/>
      <c r="K3291" s="72"/>
      <c r="L3291" s="39"/>
      <c r="M3291" s="72"/>
      <c r="N3291" s="72"/>
    </row>
    <row r="3292" spans="1:14" x14ac:dyDescent="0.2">
      <c r="A3292" s="73"/>
      <c r="B3292" s="3"/>
      <c r="C3292" s="3"/>
      <c r="D3292" s="73"/>
      <c r="E3292" s="2"/>
      <c r="F3292" s="2"/>
      <c r="G3292" s="2"/>
      <c r="H3292" s="2"/>
      <c r="I3292" s="2"/>
      <c r="J3292" s="2"/>
      <c r="K3292" s="72"/>
      <c r="L3292" s="39"/>
      <c r="M3292" s="72"/>
      <c r="N3292" s="72"/>
    </row>
    <row r="3293" spans="1:14" x14ac:dyDescent="0.2">
      <c r="A3293" s="73"/>
      <c r="B3293" s="3"/>
      <c r="C3293" s="3"/>
      <c r="D3293" s="73"/>
      <c r="E3293" s="2"/>
      <c r="F3293" s="2"/>
      <c r="G3293" s="2"/>
      <c r="H3293" s="2"/>
      <c r="I3293" s="2"/>
      <c r="J3293" s="2"/>
      <c r="K3293" s="72"/>
      <c r="L3293" s="39"/>
      <c r="M3293" s="72"/>
      <c r="N3293" s="72"/>
    </row>
    <row r="3294" spans="1:14" x14ac:dyDescent="0.2">
      <c r="A3294" s="73"/>
      <c r="B3294" s="3"/>
      <c r="C3294" s="3"/>
      <c r="D3294" s="73"/>
      <c r="E3294" s="2"/>
      <c r="F3294" s="2"/>
      <c r="G3294" s="2"/>
      <c r="H3294" s="2"/>
      <c r="I3294" s="2"/>
      <c r="J3294" s="2"/>
      <c r="K3294" s="72"/>
      <c r="L3294" s="39"/>
      <c r="M3294" s="72"/>
      <c r="N3294" s="72"/>
    </row>
    <row r="3295" spans="1:14" x14ac:dyDescent="0.2">
      <c r="A3295" s="73"/>
      <c r="B3295" s="3"/>
      <c r="C3295" s="3"/>
      <c r="D3295" s="73"/>
      <c r="E3295" s="2"/>
      <c r="F3295" s="2"/>
      <c r="G3295" s="2"/>
      <c r="H3295" s="2"/>
      <c r="I3295" s="2"/>
      <c r="J3295" s="2"/>
      <c r="K3295" s="72"/>
      <c r="L3295" s="39"/>
      <c r="M3295" s="72"/>
      <c r="N3295" s="72"/>
    </row>
    <row r="3296" spans="1:14" x14ac:dyDescent="0.2">
      <c r="A3296" s="73"/>
      <c r="B3296" s="3"/>
      <c r="C3296" s="3"/>
      <c r="D3296" s="73"/>
      <c r="E3296" s="2"/>
      <c r="F3296" s="2"/>
      <c r="G3296" s="2"/>
      <c r="H3296" s="2"/>
      <c r="I3296" s="2"/>
      <c r="J3296" s="2"/>
      <c r="K3296" s="72"/>
      <c r="L3296" s="39"/>
      <c r="M3296" s="72"/>
      <c r="N3296" s="72"/>
    </row>
    <row r="3297" spans="1:14" x14ac:dyDescent="0.2">
      <c r="A3297" s="73"/>
      <c r="B3297" s="3"/>
      <c r="C3297" s="3"/>
      <c r="D3297" s="73"/>
      <c r="E3297" s="2"/>
      <c r="F3297" s="2"/>
      <c r="G3297" s="2"/>
      <c r="H3297" s="2"/>
      <c r="I3297" s="2"/>
      <c r="J3297" s="2"/>
      <c r="K3297" s="72"/>
      <c r="L3297" s="39"/>
      <c r="M3297" s="72"/>
      <c r="N3297" s="72"/>
    </row>
    <row r="3298" spans="1:14" x14ac:dyDescent="0.2">
      <c r="A3298" s="73"/>
      <c r="B3298" s="3"/>
      <c r="C3298" s="3"/>
      <c r="D3298" s="73"/>
      <c r="E3298" s="2"/>
      <c r="F3298" s="2"/>
      <c r="G3298" s="2"/>
      <c r="H3298" s="2"/>
      <c r="I3298" s="2"/>
      <c r="J3298" s="2"/>
      <c r="K3298" s="72"/>
      <c r="L3298" s="39"/>
      <c r="M3298" s="72"/>
      <c r="N3298" s="72"/>
    </row>
    <row r="3299" spans="1:14" x14ac:dyDescent="0.2">
      <c r="A3299" s="73"/>
      <c r="B3299" s="3"/>
      <c r="C3299" s="3"/>
      <c r="D3299" s="73"/>
      <c r="E3299" s="2"/>
      <c r="F3299" s="2"/>
      <c r="G3299" s="2"/>
      <c r="H3299" s="2"/>
      <c r="I3299" s="2"/>
      <c r="J3299" s="2"/>
      <c r="K3299" s="72"/>
      <c r="L3299" s="39"/>
      <c r="M3299" s="72"/>
      <c r="N3299" s="72"/>
    </row>
    <row r="3300" spans="1:14" x14ac:dyDescent="0.2">
      <c r="A3300" s="73"/>
      <c r="B3300" s="3"/>
      <c r="C3300" s="3"/>
      <c r="D3300" s="73"/>
      <c r="E3300" s="2"/>
      <c r="F3300" s="2"/>
      <c r="G3300" s="2"/>
      <c r="H3300" s="2"/>
      <c r="I3300" s="2"/>
      <c r="J3300" s="2"/>
      <c r="K3300" s="72"/>
      <c r="L3300" s="39"/>
      <c r="M3300" s="72"/>
      <c r="N3300" s="72"/>
    </row>
    <row r="3301" spans="1:14" x14ac:dyDescent="0.2">
      <c r="A3301" s="73"/>
      <c r="B3301" s="3"/>
      <c r="C3301" s="3"/>
      <c r="D3301" s="73"/>
      <c r="E3301" s="2"/>
      <c r="F3301" s="2"/>
      <c r="G3301" s="2"/>
      <c r="H3301" s="2"/>
      <c r="I3301" s="2"/>
      <c r="J3301" s="2"/>
      <c r="K3301" s="72"/>
      <c r="L3301" s="39"/>
      <c r="M3301" s="72"/>
      <c r="N3301" s="72"/>
    </row>
    <row r="3302" spans="1:14" x14ac:dyDescent="0.2">
      <c r="A3302" s="73"/>
      <c r="B3302" s="3"/>
      <c r="C3302" s="3"/>
      <c r="D3302" s="73"/>
      <c r="E3302" s="2"/>
      <c r="F3302" s="2"/>
      <c r="G3302" s="2"/>
      <c r="H3302" s="2"/>
      <c r="I3302" s="2"/>
      <c r="J3302" s="2"/>
      <c r="K3302" s="72"/>
      <c r="L3302" s="39"/>
      <c r="M3302" s="72"/>
      <c r="N3302" s="72"/>
    </row>
    <row r="3303" spans="1:14" x14ac:dyDescent="0.2">
      <c r="A3303" s="73"/>
      <c r="B3303" s="3"/>
      <c r="C3303" s="3"/>
      <c r="D3303" s="73"/>
      <c r="E3303" s="2"/>
      <c r="F3303" s="2"/>
      <c r="G3303" s="2"/>
      <c r="H3303" s="2"/>
      <c r="I3303" s="2"/>
      <c r="J3303" s="2"/>
      <c r="K3303" s="72"/>
      <c r="L3303" s="39"/>
      <c r="M3303" s="72"/>
      <c r="N3303" s="72"/>
    </row>
    <row r="3304" spans="1:14" x14ac:dyDescent="0.2">
      <c r="A3304" s="73"/>
      <c r="B3304" s="3"/>
      <c r="C3304" s="3"/>
      <c r="D3304" s="73"/>
      <c r="E3304" s="2"/>
      <c r="F3304" s="2"/>
      <c r="G3304" s="2"/>
      <c r="H3304" s="2"/>
      <c r="I3304" s="2"/>
      <c r="J3304" s="2"/>
      <c r="K3304" s="72"/>
      <c r="L3304" s="39"/>
      <c r="M3304" s="72"/>
      <c r="N3304" s="72"/>
    </row>
    <row r="3305" spans="1:14" x14ac:dyDescent="0.2">
      <c r="A3305" s="73"/>
      <c r="B3305" s="3"/>
      <c r="C3305" s="3"/>
      <c r="D3305" s="73"/>
      <c r="E3305" s="2"/>
      <c r="F3305" s="2"/>
      <c r="G3305" s="2"/>
      <c r="H3305" s="2"/>
      <c r="I3305" s="2"/>
      <c r="J3305" s="2"/>
      <c r="K3305" s="72"/>
      <c r="L3305" s="39"/>
      <c r="M3305" s="72"/>
      <c r="N3305" s="72"/>
    </row>
    <row r="3306" spans="1:14" x14ac:dyDescent="0.2">
      <c r="A3306" s="73"/>
      <c r="B3306" s="3"/>
      <c r="C3306" s="3"/>
      <c r="D3306" s="73"/>
      <c r="E3306" s="2"/>
      <c r="F3306" s="2"/>
      <c r="G3306" s="2"/>
      <c r="H3306" s="2"/>
      <c r="I3306" s="2"/>
      <c r="J3306" s="2"/>
      <c r="K3306" s="72"/>
      <c r="L3306" s="39"/>
      <c r="M3306" s="72"/>
      <c r="N3306" s="72"/>
    </row>
    <row r="3307" spans="1:14" x14ac:dyDescent="0.2">
      <c r="A3307" s="73"/>
      <c r="B3307" s="3"/>
      <c r="C3307" s="3"/>
      <c r="D3307" s="73"/>
      <c r="E3307" s="2"/>
      <c r="F3307" s="2"/>
      <c r="G3307" s="2"/>
      <c r="H3307" s="2"/>
      <c r="I3307" s="2"/>
      <c r="J3307" s="2"/>
      <c r="K3307" s="72"/>
      <c r="L3307" s="39"/>
      <c r="M3307" s="72"/>
      <c r="N3307" s="72"/>
    </row>
    <row r="3308" spans="1:14" x14ac:dyDescent="0.2">
      <c r="A3308" s="73"/>
      <c r="B3308" s="3"/>
      <c r="C3308" s="3"/>
      <c r="D3308" s="73"/>
      <c r="E3308" s="2"/>
      <c r="F3308" s="2"/>
      <c r="G3308" s="2"/>
      <c r="H3308" s="2"/>
      <c r="I3308" s="2"/>
      <c r="J3308" s="2"/>
      <c r="K3308" s="72"/>
      <c r="L3308" s="39"/>
      <c r="M3308" s="72"/>
      <c r="N3308" s="72"/>
    </row>
    <row r="3309" spans="1:14" x14ac:dyDescent="0.2">
      <c r="A3309" s="73"/>
      <c r="B3309" s="3"/>
      <c r="C3309" s="3"/>
      <c r="D3309" s="73"/>
      <c r="E3309" s="2"/>
      <c r="F3309" s="2"/>
      <c r="G3309" s="2"/>
      <c r="H3309" s="2"/>
      <c r="I3309" s="2"/>
      <c r="J3309" s="2"/>
      <c r="K3309" s="72"/>
      <c r="L3309" s="39"/>
      <c r="M3309" s="72"/>
      <c r="N3309" s="72"/>
    </row>
    <row r="3310" spans="1:14" x14ac:dyDescent="0.2">
      <c r="A3310" s="73"/>
      <c r="B3310" s="3"/>
      <c r="C3310" s="3"/>
      <c r="D3310" s="73"/>
      <c r="E3310" s="2"/>
      <c r="F3310" s="2"/>
      <c r="G3310" s="2"/>
      <c r="H3310" s="2"/>
      <c r="I3310" s="2"/>
      <c r="J3310" s="2"/>
      <c r="K3310" s="72"/>
      <c r="L3310" s="39"/>
      <c r="M3310" s="72"/>
      <c r="N3310" s="72"/>
    </row>
    <row r="3311" spans="1:14" x14ac:dyDescent="0.2">
      <c r="A3311" s="73"/>
      <c r="B3311" s="3"/>
      <c r="C3311" s="3"/>
      <c r="D3311" s="73"/>
      <c r="E3311" s="2"/>
      <c r="F3311" s="2"/>
      <c r="G3311" s="2"/>
      <c r="H3311" s="2"/>
      <c r="I3311" s="2"/>
      <c r="J3311" s="2"/>
      <c r="K3311" s="72"/>
      <c r="L3311" s="39"/>
      <c r="M3311" s="72"/>
      <c r="N3311" s="72"/>
    </row>
    <row r="3312" spans="1:14" x14ac:dyDescent="0.2">
      <c r="A3312" s="73"/>
      <c r="B3312" s="3"/>
      <c r="C3312" s="3"/>
      <c r="D3312" s="73"/>
      <c r="E3312" s="2"/>
      <c r="F3312" s="2"/>
      <c r="G3312" s="2"/>
      <c r="H3312" s="2"/>
      <c r="I3312" s="2"/>
      <c r="J3312" s="2"/>
      <c r="K3312" s="72"/>
      <c r="L3312" s="39"/>
      <c r="M3312" s="72"/>
      <c r="N3312" s="72"/>
    </row>
    <row r="3313" spans="1:14" x14ac:dyDescent="0.2">
      <c r="A3313" s="73"/>
      <c r="B3313" s="3"/>
      <c r="C3313" s="3"/>
      <c r="D3313" s="73"/>
      <c r="E3313" s="2"/>
      <c r="F3313" s="2"/>
      <c r="G3313" s="2"/>
      <c r="H3313" s="2"/>
      <c r="I3313" s="2"/>
      <c r="J3313" s="2"/>
      <c r="K3313" s="72"/>
      <c r="L3313" s="39"/>
      <c r="M3313" s="72"/>
      <c r="N3313" s="72"/>
    </row>
    <row r="3314" spans="1:14" x14ac:dyDescent="0.2">
      <c r="A3314" s="73"/>
      <c r="B3314" s="3"/>
      <c r="C3314" s="3"/>
      <c r="D3314" s="73"/>
      <c r="E3314" s="2"/>
      <c r="F3314" s="2"/>
      <c r="G3314" s="2"/>
      <c r="H3314" s="2"/>
      <c r="I3314" s="2"/>
      <c r="J3314" s="2"/>
      <c r="K3314" s="72"/>
      <c r="L3314" s="39"/>
      <c r="M3314" s="72"/>
      <c r="N3314" s="72"/>
    </row>
    <row r="3315" spans="1:14" x14ac:dyDescent="0.2">
      <c r="A3315" s="73"/>
      <c r="B3315" s="3"/>
      <c r="C3315" s="3"/>
      <c r="D3315" s="73"/>
      <c r="E3315" s="2"/>
      <c r="F3315" s="2"/>
      <c r="G3315" s="2"/>
      <c r="H3315" s="2"/>
      <c r="I3315" s="2"/>
      <c r="J3315" s="2"/>
      <c r="K3315" s="72"/>
      <c r="L3315" s="39"/>
      <c r="M3315" s="72"/>
      <c r="N3315" s="72"/>
    </row>
    <row r="3316" spans="1:14" x14ac:dyDescent="0.2">
      <c r="A3316" s="73"/>
      <c r="B3316" s="3"/>
      <c r="C3316" s="3"/>
      <c r="D3316" s="73"/>
      <c r="E3316" s="2"/>
      <c r="F3316" s="2"/>
      <c r="G3316" s="2"/>
      <c r="H3316" s="2"/>
      <c r="I3316" s="2"/>
      <c r="J3316" s="2"/>
      <c r="K3316" s="72"/>
      <c r="L3316" s="39"/>
      <c r="M3316" s="72"/>
      <c r="N3316" s="72"/>
    </row>
    <row r="3317" spans="1:14" x14ac:dyDescent="0.2">
      <c r="A3317" s="73"/>
      <c r="B3317" s="3"/>
      <c r="C3317" s="3"/>
      <c r="D3317" s="73"/>
      <c r="E3317" s="2"/>
      <c r="F3317" s="2"/>
      <c r="G3317" s="2"/>
      <c r="H3317" s="2"/>
      <c r="I3317" s="2"/>
      <c r="J3317" s="2"/>
      <c r="K3317" s="72"/>
      <c r="L3317" s="39"/>
      <c r="M3317" s="72"/>
      <c r="N3317" s="72"/>
    </row>
    <row r="3318" spans="1:14" x14ac:dyDescent="0.2">
      <c r="A3318" s="73"/>
      <c r="B3318" s="3"/>
      <c r="C3318" s="3"/>
      <c r="D3318" s="73"/>
      <c r="E3318" s="2"/>
      <c r="F3318" s="2"/>
      <c r="G3318" s="2"/>
      <c r="H3318" s="2"/>
      <c r="I3318" s="2"/>
      <c r="J3318" s="2"/>
      <c r="K3318" s="72"/>
      <c r="L3318" s="39"/>
      <c r="M3318" s="72"/>
      <c r="N3318" s="72"/>
    </row>
    <row r="3319" spans="1:14" x14ac:dyDescent="0.2">
      <c r="A3319" s="73"/>
      <c r="B3319" s="3"/>
      <c r="C3319" s="3"/>
      <c r="D3319" s="73"/>
      <c r="E3319" s="2"/>
      <c r="F3319" s="2"/>
      <c r="G3319" s="2"/>
      <c r="H3319" s="2"/>
      <c r="I3319" s="2"/>
      <c r="J3319" s="2"/>
      <c r="K3319" s="72"/>
      <c r="L3319" s="39"/>
      <c r="M3319" s="72"/>
      <c r="N3319" s="72"/>
    </row>
    <row r="3320" spans="1:14" x14ac:dyDescent="0.2">
      <c r="A3320" s="73"/>
      <c r="B3320" s="3"/>
      <c r="C3320" s="3"/>
      <c r="D3320" s="73"/>
      <c r="E3320" s="2"/>
      <c r="F3320" s="2"/>
      <c r="G3320" s="2"/>
      <c r="H3320" s="2"/>
      <c r="I3320" s="2"/>
      <c r="J3320" s="2"/>
      <c r="K3320" s="72"/>
      <c r="L3320" s="39"/>
      <c r="M3320" s="72"/>
      <c r="N3320" s="72"/>
    </row>
    <row r="3321" spans="1:14" x14ac:dyDescent="0.2">
      <c r="A3321" s="73"/>
      <c r="B3321" s="3"/>
      <c r="C3321" s="3"/>
      <c r="D3321" s="73"/>
      <c r="E3321" s="2"/>
      <c r="F3321" s="2"/>
      <c r="G3321" s="2"/>
      <c r="H3321" s="2"/>
      <c r="I3321" s="2"/>
      <c r="J3321" s="2"/>
      <c r="K3321" s="72"/>
      <c r="L3321" s="39"/>
      <c r="M3321" s="72"/>
      <c r="N3321" s="72"/>
    </row>
    <row r="3322" spans="1:14" x14ac:dyDescent="0.2">
      <c r="A3322" s="73"/>
      <c r="B3322" s="3"/>
      <c r="C3322" s="3"/>
      <c r="D3322" s="73"/>
      <c r="E3322" s="2"/>
      <c r="F3322" s="2"/>
      <c r="G3322" s="2"/>
      <c r="H3322" s="2"/>
      <c r="I3322" s="2"/>
      <c r="J3322" s="2"/>
      <c r="K3322" s="72"/>
      <c r="L3322" s="39"/>
      <c r="M3322" s="72"/>
      <c r="N3322" s="72"/>
    </row>
    <row r="3323" spans="1:14" x14ac:dyDescent="0.2">
      <c r="A3323" s="73"/>
      <c r="B3323" s="3"/>
      <c r="C3323" s="3"/>
      <c r="D3323" s="73"/>
      <c r="E3323" s="2"/>
      <c r="F3323" s="2"/>
      <c r="G3323" s="2"/>
      <c r="H3323" s="2"/>
      <c r="I3323" s="2"/>
      <c r="J3323" s="2"/>
      <c r="K3323" s="72"/>
      <c r="L3323" s="39"/>
      <c r="M3323" s="72"/>
      <c r="N3323" s="72"/>
    </row>
    <row r="3324" spans="1:14" x14ac:dyDescent="0.2">
      <c r="A3324" s="73"/>
      <c r="B3324" s="3"/>
      <c r="C3324" s="3"/>
      <c r="D3324" s="73"/>
      <c r="E3324" s="2"/>
      <c r="F3324" s="2"/>
      <c r="G3324" s="2"/>
      <c r="H3324" s="2"/>
      <c r="I3324" s="2"/>
      <c r="J3324" s="2"/>
      <c r="K3324" s="72"/>
      <c r="L3324" s="39"/>
      <c r="M3324" s="72"/>
      <c r="N3324" s="72"/>
    </row>
    <row r="3325" spans="1:14" x14ac:dyDescent="0.2">
      <c r="A3325" s="73"/>
      <c r="B3325" s="3"/>
      <c r="C3325" s="3"/>
      <c r="D3325" s="73"/>
      <c r="E3325" s="2"/>
      <c r="F3325" s="2"/>
      <c r="G3325" s="2"/>
      <c r="H3325" s="2"/>
      <c r="I3325" s="2"/>
      <c r="J3325" s="2"/>
      <c r="K3325" s="72"/>
      <c r="L3325" s="39"/>
      <c r="M3325" s="72"/>
      <c r="N3325" s="72"/>
    </row>
    <row r="3326" spans="1:14" x14ac:dyDescent="0.2">
      <c r="A3326" s="73"/>
      <c r="B3326" s="3"/>
      <c r="C3326" s="3"/>
      <c r="D3326" s="73"/>
      <c r="E3326" s="2"/>
      <c r="F3326" s="2"/>
      <c r="G3326" s="2"/>
      <c r="H3326" s="2"/>
      <c r="I3326" s="2"/>
      <c r="J3326" s="2"/>
      <c r="K3326" s="72"/>
      <c r="L3326" s="39"/>
      <c r="M3326" s="72"/>
      <c r="N3326" s="72"/>
    </row>
    <row r="3327" spans="1:14" x14ac:dyDescent="0.2">
      <c r="A3327" s="73"/>
      <c r="B3327" s="3"/>
      <c r="C3327" s="3"/>
      <c r="D3327" s="73"/>
      <c r="E3327" s="2"/>
      <c r="F3327" s="2"/>
      <c r="G3327" s="2"/>
      <c r="H3327" s="2"/>
      <c r="I3327" s="2"/>
      <c r="J3327" s="2"/>
      <c r="K3327" s="72"/>
      <c r="L3327" s="39"/>
      <c r="M3327" s="72"/>
      <c r="N3327" s="72"/>
    </row>
    <row r="3328" spans="1:14" x14ac:dyDescent="0.2">
      <c r="A3328" s="73"/>
      <c r="B3328" s="3"/>
      <c r="C3328" s="3"/>
      <c r="D3328" s="73"/>
      <c r="E3328" s="2"/>
      <c r="F3328" s="2"/>
      <c r="G3328" s="2"/>
      <c r="H3328" s="2"/>
      <c r="I3328" s="2"/>
      <c r="J3328" s="2"/>
      <c r="K3328" s="72"/>
      <c r="L3328" s="39"/>
      <c r="M3328" s="72"/>
      <c r="N3328" s="72"/>
    </row>
    <row r="3329" spans="1:14" x14ac:dyDescent="0.2">
      <c r="A3329" s="73"/>
      <c r="B3329" s="3"/>
      <c r="C3329" s="3"/>
      <c r="D3329" s="73"/>
      <c r="E3329" s="2"/>
      <c r="F3329" s="2"/>
      <c r="G3329" s="2"/>
      <c r="H3329" s="2"/>
      <c r="I3329" s="2"/>
      <c r="J3329" s="2"/>
      <c r="K3329" s="72"/>
      <c r="L3329" s="39"/>
      <c r="M3329" s="72"/>
      <c r="N3329" s="72"/>
    </row>
    <row r="3330" spans="1:14" x14ac:dyDescent="0.2">
      <c r="A3330" s="73"/>
      <c r="B3330" s="3"/>
      <c r="C3330" s="3"/>
      <c r="D3330" s="73"/>
      <c r="E3330" s="2"/>
      <c r="F3330" s="2"/>
      <c r="G3330" s="2"/>
      <c r="H3330" s="2"/>
      <c r="I3330" s="2"/>
      <c r="J3330" s="2"/>
      <c r="K3330" s="72"/>
      <c r="L3330" s="39"/>
      <c r="M3330" s="72"/>
      <c r="N3330" s="72"/>
    </row>
    <row r="3331" spans="1:14" x14ac:dyDescent="0.2">
      <c r="A3331" s="73"/>
      <c r="B3331" s="3"/>
      <c r="C3331" s="3"/>
      <c r="D3331" s="73"/>
      <c r="E3331" s="2"/>
      <c r="F3331" s="2"/>
      <c r="G3331" s="2"/>
      <c r="H3331" s="2"/>
      <c r="I3331" s="2"/>
      <c r="J3331" s="2"/>
      <c r="K3331" s="72"/>
      <c r="L3331" s="39"/>
      <c r="M3331" s="72"/>
      <c r="N3331" s="72"/>
    </row>
    <row r="3332" spans="1:14" x14ac:dyDescent="0.2">
      <c r="A3332" s="73"/>
      <c r="B3332" s="3"/>
      <c r="C3332" s="3"/>
      <c r="D3332" s="73"/>
      <c r="E3332" s="2"/>
      <c r="F3332" s="2"/>
      <c r="G3332" s="2"/>
      <c r="H3332" s="2"/>
      <c r="I3332" s="2"/>
      <c r="J3332" s="2"/>
      <c r="K3332" s="72"/>
      <c r="L3332" s="39"/>
      <c r="M3332" s="72"/>
      <c r="N3332" s="72"/>
    </row>
    <row r="3333" spans="1:14" x14ac:dyDescent="0.2">
      <c r="A3333" s="73"/>
      <c r="B3333" s="3"/>
      <c r="C3333" s="3"/>
      <c r="D3333" s="73"/>
      <c r="E3333" s="2"/>
      <c r="F3333" s="2"/>
      <c r="G3333" s="2"/>
      <c r="H3333" s="2"/>
      <c r="I3333" s="2"/>
      <c r="J3333" s="2"/>
      <c r="K3333" s="72"/>
      <c r="L3333" s="39"/>
      <c r="M3333" s="72"/>
      <c r="N3333" s="72"/>
    </row>
    <row r="3334" spans="1:14" x14ac:dyDescent="0.2">
      <c r="A3334" s="73"/>
      <c r="B3334" s="3"/>
      <c r="C3334" s="3"/>
      <c r="D3334" s="73"/>
      <c r="E3334" s="2"/>
      <c r="F3334" s="2"/>
      <c r="G3334" s="2"/>
      <c r="H3334" s="2"/>
      <c r="I3334" s="2"/>
      <c r="J3334" s="2"/>
      <c r="K3334" s="72"/>
      <c r="L3334" s="39"/>
      <c r="M3334" s="72"/>
      <c r="N3334" s="72"/>
    </row>
    <row r="3335" spans="1:14" x14ac:dyDescent="0.2">
      <c r="A3335" s="73"/>
      <c r="B3335" s="3"/>
      <c r="C3335" s="3"/>
      <c r="D3335" s="73"/>
      <c r="E3335" s="2"/>
      <c r="F3335" s="2"/>
      <c r="G3335" s="2"/>
      <c r="H3335" s="2"/>
      <c r="I3335" s="2"/>
      <c r="J3335" s="2"/>
      <c r="K3335" s="72"/>
      <c r="L3335" s="39"/>
      <c r="M3335" s="72"/>
      <c r="N3335" s="72"/>
    </row>
    <row r="3336" spans="1:14" x14ac:dyDescent="0.2">
      <c r="A3336" s="73"/>
      <c r="B3336" s="3"/>
      <c r="C3336" s="3"/>
      <c r="D3336" s="73"/>
      <c r="E3336" s="2"/>
      <c r="F3336" s="2"/>
      <c r="G3336" s="2"/>
      <c r="H3336" s="2"/>
      <c r="I3336" s="2"/>
      <c r="J3336" s="2"/>
      <c r="K3336" s="72"/>
      <c r="L3336" s="39"/>
      <c r="M3336" s="72"/>
      <c r="N3336" s="72"/>
    </row>
    <row r="3337" spans="1:14" x14ac:dyDescent="0.2">
      <c r="A3337" s="73"/>
      <c r="B3337" s="3"/>
      <c r="C3337" s="3"/>
      <c r="D3337" s="73"/>
      <c r="E3337" s="2"/>
      <c r="F3337" s="2"/>
      <c r="G3337" s="2"/>
      <c r="H3337" s="2"/>
      <c r="I3337" s="2"/>
      <c r="J3337" s="2"/>
      <c r="K3337" s="72"/>
      <c r="L3337" s="39"/>
      <c r="M3337" s="72"/>
      <c r="N3337" s="72"/>
    </row>
    <row r="3338" spans="1:14" x14ac:dyDescent="0.2">
      <c r="A3338" s="73"/>
      <c r="B3338" s="3"/>
      <c r="C3338" s="3"/>
      <c r="D3338" s="73"/>
      <c r="E3338" s="2"/>
      <c r="F3338" s="2"/>
      <c r="G3338" s="2"/>
      <c r="H3338" s="2"/>
      <c r="I3338" s="2"/>
      <c r="J3338" s="2"/>
      <c r="K3338" s="72"/>
      <c r="L3338" s="39"/>
      <c r="M3338" s="72"/>
      <c r="N3338" s="72"/>
    </row>
    <row r="3339" spans="1:14" x14ac:dyDescent="0.2">
      <c r="A3339" s="73"/>
      <c r="B3339" s="3"/>
      <c r="C3339" s="3"/>
      <c r="D3339" s="73"/>
      <c r="E3339" s="2"/>
      <c r="F3339" s="2"/>
      <c r="G3339" s="2"/>
      <c r="H3339" s="2"/>
      <c r="I3339" s="2"/>
      <c r="J3339" s="2"/>
      <c r="K3339" s="72"/>
      <c r="L3339" s="39"/>
      <c r="M3339" s="72"/>
      <c r="N3339" s="72"/>
    </row>
    <row r="3340" spans="1:14" x14ac:dyDescent="0.2">
      <c r="A3340" s="73"/>
      <c r="B3340" s="3"/>
      <c r="C3340" s="3"/>
      <c r="D3340" s="73"/>
      <c r="E3340" s="2"/>
      <c r="F3340" s="2"/>
      <c r="G3340" s="2"/>
      <c r="H3340" s="2"/>
      <c r="I3340" s="2"/>
      <c r="J3340" s="2"/>
      <c r="K3340" s="72"/>
      <c r="L3340" s="39"/>
      <c r="M3340" s="72"/>
      <c r="N3340" s="72"/>
    </row>
    <row r="3341" spans="1:14" x14ac:dyDescent="0.2">
      <c r="A3341" s="73"/>
      <c r="B3341" s="3"/>
      <c r="C3341" s="3"/>
      <c r="D3341" s="73"/>
      <c r="E3341" s="2"/>
      <c r="F3341" s="2"/>
      <c r="G3341" s="2"/>
      <c r="H3341" s="2"/>
      <c r="I3341" s="2"/>
      <c r="J3341" s="2"/>
      <c r="K3341" s="72"/>
      <c r="L3341" s="39"/>
      <c r="M3341" s="72"/>
      <c r="N3341" s="72"/>
    </row>
    <row r="3342" spans="1:14" x14ac:dyDescent="0.2">
      <c r="A3342" s="73"/>
      <c r="B3342" s="3"/>
      <c r="C3342" s="3"/>
      <c r="D3342" s="73"/>
      <c r="E3342" s="2"/>
      <c r="F3342" s="2"/>
      <c r="G3342" s="2"/>
      <c r="H3342" s="2"/>
      <c r="I3342" s="2"/>
      <c r="J3342" s="2"/>
      <c r="K3342" s="72"/>
      <c r="L3342" s="39"/>
      <c r="M3342" s="72"/>
      <c r="N3342" s="72"/>
    </row>
    <row r="3343" spans="1:14" x14ac:dyDescent="0.2">
      <c r="A3343" s="73"/>
      <c r="B3343" s="3"/>
      <c r="C3343" s="3"/>
      <c r="D3343" s="73"/>
      <c r="E3343" s="2"/>
      <c r="F3343" s="2"/>
      <c r="G3343" s="2"/>
      <c r="H3343" s="2"/>
      <c r="I3343" s="2"/>
      <c r="J3343" s="2"/>
      <c r="K3343" s="72"/>
      <c r="L3343" s="39"/>
      <c r="M3343" s="72"/>
      <c r="N3343" s="72"/>
    </row>
    <row r="3344" spans="1:14" x14ac:dyDescent="0.2">
      <c r="A3344" s="73"/>
      <c r="B3344" s="3"/>
      <c r="C3344" s="3"/>
      <c r="D3344" s="73"/>
      <c r="E3344" s="2"/>
      <c r="F3344" s="2"/>
      <c r="G3344" s="2"/>
      <c r="H3344" s="2"/>
      <c r="I3344" s="2"/>
      <c r="J3344" s="2"/>
      <c r="K3344" s="72"/>
      <c r="L3344" s="39"/>
      <c r="M3344" s="72"/>
      <c r="N3344" s="72"/>
    </row>
    <row r="3345" spans="1:14" x14ac:dyDescent="0.2">
      <c r="A3345" s="73"/>
      <c r="B3345" s="3"/>
      <c r="C3345" s="3"/>
      <c r="D3345" s="73"/>
      <c r="E3345" s="2"/>
      <c r="F3345" s="2"/>
      <c r="G3345" s="2"/>
      <c r="H3345" s="2"/>
      <c r="I3345" s="2"/>
      <c r="J3345" s="2"/>
      <c r="K3345" s="72"/>
      <c r="L3345" s="39"/>
      <c r="M3345" s="72"/>
      <c r="N3345" s="72"/>
    </row>
    <row r="3346" spans="1:14" x14ac:dyDescent="0.2">
      <c r="A3346" s="73"/>
      <c r="B3346" s="3"/>
      <c r="C3346" s="3"/>
      <c r="D3346" s="73"/>
      <c r="E3346" s="2"/>
      <c r="F3346" s="2"/>
      <c r="G3346" s="2"/>
      <c r="H3346" s="2"/>
      <c r="I3346" s="2"/>
      <c r="J3346" s="2"/>
      <c r="K3346" s="72"/>
      <c r="L3346" s="39"/>
      <c r="M3346" s="72"/>
      <c r="N3346" s="72"/>
    </row>
    <row r="3347" spans="1:14" x14ac:dyDescent="0.2">
      <c r="A3347" s="73"/>
      <c r="B3347" s="3"/>
      <c r="C3347" s="3"/>
      <c r="D3347" s="73"/>
      <c r="E3347" s="2"/>
      <c r="F3347" s="2"/>
      <c r="G3347" s="2"/>
      <c r="H3347" s="2"/>
      <c r="I3347" s="2"/>
      <c r="J3347" s="2"/>
      <c r="K3347" s="72"/>
      <c r="L3347" s="39"/>
      <c r="M3347" s="72"/>
      <c r="N3347" s="72"/>
    </row>
    <row r="3348" spans="1:14" x14ac:dyDescent="0.2">
      <c r="A3348" s="73"/>
      <c r="B3348" s="3"/>
      <c r="C3348" s="3"/>
      <c r="D3348" s="73"/>
      <c r="E3348" s="2"/>
      <c r="F3348" s="2"/>
      <c r="G3348" s="2"/>
      <c r="H3348" s="2"/>
      <c r="I3348" s="2"/>
      <c r="J3348" s="2"/>
      <c r="K3348" s="72"/>
      <c r="L3348" s="39"/>
      <c r="M3348" s="72"/>
      <c r="N3348" s="72"/>
    </row>
    <row r="3349" spans="1:14" x14ac:dyDescent="0.2">
      <c r="A3349" s="73"/>
      <c r="B3349" s="3"/>
      <c r="C3349" s="3"/>
      <c r="D3349" s="73"/>
      <c r="E3349" s="2"/>
      <c r="F3349" s="2"/>
      <c r="G3349" s="2"/>
      <c r="H3349" s="2"/>
      <c r="I3349" s="2"/>
      <c r="J3349" s="2"/>
      <c r="K3349" s="72"/>
      <c r="L3349" s="39"/>
      <c r="M3349" s="72"/>
      <c r="N3349" s="72"/>
    </row>
    <row r="3350" spans="1:14" x14ac:dyDescent="0.2">
      <c r="A3350" s="73"/>
      <c r="B3350" s="3"/>
      <c r="C3350" s="3"/>
      <c r="D3350" s="73"/>
      <c r="E3350" s="2"/>
      <c r="F3350" s="2"/>
      <c r="G3350" s="2"/>
      <c r="H3350" s="2"/>
      <c r="I3350" s="2"/>
      <c r="J3350" s="2"/>
      <c r="K3350" s="72"/>
      <c r="L3350" s="39"/>
      <c r="M3350" s="72"/>
      <c r="N3350" s="72"/>
    </row>
    <row r="3351" spans="1:14" x14ac:dyDescent="0.2">
      <c r="A3351" s="73"/>
      <c r="B3351" s="3"/>
      <c r="C3351" s="3"/>
      <c r="D3351" s="73"/>
      <c r="E3351" s="2"/>
      <c r="F3351" s="2"/>
      <c r="G3351" s="2"/>
      <c r="H3351" s="2"/>
      <c r="I3351" s="2"/>
      <c r="J3351" s="2"/>
      <c r="K3351" s="72"/>
      <c r="L3351" s="39"/>
      <c r="M3351" s="72"/>
      <c r="N3351" s="72"/>
    </row>
    <row r="3352" spans="1:14" x14ac:dyDescent="0.2">
      <c r="A3352" s="73"/>
      <c r="B3352" s="3"/>
      <c r="C3352" s="3"/>
      <c r="D3352" s="73"/>
      <c r="E3352" s="2"/>
      <c r="F3352" s="2"/>
      <c r="G3352" s="2"/>
      <c r="H3352" s="2"/>
      <c r="I3352" s="2"/>
      <c r="J3352" s="2"/>
      <c r="K3352" s="72"/>
      <c r="L3352" s="39"/>
      <c r="M3352" s="72"/>
      <c r="N3352" s="72"/>
    </row>
    <row r="3353" spans="1:14" x14ac:dyDescent="0.2">
      <c r="A3353" s="73"/>
      <c r="B3353" s="3"/>
      <c r="C3353" s="3"/>
      <c r="D3353" s="73"/>
      <c r="E3353" s="2"/>
      <c r="F3353" s="2"/>
      <c r="G3353" s="2"/>
      <c r="H3353" s="2"/>
      <c r="I3353" s="2"/>
      <c r="J3353" s="2"/>
      <c r="K3353" s="72"/>
      <c r="L3353" s="39"/>
      <c r="M3353" s="72"/>
      <c r="N3353" s="72"/>
    </row>
    <row r="3354" spans="1:14" x14ac:dyDescent="0.2">
      <c r="A3354" s="73"/>
      <c r="B3354" s="3"/>
      <c r="C3354" s="3"/>
      <c r="D3354" s="73"/>
      <c r="E3354" s="2"/>
      <c r="F3354" s="2"/>
      <c r="G3354" s="2"/>
      <c r="H3354" s="2"/>
      <c r="I3354" s="2"/>
      <c r="J3354" s="2"/>
      <c r="K3354" s="72"/>
      <c r="L3354" s="39"/>
      <c r="M3354" s="72"/>
      <c r="N3354" s="72"/>
    </row>
    <row r="3355" spans="1:14" x14ac:dyDescent="0.2">
      <c r="A3355" s="73"/>
      <c r="B3355" s="3"/>
      <c r="C3355" s="3"/>
      <c r="D3355" s="73"/>
      <c r="E3355" s="2"/>
      <c r="F3355" s="2"/>
      <c r="G3355" s="2"/>
      <c r="H3355" s="2"/>
      <c r="I3355" s="2"/>
      <c r="J3355" s="2"/>
      <c r="K3355" s="72"/>
      <c r="L3355" s="39"/>
      <c r="M3355" s="72"/>
      <c r="N3355" s="72"/>
    </row>
    <row r="3356" spans="1:14" x14ac:dyDescent="0.2">
      <c r="A3356" s="73"/>
      <c r="B3356" s="3"/>
      <c r="C3356" s="3"/>
      <c r="D3356" s="73"/>
      <c r="E3356" s="2"/>
      <c r="F3356" s="2"/>
      <c r="G3356" s="2"/>
      <c r="H3356" s="2"/>
      <c r="I3356" s="2"/>
      <c r="J3356" s="2"/>
      <c r="K3356" s="72"/>
      <c r="L3356" s="39"/>
      <c r="M3356" s="72"/>
      <c r="N3356" s="72"/>
    </row>
    <row r="3357" spans="1:14" x14ac:dyDescent="0.2">
      <c r="A3357" s="73"/>
      <c r="B3357" s="3"/>
      <c r="C3357" s="3"/>
      <c r="D3357" s="73"/>
      <c r="E3357" s="2"/>
      <c r="F3357" s="2"/>
      <c r="G3357" s="2"/>
      <c r="H3357" s="2"/>
      <c r="I3357" s="2"/>
      <c r="J3357" s="2"/>
      <c r="K3357" s="72"/>
      <c r="L3357" s="39"/>
      <c r="M3357" s="72"/>
      <c r="N3357" s="72"/>
    </row>
    <row r="3358" spans="1:14" x14ac:dyDescent="0.2">
      <c r="A3358" s="73"/>
      <c r="B3358" s="3"/>
      <c r="C3358" s="3"/>
      <c r="D3358" s="73"/>
      <c r="E3358" s="2"/>
      <c r="F3358" s="2"/>
      <c r="G3358" s="2"/>
      <c r="H3358" s="2"/>
      <c r="I3358" s="2"/>
      <c r="J3358" s="2"/>
      <c r="K3358" s="72"/>
      <c r="L3358" s="39"/>
      <c r="M3358" s="72"/>
      <c r="N3358" s="72"/>
    </row>
    <row r="3359" spans="1:14" x14ac:dyDescent="0.2">
      <c r="A3359" s="73"/>
      <c r="B3359" s="3"/>
      <c r="C3359" s="3"/>
      <c r="D3359" s="73"/>
      <c r="E3359" s="2"/>
      <c r="F3359" s="2"/>
      <c r="G3359" s="2"/>
      <c r="H3359" s="2"/>
      <c r="I3359" s="2"/>
      <c r="J3359" s="2"/>
      <c r="K3359" s="72"/>
      <c r="L3359" s="39"/>
      <c r="M3359" s="72"/>
      <c r="N3359" s="72"/>
    </row>
    <row r="3360" spans="1:14" x14ac:dyDescent="0.2">
      <c r="A3360" s="73"/>
      <c r="B3360" s="3"/>
      <c r="C3360" s="3"/>
      <c r="D3360" s="73"/>
      <c r="E3360" s="2"/>
      <c r="F3360" s="2"/>
      <c r="G3360" s="2"/>
      <c r="H3360" s="2"/>
      <c r="I3360" s="2"/>
      <c r="J3360" s="2"/>
      <c r="K3360" s="72"/>
      <c r="L3360" s="39"/>
      <c r="M3360" s="72"/>
      <c r="N3360" s="72"/>
    </row>
    <row r="3361" spans="1:14" x14ac:dyDescent="0.2">
      <c r="A3361" s="73"/>
      <c r="B3361" s="3"/>
      <c r="C3361" s="3"/>
      <c r="D3361" s="73"/>
      <c r="E3361" s="2"/>
      <c r="F3361" s="2"/>
      <c r="G3361" s="2"/>
      <c r="H3361" s="2"/>
      <c r="I3361" s="2"/>
      <c r="J3361" s="2"/>
      <c r="K3361" s="72"/>
      <c r="L3361" s="39"/>
      <c r="M3361" s="72"/>
      <c r="N3361" s="72"/>
    </row>
    <row r="3362" spans="1:14" x14ac:dyDescent="0.2">
      <c r="A3362" s="73"/>
      <c r="B3362" s="3"/>
      <c r="C3362" s="3"/>
      <c r="D3362" s="73"/>
      <c r="E3362" s="2"/>
      <c r="F3362" s="2"/>
      <c r="G3362" s="2"/>
      <c r="H3362" s="2"/>
      <c r="I3362" s="2"/>
      <c r="J3362" s="2"/>
      <c r="K3362" s="72"/>
      <c r="L3362" s="39"/>
      <c r="M3362" s="72"/>
      <c r="N3362" s="72"/>
    </row>
    <row r="3363" spans="1:14" x14ac:dyDescent="0.2">
      <c r="A3363" s="73"/>
      <c r="B3363" s="3"/>
      <c r="C3363" s="3"/>
      <c r="D3363" s="73"/>
      <c r="E3363" s="2"/>
      <c r="F3363" s="2"/>
      <c r="G3363" s="2"/>
      <c r="H3363" s="2"/>
      <c r="I3363" s="2"/>
      <c r="J3363" s="2"/>
      <c r="K3363" s="72"/>
      <c r="L3363" s="39"/>
      <c r="M3363" s="72"/>
      <c r="N3363" s="72"/>
    </row>
    <row r="3364" spans="1:14" x14ac:dyDescent="0.2">
      <c r="A3364" s="73"/>
      <c r="B3364" s="3"/>
      <c r="C3364" s="3"/>
      <c r="D3364" s="73"/>
      <c r="E3364" s="2"/>
      <c r="F3364" s="2"/>
      <c r="G3364" s="2"/>
      <c r="H3364" s="2"/>
      <c r="I3364" s="2"/>
      <c r="J3364" s="2"/>
      <c r="K3364" s="72"/>
      <c r="L3364" s="39"/>
      <c r="M3364" s="72"/>
      <c r="N3364" s="72"/>
    </row>
    <row r="3365" spans="1:14" x14ac:dyDescent="0.2">
      <c r="A3365" s="73"/>
      <c r="B3365" s="3"/>
      <c r="C3365" s="3"/>
      <c r="D3365" s="73"/>
      <c r="E3365" s="2"/>
      <c r="F3365" s="2"/>
      <c r="G3365" s="2"/>
      <c r="H3365" s="2"/>
      <c r="I3365" s="2"/>
      <c r="J3365" s="2"/>
      <c r="K3365" s="72"/>
      <c r="L3365" s="39"/>
      <c r="M3365" s="72"/>
      <c r="N3365" s="72"/>
    </row>
    <row r="3366" spans="1:14" x14ac:dyDescent="0.2">
      <c r="A3366" s="73"/>
      <c r="B3366" s="3"/>
      <c r="C3366" s="3"/>
      <c r="D3366" s="73"/>
      <c r="E3366" s="2"/>
      <c r="F3366" s="2"/>
      <c r="G3366" s="2"/>
      <c r="H3366" s="2"/>
      <c r="I3366" s="2"/>
      <c r="J3366" s="2"/>
      <c r="K3366" s="72"/>
      <c r="L3366" s="39"/>
      <c r="M3366" s="72"/>
      <c r="N3366" s="72"/>
    </row>
    <row r="3367" spans="1:14" x14ac:dyDescent="0.2">
      <c r="A3367" s="73"/>
      <c r="B3367" s="3"/>
      <c r="C3367" s="3"/>
      <c r="D3367" s="73"/>
      <c r="E3367" s="2"/>
      <c r="F3367" s="2"/>
      <c r="G3367" s="2"/>
      <c r="H3367" s="2"/>
      <c r="I3367" s="2"/>
      <c r="J3367" s="2"/>
      <c r="K3367" s="72"/>
      <c r="L3367" s="39"/>
      <c r="M3367" s="72"/>
      <c r="N3367" s="72"/>
    </row>
    <row r="3368" spans="1:14" x14ac:dyDescent="0.2">
      <c r="A3368" s="73"/>
      <c r="B3368" s="3"/>
      <c r="C3368" s="3"/>
      <c r="D3368" s="73"/>
      <c r="E3368" s="2"/>
      <c r="F3368" s="2"/>
      <c r="G3368" s="2"/>
      <c r="H3368" s="2"/>
      <c r="I3368" s="2"/>
      <c r="J3368" s="2"/>
      <c r="K3368" s="72"/>
      <c r="L3368" s="39"/>
      <c r="M3368" s="72"/>
      <c r="N3368" s="72"/>
    </row>
    <row r="3369" spans="1:14" x14ac:dyDescent="0.2">
      <c r="A3369" s="73"/>
      <c r="B3369" s="3"/>
      <c r="C3369" s="3"/>
      <c r="D3369" s="73"/>
      <c r="E3369" s="2"/>
      <c r="F3369" s="2"/>
      <c r="G3369" s="2"/>
      <c r="H3369" s="2"/>
      <c r="I3369" s="2"/>
      <c r="J3369" s="2"/>
      <c r="K3369" s="72"/>
      <c r="L3369" s="39"/>
      <c r="M3369" s="72"/>
      <c r="N3369" s="72"/>
    </row>
    <row r="3370" spans="1:14" x14ac:dyDescent="0.2">
      <c r="A3370" s="73"/>
      <c r="B3370" s="3"/>
      <c r="C3370" s="3"/>
      <c r="D3370" s="73"/>
      <c r="E3370" s="2"/>
      <c r="F3370" s="2"/>
      <c r="G3370" s="2"/>
      <c r="H3370" s="2"/>
      <c r="I3370" s="2"/>
      <c r="J3370" s="2"/>
      <c r="K3370" s="72"/>
      <c r="L3370" s="39"/>
      <c r="M3370" s="72"/>
      <c r="N3370" s="72"/>
    </row>
    <row r="3371" spans="1:14" x14ac:dyDescent="0.2">
      <c r="A3371" s="73"/>
      <c r="B3371" s="3"/>
      <c r="C3371" s="3"/>
      <c r="D3371" s="73"/>
      <c r="E3371" s="2"/>
      <c r="F3371" s="2"/>
      <c r="G3371" s="2"/>
      <c r="H3371" s="2"/>
      <c r="I3371" s="2"/>
      <c r="J3371" s="2"/>
      <c r="K3371" s="72"/>
      <c r="L3371" s="39"/>
      <c r="M3371" s="72"/>
      <c r="N3371" s="72"/>
    </row>
    <row r="3372" spans="1:14" x14ac:dyDescent="0.2">
      <c r="A3372" s="73"/>
      <c r="B3372" s="3"/>
      <c r="C3372" s="3"/>
      <c r="D3372" s="73"/>
      <c r="E3372" s="2"/>
      <c r="F3372" s="2"/>
      <c r="G3372" s="2"/>
      <c r="H3372" s="2"/>
      <c r="I3372" s="2"/>
      <c r="J3372" s="2"/>
      <c r="K3372" s="72"/>
      <c r="L3372" s="39"/>
      <c r="M3372" s="72"/>
      <c r="N3372" s="72"/>
    </row>
    <row r="3373" spans="1:14" x14ac:dyDescent="0.2">
      <c r="A3373" s="73"/>
      <c r="B3373" s="3"/>
      <c r="C3373" s="3"/>
      <c r="D3373" s="73"/>
      <c r="E3373" s="2"/>
      <c r="F3373" s="2"/>
      <c r="G3373" s="2"/>
      <c r="H3373" s="2"/>
      <c r="I3373" s="2"/>
      <c r="J3373" s="2"/>
      <c r="K3373" s="72"/>
      <c r="L3373" s="39"/>
      <c r="M3373" s="72"/>
      <c r="N3373" s="72"/>
    </row>
    <row r="3374" spans="1:14" x14ac:dyDescent="0.2">
      <c r="A3374" s="73"/>
      <c r="B3374" s="3"/>
      <c r="C3374" s="3"/>
      <c r="D3374" s="73"/>
      <c r="E3374" s="2"/>
      <c r="F3374" s="2"/>
      <c r="G3374" s="2"/>
      <c r="H3374" s="2"/>
      <c r="I3374" s="2"/>
      <c r="J3374" s="2"/>
      <c r="K3374" s="72"/>
      <c r="L3374" s="39"/>
      <c r="M3374" s="72"/>
      <c r="N3374" s="72"/>
    </row>
    <row r="3375" spans="1:14" x14ac:dyDescent="0.2">
      <c r="A3375" s="73"/>
      <c r="B3375" s="3"/>
      <c r="C3375" s="3"/>
      <c r="D3375" s="73"/>
      <c r="E3375" s="2"/>
      <c r="F3375" s="2"/>
      <c r="G3375" s="2"/>
      <c r="H3375" s="2"/>
      <c r="I3375" s="2"/>
      <c r="J3375" s="2"/>
      <c r="K3375" s="72"/>
      <c r="L3375" s="39"/>
      <c r="M3375" s="72"/>
      <c r="N3375" s="72"/>
    </row>
    <row r="3376" spans="1:14" x14ac:dyDescent="0.2">
      <c r="A3376" s="73"/>
      <c r="B3376" s="3"/>
      <c r="C3376" s="3"/>
      <c r="D3376" s="73"/>
      <c r="E3376" s="2"/>
      <c r="F3376" s="2"/>
      <c r="G3376" s="2"/>
      <c r="H3376" s="2"/>
      <c r="I3376" s="2"/>
      <c r="J3376" s="2"/>
      <c r="K3376" s="72"/>
      <c r="L3376" s="39"/>
      <c r="M3376" s="72"/>
      <c r="N3376" s="72"/>
    </row>
    <row r="3377" spans="1:14" x14ac:dyDescent="0.2">
      <c r="A3377" s="73"/>
      <c r="B3377" s="3"/>
      <c r="C3377" s="3"/>
      <c r="D3377" s="73"/>
      <c r="E3377" s="2"/>
      <c r="F3377" s="2"/>
      <c r="G3377" s="2"/>
      <c r="H3377" s="2"/>
      <c r="I3377" s="2"/>
      <c r="J3377" s="2"/>
      <c r="K3377" s="72"/>
      <c r="L3377" s="39"/>
      <c r="M3377" s="72"/>
      <c r="N3377" s="72"/>
    </row>
    <row r="3378" spans="1:14" x14ac:dyDescent="0.2">
      <c r="A3378" s="73"/>
      <c r="B3378" s="3"/>
      <c r="C3378" s="3"/>
      <c r="D3378" s="73"/>
      <c r="E3378" s="2"/>
      <c r="F3378" s="2"/>
      <c r="G3378" s="2"/>
      <c r="H3378" s="2"/>
      <c r="I3378" s="2"/>
      <c r="J3378" s="2"/>
      <c r="K3378" s="72"/>
      <c r="L3378" s="39"/>
      <c r="M3378" s="72"/>
      <c r="N3378" s="72"/>
    </row>
    <row r="3379" spans="1:14" x14ac:dyDescent="0.2">
      <c r="A3379" s="73"/>
      <c r="B3379" s="3"/>
      <c r="C3379" s="3"/>
      <c r="D3379" s="73"/>
      <c r="E3379" s="2"/>
      <c r="F3379" s="2"/>
      <c r="G3379" s="2"/>
      <c r="H3379" s="2"/>
      <c r="I3379" s="2"/>
      <c r="J3379" s="2"/>
      <c r="K3379" s="72"/>
      <c r="L3379" s="39"/>
      <c r="M3379" s="72"/>
      <c r="N3379" s="72"/>
    </row>
    <row r="3380" spans="1:14" x14ac:dyDescent="0.2">
      <c r="A3380" s="73"/>
      <c r="B3380" s="3"/>
      <c r="C3380" s="3"/>
      <c r="D3380" s="73"/>
      <c r="E3380" s="2"/>
      <c r="F3380" s="2"/>
      <c r="G3380" s="2"/>
      <c r="H3380" s="2"/>
      <c r="I3380" s="2"/>
      <c r="J3380" s="2"/>
      <c r="K3380" s="72"/>
      <c r="L3380" s="39"/>
      <c r="M3380" s="72"/>
      <c r="N3380" s="72"/>
    </row>
    <row r="3381" spans="1:14" x14ac:dyDescent="0.2">
      <c r="A3381" s="73"/>
      <c r="B3381" s="3"/>
      <c r="C3381" s="3"/>
      <c r="D3381" s="73"/>
      <c r="E3381" s="2"/>
      <c r="F3381" s="2"/>
      <c r="G3381" s="2"/>
      <c r="H3381" s="2"/>
      <c r="I3381" s="2"/>
      <c r="J3381" s="2"/>
      <c r="K3381" s="72"/>
      <c r="L3381" s="39"/>
      <c r="M3381" s="72"/>
      <c r="N3381" s="72"/>
    </row>
    <row r="3382" spans="1:14" x14ac:dyDescent="0.2">
      <c r="A3382" s="73"/>
      <c r="B3382" s="3"/>
      <c r="C3382" s="3"/>
      <c r="D3382" s="73"/>
      <c r="E3382" s="2"/>
      <c r="F3382" s="2"/>
      <c r="G3382" s="2"/>
      <c r="H3382" s="2"/>
      <c r="I3382" s="2"/>
      <c r="J3382" s="2"/>
      <c r="K3382" s="72"/>
      <c r="L3382" s="39"/>
      <c r="M3382" s="72"/>
      <c r="N3382" s="72"/>
    </row>
    <row r="3383" spans="1:14" x14ac:dyDescent="0.2">
      <c r="A3383" s="73"/>
      <c r="B3383" s="3"/>
      <c r="C3383" s="3"/>
      <c r="D3383" s="73"/>
      <c r="E3383" s="2"/>
      <c r="F3383" s="2"/>
      <c r="G3383" s="2"/>
      <c r="H3383" s="2"/>
      <c r="I3383" s="2"/>
      <c r="J3383" s="2"/>
      <c r="K3383" s="72"/>
      <c r="L3383" s="39"/>
      <c r="M3383" s="72"/>
      <c r="N3383" s="72"/>
    </row>
    <row r="3384" spans="1:14" x14ac:dyDescent="0.2">
      <c r="A3384" s="73"/>
      <c r="B3384" s="3"/>
      <c r="C3384" s="3"/>
      <c r="D3384" s="73"/>
      <c r="E3384" s="2"/>
      <c r="F3384" s="2"/>
      <c r="G3384" s="2"/>
      <c r="H3384" s="2"/>
      <c r="I3384" s="2"/>
      <c r="J3384" s="2"/>
      <c r="K3384" s="72"/>
      <c r="L3384" s="39"/>
      <c r="M3384" s="72"/>
      <c r="N3384" s="72"/>
    </row>
    <row r="3385" spans="1:14" x14ac:dyDescent="0.2">
      <c r="A3385" s="73"/>
      <c r="B3385" s="3"/>
      <c r="C3385" s="3"/>
      <c r="D3385" s="73"/>
      <c r="E3385" s="2"/>
      <c r="F3385" s="2"/>
      <c r="G3385" s="2"/>
      <c r="H3385" s="2"/>
      <c r="I3385" s="2"/>
      <c r="J3385" s="2"/>
      <c r="K3385" s="72"/>
      <c r="L3385" s="39"/>
      <c r="M3385" s="72"/>
      <c r="N3385" s="72"/>
    </row>
    <row r="3386" spans="1:14" x14ac:dyDescent="0.2">
      <c r="A3386" s="73"/>
      <c r="B3386" s="3"/>
      <c r="C3386" s="3"/>
      <c r="D3386" s="73"/>
      <c r="E3386" s="2"/>
      <c r="F3386" s="2"/>
      <c r="G3386" s="2"/>
      <c r="H3386" s="2"/>
      <c r="I3386" s="2"/>
      <c r="J3386" s="2"/>
      <c r="K3386" s="72"/>
      <c r="L3386" s="39"/>
      <c r="M3386" s="72"/>
      <c r="N3386" s="72"/>
    </row>
    <row r="3387" spans="1:14" x14ac:dyDescent="0.2">
      <c r="A3387" s="73"/>
      <c r="B3387" s="3"/>
      <c r="C3387" s="3"/>
      <c r="D3387" s="73"/>
      <c r="E3387" s="2"/>
      <c r="F3387" s="2"/>
      <c r="G3387" s="2"/>
      <c r="H3387" s="2"/>
      <c r="I3387" s="2"/>
      <c r="J3387" s="2"/>
      <c r="K3387" s="72"/>
      <c r="L3387" s="39"/>
      <c r="M3387" s="72"/>
      <c r="N3387" s="72"/>
    </row>
    <row r="3388" spans="1:14" x14ac:dyDescent="0.2">
      <c r="A3388" s="73"/>
      <c r="B3388" s="3"/>
      <c r="C3388" s="3"/>
      <c r="D3388" s="73"/>
      <c r="E3388" s="2"/>
      <c r="F3388" s="2"/>
      <c r="G3388" s="2"/>
      <c r="H3388" s="2"/>
      <c r="I3388" s="2"/>
      <c r="J3388" s="2"/>
      <c r="K3388" s="72"/>
      <c r="L3388" s="39"/>
      <c r="M3388" s="72"/>
      <c r="N3388" s="72"/>
    </row>
    <row r="3389" spans="1:14" x14ac:dyDescent="0.2">
      <c r="A3389" s="73"/>
      <c r="B3389" s="3"/>
      <c r="C3389" s="3"/>
      <c r="D3389" s="73"/>
      <c r="E3389" s="2"/>
      <c r="F3389" s="2"/>
      <c r="G3389" s="2"/>
      <c r="H3389" s="2"/>
      <c r="I3389" s="2"/>
      <c r="J3389" s="2"/>
      <c r="K3389" s="72"/>
      <c r="L3389" s="39"/>
      <c r="M3389" s="72"/>
      <c r="N3389" s="72"/>
    </row>
    <row r="3390" spans="1:14" x14ac:dyDescent="0.2">
      <c r="A3390" s="73"/>
      <c r="B3390" s="3"/>
      <c r="C3390" s="3"/>
      <c r="D3390" s="73"/>
      <c r="E3390" s="2"/>
      <c r="F3390" s="2"/>
      <c r="G3390" s="2"/>
      <c r="H3390" s="2"/>
      <c r="I3390" s="2"/>
      <c r="J3390" s="2"/>
      <c r="K3390" s="72"/>
      <c r="L3390" s="39"/>
      <c r="M3390" s="72"/>
      <c r="N3390" s="72"/>
    </row>
    <row r="3391" spans="1:14" x14ac:dyDescent="0.2">
      <c r="A3391" s="73"/>
      <c r="B3391" s="3"/>
      <c r="C3391" s="3"/>
      <c r="D3391" s="73"/>
      <c r="E3391" s="2"/>
      <c r="F3391" s="2"/>
      <c r="G3391" s="2"/>
      <c r="H3391" s="2"/>
      <c r="I3391" s="2"/>
      <c r="J3391" s="2"/>
      <c r="K3391" s="72"/>
      <c r="L3391" s="39"/>
      <c r="M3391" s="72"/>
      <c r="N3391" s="72"/>
    </row>
    <row r="3392" spans="1:14" x14ac:dyDescent="0.2">
      <c r="A3392" s="73"/>
      <c r="B3392" s="3"/>
      <c r="C3392" s="3"/>
      <c r="D3392" s="73"/>
      <c r="E3392" s="2"/>
      <c r="F3392" s="2"/>
      <c r="G3392" s="2"/>
      <c r="H3392" s="2"/>
      <c r="I3392" s="2"/>
      <c r="J3392" s="2"/>
      <c r="K3392" s="72"/>
      <c r="L3392" s="39"/>
      <c r="M3392" s="72"/>
      <c r="N3392" s="72"/>
    </row>
    <row r="3393" spans="1:14" x14ac:dyDescent="0.2">
      <c r="A3393" s="73"/>
      <c r="B3393" s="3"/>
      <c r="C3393" s="3"/>
      <c r="D3393" s="73"/>
      <c r="E3393" s="2"/>
      <c r="F3393" s="2"/>
      <c r="G3393" s="2"/>
      <c r="H3393" s="2"/>
      <c r="I3393" s="2"/>
      <c r="J3393" s="2"/>
      <c r="K3393" s="72"/>
      <c r="L3393" s="39"/>
      <c r="M3393" s="72"/>
      <c r="N3393" s="72"/>
    </row>
    <row r="3394" spans="1:14" x14ac:dyDescent="0.2">
      <c r="A3394" s="73"/>
      <c r="B3394" s="3"/>
      <c r="C3394" s="3"/>
      <c r="D3394" s="73"/>
      <c r="E3394" s="2"/>
      <c r="F3394" s="2"/>
      <c r="G3394" s="2"/>
      <c r="H3394" s="2"/>
      <c r="I3394" s="2"/>
      <c r="J3394" s="2"/>
      <c r="K3394" s="72"/>
      <c r="L3394" s="39"/>
      <c r="M3394" s="72"/>
      <c r="N3394" s="72"/>
    </row>
    <row r="3395" spans="1:14" x14ac:dyDescent="0.2">
      <c r="A3395" s="73"/>
      <c r="B3395" s="3"/>
      <c r="C3395" s="3"/>
      <c r="D3395" s="73"/>
      <c r="E3395" s="2"/>
      <c r="F3395" s="2"/>
      <c r="G3395" s="2"/>
      <c r="H3395" s="2"/>
      <c r="I3395" s="2"/>
      <c r="J3395" s="2"/>
      <c r="K3395" s="72"/>
      <c r="L3395" s="39"/>
      <c r="M3395" s="72"/>
      <c r="N3395" s="72"/>
    </row>
    <row r="3396" spans="1:14" x14ac:dyDescent="0.2">
      <c r="A3396" s="73"/>
      <c r="B3396" s="3"/>
      <c r="C3396" s="3"/>
      <c r="D3396" s="73"/>
      <c r="E3396" s="2"/>
      <c r="F3396" s="2"/>
      <c r="G3396" s="2"/>
      <c r="H3396" s="2"/>
      <c r="I3396" s="2"/>
      <c r="J3396" s="2"/>
      <c r="K3396" s="72"/>
      <c r="L3396" s="39"/>
      <c r="M3396" s="72"/>
      <c r="N3396" s="72"/>
    </row>
    <row r="3397" spans="1:14" x14ac:dyDescent="0.2">
      <c r="A3397" s="73"/>
      <c r="B3397" s="3"/>
      <c r="C3397" s="3"/>
      <c r="D3397" s="73"/>
      <c r="E3397" s="2"/>
      <c r="F3397" s="2"/>
      <c r="G3397" s="2"/>
      <c r="H3397" s="2"/>
      <c r="I3397" s="2"/>
      <c r="J3397" s="2"/>
      <c r="K3397" s="72"/>
      <c r="L3397" s="39"/>
      <c r="M3397" s="72"/>
      <c r="N3397" s="72"/>
    </row>
    <row r="3398" spans="1:14" x14ac:dyDescent="0.2">
      <c r="A3398" s="73"/>
      <c r="B3398" s="3"/>
      <c r="C3398" s="3"/>
      <c r="D3398" s="73"/>
      <c r="E3398" s="2"/>
      <c r="F3398" s="2"/>
      <c r="G3398" s="2"/>
      <c r="H3398" s="2"/>
      <c r="I3398" s="2"/>
      <c r="J3398" s="2"/>
      <c r="K3398" s="72"/>
      <c r="L3398" s="39"/>
      <c r="M3398" s="72"/>
      <c r="N3398" s="72"/>
    </row>
    <row r="3399" spans="1:14" x14ac:dyDescent="0.2">
      <c r="A3399" s="73"/>
      <c r="B3399" s="3"/>
      <c r="C3399" s="3"/>
      <c r="D3399" s="73"/>
      <c r="E3399" s="2"/>
      <c r="F3399" s="2"/>
      <c r="G3399" s="2"/>
      <c r="H3399" s="2"/>
      <c r="I3399" s="2"/>
      <c r="J3399" s="2"/>
      <c r="K3399" s="72"/>
      <c r="L3399" s="39"/>
      <c r="M3399" s="72"/>
      <c r="N3399" s="72"/>
    </row>
    <row r="3400" spans="1:14" x14ac:dyDescent="0.2">
      <c r="A3400" s="73"/>
      <c r="B3400" s="3"/>
      <c r="C3400" s="3"/>
      <c r="D3400" s="73"/>
      <c r="E3400" s="2"/>
      <c r="F3400" s="2"/>
      <c r="G3400" s="2"/>
      <c r="H3400" s="2"/>
      <c r="I3400" s="2"/>
      <c r="J3400" s="2"/>
      <c r="K3400" s="72"/>
      <c r="L3400" s="39"/>
      <c r="M3400" s="72"/>
      <c r="N3400" s="72"/>
    </row>
    <row r="3401" spans="1:14" x14ac:dyDescent="0.2">
      <c r="A3401" s="73"/>
      <c r="B3401" s="3"/>
      <c r="C3401" s="3"/>
      <c r="D3401" s="73"/>
      <c r="E3401" s="2"/>
      <c r="F3401" s="2"/>
      <c r="G3401" s="2"/>
      <c r="H3401" s="2"/>
      <c r="I3401" s="2"/>
      <c r="J3401" s="2"/>
      <c r="K3401" s="72"/>
      <c r="L3401" s="39"/>
      <c r="M3401" s="72"/>
      <c r="N3401" s="72"/>
    </row>
    <row r="3402" spans="1:14" x14ac:dyDescent="0.2">
      <c r="A3402" s="73"/>
      <c r="B3402" s="3"/>
      <c r="C3402" s="3"/>
      <c r="D3402" s="73"/>
      <c r="E3402" s="2"/>
      <c r="F3402" s="2"/>
      <c r="G3402" s="2"/>
      <c r="H3402" s="2"/>
      <c r="I3402" s="2"/>
      <c r="J3402" s="2"/>
      <c r="K3402" s="72"/>
      <c r="L3402" s="39"/>
      <c r="M3402" s="72"/>
      <c r="N3402" s="72"/>
    </row>
    <row r="3403" spans="1:14" x14ac:dyDescent="0.2">
      <c r="A3403" s="73"/>
      <c r="B3403" s="3"/>
      <c r="C3403" s="3"/>
      <c r="D3403" s="73"/>
      <c r="E3403" s="2"/>
      <c r="F3403" s="2"/>
      <c r="G3403" s="2"/>
      <c r="H3403" s="2"/>
      <c r="I3403" s="2"/>
      <c r="J3403" s="2"/>
      <c r="K3403" s="72"/>
      <c r="L3403" s="39"/>
      <c r="M3403" s="72"/>
      <c r="N3403" s="72"/>
    </row>
    <row r="3404" spans="1:14" x14ac:dyDescent="0.2">
      <c r="A3404" s="73"/>
      <c r="B3404" s="3"/>
      <c r="C3404" s="3"/>
      <c r="D3404" s="73"/>
      <c r="E3404" s="2"/>
      <c r="F3404" s="2"/>
      <c r="G3404" s="2"/>
      <c r="H3404" s="2"/>
      <c r="I3404" s="2"/>
      <c r="J3404" s="2"/>
      <c r="K3404" s="72"/>
      <c r="L3404" s="39"/>
      <c r="M3404" s="72"/>
      <c r="N3404" s="72"/>
    </row>
    <row r="3405" spans="1:14" x14ac:dyDescent="0.2">
      <c r="A3405" s="73"/>
      <c r="B3405" s="3"/>
      <c r="C3405" s="3"/>
      <c r="D3405" s="73"/>
      <c r="E3405" s="2"/>
      <c r="F3405" s="2"/>
      <c r="G3405" s="2"/>
      <c r="H3405" s="2"/>
      <c r="I3405" s="2"/>
      <c r="J3405" s="2"/>
      <c r="K3405" s="72"/>
      <c r="L3405" s="39"/>
      <c r="M3405" s="72"/>
      <c r="N3405" s="72"/>
    </row>
    <row r="3406" spans="1:14" x14ac:dyDescent="0.2">
      <c r="A3406" s="73"/>
      <c r="B3406" s="3"/>
      <c r="C3406" s="3"/>
      <c r="D3406" s="73"/>
      <c r="E3406" s="2"/>
      <c r="F3406" s="2"/>
      <c r="G3406" s="2"/>
      <c r="H3406" s="2"/>
      <c r="I3406" s="2"/>
      <c r="J3406" s="2"/>
      <c r="K3406" s="72"/>
      <c r="L3406" s="39"/>
      <c r="M3406" s="72"/>
      <c r="N3406" s="72"/>
    </row>
    <row r="3407" spans="1:14" x14ac:dyDescent="0.2">
      <c r="A3407" s="73"/>
      <c r="B3407" s="3"/>
      <c r="C3407" s="3"/>
      <c r="D3407" s="73"/>
      <c r="E3407" s="2"/>
      <c r="F3407" s="2"/>
      <c r="G3407" s="2"/>
      <c r="H3407" s="2"/>
      <c r="I3407" s="2"/>
      <c r="J3407" s="2"/>
      <c r="K3407" s="72"/>
      <c r="L3407" s="39"/>
      <c r="M3407" s="72"/>
      <c r="N3407" s="72"/>
    </row>
    <row r="3408" spans="1:14" x14ac:dyDescent="0.2">
      <c r="A3408" s="73"/>
      <c r="B3408" s="3"/>
      <c r="C3408" s="3"/>
      <c r="D3408" s="73"/>
      <c r="E3408" s="2"/>
      <c r="F3408" s="2"/>
      <c r="G3408" s="2"/>
      <c r="H3408" s="2"/>
      <c r="I3408" s="2"/>
      <c r="J3408" s="2"/>
      <c r="K3408" s="72"/>
      <c r="L3408" s="39"/>
      <c r="M3408" s="72"/>
      <c r="N3408" s="72"/>
    </row>
    <row r="3409" spans="1:14" x14ac:dyDescent="0.2">
      <c r="A3409" s="73"/>
      <c r="B3409" s="3"/>
      <c r="C3409" s="3"/>
      <c r="D3409" s="73"/>
      <c r="E3409" s="2"/>
      <c r="F3409" s="2"/>
      <c r="G3409" s="2"/>
      <c r="H3409" s="2"/>
      <c r="I3409" s="2"/>
      <c r="J3409" s="2"/>
      <c r="K3409" s="72"/>
      <c r="L3409" s="39"/>
      <c r="M3409" s="72"/>
      <c r="N3409" s="72"/>
    </row>
    <row r="3410" spans="1:14" x14ac:dyDescent="0.2">
      <c r="A3410" s="73"/>
      <c r="B3410" s="3"/>
      <c r="C3410" s="3"/>
      <c r="D3410" s="73"/>
      <c r="E3410" s="2"/>
      <c r="F3410" s="2"/>
      <c r="G3410" s="2"/>
      <c r="H3410" s="2"/>
      <c r="I3410" s="2"/>
      <c r="J3410" s="2"/>
      <c r="K3410" s="72"/>
      <c r="L3410" s="39"/>
      <c r="M3410" s="72"/>
      <c r="N3410" s="72"/>
    </row>
    <row r="3411" spans="1:14" x14ac:dyDescent="0.2">
      <c r="A3411" s="73"/>
      <c r="B3411" s="3"/>
      <c r="C3411" s="3"/>
      <c r="D3411" s="73"/>
      <c r="E3411" s="2"/>
      <c r="F3411" s="2"/>
      <c r="G3411" s="2"/>
      <c r="H3411" s="2"/>
      <c r="I3411" s="2"/>
      <c r="J3411" s="2"/>
      <c r="K3411" s="72"/>
      <c r="L3411" s="39"/>
      <c r="M3411" s="72"/>
      <c r="N3411" s="72"/>
    </row>
    <row r="3412" spans="1:14" x14ac:dyDescent="0.2">
      <c r="A3412" s="73"/>
      <c r="B3412" s="3"/>
      <c r="C3412" s="3"/>
      <c r="D3412" s="73"/>
      <c r="E3412" s="2"/>
      <c r="F3412" s="2"/>
      <c r="G3412" s="2"/>
      <c r="H3412" s="2"/>
      <c r="I3412" s="2"/>
      <c r="J3412" s="2"/>
      <c r="K3412" s="72"/>
      <c r="L3412" s="39"/>
      <c r="M3412" s="72"/>
      <c r="N3412" s="72"/>
    </row>
    <row r="3413" spans="1:14" x14ac:dyDescent="0.2">
      <c r="A3413" s="73"/>
      <c r="B3413" s="3"/>
      <c r="C3413" s="3"/>
      <c r="D3413" s="73"/>
      <c r="E3413" s="2"/>
      <c r="F3413" s="2"/>
      <c r="G3413" s="2"/>
      <c r="H3413" s="2"/>
      <c r="I3413" s="2"/>
      <c r="J3413" s="2"/>
      <c r="K3413" s="72"/>
      <c r="L3413" s="39"/>
      <c r="M3413" s="72"/>
      <c r="N3413" s="72"/>
    </row>
    <row r="3414" spans="1:14" x14ac:dyDescent="0.2">
      <c r="A3414" s="73"/>
      <c r="B3414" s="3"/>
      <c r="C3414" s="3"/>
      <c r="D3414" s="73"/>
      <c r="E3414" s="2"/>
      <c r="F3414" s="2"/>
      <c r="G3414" s="2"/>
      <c r="H3414" s="2"/>
      <c r="I3414" s="2"/>
      <c r="J3414" s="2"/>
      <c r="K3414" s="72"/>
      <c r="L3414" s="39"/>
      <c r="M3414" s="72"/>
      <c r="N3414" s="72"/>
    </row>
    <row r="3415" spans="1:14" x14ac:dyDescent="0.2">
      <c r="A3415" s="73"/>
      <c r="B3415" s="3"/>
      <c r="C3415" s="3"/>
      <c r="D3415" s="73"/>
      <c r="E3415" s="2"/>
      <c r="F3415" s="2"/>
      <c r="G3415" s="2"/>
      <c r="H3415" s="2"/>
      <c r="I3415" s="2"/>
      <c r="J3415" s="2"/>
      <c r="K3415" s="72"/>
      <c r="L3415" s="39"/>
      <c r="M3415" s="72"/>
      <c r="N3415" s="72"/>
    </row>
    <row r="3416" spans="1:14" x14ac:dyDescent="0.2">
      <c r="A3416" s="73"/>
      <c r="B3416" s="3"/>
      <c r="C3416" s="3"/>
      <c r="D3416" s="73"/>
      <c r="E3416" s="2"/>
      <c r="F3416" s="2"/>
      <c r="G3416" s="2"/>
      <c r="H3416" s="2"/>
      <c r="I3416" s="2"/>
      <c r="J3416" s="2"/>
      <c r="K3416" s="72"/>
      <c r="L3416" s="39"/>
      <c r="M3416" s="72"/>
      <c r="N3416" s="72"/>
    </row>
    <row r="3417" spans="1:14" x14ac:dyDescent="0.2">
      <c r="A3417" s="73"/>
      <c r="B3417" s="3"/>
      <c r="C3417" s="3"/>
      <c r="D3417" s="73"/>
      <c r="E3417" s="2"/>
      <c r="F3417" s="2"/>
      <c r="G3417" s="2"/>
      <c r="H3417" s="2"/>
      <c r="I3417" s="2"/>
      <c r="J3417" s="2"/>
      <c r="K3417" s="72"/>
      <c r="L3417" s="39"/>
      <c r="M3417" s="72"/>
      <c r="N3417" s="72"/>
    </row>
    <row r="3418" spans="1:14" x14ac:dyDescent="0.2">
      <c r="A3418" s="73"/>
      <c r="B3418" s="3"/>
      <c r="C3418" s="3"/>
      <c r="D3418" s="73"/>
      <c r="E3418" s="2"/>
      <c r="F3418" s="2"/>
      <c r="G3418" s="2"/>
      <c r="H3418" s="2"/>
      <c r="I3418" s="2"/>
      <c r="J3418" s="2"/>
      <c r="K3418" s="72"/>
      <c r="L3418" s="39"/>
      <c r="M3418" s="72"/>
      <c r="N3418" s="72"/>
    </row>
    <row r="3419" spans="1:14" x14ac:dyDescent="0.2">
      <c r="A3419" s="73"/>
      <c r="B3419" s="3"/>
      <c r="C3419" s="3"/>
      <c r="D3419" s="73"/>
      <c r="E3419" s="2"/>
      <c r="F3419" s="2"/>
      <c r="G3419" s="2"/>
      <c r="H3419" s="2"/>
      <c r="I3419" s="2"/>
      <c r="J3419" s="2"/>
      <c r="K3419" s="72"/>
      <c r="L3419" s="39"/>
      <c r="M3419" s="72"/>
      <c r="N3419" s="72"/>
    </row>
    <row r="3420" spans="1:14" x14ac:dyDescent="0.2">
      <c r="A3420" s="73"/>
      <c r="B3420" s="3"/>
      <c r="C3420" s="3"/>
      <c r="D3420" s="73"/>
      <c r="E3420" s="2"/>
      <c r="F3420" s="2"/>
      <c r="G3420" s="2"/>
      <c r="H3420" s="2"/>
      <c r="I3420" s="2"/>
      <c r="J3420" s="2"/>
      <c r="K3420" s="72"/>
      <c r="L3420" s="39"/>
      <c r="M3420" s="72"/>
      <c r="N3420" s="72"/>
    </row>
    <row r="3421" spans="1:14" x14ac:dyDescent="0.2">
      <c r="A3421" s="73"/>
      <c r="B3421" s="3"/>
      <c r="C3421" s="3"/>
      <c r="D3421" s="73"/>
      <c r="E3421" s="2"/>
      <c r="F3421" s="2"/>
      <c r="G3421" s="2"/>
      <c r="H3421" s="2"/>
      <c r="I3421" s="2"/>
      <c r="J3421" s="2"/>
      <c r="K3421" s="72"/>
      <c r="L3421" s="39"/>
      <c r="M3421" s="72"/>
      <c r="N3421" s="72"/>
    </row>
    <row r="3422" spans="1:14" x14ac:dyDescent="0.2">
      <c r="A3422" s="73"/>
      <c r="B3422" s="3"/>
      <c r="C3422" s="3"/>
      <c r="D3422" s="73"/>
      <c r="E3422" s="2"/>
      <c r="F3422" s="2"/>
      <c r="G3422" s="2"/>
      <c r="H3422" s="2"/>
      <c r="I3422" s="2"/>
      <c r="J3422" s="2"/>
      <c r="K3422" s="72"/>
      <c r="L3422" s="39"/>
      <c r="M3422" s="72"/>
      <c r="N3422" s="72"/>
    </row>
    <row r="3423" spans="1:14" x14ac:dyDescent="0.2">
      <c r="A3423" s="73"/>
      <c r="B3423" s="3"/>
      <c r="C3423" s="3"/>
      <c r="D3423" s="73"/>
      <c r="E3423" s="2"/>
      <c r="F3423" s="2"/>
      <c r="G3423" s="2"/>
      <c r="H3423" s="2"/>
      <c r="I3423" s="2"/>
      <c r="J3423" s="2"/>
      <c r="K3423" s="72"/>
      <c r="L3423" s="39"/>
      <c r="M3423" s="72"/>
      <c r="N3423" s="72"/>
    </row>
    <row r="3424" spans="1:14" x14ac:dyDescent="0.2">
      <c r="A3424" s="73"/>
      <c r="B3424" s="3"/>
      <c r="C3424" s="3"/>
      <c r="D3424" s="73"/>
      <c r="E3424" s="2"/>
      <c r="F3424" s="2"/>
      <c r="G3424" s="2"/>
      <c r="H3424" s="2"/>
      <c r="I3424" s="2"/>
      <c r="J3424" s="2"/>
      <c r="K3424" s="72"/>
      <c r="L3424" s="39"/>
      <c r="M3424" s="72"/>
      <c r="N3424" s="72"/>
    </row>
    <row r="3425" spans="1:14" x14ac:dyDescent="0.2">
      <c r="A3425" s="73"/>
      <c r="B3425" s="3"/>
      <c r="C3425" s="3"/>
      <c r="D3425" s="73"/>
      <c r="E3425" s="2"/>
      <c r="F3425" s="2"/>
      <c r="G3425" s="2"/>
      <c r="H3425" s="2"/>
      <c r="I3425" s="2"/>
      <c r="J3425" s="2"/>
      <c r="K3425" s="72"/>
      <c r="L3425" s="39"/>
      <c r="M3425" s="72"/>
      <c r="N3425" s="72"/>
    </row>
    <row r="3426" spans="1:14" x14ac:dyDescent="0.2">
      <c r="A3426" s="73"/>
      <c r="B3426" s="3"/>
      <c r="C3426" s="3"/>
      <c r="D3426" s="73"/>
      <c r="E3426" s="2"/>
      <c r="F3426" s="2"/>
      <c r="G3426" s="2"/>
      <c r="H3426" s="2"/>
      <c r="I3426" s="2"/>
      <c r="J3426" s="2"/>
      <c r="K3426" s="72"/>
      <c r="L3426" s="39"/>
      <c r="M3426" s="72"/>
      <c r="N3426" s="72"/>
    </row>
    <row r="3427" spans="1:14" x14ac:dyDescent="0.2">
      <c r="A3427" s="73"/>
      <c r="B3427" s="3"/>
      <c r="C3427" s="3"/>
      <c r="D3427" s="73"/>
      <c r="E3427" s="2"/>
      <c r="F3427" s="2"/>
      <c r="G3427" s="2"/>
      <c r="H3427" s="2"/>
      <c r="I3427" s="2"/>
      <c r="J3427" s="2"/>
      <c r="K3427" s="72"/>
      <c r="L3427" s="39"/>
      <c r="M3427" s="72"/>
      <c r="N3427" s="72"/>
    </row>
    <row r="3428" spans="1:14" x14ac:dyDescent="0.2">
      <c r="A3428" s="73"/>
      <c r="B3428" s="3"/>
      <c r="C3428" s="3"/>
      <c r="D3428" s="73"/>
      <c r="E3428" s="2"/>
      <c r="F3428" s="2"/>
      <c r="G3428" s="2"/>
      <c r="H3428" s="2"/>
      <c r="I3428" s="2"/>
      <c r="J3428" s="2"/>
      <c r="K3428" s="72"/>
      <c r="L3428" s="39"/>
      <c r="M3428" s="72"/>
      <c r="N3428" s="72"/>
    </row>
    <row r="3429" spans="1:14" x14ac:dyDescent="0.2">
      <c r="A3429" s="73"/>
      <c r="B3429" s="3"/>
      <c r="C3429" s="3"/>
      <c r="D3429" s="73"/>
      <c r="E3429" s="2"/>
      <c r="F3429" s="2"/>
      <c r="G3429" s="2"/>
      <c r="H3429" s="2"/>
      <c r="I3429" s="2"/>
      <c r="J3429" s="2"/>
      <c r="K3429" s="72"/>
      <c r="L3429" s="39"/>
      <c r="M3429" s="72"/>
      <c r="N3429" s="72"/>
    </row>
    <row r="3430" spans="1:14" x14ac:dyDescent="0.2">
      <c r="A3430" s="73"/>
      <c r="B3430" s="3"/>
      <c r="C3430" s="3"/>
      <c r="D3430" s="73"/>
      <c r="E3430" s="2"/>
      <c r="F3430" s="2"/>
      <c r="G3430" s="2"/>
      <c r="H3430" s="2"/>
      <c r="I3430" s="2"/>
      <c r="J3430" s="2"/>
      <c r="K3430" s="72"/>
      <c r="L3430" s="39"/>
      <c r="M3430" s="72"/>
      <c r="N3430" s="72"/>
    </row>
    <row r="3431" spans="1:14" x14ac:dyDescent="0.2">
      <c r="A3431" s="73"/>
      <c r="B3431" s="3"/>
      <c r="C3431" s="3"/>
      <c r="D3431" s="73"/>
      <c r="E3431" s="2"/>
      <c r="F3431" s="2"/>
      <c r="G3431" s="2"/>
      <c r="H3431" s="2"/>
      <c r="I3431" s="2"/>
      <c r="J3431" s="2"/>
      <c r="K3431" s="72"/>
      <c r="L3431" s="39"/>
      <c r="M3431" s="72"/>
      <c r="N3431" s="72"/>
    </row>
    <row r="3432" spans="1:14" x14ac:dyDescent="0.2">
      <c r="A3432" s="73"/>
      <c r="B3432" s="3"/>
      <c r="C3432" s="3"/>
      <c r="D3432" s="73"/>
      <c r="E3432" s="2"/>
      <c r="F3432" s="2"/>
      <c r="G3432" s="2"/>
      <c r="H3432" s="2"/>
      <c r="I3432" s="2"/>
      <c r="J3432" s="2"/>
      <c r="K3432" s="72"/>
      <c r="L3432" s="39"/>
      <c r="M3432" s="72"/>
      <c r="N3432" s="72"/>
    </row>
    <row r="3433" spans="1:14" x14ac:dyDescent="0.2">
      <c r="A3433" s="73"/>
      <c r="B3433" s="3"/>
      <c r="C3433" s="3"/>
      <c r="D3433" s="73"/>
      <c r="E3433" s="2"/>
      <c r="F3433" s="2"/>
      <c r="G3433" s="2"/>
      <c r="H3433" s="2"/>
      <c r="I3433" s="2"/>
      <c r="J3433" s="2"/>
      <c r="K3433" s="72"/>
      <c r="L3433" s="39"/>
      <c r="M3433" s="72"/>
      <c r="N3433" s="72"/>
    </row>
    <row r="3434" spans="1:14" x14ac:dyDescent="0.2">
      <c r="A3434" s="73"/>
      <c r="B3434" s="3"/>
      <c r="C3434" s="3"/>
      <c r="D3434" s="73"/>
      <c r="E3434" s="2"/>
      <c r="F3434" s="2"/>
      <c r="G3434" s="2"/>
      <c r="H3434" s="2"/>
      <c r="I3434" s="2"/>
      <c r="J3434" s="2"/>
      <c r="K3434" s="72"/>
      <c r="L3434" s="39"/>
      <c r="M3434" s="72"/>
      <c r="N3434" s="72"/>
    </row>
    <row r="3435" spans="1:14" x14ac:dyDescent="0.2">
      <c r="A3435" s="73"/>
      <c r="B3435" s="3"/>
      <c r="C3435" s="3"/>
      <c r="D3435" s="73"/>
      <c r="E3435" s="2"/>
      <c r="F3435" s="2"/>
      <c r="G3435" s="2"/>
      <c r="H3435" s="2"/>
      <c r="I3435" s="2"/>
      <c r="J3435" s="2"/>
      <c r="K3435" s="72"/>
      <c r="L3435" s="39"/>
      <c r="M3435" s="72"/>
      <c r="N3435" s="72"/>
    </row>
    <row r="3436" spans="1:14" x14ac:dyDescent="0.2">
      <c r="A3436" s="73"/>
      <c r="B3436" s="3"/>
      <c r="C3436" s="3"/>
      <c r="D3436" s="73"/>
      <c r="E3436" s="2"/>
      <c r="F3436" s="2"/>
      <c r="G3436" s="2"/>
      <c r="H3436" s="2"/>
      <c r="I3436" s="2"/>
      <c r="J3436" s="2"/>
      <c r="K3436" s="72"/>
      <c r="L3436" s="39"/>
      <c r="M3436" s="72"/>
      <c r="N3436" s="72"/>
    </row>
    <row r="3437" spans="1:14" x14ac:dyDescent="0.2">
      <c r="A3437" s="73"/>
      <c r="B3437" s="3"/>
      <c r="C3437" s="3"/>
      <c r="D3437" s="73"/>
      <c r="E3437" s="2"/>
      <c r="F3437" s="2"/>
      <c r="G3437" s="2"/>
      <c r="H3437" s="2"/>
      <c r="I3437" s="2"/>
      <c r="J3437" s="2"/>
      <c r="K3437" s="72"/>
      <c r="L3437" s="39"/>
      <c r="M3437" s="72"/>
      <c r="N3437" s="72"/>
    </row>
    <row r="3438" spans="1:14" x14ac:dyDescent="0.2">
      <c r="A3438" s="73"/>
      <c r="B3438" s="3"/>
      <c r="C3438" s="3"/>
      <c r="D3438" s="73"/>
      <c r="E3438" s="2"/>
      <c r="F3438" s="2"/>
      <c r="G3438" s="2"/>
      <c r="H3438" s="2"/>
      <c r="I3438" s="2"/>
      <c r="J3438" s="2"/>
      <c r="K3438" s="72"/>
      <c r="L3438" s="39"/>
      <c r="M3438" s="72"/>
      <c r="N3438" s="72"/>
    </row>
    <row r="3439" spans="1:14" x14ac:dyDescent="0.2">
      <c r="A3439" s="73"/>
      <c r="B3439" s="3"/>
      <c r="C3439" s="3"/>
      <c r="D3439" s="73"/>
      <c r="E3439" s="2"/>
      <c r="F3439" s="2"/>
      <c r="G3439" s="2"/>
      <c r="H3439" s="2"/>
      <c r="I3439" s="2"/>
      <c r="J3439" s="2"/>
      <c r="K3439" s="72"/>
      <c r="L3439" s="39"/>
      <c r="M3439" s="72"/>
      <c r="N3439" s="72"/>
    </row>
    <row r="3440" spans="1:14" x14ac:dyDescent="0.2">
      <c r="A3440" s="73"/>
      <c r="B3440" s="3"/>
      <c r="C3440" s="3"/>
      <c r="D3440" s="73"/>
      <c r="E3440" s="2"/>
      <c r="F3440" s="2"/>
      <c r="G3440" s="2"/>
      <c r="H3440" s="2"/>
      <c r="I3440" s="2"/>
      <c r="J3440" s="2"/>
      <c r="K3440" s="72"/>
      <c r="L3440" s="39"/>
      <c r="M3440" s="72"/>
      <c r="N3440" s="72"/>
    </row>
    <row r="3441" spans="1:14" x14ac:dyDescent="0.2">
      <c r="A3441" s="73"/>
      <c r="B3441" s="3"/>
      <c r="C3441" s="3"/>
      <c r="D3441" s="73"/>
      <c r="E3441" s="2"/>
      <c r="F3441" s="2"/>
      <c r="G3441" s="2"/>
      <c r="H3441" s="2"/>
      <c r="I3441" s="2"/>
      <c r="J3441" s="2"/>
      <c r="K3441" s="72"/>
      <c r="L3441" s="39"/>
      <c r="M3441" s="72"/>
      <c r="N3441" s="72"/>
    </row>
    <row r="3442" spans="1:14" x14ac:dyDescent="0.2">
      <c r="A3442" s="73"/>
      <c r="B3442" s="3"/>
      <c r="C3442" s="3"/>
      <c r="D3442" s="73"/>
      <c r="E3442" s="2"/>
      <c r="F3442" s="2"/>
      <c r="G3442" s="2"/>
      <c r="H3442" s="2"/>
      <c r="I3442" s="2"/>
      <c r="J3442" s="2"/>
      <c r="K3442" s="72"/>
      <c r="L3442" s="39"/>
      <c r="M3442" s="72"/>
      <c r="N3442" s="72"/>
    </row>
    <row r="3443" spans="1:14" x14ac:dyDescent="0.2">
      <c r="A3443" s="73"/>
      <c r="B3443" s="3"/>
      <c r="C3443" s="3"/>
      <c r="D3443" s="73"/>
      <c r="E3443" s="2"/>
      <c r="F3443" s="2"/>
      <c r="G3443" s="2"/>
      <c r="H3443" s="2"/>
      <c r="I3443" s="2"/>
      <c r="J3443" s="2"/>
      <c r="K3443" s="72"/>
      <c r="L3443" s="39"/>
      <c r="M3443" s="72"/>
      <c r="N3443" s="72"/>
    </row>
    <row r="3444" spans="1:14" x14ac:dyDescent="0.2">
      <c r="A3444" s="73"/>
      <c r="B3444" s="3"/>
      <c r="C3444" s="3"/>
      <c r="D3444" s="73"/>
      <c r="E3444" s="2"/>
      <c r="F3444" s="2"/>
      <c r="G3444" s="2"/>
      <c r="H3444" s="2"/>
      <c r="I3444" s="2"/>
      <c r="J3444" s="2"/>
      <c r="K3444" s="72"/>
      <c r="L3444" s="39"/>
      <c r="M3444" s="72"/>
      <c r="N3444" s="72"/>
    </row>
    <row r="3445" spans="1:14" x14ac:dyDescent="0.2">
      <c r="A3445" s="73"/>
      <c r="B3445" s="3"/>
      <c r="C3445" s="3"/>
      <c r="D3445" s="73"/>
      <c r="E3445" s="2"/>
      <c r="F3445" s="2"/>
      <c r="G3445" s="2"/>
      <c r="H3445" s="2"/>
      <c r="I3445" s="2"/>
      <c r="J3445" s="2"/>
      <c r="K3445" s="72"/>
      <c r="L3445" s="39"/>
      <c r="M3445" s="72"/>
      <c r="N3445" s="72"/>
    </row>
    <row r="3446" spans="1:14" x14ac:dyDescent="0.2">
      <c r="A3446" s="73"/>
      <c r="B3446" s="3"/>
      <c r="C3446" s="3"/>
      <c r="D3446" s="73"/>
      <c r="E3446" s="2"/>
      <c r="F3446" s="2"/>
      <c r="G3446" s="2"/>
      <c r="H3446" s="2"/>
      <c r="I3446" s="2"/>
      <c r="J3446" s="2"/>
      <c r="K3446" s="72"/>
      <c r="L3446" s="39"/>
      <c r="M3446" s="72"/>
      <c r="N3446" s="72"/>
    </row>
    <row r="3447" spans="1:14" x14ac:dyDescent="0.2">
      <c r="A3447" s="73"/>
      <c r="B3447" s="3"/>
      <c r="C3447" s="3"/>
      <c r="D3447" s="73"/>
      <c r="E3447" s="2"/>
      <c r="F3447" s="2"/>
      <c r="G3447" s="2"/>
      <c r="H3447" s="2"/>
      <c r="I3447" s="2"/>
      <c r="J3447" s="2"/>
      <c r="K3447" s="72"/>
      <c r="L3447" s="39"/>
      <c r="M3447" s="72"/>
      <c r="N3447" s="72"/>
    </row>
    <row r="3448" spans="1:14" x14ac:dyDescent="0.2">
      <c r="A3448" s="73"/>
      <c r="B3448" s="3"/>
      <c r="C3448" s="3"/>
      <c r="D3448" s="73"/>
      <c r="E3448" s="2"/>
      <c r="F3448" s="2"/>
      <c r="G3448" s="2"/>
      <c r="H3448" s="2"/>
      <c r="I3448" s="2"/>
      <c r="J3448" s="2"/>
      <c r="K3448" s="72"/>
      <c r="L3448" s="39"/>
      <c r="M3448" s="72"/>
      <c r="N3448" s="72"/>
    </row>
    <row r="3449" spans="1:14" x14ac:dyDescent="0.2">
      <c r="A3449" s="73"/>
      <c r="B3449" s="3"/>
      <c r="C3449" s="3"/>
      <c r="D3449" s="73"/>
      <c r="E3449" s="2"/>
      <c r="F3449" s="2"/>
      <c r="G3449" s="2"/>
      <c r="H3449" s="2"/>
      <c r="I3449" s="2"/>
      <c r="J3449" s="2"/>
      <c r="K3449" s="72"/>
      <c r="L3449" s="39"/>
      <c r="M3449" s="72"/>
      <c r="N3449" s="72"/>
    </row>
    <row r="3450" spans="1:14" x14ac:dyDescent="0.2">
      <c r="A3450" s="73"/>
      <c r="B3450" s="3"/>
      <c r="C3450" s="3"/>
      <c r="D3450" s="73"/>
      <c r="E3450" s="2"/>
      <c r="F3450" s="2"/>
      <c r="G3450" s="2"/>
      <c r="H3450" s="2"/>
      <c r="I3450" s="2"/>
      <c r="J3450" s="2"/>
      <c r="K3450" s="72"/>
      <c r="L3450" s="39"/>
      <c r="M3450" s="72"/>
      <c r="N3450" s="72"/>
    </row>
    <row r="3451" spans="1:14" x14ac:dyDescent="0.2">
      <c r="A3451" s="73"/>
      <c r="B3451" s="3"/>
      <c r="C3451" s="3"/>
      <c r="D3451" s="73"/>
      <c r="E3451" s="2"/>
      <c r="F3451" s="2"/>
      <c r="G3451" s="2"/>
      <c r="H3451" s="2"/>
      <c r="I3451" s="2"/>
      <c r="J3451" s="2"/>
      <c r="K3451" s="72"/>
      <c r="L3451" s="39"/>
      <c r="M3451" s="72"/>
      <c r="N3451" s="72"/>
    </row>
    <row r="3452" spans="1:14" x14ac:dyDescent="0.2">
      <c r="A3452" s="73"/>
      <c r="B3452" s="3"/>
      <c r="C3452" s="3"/>
      <c r="D3452" s="73"/>
      <c r="E3452" s="2"/>
      <c r="F3452" s="2"/>
      <c r="G3452" s="2"/>
      <c r="H3452" s="2"/>
      <c r="I3452" s="2"/>
      <c r="J3452" s="2"/>
      <c r="K3452" s="72"/>
      <c r="L3452" s="39"/>
      <c r="M3452" s="72"/>
      <c r="N3452" s="72"/>
    </row>
    <row r="3453" spans="1:14" x14ac:dyDescent="0.2">
      <c r="A3453" s="73"/>
      <c r="B3453" s="3"/>
      <c r="C3453" s="3"/>
      <c r="D3453" s="73"/>
      <c r="E3453" s="2"/>
      <c r="F3453" s="2"/>
      <c r="G3453" s="2"/>
      <c r="H3453" s="2"/>
      <c r="I3453" s="2"/>
      <c r="J3453" s="2"/>
      <c r="K3453" s="72"/>
      <c r="L3453" s="39"/>
      <c r="M3453" s="72"/>
      <c r="N3453" s="72"/>
    </row>
    <row r="3454" spans="1:14" x14ac:dyDescent="0.2">
      <c r="A3454" s="73"/>
      <c r="B3454" s="3"/>
      <c r="C3454" s="3"/>
      <c r="D3454" s="73"/>
      <c r="E3454" s="2"/>
      <c r="F3454" s="2"/>
      <c r="G3454" s="2"/>
      <c r="H3454" s="2"/>
      <c r="I3454" s="2"/>
      <c r="J3454" s="2"/>
      <c r="K3454" s="72"/>
      <c r="L3454" s="39"/>
      <c r="M3454" s="72"/>
      <c r="N3454" s="72"/>
    </row>
    <row r="3455" spans="1:14" x14ac:dyDescent="0.2">
      <c r="A3455" s="73"/>
      <c r="B3455" s="3"/>
      <c r="C3455" s="3"/>
      <c r="D3455" s="73"/>
      <c r="E3455" s="2"/>
      <c r="F3455" s="2"/>
      <c r="G3455" s="2"/>
      <c r="H3455" s="2"/>
      <c r="I3455" s="2"/>
      <c r="J3455" s="2"/>
      <c r="K3455" s="72"/>
      <c r="L3455" s="39"/>
      <c r="M3455" s="72"/>
      <c r="N3455" s="72"/>
    </row>
    <row r="3456" spans="1:14" x14ac:dyDescent="0.2">
      <c r="A3456" s="73"/>
      <c r="B3456" s="3"/>
      <c r="C3456" s="3"/>
      <c r="D3456" s="73"/>
      <c r="E3456" s="2"/>
      <c r="F3456" s="2"/>
      <c r="G3456" s="2"/>
      <c r="H3456" s="2"/>
      <c r="I3456" s="2"/>
      <c r="J3456" s="2"/>
      <c r="K3456" s="72"/>
      <c r="L3456" s="39"/>
      <c r="M3456" s="72"/>
      <c r="N3456" s="72"/>
    </row>
    <row r="3457" spans="1:14" x14ac:dyDescent="0.2">
      <c r="A3457" s="73"/>
      <c r="B3457" s="3"/>
      <c r="C3457" s="3"/>
      <c r="D3457" s="73"/>
      <c r="E3457" s="2"/>
      <c r="F3457" s="2"/>
      <c r="G3457" s="2"/>
      <c r="H3457" s="2"/>
      <c r="I3457" s="2"/>
      <c r="J3457" s="2"/>
      <c r="K3457" s="72"/>
      <c r="L3457" s="39"/>
      <c r="M3457" s="72"/>
      <c r="N3457" s="72"/>
    </row>
    <row r="3458" spans="1:14" x14ac:dyDescent="0.2">
      <c r="A3458" s="73"/>
      <c r="B3458" s="3"/>
      <c r="C3458" s="3"/>
      <c r="D3458" s="73"/>
      <c r="E3458" s="2"/>
      <c r="F3458" s="2"/>
      <c r="G3458" s="2"/>
      <c r="H3458" s="2"/>
      <c r="I3458" s="2"/>
      <c r="J3458" s="2"/>
      <c r="K3458" s="72"/>
      <c r="L3458" s="39"/>
      <c r="M3458" s="72"/>
      <c r="N3458" s="72"/>
    </row>
    <row r="3459" spans="1:14" x14ac:dyDescent="0.2">
      <c r="A3459" s="73"/>
      <c r="B3459" s="3"/>
      <c r="C3459" s="3"/>
      <c r="D3459" s="73"/>
      <c r="E3459" s="2"/>
      <c r="F3459" s="2"/>
      <c r="G3459" s="2"/>
      <c r="H3459" s="2"/>
      <c r="I3459" s="2"/>
      <c r="J3459" s="2"/>
      <c r="K3459" s="72"/>
      <c r="L3459" s="39"/>
      <c r="M3459" s="72"/>
      <c r="N3459" s="72"/>
    </row>
    <row r="3460" spans="1:14" x14ac:dyDescent="0.2">
      <c r="A3460" s="73"/>
      <c r="B3460" s="3"/>
      <c r="C3460" s="3"/>
      <c r="D3460" s="73"/>
      <c r="E3460" s="2"/>
      <c r="F3460" s="2"/>
      <c r="G3460" s="2"/>
      <c r="H3460" s="2"/>
      <c r="I3460" s="2"/>
      <c r="J3460" s="2"/>
      <c r="K3460" s="72"/>
      <c r="L3460" s="39"/>
      <c r="M3460" s="72"/>
      <c r="N3460" s="72"/>
    </row>
    <row r="3461" spans="1:14" x14ac:dyDescent="0.2">
      <c r="A3461" s="73"/>
      <c r="B3461" s="3"/>
      <c r="C3461" s="3"/>
      <c r="D3461" s="73"/>
      <c r="E3461" s="2"/>
      <c r="F3461" s="2"/>
      <c r="G3461" s="2"/>
      <c r="H3461" s="2"/>
      <c r="I3461" s="2"/>
      <c r="J3461" s="2"/>
      <c r="K3461" s="72"/>
      <c r="L3461" s="39"/>
      <c r="M3461" s="72"/>
      <c r="N3461" s="72"/>
    </row>
    <row r="3462" spans="1:14" x14ac:dyDescent="0.2">
      <c r="A3462" s="73"/>
      <c r="B3462" s="3"/>
      <c r="C3462" s="3"/>
      <c r="D3462" s="73"/>
      <c r="E3462" s="2"/>
      <c r="F3462" s="2"/>
      <c r="G3462" s="2"/>
      <c r="H3462" s="2"/>
      <c r="I3462" s="2"/>
      <c r="J3462" s="2"/>
      <c r="K3462" s="72"/>
      <c r="L3462" s="39"/>
      <c r="M3462" s="72"/>
      <c r="N3462" s="72"/>
    </row>
    <row r="3463" spans="1:14" x14ac:dyDescent="0.2">
      <c r="A3463" s="73"/>
      <c r="B3463" s="3"/>
      <c r="C3463" s="3"/>
      <c r="D3463" s="73"/>
      <c r="E3463" s="2"/>
      <c r="F3463" s="2"/>
      <c r="G3463" s="2"/>
      <c r="H3463" s="2"/>
      <c r="I3463" s="2"/>
      <c r="J3463" s="2"/>
      <c r="K3463" s="72"/>
      <c r="L3463" s="39"/>
      <c r="M3463" s="72"/>
      <c r="N3463" s="72"/>
    </row>
    <row r="3464" spans="1:14" x14ac:dyDescent="0.2">
      <c r="A3464" s="73"/>
      <c r="B3464" s="3"/>
      <c r="C3464" s="3"/>
      <c r="D3464" s="73"/>
      <c r="E3464" s="2"/>
      <c r="F3464" s="2"/>
      <c r="G3464" s="2"/>
      <c r="H3464" s="2"/>
      <c r="I3464" s="2"/>
      <c r="J3464" s="2"/>
      <c r="K3464" s="72"/>
      <c r="L3464" s="39"/>
      <c r="M3464" s="72"/>
      <c r="N3464" s="72"/>
    </row>
    <row r="3465" spans="1:14" x14ac:dyDescent="0.2">
      <c r="A3465" s="73"/>
      <c r="B3465" s="3"/>
      <c r="C3465" s="3"/>
      <c r="D3465" s="73"/>
      <c r="E3465" s="2"/>
      <c r="F3465" s="2"/>
      <c r="G3465" s="2"/>
      <c r="H3465" s="2"/>
      <c r="I3465" s="2"/>
      <c r="J3465" s="2"/>
      <c r="K3465" s="72"/>
      <c r="L3465" s="39"/>
      <c r="M3465" s="72"/>
      <c r="N3465" s="72"/>
    </row>
    <row r="3466" spans="1:14" x14ac:dyDescent="0.2">
      <c r="A3466" s="73"/>
      <c r="B3466" s="3"/>
      <c r="C3466" s="3"/>
      <c r="D3466" s="73"/>
      <c r="E3466" s="2"/>
      <c r="F3466" s="2"/>
      <c r="G3466" s="2"/>
      <c r="H3466" s="2"/>
      <c r="I3466" s="2"/>
      <c r="J3466" s="2"/>
      <c r="K3466" s="72"/>
      <c r="L3466" s="39"/>
      <c r="M3466" s="72"/>
      <c r="N3466" s="72"/>
    </row>
    <row r="3467" spans="1:14" x14ac:dyDescent="0.2">
      <c r="A3467" s="73"/>
      <c r="B3467" s="3"/>
      <c r="C3467" s="3"/>
      <c r="D3467" s="73"/>
      <c r="E3467" s="2"/>
      <c r="F3467" s="2"/>
      <c r="G3467" s="2"/>
      <c r="H3467" s="2"/>
      <c r="I3467" s="2"/>
      <c r="J3467" s="2"/>
      <c r="K3467" s="72"/>
      <c r="L3467" s="39"/>
      <c r="M3467" s="72"/>
      <c r="N3467" s="72"/>
    </row>
    <row r="3468" spans="1:14" x14ac:dyDescent="0.2">
      <c r="A3468" s="73"/>
      <c r="B3468" s="3"/>
      <c r="C3468" s="3"/>
      <c r="D3468" s="73"/>
      <c r="E3468" s="2"/>
      <c r="F3468" s="2"/>
      <c r="G3468" s="2"/>
      <c r="H3468" s="2"/>
      <c r="I3468" s="2"/>
      <c r="J3468" s="2"/>
      <c r="K3468" s="72"/>
      <c r="L3468" s="39"/>
      <c r="M3468" s="72"/>
      <c r="N3468" s="72"/>
    </row>
    <row r="3469" spans="1:14" x14ac:dyDescent="0.2">
      <c r="A3469" s="73"/>
      <c r="B3469" s="3"/>
      <c r="C3469" s="3"/>
      <c r="D3469" s="73"/>
      <c r="E3469" s="2"/>
      <c r="F3469" s="2"/>
      <c r="G3469" s="2"/>
      <c r="H3469" s="2"/>
      <c r="I3469" s="2"/>
      <c r="J3469" s="2"/>
      <c r="K3469" s="72"/>
      <c r="L3469" s="39"/>
      <c r="M3469" s="72"/>
      <c r="N3469" s="72"/>
    </row>
    <row r="3470" spans="1:14" x14ac:dyDescent="0.2">
      <c r="A3470" s="73"/>
      <c r="B3470" s="3"/>
      <c r="C3470" s="3"/>
      <c r="D3470" s="73"/>
      <c r="E3470" s="2"/>
      <c r="F3470" s="2"/>
      <c r="G3470" s="2"/>
      <c r="H3470" s="2"/>
      <c r="I3470" s="2"/>
      <c r="J3470" s="2"/>
      <c r="K3470" s="72"/>
      <c r="L3470" s="39"/>
      <c r="M3470" s="72"/>
      <c r="N3470" s="72"/>
    </row>
    <row r="3471" spans="1:14" x14ac:dyDescent="0.2">
      <c r="A3471" s="73"/>
      <c r="B3471" s="3"/>
      <c r="C3471" s="3"/>
      <c r="D3471" s="73"/>
      <c r="E3471" s="2"/>
      <c r="F3471" s="2"/>
      <c r="G3471" s="2"/>
      <c r="H3471" s="2"/>
      <c r="I3471" s="2"/>
      <c r="J3471" s="2"/>
      <c r="K3471" s="72"/>
      <c r="L3471" s="39"/>
      <c r="M3471" s="72"/>
      <c r="N3471" s="72"/>
    </row>
    <row r="3472" spans="1:14" x14ac:dyDescent="0.2">
      <c r="A3472" s="73"/>
      <c r="B3472" s="3"/>
      <c r="C3472" s="3"/>
      <c r="D3472" s="73"/>
      <c r="E3472" s="2"/>
      <c r="F3472" s="2"/>
      <c r="G3472" s="2"/>
      <c r="H3472" s="2"/>
      <c r="I3472" s="2"/>
      <c r="J3472" s="2"/>
      <c r="K3472" s="72"/>
      <c r="L3472" s="39"/>
      <c r="M3472" s="72"/>
      <c r="N3472" s="72"/>
    </row>
    <row r="3473" spans="1:14" x14ac:dyDescent="0.2">
      <c r="A3473" s="73"/>
      <c r="B3473" s="3"/>
      <c r="C3473" s="3"/>
      <c r="D3473" s="73"/>
      <c r="E3473" s="2"/>
      <c r="F3473" s="2"/>
      <c r="G3473" s="2"/>
      <c r="H3473" s="2"/>
      <c r="I3473" s="2"/>
      <c r="J3473" s="2"/>
      <c r="K3473" s="72"/>
      <c r="L3473" s="39"/>
      <c r="M3473" s="72"/>
      <c r="N3473" s="72"/>
    </row>
    <row r="3474" spans="1:14" x14ac:dyDescent="0.2">
      <c r="A3474" s="73"/>
      <c r="B3474" s="3"/>
      <c r="C3474" s="3"/>
      <c r="D3474" s="73"/>
      <c r="E3474" s="2"/>
      <c r="F3474" s="2"/>
      <c r="G3474" s="2"/>
      <c r="H3474" s="2"/>
      <c r="I3474" s="2"/>
      <c r="J3474" s="2"/>
      <c r="K3474" s="72"/>
      <c r="L3474" s="39"/>
      <c r="M3474" s="72"/>
      <c r="N3474" s="72"/>
    </row>
    <row r="3475" spans="1:14" x14ac:dyDescent="0.2">
      <c r="A3475" s="73"/>
      <c r="B3475" s="3"/>
      <c r="C3475" s="3"/>
      <c r="D3475" s="73"/>
      <c r="E3475" s="2"/>
      <c r="F3475" s="2"/>
      <c r="G3475" s="2"/>
      <c r="H3475" s="2"/>
      <c r="I3475" s="2"/>
      <c r="J3475" s="2"/>
      <c r="K3475" s="72"/>
      <c r="L3475" s="39"/>
      <c r="M3475" s="72"/>
      <c r="N3475" s="72"/>
    </row>
    <row r="3476" spans="1:14" x14ac:dyDescent="0.2">
      <c r="A3476" s="73"/>
      <c r="B3476" s="3"/>
      <c r="C3476" s="3"/>
      <c r="D3476" s="73"/>
      <c r="E3476" s="2"/>
      <c r="F3476" s="2"/>
      <c r="G3476" s="2"/>
      <c r="H3476" s="2"/>
      <c r="I3476" s="2"/>
      <c r="J3476" s="2"/>
      <c r="K3476" s="72"/>
      <c r="L3476" s="39"/>
      <c r="M3476" s="72"/>
      <c r="N3476" s="72"/>
    </row>
    <row r="3477" spans="1:14" x14ac:dyDescent="0.2">
      <c r="A3477" s="73"/>
      <c r="B3477" s="3"/>
      <c r="C3477" s="3"/>
      <c r="D3477" s="73"/>
      <c r="E3477" s="2"/>
      <c r="F3477" s="2"/>
      <c r="G3477" s="2"/>
      <c r="H3477" s="2"/>
      <c r="I3477" s="2"/>
      <c r="J3477" s="2"/>
      <c r="K3477" s="72"/>
      <c r="L3477" s="39"/>
      <c r="M3477" s="72"/>
      <c r="N3477" s="72"/>
    </row>
    <row r="3478" spans="1:14" x14ac:dyDescent="0.2">
      <c r="A3478" s="73"/>
      <c r="B3478" s="3"/>
      <c r="C3478" s="3"/>
      <c r="D3478" s="73"/>
      <c r="E3478" s="2"/>
      <c r="F3478" s="2"/>
      <c r="G3478" s="2"/>
      <c r="H3478" s="2"/>
      <c r="I3478" s="2"/>
      <c r="J3478" s="2"/>
      <c r="K3478" s="72"/>
      <c r="L3478" s="39"/>
      <c r="M3478" s="72"/>
      <c r="N3478" s="72"/>
    </row>
    <row r="3479" spans="1:14" x14ac:dyDescent="0.2">
      <c r="A3479" s="73"/>
      <c r="B3479" s="3"/>
      <c r="C3479" s="3"/>
      <c r="D3479" s="73"/>
      <c r="E3479" s="2"/>
      <c r="F3479" s="2"/>
      <c r="G3479" s="2"/>
      <c r="H3479" s="2"/>
      <c r="I3479" s="2"/>
      <c r="J3479" s="2"/>
      <c r="K3479" s="72"/>
      <c r="L3479" s="39"/>
      <c r="M3479" s="72"/>
      <c r="N3479" s="72"/>
    </row>
    <row r="3480" spans="1:14" x14ac:dyDescent="0.2">
      <c r="A3480" s="73"/>
      <c r="B3480" s="3"/>
      <c r="C3480" s="3"/>
      <c r="D3480" s="73"/>
      <c r="E3480" s="2"/>
      <c r="F3480" s="2"/>
      <c r="G3480" s="2"/>
      <c r="H3480" s="2"/>
      <c r="I3480" s="2"/>
      <c r="J3480" s="2"/>
      <c r="K3480" s="72"/>
      <c r="L3480" s="39"/>
      <c r="M3480" s="72"/>
      <c r="N3480" s="72"/>
    </row>
    <row r="3481" spans="1:14" x14ac:dyDescent="0.2">
      <c r="A3481" s="73"/>
      <c r="B3481" s="3"/>
      <c r="C3481" s="3"/>
      <c r="D3481" s="73"/>
      <c r="E3481" s="2"/>
      <c r="F3481" s="2"/>
      <c r="G3481" s="2"/>
      <c r="H3481" s="2"/>
      <c r="I3481" s="2"/>
      <c r="J3481" s="2"/>
      <c r="K3481" s="72"/>
      <c r="L3481" s="39"/>
      <c r="M3481" s="72"/>
      <c r="N3481" s="72"/>
    </row>
    <row r="3482" spans="1:14" x14ac:dyDescent="0.2">
      <c r="A3482" s="73"/>
      <c r="B3482" s="3"/>
      <c r="C3482" s="3"/>
      <c r="D3482" s="73"/>
      <c r="E3482" s="2"/>
      <c r="F3482" s="2"/>
      <c r="G3482" s="2"/>
      <c r="H3482" s="2"/>
      <c r="I3482" s="2"/>
      <c r="J3482" s="2"/>
      <c r="K3482" s="72"/>
      <c r="L3482" s="39"/>
      <c r="M3482" s="72"/>
      <c r="N3482" s="72"/>
    </row>
    <row r="3483" spans="1:14" x14ac:dyDescent="0.2">
      <c r="A3483" s="73"/>
      <c r="B3483" s="3"/>
      <c r="C3483" s="3"/>
      <c r="D3483" s="73"/>
      <c r="E3483" s="2"/>
      <c r="F3483" s="2"/>
      <c r="G3483" s="2"/>
      <c r="H3483" s="2"/>
      <c r="I3483" s="2"/>
      <c r="J3483" s="2"/>
      <c r="K3483" s="72"/>
      <c r="L3483" s="39"/>
      <c r="M3483" s="72"/>
      <c r="N3483" s="72"/>
    </row>
    <row r="3484" spans="1:14" x14ac:dyDescent="0.2">
      <c r="A3484" s="73"/>
      <c r="B3484" s="3"/>
      <c r="C3484" s="3"/>
      <c r="D3484" s="73"/>
      <c r="E3484" s="2"/>
      <c r="F3484" s="2"/>
      <c r="G3484" s="2"/>
      <c r="H3484" s="2"/>
      <c r="I3484" s="2"/>
      <c r="J3484" s="2"/>
      <c r="K3484" s="72"/>
      <c r="L3484" s="39"/>
      <c r="M3484" s="72"/>
      <c r="N3484" s="72"/>
    </row>
    <row r="3485" spans="1:14" x14ac:dyDescent="0.2">
      <c r="A3485" s="73"/>
      <c r="B3485" s="3"/>
      <c r="C3485" s="3"/>
      <c r="D3485" s="73"/>
      <c r="E3485" s="2"/>
      <c r="F3485" s="2"/>
      <c r="G3485" s="2"/>
      <c r="H3485" s="2"/>
      <c r="I3485" s="2"/>
      <c r="J3485" s="2"/>
      <c r="K3485" s="72"/>
      <c r="L3485" s="39"/>
      <c r="M3485" s="72"/>
      <c r="N3485" s="72"/>
    </row>
    <row r="3486" spans="1:14" x14ac:dyDescent="0.2">
      <c r="A3486" s="73"/>
      <c r="B3486" s="3"/>
      <c r="C3486" s="3"/>
      <c r="D3486" s="73"/>
      <c r="E3486" s="2"/>
      <c r="F3486" s="2"/>
      <c r="G3486" s="2"/>
      <c r="H3486" s="2"/>
      <c r="I3486" s="2"/>
      <c r="J3486" s="2"/>
      <c r="K3486" s="72"/>
      <c r="L3486" s="39"/>
      <c r="M3486" s="72"/>
      <c r="N3486" s="72"/>
    </row>
    <row r="3487" spans="1:14" x14ac:dyDescent="0.2">
      <c r="A3487" s="73"/>
      <c r="B3487" s="3"/>
      <c r="C3487" s="3"/>
      <c r="D3487" s="73"/>
      <c r="E3487" s="2"/>
      <c r="F3487" s="2"/>
      <c r="G3487" s="2"/>
      <c r="H3487" s="2"/>
      <c r="I3487" s="2"/>
      <c r="J3487" s="2"/>
      <c r="K3487" s="72"/>
      <c r="L3487" s="39"/>
      <c r="M3487" s="72"/>
      <c r="N3487" s="72"/>
    </row>
    <row r="3488" spans="1:14" x14ac:dyDescent="0.2">
      <c r="A3488" s="73"/>
      <c r="B3488" s="3"/>
      <c r="C3488" s="3"/>
      <c r="D3488" s="73"/>
      <c r="E3488" s="2"/>
      <c r="F3488" s="2"/>
      <c r="G3488" s="2"/>
      <c r="H3488" s="2"/>
      <c r="I3488" s="2"/>
      <c r="J3488" s="2"/>
      <c r="K3488" s="72"/>
      <c r="L3488" s="39"/>
      <c r="M3488" s="72"/>
      <c r="N3488" s="72"/>
    </row>
    <row r="3489" spans="1:14" x14ac:dyDescent="0.2">
      <c r="A3489" s="73"/>
      <c r="B3489" s="3"/>
      <c r="C3489" s="3"/>
      <c r="D3489" s="73"/>
      <c r="E3489" s="2"/>
      <c r="F3489" s="2"/>
      <c r="G3489" s="2"/>
      <c r="H3489" s="2"/>
      <c r="I3489" s="2"/>
      <c r="J3489" s="2"/>
      <c r="K3489" s="72"/>
      <c r="L3489" s="39"/>
      <c r="M3489" s="72"/>
      <c r="N3489" s="72"/>
    </row>
    <row r="3490" spans="1:14" x14ac:dyDescent="0.2">
      <c r="A3490" s="73"/>
      <c r="B3490" s="3"/>
      <c r="C3490" s="3"/>
      <c r="D3490" s="73"/>
      <c r="E3490" s="2"/>
      <c r="F3490" s="2"/>
      <c r="G3490" s="2"/>
      <c r="H3490" s="2"/>
      <c r="I3490" s="2"/>
      <c r="J3490" s="2"/>
      <c r="K3490" s="72"/>
      <c r="L3490" s="39"/>
      <c r="M3490" s="72"/>
      <c r="N3490" s="72"/>
    </row>
    <row r="3491" spans="1:14" x14ac:dyDescent="0.2">
      <c r="A3491" s="73"/>
      <c r="B3491" s="3"/>
      <c r="C3491" s="3"/>
      <c r="D3491" s="73"/>
      <c r="E3491" s="2"/>
      <c r="F3491" s="2"/>
      <c r="G3491" s="2"/>
      <c r="H3491" s="2"/>
      <c r="I3491" s="2"/>
      <c r="J3491" s="2"/>
      <c r="K3491" s="72"/>
      <c r="L3491" s="39"/>
      <c r="M3491" s="72"/>
      <c r="N3491" s="72"/>
    </row>
    <row r="3492" spans="1:14" x14ac:dyDescent="0.2">
      <c r="A3492" s="73"/>
      <c r="B3492" s="3"/>
      <c r="C3492" s="3"/>
      <c r="D3492" s="73"/>
      <c r="E3492" s="2"/>
      <c r="F3492" s="2"/>
      <c r="G3492" s="2"/>
      <c r="H3492" s="2"/>
      <c r="I3492" s="2"/>
      <c r="J3492" s="2"/>
      <c r="K3492" s="72"/>
      <c r="L3492" s="39"/>
      <c r="M3492" s="72"/>
      <c r="N3492" s="72"/>
    </row>
    <row r="3493" spans="1:14" x14ac:dyDescent="0.2">
      <c r="A3493" s="73"/>
      <c r="B3493" s="3"/>
      <c r="C3493" s="3"/>
      <c r="D3493" s="73"/>
      <c r="E3493" s="2"/>
      <c r="F3493" s="2"/>
      <c r="G3493" s="2"/>
      <c r="H3493" s="2"/>
      <c r="I3493" s="2"/>
      <c r="J3493" s="2"/>
      <c r="K3493" s="72"/>
      <c r="L3493" s="39"/>
      <c r="M3493" s="72"/>
      <c r="N3493" s="72"/>
    </row>
    <row r="3494" spans="1:14" x14ac:dyDescent="0.2">
      <c r="A3494" s="73"/>
      <c r="B3494" s="3"/>
      <c r="C3494" s="3"/>
      <c r="D3494" s="73"/>
      <c r="E3494" s="2"/>
      <c r="F3494" s="2"/>
      <c r="G3494" s="2"/>
      <c r="H3494" s="2"/>
      <c r="I3494" s="2"/>
      <c r="J3494" s="2"/>
      <c r="K3494" s="72"/>
      <c r="L3494" s="39"/>
      <c r="M3494" s="72"/>
      <c r="N3494" s="72"/>
    </row>
    <row r="3495" spans="1:14" x14ac:dyDescent="0.2">
      <c r="A3495" s="73"/>
      <c r="B3495" s="3"/>
      <c r="C3495" s="3"/>
      <c r="D3495" s="73"/>
      <c r="E3495" s="2"/>
      <c r="F3495" s="2"/>
      <c r="G3495" s="2"/>
      <c r="H3495" s="2"/>
      <c r="I3495" s="2"/>
      <c r="J3495" s="2"/>
      <c r="K3495" s="72"/>
      <c r="L3495" s="39"/>
      <c r="M3495" s="72"/>
      <c r="N3495" s="72"/>
    </row>
    <row r="3496" spans="1:14" x14ac:dyDescent="0.2">
      <c r="A3496" s="73"/>
      <c r="B3496" s="3"/>
      <c r="C3496" s="3"/>
      <c r="D3496" s="73"/>
      <c r="E3496" s="2"/>
      <c r="F3496" s="2"/>
      <c r="G3496" s="2"/>
      <c r="H3496" s="2"/>
      <c r="I3496" s="2"/>
      <c r="J3496" s="2"/>
      <c r="K3496" s="72"/>
      <c r="L3496" s="39"/>
      <c r="M3496" s="72"/>
      <c r="N3496" s="72"/>
    </row>
    <row r="3497" spans="1:14" x14ac:dyDescent="0.2">
      <c r="A3497" s="73"/>
      <c r="B3497" s="3"/>
      <c r="C3497" s="3"/>
      <c r="D3497" s="73"/>
      <c r="E3497" s="2"/>
      <c r="F3497" s="2"/>
      <c r="G3497" s="2"/>
      <c r="H3497" s="2"/>
      <c r="I3497" s="2"/>
      <c r="J3497" s="2"/>
      <c r="K3497" s="72"/>
      <c r="L3497" s="39"/>
      <c r="M3497" s="72"/>
      <c r="N3497" s="72"/>
    </row>
    <row r="3498" spans="1:14" x14ac:dyDescent="0.2">
      <c r="A3498" s="73"/>
      <c r="B3498" s="3"/>
      <c r="C3498" s="3"/>
      <c r="D3498" s="73"/>
      <c r="E3498" s="2"/>
      <c r="F3498" s="2"/>
      <c r="G3498" s="2"/>
      <c r="H3498" s="2"/>
      <c r="I3498" s="2"/>
      <c r="J3498" s="2"/>
      <c r="K3498" s="72"/>
      <c r="L3498" s="39"/>
      <c r="M3498" s="72"/>
      <c r="N3498" s="72"/>
    </row>
    <row r="3499" spans="1:14" x14ac:dyDescent="0.2">
      <c r="A3499" s="73"/>
      <c r="B3499" s="3"/>
      <c r="C3499" s="3"/>
      <c r="D3499" s="73"/>
      <c r="E3499" s="2"/>
      <c r="F3499" s="2"/>
      <c r="G3499" s="2"/>
      <c r="H3499" s="2"/>
      <c r="I3499" s="2"/>
      <c r="J3499" s="2"/>
      <c r="K3499" s="72"/>
      <c r="L3499" s="39"/>
      <c r="M3499" s="72"/>
      <c r="N3499" s="72"/>
    </row>
    <row r="3500" spans="1:14" x14ac:dyDescent="0.2">
      <c r="A3500" s="73"/>
      <c r="B3500" s="3"/>
      <c r="C3500" s="3"/>
      <c r="D3500" s="73"/>
      <c r="E3500" s="2"/>
      <c r="F3500" s="2"/>
      <c r="G3500" s="2"/>
      <c r="H3500" s="2"/>
      <c r="I3500" s="2"/>
      <c r="J3500" s="2"/>
      <c r="K3500" s="72"/>
      <c r="L3500" s="39"/>
      <c r="M3500" s="72"/>
      <c r="N3500" s="72"/>
    </row>
    <row r="3501" spans="1:14" x14ac:dyDescent="0.2">
      <c r="A3501" s="73"/>
      <c r="B3501" s="3"/>
      <c r="C3501" s="3"/>
      <c r="D3501" s="73"/>
      <c r="E3501" s="2"/>
      <c r="F3501" s="2"/>
      <c r="G3501" s="2"/>
      <c r="H3501" s="2"/>
      <c r="I3501" s="2"/>
      <c r="J3501" s="2"/>
      <c r="K3501" s="72"/>
      <c r="L3501" s="39"/>
      <c r="M3501" s="72"/>
      <c r="N3501" s="72"/>
    </row>
    <row r="3502" spans="1:14" x14ac:dyDescent="0.2">
      <c r="A3502" s="73"/>
      <c r="B3502" s="3"/>
      <c r="C3502" s="3"/>
      <c r="D3502" s="73"/>
      <c r="E3502" s="2"/>
      <c r="F3502" s="2"/>
      <c r="G3502" s="2"/>
      <c r="H3502" s="2"/>
      <c r="I3502" s="2"/>
      <c r="J3502" s="2"/>
      <c r="K3502" s="72"/>
      <c r="L3502" s="39"/>
      <c r="M3502" s="72"/>
      <c r="N3502" s="72"/>
    </row>
    <row r="3503" spans="1:14" x14ac:dyDescent="0.2">
      <c r="A3503" s="73"/>
      <c r="B3503" s="3"/>
      <c r="C3503" s="3"/>
      <c r="D3503" s="73"/>
      <c r="E3503" s="2"/>
      <c r="F3503" s="2"/>
      <c r="G3503" s="2"/>
      <c r="H3503" s="2"/>
      <c r="I3503" s="2"/>
      <c r="J3503" s="2"/>
      <c r="K3503" s="72"/>
      <c r="L3503" s="39"/>
      <c r="M3503" s="72"/>
      <c r="N3503" s="72"/>
    </row>
    <row r="3504" spans="1:14" x14ac:dyDescent="0.2">
      <c r="A3504" s="73"/>
      <c r="B3504" s="3"/>
      <c r="C3504" s="3"/>
      <c r="D3504" s="73"/>
      <c r="E3504" s="2"/>
      <c r="F3504" s="2"/>
      <c r="G3504" s="2"/>
      <c r="H3504" s="2"/>
      <c r="I3504" s="2"/>
      <c r="J3504" s="2"/>
      <c r="K3504" s="72"/>
      <c r="L3504" s="39"/>
      <c r="M3504" s="72"/>
      <c r="N3504" s="72"/>
    </row>
    <row r="3505" spans="1:14" x14ac:dyDescent="0.2">
      <c r="A3505" s="73"/>
      <c r="B3505" s="3"/>
      <c r="C3505" s="3"/>
      <c r="D3505" s="73"/>
      <c r="E3505" s="2"/>
      <c r="F3505" s="2"/>
      <c r="G3505" s="2"/>
      <c r="H3505" s="2"/>
      <c r="I3505" s="2"/>
      <c r="J3505" s="2"/>
      <c r="K3505" s="72"/>
      <c r="L3505" s="39"/>
      <c r="M3505" s="72"/>
      <c r="N3505" s="72"/>
    </row>
    <row r="3506" spans="1:14" x14ac:dyDescent="0.2">
      <c r="A3506" s="73"/>
      <c r="B3506" s="3"/>
      <c r="C3506" s="3"/>
      <c r="D3506" s="73"/>
      <c r="E3506" s="2"/>
      <c r="F3506" s="2"/>
      <c r="G3506" s="2"/>
      <c r="H3506" s="2"/>
      <c r="I3506" s="2"/>
      <c r="J3506" s="2"/>
      <c r="K3506" s="72"/>
      <c r="L3506" s="39"/>
      <c r="M3506" s="72"/>
      <c r="N3506" s="72"/>
    </row>
    <row r="3507" spans="1:14" x14ac:dyDescent="0.2">
      <c r="A3507" s="73"/>
      <c r="B3507" s="3"/>
      <c r="C3507" s="3"/>
      <c r="D3507" s="73"/>
      <c r="E3507" s="2"/>
      <c r="F3507" s="2"/>
      <c r="G3507" s="2"/>
      <c r="H3507" s="2"/>
      <c r="I3507" s="2"/>
      <c r="J3507" s="2"/>
      <c r="K3507" s="72"/>
      <c r="L3507" s="39"/>
      <c r="M3507" s="72"/>
      <c r="N3507" s="72"/>
    </row>
    <row r="3508" spans="1:14" x14ac:dyDescent="0.2">
      <c r="A3508" s="73"/>
      <c r="B3508" s="3"/>
      <c r="C3508" s="3"/>
      <c r="D3508" s="73"/>
      <c r="E3508" s="2"/>
      <c r="F3508" s="2"/>
      <c r="G3508" s="2"/>
      <c r="H3508" s="2"/>
      <c r="I3508" s="2"/>
      <c r="J3508" s="2"/>
      <c r="K3508" s="72"/>
      <c r="L3508" s="39"/>
      <c r="M3508" s="72"/>
      <c r="N3508" s="72"/>
    </row>
    <row r="3509" spans="1:14" x14ac:dyDescent="0.2">
      <c r="A3509" s="73"/>
      <c r="B3509" s="3"/>
      <c r="C3509" s="3"/>
      <c r="D3509" s="73"/>
      <c r="E3509" s="2"/>
      <c r="F3509" s="2"/>
      <c r="G3509" s="2"/>
      <c r="H3509" s="2"/>
      <c r="I3509" s="2"/>
      <c r="J3509" s="2"/>
      <c r="K3509" s="72"/>
      <c r="L3509" s="39"/>
      <c r="M3509" s="72"/>
      <c r="N3509" s="72"/>
    </row>
    <row r="3510" spans="1:14" x14ac:dyDescent="0.2">
      <c r="A3510" s="73"/>
      <c r="B3510" s="3"/>
      <c r="C3510" s="3"/>
      <c r="D3510" s="73"/>
      <c r="E3510" s="2"/>
      <c r="F3510" s="2"/>
      <c r="G3510" s="2"/>
      <c r="H3510" s="2"/>
      <c r="I3510" s="2"/>
      <c r="J3510" s="2"/>
      <c r="K3510" s="72"/>
      <c r="L3510" s="39"/>
      <c r="M3510" s="72"/>
      <c r="N3510" s="72"/>
    </row>
    <row r="3511" spans="1:14" x14ac:dyDescent="0.2">
      <c r="A3511" s="73"/>
      <c r="B3511" s="3"/>
      <c r="C3511" s="3"/>
      <c r="D3511" s="73"/>
      <c r="E3511" s="2"/>
      <c r="F3511" s="2"/>
      <c r="G3511" s="2"/>
      <c r="H3511" s="2"/>
      <c r="I3511" s="2"/>
      <c r="J3511" s="2"/>
      <c r="K3511" s="72"/>
      <c r="L3511" s="39"/>
      <c r="M3511" s="72"/>
      <c r="N3511" s="72"/>
    </row>
    <row r="3512" spans="1:14" x14ac:dyDescent="0.2">
      <c r="A3512" s="73"/>
      <c r="B3512" s="3"/>
      <c r="C3512" s="3"/>
      <c r="D3512" s="73"/>
      <c r="E3512" s="2"/>
      <c r="F3512" s="2"/>
      <c r="G3512" s="2"/>
      <c r="H3512" s="2"/>
      <c r="I3512" s="2"/>
      <c r="J3512" s="2"/>
      <c r="K3512" s="72"/>
      <c r="L3512" s="39"/>
      <c r="M3512" s="72"/>
      <c r="N3512" s="72"/>
    </row>
    <row r="3513" spans="1:14" x14ac:dyDescent="0.2">
      <c r="A3513" s="73"/>
      <c r="B3513" s="3"/>
      <c r="C3513" s="3"/>
      <c r="D3513" s="73"/>
      <c r="E3513" s="2"/>
      <c r="F3513" s="2"/>
      <c r="G3513" s="2"/>
      <c r="H3513" s="2"/>
      <c r="I3513" s="2"/>
      <c r="J3513" s="2"/>
      <c r="K3513" s="72"/>
      <c r="L3513" s="39"/>
      <c r="M3513" s="72"/>
      <c r="N3513" s="72"/>
    </row>
    <row r="3514" spans="1:14" x14ac:dyDescent="0.2">
      <c r="A3514" s="73"/>
      <c r="B3514" s="3"/>
      <c r="C3514" s="3"/>
      <c r="D3514" s="73"/>
      <c r="E3514" s="2"/>
      <c r="F3514" s="2"/>
      <c r="G3514" s="2"/>
      <c r="H3514" s="2"/>
      <c r="I3514" s="2"/>
      <c r="J3514" s="2"/>
      <c r="K3514" s="72"/>
      <c r="L3514" s="39"/>
      <c r="M3514" s="72"/>
      <c r="N3514" s="72"/>
    </row>
    <row r="3515" spans="1:14" x14ac:dyDescent="0.2">
      <c r="A3515" s="73"/>
      <c r="B3515" s="3"/>
      <c r="C3515" s="3"/>
      <c r="D3515" s="73"/>
      <c r="E3515" s="2"/>
      <c r="F3515" s="2"/>
      <c r="G3515" s="2"/>
      <c r="H3515" s="2"/>
      <c r="I3515" s="2"/>
      <c r="J3515" s="2"/>
      <c r="K3515" s="72"/>
      <c r="L3515" s="39"/>
      <c r="M3515" s="72"/>
      <c r="N3515" s="72"/>
    </row>
    <row r="3516" spans="1:14" x14ac:dyDescent="0.2">
      <c r="A3516" s="73"/>
      <c r="B3516" s="3"/>
      <c r="C3516" s="3"/>
      <c r="D3516" s="73"/>
      <c r="E3516" s="2"/>
      <c r="F3516" s="2"/>
      <c r="G3516" s="2"/>
      <c r="H3516" s="2"/>
      <c r="I3516" s="2"/>
      <c r="J3516" s="2"/>
      <c r="K3516" s="72"/>
      <c r="L3516" s="39"/>
      <c r="M3516" s="72"/>
      <c r="N3516" s="72"/>
    </row>
    <row r="3517" spans="1:14" x14ac:dyDescent="0.2">
      <c r="A3517" s="73"/>
      <c r="B3517" s="3"/>
      <c r="C3517" s="3"/>
      <c r="D3517" s="73"/>
      <c r="E3517" s="2"/>
      <c r="F3517" s="2"/>
      <c r="G3517" s="2"/>
      <c r="H3517" s="2"/>
      <c r="I3517" s="2"/>
      <c r="J3517" s="2"/>
      <c r="K3517" s="72"/>
      <c r="L3517" s="39"/>
      <c r="M3517" s="72"/>
      <c r="N3517" s="72"/>
    </row>
    <row r="3518" spans="1:14" x14ac:dyDescent="0.2">
      <c r="A3518" s="73"/>
      <c r="B3518" s="3"/>
      <c r="C3518" s="3"/>
      <c r="D3518" s="73"/>
      <c r="E3518" s="2"/>
      <c r="F3518" s="2"/>
      <c r="G3518" s="2"/>
      <c r="H3518" s="2"/>
      <c r="I3518" s="2"/>
      <c r="J3518" s="2"/>
      <c r="K3518" s="72"/>
      <c r="L3518" s="39"/>
      <c r="M3518" s="72"/>
      <c r="N3518" s="72"/>
    </row>
    <row r="3519" spans="1:14" x14ac:dyDescent="0.2">
      <c r="A3519" s="73"/>
      <c r="B3519" s="3"/>
      <c r="C3519" s="3"/>
      <c r="D3519" s="73"/>
      <c r="E3519" s="2"/>
      <c r="F3519" s="2"/>
      <c r="G3519" s="2"/>
      <c r="H3519" s="2"/>
      <c r="I3519" s="2"/>
      <c r="J3519" s="2"/>
      <c r="K3519" s="72"/>
      <c r="L3519" s="39"/>
      <c r="M3519" s="72"/>
      <c r="N3519" s="72"/>
    </row>
    <row r="3520" spans="1:14" x14ac:dyDescent="0.2">
      <c r="A3520" s="73"/>
      <c r="B3520" s="3"/>
      <c r="C3520" s="3"/>
      <c r="D3520" s="73"/>
      <c r="E3520" s="2"/>
      <c r="F3520" s="2"/>
      <c r="G3520" s="2"/>
      <c r="H3520" s="2"/>
      <c r="I3520" s="2"/>
      <c r="J3520" s="2"/>
      <c r="K3520" s="72"/>
      <c r="L3520" s="39"/>
      <c r="M3520" s="72"/>
      <c r="N3520" s="72"/>
    </row>
    <row r="3521" spans="1:14" x14ac:dyDescent="0.2">
      <c r="A3521" s="73"/>
      <c r="B3521" s="3"/>
      <c r="C3521" s="3"/>
      <c r="D3521" s="73"/>
      <c r="E3521" s="2"/>
      <c r="F3521" s="2"/>
      <c r="G3521" s="2"/>
      <c r="H3521" s="2"/>
      <c r="I3521" s="2"/>
      <c r="J3521" s="2"/>
      <c r="K3521" s="72"/>
      <c r="L3521" s="39"/>
      <c r="M3521" s="72"/>
      <c r="N3521" s="72"/>
    </row>
    <row r="3522" spans="1:14" x14ac:dyDescent="0.2">
      <c r="A3522" s="73"/>
      <c r="B3522" s="3"/>
      <c r="C3522" s="3"/>
      <c r="D3522" s="73"/>
      <c r="E3522" s="2"/>
      <c r="F3522" s="2"/>
      <c r="G3522" s="2"/>
      <c r="H3522" s="2"/>
      <c r="I3522" s="2"/>
      <c r="J3522" s="2"/>
      <c r="K3522" s="72"/>
      <c r="L3522" s="39"/>
      <c r="M3522" s="72"/>
      <c r="N3522" s="72"/>
    </row>
    <row r="3523" spans="1:14" x14ac:dyDescent="0.2">
      <c r="A3523" s="73"/>
      <c r="B3523" s="3"/>
      <c r="C3523" s="3"/>
      <c r="D3523" s="73"/>
      <c r="E3523" s="2"/>
      <c r="F3523" s="2"/>
      <c r="G3523" s="2"/>
      <c r="H3523" s="2"/>
      <c r="I3523" s="2"/>
      <c r="J3523" s="2"/>
      <c r="K3523" s="72"/>
      <c r="L3523" s="39"/>
      <c r="M3523" s="72"/>
      <c r="N3523" s="72"/>
    </row>
    <row r="3524" spans="1:14" x14ac:dyDescent="0.2">
      <c r="A3524" s="73"/>
      <c r="B3524" s="3"/>
      <c r="C3524" s="3"/>
      <c r="D3524" s="73"/>
      <c r="E3524" s="2"/>
      <c r="F3524" s="2"/>
      <c r="G3524" s="2"/>
      <c r="H3524" s="2"/>
      <c r="I3524" s="2"/>
      <c r="J3524" s="2"/>
      <c r="K3524" s="72"/>
      <c r="L3524" s="39"/>
      <c r="M3524" s="72"/>
      <c r="N3524" s="72"/>
    </row>
    <row r="3525" spans="1:14" x14ac:dyDescent="0.2">
      <c r="A3525" s="73"/>
      <c r="B3525" s="3"/>
      <c r="C3525" s="3"/>
      <c r="D3525" s="73"/>
      <c r="E3525" s="2"/>
      <c r="F3525" s="2"/>
      <c r="G3525" s="2"/>
      <c r="H3525" s="2"/>
      <c r="I3525" s="2"/>
      <c r="J3525" s="2"/>
      <c r="K3525" s="72"/>
      <c r="L3525" s="39"/>
      <c r="M3525" s="72"/>
      <c r="N3525" s="72"/>
    </row>
    <row r="3526" spans="1:14" x14ac:dyDescent="0.2">
      <c r="A3526" s="73"/>
      <c r="B3526" s="3"/>
      <c r="C3526" s="3"/>
      <c r="D3526" s="73"/>
      <c r="E3526" s="2"/>
      <c r="F3526" s="2"/>
      <c r="G3526" s="2"/>
      <c r="H3526" s="2"/>
      <c r="I3526" s="2"/>
      <c r="J3526" s="2"/>
      <c r="K3526" s="72"/>
      <c r="L3526" s="39"/>
      <c r="M3526" s="72"/>
      <c r="N3526" s="72"/>
    </row>
    <row r="3527" spans="1:14" x14ac:dyDescent="0.2">
      <c r="A3527" s="73"/>
      <c r="B3527" s="3"/>
      <c r="C3527" s="3"/>
      <c r="D3527" s="73"/>
      <c r="E3527" s="2"/>
      <c r="F3527" s="2"/>
      <c r="G3527" s="2"/>
      <c r="H3527" s="2"/>
      <c r="I3527" s="2"/>
      <c r="J3527" s="2"/>
      <c r="K3527" s="72"/>
      <c r="L3527" s="39"/>
      <c r="M3527" s="72"/>
      <c r="N3527" s="72"/>
    </row>
    <row r="3528" spans="1:14" x14ac:dyDescent="0.2">
      <c r="A3528" s="73"/>
      <c r="B3528" s="3"/>
      <c r="C3528" s="3"/>
      <c r="D3528" s="73"/>
      <c r="E3528" s="2"/>
      <c r="F3528" s="2"/>
      <c r="G3528" s="2"/>
      <c r="H3528" s="2"/>
      <c r="I3528" s="2"/>
      <c r="J3528" s="2"/>
      <c r="K3528" s="72"/>
      <c r="L3528" s="39"/>
      <c r="M3528" s="72"/>
      <c r="N3528" s="72"/>
    </row>
    <row r="3529" spans="1:14" x14ac:dyDescent="0.2">
      <c r="A3529" s="73"/>
      <c r="B3529" s="3"/>
      <c r="C3529" s="3"/>
      <c r="D3529" s="73"/>
      <c r="E3529" s="2"/>
      <c r="F3529" s="2"/>
      <c r="G3529" s="2"/>
      <c r="H3529" s="2"/>
      <c r="I3529" s="2"/>
      <c r="J3529" s="2"/>
      <c r="K3529" s="72"/>
      <c r="L3529" s="39"/>
      <c r="M3529" s="72"/>
      <c r="N3529" s="72"/>
    </row>
    <row r="3530" spans="1:14" x14ac:dyDescent="0.2">
      <c r="A3530" s="73"/>
      <c r="B3530" s="3"/>
      <c r="C3530" s="3"/>
      <c r="D3530" s="73"/>
      <c r="E3530" s="2"/>
      <c r="F3530" s="2"/>
      <c r="G3530" s="2"/>
      <c r="H3530" s="2"/>
      <c r="I3530" s="2"/>
      <c r="J3530" s="2"/>
      <c r="K3530" s="72"/>
      <c r="L3530" s="39"/>
      <c r="M3530" s="72"/>
      <c r="N3530" s="72"/>
    </row>
    <row r="3531" spans="1:14" x14ac:dyDescent="0.2">
      <c r="A3531" s="73"/>
      <c r="B3531" s="3"/>
      <c r="C3531" s="3"/>
      <c r="D3531" s="73"/>
      <c r="E3531" s="2"/>
      <c r="F3531" s="2"/>
      <c r="G3531" s="2"/>
      <c r="H3531" s="2"/>
      <c r="I3531" s="2"/>
      <c r="J3531" s="2"/>
      <c r="K3531" s="72"/>
      <c r="L3531" s="39"/>
      <c r="M3531" s="72"/>
      <c r="N3531" s="72"/>
    </row>
    <row r="3532" spans="1:14" x14ac:dyDescent="0.2">
      <c r="A3532" s="73"/>
      <c r="B3532" s="3"/>
      <c r="C3532" s="3"/>
      <c r="D3532" s="73"/>
      <c r="E3532" s="2"/>
      <c r="F3532" s="2"/>
      <c r="G3532" s="2"/>
      <c r="H3532" s="2"/>
      <c r="I3532" s="2"/>
      <c r="J3532" s="2"/>
      <c r="K3532" s="72"/>
      <c r="L3532" s="39"/>
      <c r="M3532" s="72"/>
      <c r="N3532" s="72"/>
    </row>
    <row r="3533" spans="1:14" x14ac:dyDescent="0.2">
      <c r="A3533" s="73"/>
      <c r="B3533" s="3"/>
      <c r="C3533" s="3"/>
      <c r="D3533" s="73"/>
      <c r="E3533" s="2"/>
      <c r="F3533" s="2"/>
      <c r="G3533" s="2"/>
      <c r="H3533" s="2"/>
      <c r="I3533" s="2"/>
      <c r="J3533" s="2"/>
      <c r="K3533" s="72"/>
      <c r="L3533" s="39"/>
      <c r="M3533" s="72"/>
      <c r="N3533" s="72"/>
    </row>
    <row r="3534" spans="1:14" x14ac:dyDescent="0.2">
      <c r="A3534" s="73"/>
      <c r="B3534" s="3"/>
      <c r="C3534" s="3"/>
      <c r="D3534" s="73"/>
      <c r="E3534" s="2"/>
      <c r="F3534" s="2"/>
      <c r="G3534" s="2"/>
      <c r="H3534" s="2"/>
      <c r="I3534" s="2"/>
      <c r="J3534" s="2"/>
      <c r="K3534" s="72"/>
      <c r="L3534" s="39"/>
      <c r="M3534" s="72"/>
      <c r="N3534" s="72"/>
    </row>
    <row r="3535" spans="1:14" x14ac:dyDescent="0.2">
      <c r="A3535" s="73"/>
      <c r="B3535" s="3"/>
      <c r="C3535" s="3"/>
      <c r="D3535" s="73"/>
      <c r="E3535" s="2"/>
      <c r="F3535" s="2"/>
      <c r="G3535" s="2"/>
      <c r="H3535" s="2"/>
      <c r="I3535" s="2"/>
      <c r="J3535" s="2"/>
      <c r="K3535" s="72"/>
      <c r="L3535" s="39"/>
      <c r="M3535" s="72"/>
      <c r="N3535" s="72"/>
    </row>
    <row r="3536" spans="1:14" x14ac:dyDescent="0.2">
      <c r="A3536" s="73"/>
      <c r="B3536" s="3"/>
      <c r="C3536" s="3"/>
      <c r="D3536" s="73"/>
      <c r="E3536" s="2"/>
      <c r="F3536" s="2"/>
      <c r="G3536" s="2"/>
      <c r="H3536" s="2"/>
      <c r="I3536" s="2"/>
      <c r="J3536" s="2"/>
      <c r="K3536" s="72"/>
      <c r="L3536" s="39"/>
      <c r="M3536" s="72"/>
      <c r="N3536" s="72"/>
    </row>
    <row r="3537" spans="1:14" x14ac:dyDescent="0.2">
      <c r="A3537" s="73"/>
      <c r="B3537" s="3"/>
      <c r="C3537" s="3"/>
      <c r="D3537" s="73"/>
      <c r="E3537" s="2"/>
      <c r="F3537" s="2"/>
      <c r="G3537" s="2"/>
      <c r="H3537" s="2"/>
      <c r="I3537" s="2"/>
      <c r="J3537" s="2"/>
      <c r="K3537" s="72"/>
      <c r="L3537" s="39"/>
      <c r="M3537" s="72"/>
      <c r="N3537" s="72"/>
    </row>
    <row r="3538" spans="1:14" x14ac:dyDescent="0.2">
      <c r="A3538" s="73"/>
      <c r="B3538" s="3"/>
      <c r="C3538" s="3"/>
      <c r="D3538" s="73"/>
      <c r="E3538" s="2"/>
      <c r="F3538" s="2"/>
      <c r="G3538" s="2"/>
      <c r="H3538" s="2"/>
      <c r="I3538" s="2"/>
      <c r="J3538" s="2"/>
      <c r="K3538" s="72"/>
      <c r="L3538" s="39"/>
      <c r="M3538" s="72"/>
      <c r="N3538" s="72"/>
    </row>
    <row r="3539" spans="1:14" x14ac:dyDescent="0.2">
      <c r="A3539" s="73"/>
      <c r="B3539" s="3"/>
      <c r="C3539" s="3"/>
      <c r="D3539" s="73"/>
      <c r="E3539" s="2"/>
      <c r="F3539" s="2"/>
      <c r="G3539" s="2"/>
      <c r="H3539" s="2"/>
      <c r="I3539" s="2"/>
      <c r="J3539" s="2"/>
      <c r="K3539" s="72"/>
      <c r="L3539" s="39"/>
      <c r="M3539" s="72"/>
      <c r="N3539" s="72"/>
    </row>
    <row r="3540" spans="1:14" x14ac:dyDescent="0.2">
      <c r="A3540" s="73"/>
      <c r="B3540" s="3"/>
      <c r="C3540" s="3"/>
      <c r="D3540" s="73"/>
      <c r="E3540" s="2"/>
      <c r="F3540" s="2"/>
      <c r="G3540" s="2"/>
      <c r="H3540" s="2"/>
      <c r="I3540" s="2"/>
      <c r="J3540" s="2"/>
      <c r="K3540" s="72"/>
      <c r="L3540" s="39"/>
      <c r="M3540" s="72"/>
      <c r="N3540" s="72"/>
    </row>
    <row r="3541" spans="1:14" x14ac:dyDescent="0.2">
      <c r="A3541" s="73"/>
      <c r="B3541" s="3"/>
      <c r="C3541" s="3"/>
      <c r="D3541" s="73"/>
      <c r="E3541" s="2"/>
      <c r="F3541" s="2"/>
      <c r="G3541" s="2"/>
      <c r="H3541" s="2"/>
      <c r="I3541" s="2"/>
      <c r="J3541" s="2"/>
      <c r="K3541" s="72"/>
      <c r="L3541" s="39"/>
      <c r="M3541" s="72"/>
      <c r="N3541" s="72"/>
    </row>
    <row r="3542" spans="1:14" x14ac:dyDescent="0.2">
      <c r="A3542" s="73"/>
      <c r="B3542" s="3"/>
      <c r="C3542" s="3"/>
      <c r="D3542" s="73"/>
      <c r="E3542" s="2"/>
      <c r="F3542" s="2"/>
      <c r="G3542" s="2"/>
      <c r="H3542" s="2"/>
      <c r="I3542" s="2"/>
      <c r="J3542" s="2"/>
      <c r="K3542" s="72"/>
      <c r="L3542" s="39"/>
      <c r="M3542" s="72"/>
      <c r="N3542" s="72"/>
    </row>
    <row r="3543" spans="1:14" x14ac:dyDescent="0.2">
      <c r="A3543" s="73"/>
      <c r="B3543" s="3"/>
      <c r="C3543" s="3"/>
      <c r="D3543" s="73"/>
      <c r="E3543" s="2"/>
      <c r="F3543" s="2"/>
      <c r="G3543" s="2"/>
      <c r="H3543" s="2"/>
      <c r="I3543" s="2"/>
      <c r="J3543" s="2"/>
      <c r="K3543" s="72"/>
      <c r="L3543" s="39"/>
      <c r="M3543" s="72"/>
      <c r="N3543" s="72"/>
    </row>
    <row r="3544" spans="1:14" x14ac:dyDescent="0.2">
      <c r="A3544" s="73"/>
      <c r="B3544" s="3"/>
      <c r="C3544" s="3"/>
      <c r="D3544" s="73"/>
      <c r="E3544" s="2"/>
      <c r="F3544" s="2"/>
      <c r="G3544" s="2"/>
      <c r="H3544" s="2"/>
      <c r="I3544" s="2"/>
      <c r="J3544" s="2"/>
      <c r="K3544" s="72"/>
      <c r="L3544" s="39"/>
      <c r="M3544" s="72"/>
      <c r="N3544" s="72"/>
    </row>
    <row r="3545" spans="1:14" x14ac:dyDescent="0.2">
      <c r="A3545" s="73"/>
      <c r="B3545" s="3"/>
      <c r="C3545" s="3"/>
      <c r="D3545" s="73"/>
      <c r="E3545" s="2"/>
      <c r="F3545" s="2"/>
      <c r="G3545" s="2"/>
      <c r="H3545" s="2"/>
      <c r="I3545" s="2"/>
      <c r="J3545" s="2"/>
      <c r="K3545" s="72"/>
      <c r="L3545" s="39"/>
      <c r="M3545" s="72"/>
      <c r="N3545" s="72"/>
    </row>
    <row r="3546" spans="1:14" x14ac:dyDescent="0.2">
      <c r="A3546" s="73"/>
      <c r="B3546" s="3"/>
      <c r="C3546" s="3"/>
      <c r="D3546" s="73"/>
      <c r="E3546" s="2"/>
      <c r="F3546" s="2"/>
      <c r="G3546" s="2"/>
      <c r="H3546" s="2"/>
      <c r="I3546" s="2"/>
      <c r="J3546" s="2"/>
      <c r="K3546" s="72"/>
      <c r="L3546" s="39"/>
      <c r="M3546" s="72"/>
      <c r="N3546" s="72"/>
    </row>
    <row r="3547" spans="1:14" x14ac:dyDescent="0.2">
      <c r="A3547" s="73"/>
      <c r="B3547" s="3"/>
      <c r="C3547" s="3"/>
      <c r="D3547" s="73"/>
      <c r="E3547" s="2"/>
      <c r="F3547" s="2"/>
      <c r="G3547" s="2"/>
      <c r="H3547" s="2"/>
      <c r="I3547" s="2"/>
      <c r="J3547" s="2"/>
      <c r="K3547" s="72"/>
      <c r="L3547" s="39"/>
      <c r="M3547" s="72"/>
      <c r="N3547" s="72"/>
    </row>
    <row r="3548" spans="1:14" x14ac:dyDescent="0.2">
      <c r="A3548" s="73"/>
      <c r="B3548" s="3"/>
      <c r="C3548" s="3"/>
      <c r="D3548" s="73"/>
      <c r="E3548" s="2"/>
      <c r="F3548" s="2"/>
      <c r="G3548" s="2"/>
      <c r="H3548" s="2"/>
      <c r="I3548" s="2"/>
      <c r="J3548" s="2"/>
      <c r="K3548" s="72"/>
      <c r="L3548" s="39"/>
      <c r="M3548" s="72"/>
      <c r="N3548" s="72"/>
    </row>
    <row r="3549" spans="1:14" x14ac:dyDescent="0.2">
      <c r="A3549" s="73"/>
      <c r="B3549" s="3"/>
      <c r="C3549" s="3"/>
      <c r="D3549" s="73"/>
      <c r="E3549" s="2"/>
      <c r="F3549" s="2"/>
      <c r="G3549" s="2"/>
      <c r="H3549" s="2"/>
      <c r="I3549" s="2"/>
      <c r="J3549" s="2"/>
      <c r="K3549" s="72"/>
      <c r="L3549" s="39"/>
      <c r="M3549" s="72"/>
      <c r="N3549" s="72"/>
    </row>
    <row r="3550" spans="1:14" x14ac:dyDescent="0.2">
      <c r="A3550" s="73"/>
      <c r="B3550" s="3"/>
      <c r="C3550" s="3"/>
      <c r="D3550" s="73"/>
      <c r="E3550" s="2"/>
      <c r="F3550" s="2"/>
      <c r="G3550" s="2"/>
      <c r="H3550" s="2"/>
      <c r="I3550" s="2"/>
      <c r="J3550" s="2"/>
      <c r="K3550" s="72"/>
      <c r="L3550" s="39"/>
      <c r="M3550" s="72"/>
      <c r="N3550" s="72"/>
    </row>
    <row r="3551" spans="1:14" x14ac:dyDescent="0.2">
      <c r="A3551" s="73"/>
      <c r="B3551" s="3"/>
      <c r="C3551" s="3"/>
      <c r="D3551" s="73"/>
      <c r="E3551" s="2"/>
      <c r="F3551" s="2"/>
      <c r="G3551" s="2"/>
      <c r="H3551" s="2"/>
      <c r="I3551" s="2"/>
      <c r="J3551" s="2"/>
      <c r="K3551" s="72"/>
      <c r="L3551" s="39"/>
      <c r="M3551" s="72"/>
      <c r="N3551" s="72"/>
    </row>
    <row r="3552" spans="1:14" x14ac:dyDescent="0.2">
      <c r="A3552" s="73"/>
      <c r="B3552" s="3"/>
      <c r="C3552" s="3"/>
      <c r="D3552" s="73"/>
      <c r="E3552" s="2"/>
      <c r="F3552" s="2"/>
      <c r="G3552" s="2"/>
      <c r="H3552" s="2"/>
      <c r="I3552" s="2"/>
      <c r="J3552" s="2"/>
      <c r="K3552" s="72"/>
      <c r="L3552" s="39"/>
      <c r="M3552" s="72"/>
      <c r="N3552" s="72"/>
    </row>
    <row r="3553" spans="1:14" x14ac:dyDescent="0.2">
      <c r="A3553" s="73"/>
      <c r="B3553" s="3"/>
      <c r="C3553" s="3"/>
      <c r="D3553" s="73"/>
      <c r="E3553" s="2"/>
      <c r="F3553" s="2"/>
      <c r="G3553" s="2"/>
      <c r="H3553" s="2"/>
      <c r="I3553" s="2"/>
      <c r="J3553" s="2"/>
      <c r="K3553" s="72"/>
      <c r="L3553" s="39"/>
      <c r="M3553" s="72"/>
      <c r="N3553" s="72"/>
    </row>
    <row r="3554" spans="1:14" x14ac:dyDescent="0.2">
      <c r="A3554" s="73"/>
      <c r="B3554" s="3"/>
      <c r="C3554" s="3"/>
      <c r="D3554" s="73"/>
      <c r="E3554" s="2"/>
      <c r="F3554" s="2"/>
      <c r="G3554" s="2"/>
      <c r="H3554" s="2"/>
      <c r="I3554" s="2"/>
      <c r="J3554" s="2"/>
      <c r="K3554" s="72"/>
      <c r="L3554" s="39"/>
      <c r="M3554" s="72"/>
      <c r="N3554" s="72"/>
    </row>
    <row r="3555" spans="1:14" x14ac:dyDescent="0.2">
      <c r="A3555" s="73"/>
      <c r="B3555" s="3"/>
      <c r="C3555" s="3"/>
      <c r="D3555" s="73"/>
      <c r="E3555" s="2"/>
      <c r="F3555" s="2"/>
      <c r="G3555" s="2"/>
      <c r="H3555" s="2"/>
      <c r="I3555" s="2"/>
      <c r="J3555" s="2"/>
      <c r="K3555" s="72"/>
      <c r="L3555" s="39"/>
      <c r="M3555" s="72"/>
      <c r="N3555" s="72"/>
    </row>
    <row r="3556" spans="1:14" x14ac:dyDescent="0.2">
      <c r="A3556" s="73"/>
      <c r="B3556" s="3"/>
      <c r="C3556" s="3"/>
      <c r="D3556" s="73"/>
      <c r="E3556" s="2"/>
      <c r="F3556" s="2"/>
      <c r="G3556" s="2"/>
      <c r="H3556" s="2"/>
      <c r="I3556" s="2"/>
      <c r="J3556" s="2"/>
      <c r="K3556" s="72"/>
      <c r="L3556" s="39"/>
      <c r="M3556" s="72"/>
      <c r="N3556" s="72"/>
    </row>
    <row r="3557" spans="1:14" x14ac:dyDescent="0.2">
      <c r="A3557" s="73"/>
      <c r="B3557" s="3"/>
      <c r="C3557" s="3"/>
      <c r="D3557" s="73"/>
      <c r="E3557" s="2"/>
      <c r="F3557" s="2"/>
      <c r="G3557" s="2"/>
      <c r="H3557" s="2"/>
      <c r="I3557" s="2"/>
      <c r="J3557" s="2"/>
      <c r="K3557" s="72"/>
      <c r="L3557" s="39"/>
      <c r="M3557" s="72"/>
      <c r="N3557" s="72"/>
    </row>
    <row r="3558" spans="1:14" x14ac:dyDescent="0.2">
      <c r="A3558" s="73"/>
      <c r="B3558" s="3"/>
      <c r="C3558" s="3"/>
      <c r="D3558" s="73"/>
      <c r="E3558" s="2"/>
      <c r="F3558" s="2"/>
      <c r="G3558" s="2"/>
      <c r="H3558" s="2"/>
      <c r="I3558" s="2"/>
      <c r="J3558" s="2"/>
      <c r="K3558" s="72"/>
      <c r="L3558" s="39"/>
      <c r="M3558" s="72"/>
      <c r="N3558" s="72"/>
    </row>
    <row r="3559" spans="1:14" x14ac:dyDescent="0.2">
      <c r="A3559" s="73"/>
      <c r="B3559" s="3"/>
      <c r="C3559" s="3"/>
      <c r="D3559" s="73"/>
      <c r="E3559" s="2"/>
      <c r="F3559" s="2"/>
      <c r="G3559" s="2"/>
      <c r="H3559" s="2"/>
      <c r="I3559" s="2"/>
      <c r="J3559" s="2"/>
      <c r="K3559" s="72"/>
      <c r="L3559" s="39"/>
      <c r="M3559" s="72"/>
      <c r="N3559" s="72"/>
    </row>
    <row r="3560" spans="1:14" x14ac:dyDescent="0.2">
      <c r="A3560" s="73"/>
      <c r="B3560" s="3"/>
      <c r="C3560" s="3"/>
      <c r="D3560" s="73"/>
      <c r="E3560" s="2"/>
      <c r="F3560" s="2"/>
      <c r="G3560" s="2"/>
      <c r="H3560" s="2"/>
      <c r="I3560" s="2"/>
      <c r="J3560" s="2"/>
      <c r="K3560" s="72"/>
      <c r="L3560" s="39"/>
      <c r="M3560" s="72"/>
      <c r="N3560" s="72"/>
    </row>
    <row r="3561" spans="1:14" x14ac:dyDescent="0.2">
      <c r="A3561" s="73"/>
      <c r="B3561" s="3"/>
      <c r="C3561" s="3"/>
      <c r="D3561" s="73"/>
      <c r="E3561" s="2"/>
      <c r="F3561" s="2"/>
      <c r="G3561" s="2"/>
      <c r="H3561" s="2"/>
      <c r="I3561" s="2"/>
      <c r="J3561" s="2"/>
      <c r="K3561" s="72"/>
      <c r="L3561" s="39"/>
      <c r="M3561" s="72"/>
      <c r="N3561" s="72"/>
    </row>
    <row r="3562" spans="1:14" x14ac:dyDescent="0.2">
      <c r="A3562" s="73"/>
      <c r="B3562" s="3"/>
      <c r="C3562" s="3"/>
      <c r="D3562" s="73"/>
      <c r="E3562" s="2"/>
      <c r="F3562" s="2"/>
      <c r="G3562" s="2"/>
      <c r="H3562" s="2"/>
      <c r="I3562" s="2"/>
      <c r="J3562" s="2"/>
      <c r="K3562" s="72"/>
      <c r="L3562" s="39"/>
      <c r="M3562" s="72"/>
      <c r="N3562" s="72"/>
    </row>
    <row r="3563" spans="1:14" x14ac:dyDescent="0.2">
      <c r="A3563" s="73"/>
      <c r="B3563" s="3"/>
      <c r="C3563" s="3"/>
      <c r="D3563" s="73"/>
      <c r="E3563" s="2"/>
      <c r="F3563" s="2"/>
      <c r="G3563" s="2"/>
      <c r="H3563" s="2"/>
      <c r="I3563" s="2"/>
      <c r="J3563" s="2"/>
      <c r="K3563" s="72"/>
      <c r="L3563" s="39"/>
      <c r="M3563" s="72"/>
      <c r="N3563" s="72"/>
    </row>
    <row r="3564" spans="1:14" x14ac:dyDescent="0.2">
      <c r="A3564" s="73"/>
      <c r="B3564" s="3"/>
      <c r="C3564" s="3"/>
      <c r="D3564" s="73"/>
      <c r="E3564" s="2"/>
      <c r="F3564" s="2"/>
      <c r="G3564" s="2"/>
      <c r="H3564" s="2"/>
      <c r="I3564" s="2"/>
      <c r="J3564" s="2"/>
      <c r="K3564" s="72"/>
      <c r="L3564" s="39"/>
      <c r="M3564" s="72"/>
      <c r="N3564" s="72"/>
    </row>
    <row r="3565" spans="1:14" x14ac:dyDescent="0.2">
      <c r="A3565" s="73"/>
      <c r="B3565" s="3"/>
      <c r="C3565" s="3"/>
      <c r="D3565" s="73"/>
      <c r="E3565" s="2"/>
      <c r="F3565" s="2"/>
      <c r="G3565" s="2"/>
      <c r="H3565" s="2"/>
      <c r="I3565" s="2"/>
      <c r="J3565" s="2"/>
      <c r="K3565" s="72"/>
      <c r="L3565" s="39"/>
      <c r="M3565" s="72"/>
      <c r="N3565" s="72"/>
    </row>
    <row r="3566" spans="1:14" x14ac:dyDescent="0.2">
      <c r="A3566" s="73"/>
      <c r="B3566" s="3"/>
      <c r="C3566" s="3"/>
      <c r="D3566" s="73"/>
      <c r="E3566" s="2"/>
      <c r="F3566" s="2"/>
      <c r="G3566" s="2"/>
      <c r="H3566" s="2"/>
      <c r="I3566" s="2"/>
      <c r="J3566" s="2"/>
      <c r="K3566" s="72"/>
      <c r="L3566" s="39"/>
      <c r="M3566" s="72"/>
      <c r="N3566" s="72"/>
    </row>
    <row r="3567" spans="1:14" x14ac:dyDescent="0.2">
      <c r="A3567" s="73"/>
      <c r="B3567" s="3"/>
      <c r="C3567" s="3"/>
      <c r="D3567" s="73"/>
      <c r="E3567" s="2"/>
      <c r="F3567" s="2"/>
      <c r="G3567" s="2"/>
      <c r="H3567" s="2"/>
      <c r="I3567" s="2"/>
      <c r="J3567" s="2"/>
      <c r="K3567" s="72"/>
      <c r="L3567" s="39"/>
      <c r="M3567" s="72"/>
      <c r="N3567" s="72"/>
    </row>
    <row r="3568" spans="1:14" x14ac:dyDescent="0.2">
      <c r="A3568" s="73"/>
      <c r="B3568" s="3"/>
      <c r="C3568" s="3"/>
      <c r="D3568" s="73"/>
      <c r="E3568" s="2"/>
      <c r="F3568" s="2"/>
      <c r="G3568" s="2"/>
      <c r="H3568" s="2"/>
      <c r="I3568" s="2"/>
      <c r="J3568" s="2"/>
      <c r="K3568" s="72"/>
      <c r="L3568" s="39"/>
      <c r="M3568" s="72"/>
      <c r="N3568" s="72"/>
    </row>
    <row r="3569" spans="1:14" x14ac:dyDescent="0.2">
      <c r="A3569" s="73"/>
      <c r="B3569" s="3"/>
      <c r="C3569" s="3"/>
      <c r="D3569" s="73"/>
      <c r="E3569" s="2"/>
      <c r="F3569" s="2"/>
      <c r="G3569" s="2"/>
      <c r="H3569" s="2"/>
      <c r="I3569" s="2"/>
      <c r="J3569" s="2"/>
      <c r="K3569" s="72"/>
      <c r="L3569" s="39"/>
      <c r="M3569" s="72"/>
      <c r="N3569" s="72"/>
    </row>
    <row r="3570" spans="1:14" x14ac:dyDescent="0.2">
      <c r="A3570" s="73"/>
      <c r="B3570" s="3"/>
      <c r="C3570" s="3"/>
      <c r="D3570" s="73"/>
      <c r="E3570" s="2"/>
      <c r="F3570" s="2"/>
      <c r="G3570" s="2"/>
      <c r="H3570" s="2"/>
      <c r="I3570" s="2"/>
      <c r="J3570" s="2"/>
      <c r="K3570" s="72"/>
      <c r="L3570" s="39"/>
      <c r="M3570" s="72"/>
      <c r="N3570" s="72"/>
    </row>
    <row r="3571" spans="1:14" x14ac:dyDescent="0.2">
      <c r="A3571" s="73"/>
      <c r="B3571" s="3"/>
      <c r="C3571" s="3"/>
      <c r="D3571" s="73"/>
      <c r="E3571" s="2"/>
      <c r="F3571" s="2"/>
      <c r="G3571" s="2"/>
      <c r="H3571" s="2"/>
      <c r="I3571" s="2"/>
      <c r="J3571" s="2"/>
      <c r="K3571" s="72"/>
      <c r="L3571" s="39"/>
      <c r="M3571" s="72"/>
      <c r="N3571" s="72"/>
    </row>
    <row r="3572" spans="1:14" x14ac:dyDescent="0.2">
      <c r="A3572" s="73"/>
      <c r="B3572" s="3"/>
      <c r="C3572" s="3"/>
      <c r="D3572" s="73"/>
      <c r="E3572" s="2"/>
      <c r="F3572" s="2"/>
      <c r="G3572" s="2"/>
      <c r="H3572" s="2"/>
      <c r="I3572" s="2"/>
      <c r="J3572" s="2"/>
      <c r="K3572" s="72"/>
      <c r="L3572" s="39"/>
      <c r="M3572" s="72"/>
      <c r="N3572" s="72"/>
    </row>
    <row r="3573" spans="1:14" x14ac:dyDescent="0.2">
      <c r="A3573" s="73"/>
      <c r="B3573" s="3"/>
      <c r="C3573" s="3"/>
      <c r="D3573" s="73"/>
      <c r="E3573" s="2"/>
      <c r="F3573" s="2"/>
      <c r="G3573" s="2"/>
      <c r="H3573" s="2"/>
      <c r="I3573" s="2"/>
      <c r="J3573" s="2"/>
      <c r="K3573" s="72"/>
      <c r="L3573" s="39"/>
      <c r="M3573" s="72"/>
      <c r="N3573" s="72"/>
    </row>
    <row r="3574" spans="1:14" x14ac:dyDescent="0.2">
      <c r="A3574" s="73"/>
      <c r="B3574" s="3"/>
      <c r="C3574" s="3"/>
      <c r="D3574" s="73"/>
      <c r="E3574" s="2"/>
      <c r="F3574" s="2"/>
      <c r="G3574" s="2"/>
      <c r="H3574" s="2"/>
      <c r="I3574" s="2"/>
      <c r="J3574" s="2"/>
      <c r="K3574" s="72"/>
      <c r="L3574" s="39"/>
      <c r="M3574" s="72"/>
      <c r="N3574" s="72"/>
    </row>
    <row r="3575" spans="1:14" x14ac:dyDescent="0.2">
      <c r="A3575" s="73"/>
      <c r="B3575" s="3"/>
      <c r="C3575" s="3"/>
      <c r="D3575" s="73"/>
      <c r="E3575" s="2"/>
      <c r="F3575" s="2"/>
      <c r="G3575" s="2"/>
      <c r="H3575" s="2"/>
      <c r="I3575" s="2"/>
      <c r="J3575" s="2"/>
      <c r="K3575" s="72"/>
      <c r="L3575" s="39"/>
      <c r="M3575" s="72"/>
      <c r="N3575" s="72"/>
    </row>
    <row r="3576" spans="1:14" x14ac:dyDescent="0.2">
      <c r="A3576" s="73"/>
      <c r="B3576" s="3"/>
      <c r="C3576" s="3"/>
      <c r="D3576" s="73"/>
      <c r="E3576" s="2"/>
      <c r="F3576" s="2"/>
      <c r="G3576" s="2"/>
      <c r="H3576" s="2"/>
      <c r="I3576" s="2"/>
      <c r="J3576" s="2"/>
      <c r="K3576" s="72"/>
      <c r="L3576" s="39"/>
      <c r="M3576" s="72"/>
      <c r="N3576" s="72"/>
    </row>
    <row r="3577" spans="1:14" x14ac:dyDescent="0.2">
      <c r="A3577" s="73"/>
      <c r="B3577" s="3"/>
      <c r="C3577" s="3"/>
      <c r="D3577" s="73"/>
      <c r="E3577" s="2"/>
      <c r="F3577" s="2"/>
      <c r="G3577" s="2"/>
      <c r="H3577" s="2"/>
      <c r="I3577" s="2"/>
      <c r="J3577" s="2"/>
      <c r="K3577" s="72"/>
      <c r="L3577" s="39"/>
      <c r="M3577" s="72"/>
      <c r="N3577" s="72"/>
    </row>
    <row r="3578" spans="1:14" x14ac:dyDescent="0.2">
      <c r="A3578" s="73"/>
      <c r="B3578" s="3"/>
      <c r="C3578" s="3"/>
      <c r="D3578" s="73"/>
      <c r="E3578" s="2"/>
      <c r="F3578" s="2"/>
      <c r="G3578" s="2"/>
      <c r="H3578" s="2"/>
      <c r="I3578" s="2"/>
      <c r="J3578" s="2"/>
      <c r="K3578" s="72"/>
      <c r="L3578" s="39"/>
      <c r="M3578" s="72"/>
      <c r="N3578" s="72"/>
    </row>
    <row r="3579" spans="1:14" x14ac:dyDescent="0.2">
      <c r="A3579" s="73"/>
      <c r="B3579" s="3"/>
      <c r="C3579" s="3"/>
      <c r="D3579" s="73"/>
      <c r="E3579" s="2"/>
      <c r="F3579" s="2"/>
      <c r="G3579" s="2"/>
      <c r="H3579" s="2"/>
      <c r="I3579" s="2"/>
      <c r="J3579" s="2"/>
      <c r="K3579" s="72"/>
      <c r="L3579" s="39"/>
      <c r="M3579" s="72"/>
      <c r="N3579" s="72"/>
    </row>
    <row r="3580" spans="1:14" x14ac:dyDescent="0.2">
      <c r="A3580" s="73"/>
      <c r="B3580" s="3"/>
      <c r="C3580" s="3"/>
      <c r="D3580" s="73"/>
      <c r="E3580" s="2"/>
      <c r="F3580" s="2"/>
      <c r="G3580" s="2"/>
      <c r="H3580" s="2"/>
      <c r="I3580" s="2"/>
      <c r="J3580" s="2"/>
      <c r="K3580" s="72"/>
      <c r="L3580" s="39"/>
      <c r="M3580" s="72"/>
      <c r="N3580" s="72"/>
    </row>
    <row r="3581" spans="1:14" x14ac:dyDescent="0.2">
      <c r="A3581" s="73"/>
      <c r="B3581" s="3"/>
      <c r="C3581" s="3"/>
      <c r="D3581" s="73"/>
      <c r="E3581" s="2"/>
      <c r="F3581" s="2"/>
      <c r="G3581" s="2"/>
      <c r="H3581" s="2"/>
      <c r="I3581" s="2"/>
      <c r="J3581" s="2"/>
      <c r="K3581" s="72"/>
      <c r="L3581" s="39"/>
      <c r="M3581" s="72"/>
      <c r="N3581" s="72"/>
    </row>
    <row r="3582" spans="1:14" x14ac:dyDescent="0.2">
      <c r="A3582" s="73"/>
      <c r="B3582" s="3"/>
      <c r="C3582" s="3"/>
      <c r="D3582" s="73"/>
      <c r="E3582" s="2"/>
      <c r="F3582" s="2"/>
      <c r="G3582" s="2"/>
      <c r="H3582" s="2"/>
      <c r="I3582" s="2"/>
      <c r="J3582" s="2"/>
      <c r="K3582" s="72"/>
      <c r="L3582" s="39"/>
      <c r="M3582" s="72"/>
      <c r="N3582" s="72"/>
    </row>
    <row r="3583" spans="1:14" x14ac:dyDescent="0.2">
      <c r="A3583" s="73"/>
      <c r="B3583" s="3"/>
      <c r="C3583" s="3"/>
      <c r="D3583" s="73"/>
      <c r="E3583" s="2"/>
      <c r="F3583" s="2"/>
      <c r="G3583" s="2"/>
      <c r="H3583" s="2"/>
      <c r="I3583" s="2"/>
      <c r="J3583" s="2"/>
      <c r="K3583" s="72"/>
      <c r="L3583" s="39"/>
      <c r="M3583" s="72"/>
      <c r="N3583" s="72"/>
    </row>
    <row r="3584" spans="1:14" x14ac:dyDescent="0.2">
      <c r="A3584" s="73"/>
      <c r="B3584" s="3"/>
      <c r="C3584" s="3"/>
      <c r="D3584" s="73"/>
      <c r="E3584" s="2"/>
      <c r="F3584" s="2"/>
      <c r="G3584" s="2"/>
      <c r="H3584" s="2"/>
      <c r="I3584" s="2"/>
      <c r="J3584" s="2"/>
      <c r="K3584" s="72"/>
      <c r="L3584" s="39"/>
      <c r="M3584" s="72"/>
      <c r="N3584" s="72"/>
    </row>
    <row r="3585" spans="1:14" x14ac:dyDescent="0.2">
      <c r="A3585" s="73"/>
      <c r="B3585" s="3"/>
      <c r="C3585" s="3"/>
      <c r="D3585" s="73"/>
      <c r="E3585" s="2"/>
      <c r="F3585" s="2"/>
      <c r="G3585" s="2"/>
      <c r="H3585" s="2"/>
      <c r="I3585" s="2"/>
      <c r="J3585" s="2"/>
      <c r="K3585" s="72"/>
      <c r="L3585" s="39"/>
      <c r="M3585" s="72"/>
      <c r="N3585" s="72"/>
    </row>
    <row r="3586" spans="1:14" x14ac:dyDescent="0.2">
      <c r="A3586" s="73"/>
      <c r="B3586" s="3"/>
      <c r="C3586" s="3"/>
      <c r="D3586" s="73"/>
      <c r="E3586" s="2"/>
      <c r="F3586" s="2"/>
      <c r="G3586" s="2"/>
      <c r="H3586" s="2"/>
      <c r="I3586" s="2"/>
      <c r="J3586" s="2"/>
      <c r="K3586" s="72"/>
      <c r="L3586" s="39"/>
      <c r="M3586" s="72"/>
      <c r="N3586" s="72"/>
    </row>
    <row r="3587" spans="1:14" x14ac:dyDescent="0.2">
      <c r="A3587" s="73"/>
      <c r="B3587" s="3"/>
      <c r="C3587" s="3"/>
      <c r="D3587" s="73"/>
      <c r="E3587" s="2"/>
      <c r="F3587" s="2"/>
      <c r="G3587" s="2"/>
      <c r="H3587" s="2"/>
      <c r="I3587" s="2"/>
      <c r="J3587" s="2"/>
      <c r="K3587" s="72"/>
      <c r="L3587" s="39"/>
      <c r="M3587" s="72"/>
      <c r="N3587" s="72"/>
    </row>
    <row r="3588" spans="1:14" x14ac:dyDescent="0.2">
      <c r="A3588" s="73"/>
      <c r="B3588" s="3"/>
      <c r="C3588" s="3"/>
      <c r="D3588" s="73"/>
      <c r="E3588" s="2"/>
      <c r="F3588" s="2"/>
      <c r="G3588" s="2"/>
      <c r="H3588" s="2"/>
      <c r="I3588" s="2"/>
      <c r="J3588" s="2"/>
      <c r="K3588" s="72"/>
      <c r="L3588" s="39"/>
      <c r="M3588" s="72"/>
      <c r="N3588" s="72"/>
    </row>
    <row r="3589" spans="1:14" x14ac:dyDescent="0.2">
      <c r="A3589" s="73"/>
      <c r="B3589" s="3"/>
      <c r="C3589" s="3"/>
      <c r="D3589" s="73"/>
      <c r="E3589" s="2"/>
      <c r="F3589" s="2"/>
      <c r="G3589" s="2"/>
      <c r="H3589" s="2"/>
      <c r="I3589" s="2"/>
      <c r="J3589" s="2"/>
      <c r="K3589" s="72"/>
      <c r="L3589" s="39"/>
      <c r="M3589" s="72"/>
      <c r="N3589" s="72"/>
    </row>
    <row r="3590" spans="1:14" x14ac:dyDescent="0.2">
      <c r="A3590" s="73"/>
      <c r="B3590" s="3"/>
      <c r="C3590" s="3"/>
      <c r="D3590" s="73"/>
      <c r="E3590" s="2"/>
      <c r="F3590" s="2"/>
      <c r="G3590" s="2"/>
      <c r="H3590" s="2"/>
      <c r="I3590" s="2"/>
      <c r="J3590" s="2"/>
      <c r="K3590" s="72"/>
      <c r="L3590" s="39"/>
      <c r="M3590" s="72"/>
      <c r="N3590" s="72"/>
    </row>
    <row r="3591" spans="1:14" x14ac:dyDescent="0.2">
      <c r="A3591" s="73"/>
      <c r="B3591" s="3"/>
      <c r="C3591" s="3"/>
      <c r="D3591" s="73"/>
      <c r="E3591" s="2"/>
      <c r="F3591" s="2"/>
      <c r="G3591" s="2"/>
      <c r="H3591" s="2"/>
      <c r="I3591" s="2"/>
      <c r="J3591" s="2"/>
      <c r="K3591" s="72"/>
      <c r="L3591" s="39"/>
      <c r="M3591" s="72"/>
      <c r="N3591" s="72"/>
    </row>
    <row r="3592" spans="1:14" x14ac:dyDescent="0.2">
      <c r="A3592" s="73"/>
      <c r="B3592" s="3"/>
      <c r="C3592" s="3"/>
      <c r="D3592" s="73"/>
      <c r="E3592" s="2"/>
      <c r="F3592" s="2"/>
      <c r="G3592" s="2"/>
      <c r="H3592" s="2"/>
      <c r="I3592" s="2"/>
      <c r="J3592" s="2"/>
      <c r="K3592" s="72"/>
      <c r="L3592" s="39"/>
      <c r="M3592" s="72"/>
      <c r="N3592" s="72"/>
    </row>
    <row r="3593" spans="1:14" x14ac:dyDescent="0.2">
      <c r="A3593" s="73"/>
      <c r="B3593" s="3"/>
      <c r="C3593" s="3"/>
      <c r="D3593" s="73"/>
      <c r="E3593" s="2"/>
      <c r="F3593" s="2"/>
      <c r="G3593" s="2"/>
      <c r="H3593" s="2"/>
      <c r="I3593" s="2"/>
      <c r="J3593" s="2"/>
      <c r="K3593" s="72"/>
      <c r="L3593" s="39"/>
      <c r="M3593" s="72"/>
      <c r="N3593" s="72"/>
    </row>
    <row r="3594" spans="1:14" x14ac:dyDescent="0.2">
      <c r="A3594" s="73"/>
      <c r="B3594" s="3"/>
      <c r="C3594" s="3"/>
      <c r="D3594" s="73"/>
      <c r="E3594" s="2"/>
      <c r="F3594" s="2"/>
      <c r="G3594" s="2"/>
      <c r="H3594" s="2"/>
      <c r="I3594" s="2"/>
      <c r="J3594" s="2"/>
      <c r="K3594" s="72"/>
      <c r="L3594" s="39"/>
      <c r="M3594" s="72"/>
      <c r="N3594" s="72"/>
    </row>
    <row r="3595" spans="1:14" x14ac:dyDescent="0.2">
      <c r="A3595" s="73"/>
      <c r="B3595" s="3"/>
      <c r="C3595" s="3"/>
      <c r="D3595" s="73"/>
      <c r="E3595" s="2"/>
      <c r="F3595" s="2"/>
      <c r="G3595" s="2"/>
      <c r="H3595" s="2"/>
      <c r="I3595" s="2"/>
      <c r="J3595" s="2"/>
      <c r="K3595" s="72"/>
      <c r="L3595" s="39"/>
      <c r="M3595" s="72"/>
      <c r="N3595" s="72"/>
    </row>
    <row r="3596" spans="1:14" x14ac:dyDescent="0.2">
      <c r="A3596" s="73"/>
      <c r="B3596" s="3"/>
      <c r="C3596" s="3"/>
      <c r="D3596" s="73"/>
      <c r="E3596" s="2"/>
      <c r="F3596" s="2"/>
      <c r="G3596" s="2"/>
      <c r="H3596" s="2"/>
      <c r="I3596" s="2"/>
      <c r="J3596" s="2"/>
      <c r="K3596" s="72"/>
      <c r="L3596" s="39"/>
      <c r="M3596" s="72"/>
      <c r="N3596" s="72"/>
    </row>
    <row r="3597" spans="1:14" x14ac:dyDescent="0.2">
      <c r="A3597" s="73"/>
      <c r="B3597" s="3"/>
      <c r="C3597" s="3"/>
      <c r="D3597" s="73"/>
      <c r="E3597" s="2"/>
      <c r="F3597" s="2"/>
      <c r="G3597" s="2"/>
      <c r="H3597" s="2"/>
      <c r="I3597" s="2"/>
      <c r="J3597" s="2"/>
      <c r="K3597" s="72"/>
      <c r="L3597" s="39"/>
      <c r="M3597" s="72"/>
      <c r="N3597" s="72"/>
    </row>
    <row r="3598" spans="1:14" x14ac:dyDescent="0.2">
      <c r="A3598" s="73"/>
      <c r="B3598" s="3"/>
      <c r="C3598" s="3"/>
      <c r="D3598" s="73"/>
      <c r="E3598" s="2"/>
      <c r="F3598" s="2"/>
      <c r="G3598" s="2"/>
      <c r="H3598" s="2"/>
      <c r="I3598" s="2"/>
      <c r="J3598" s="2"/>
      <c r="K3598" s="72"/>
      <c r="L3598" s="39"/>
      <c r="M3598" s="72"/>
      <c r="N3598" s="72"/>
    </row>
    <row r="3599" spans="1:14" x14ac:dyDescent="0.2">
      <c r="A3599" s="73"/>
      <c r="B3599" s="3"/>
      <c r="C3599" s="3"/>
      <c r="D3599" s="73"/>
      <c r="E3599" s="2"/>
      <c r="F3599" s="2"/>
      <c r="G3599" s="2"/>
      <c r="H3599" s="2"/>
      <c r="I3599" s="2"/>
      <c r="J3599" s="2"/>
      <c r="K3599" s="72"/>
      <c r="L3599" s="39"/>
      <c r="M3599" s="72"/>
      <c r="N3599" s="72"/>
    </row>
    <row r="3600" spans="1:14" x14ac:dyDescent="0.2">
      <c r="A3600" s="73"/>
      <c r="B3600" s="3"/>
      <c r="C3600" s="3"/>
      <c r="D3600" s="73"/>
      <c r="E3600" s="2"/>
      <c r="F3600" s="2"/>
      <c r="G3600" s="2"/>
      <c r="H3600" s="2"/>
      <c r="I3600" s="2"/>
      <c r="J3600" s="2"/>
      <c r="K3600" s="72"/>
      <c r="L3600" s="39"/>
      <c r="M3600" s="72"/>
      <c r="N3600" s="72"/>
    </row>
    <row r="3601" spans="1:14" x14ac:dyDescent="0.2">
      <c r="A3601" s="73"/>
      <c r="B3601" s="3"/>
      <c r="C3601" s="3"/>
      <c r="D3601" s="73"/>
      <c r="E3601" s="2"/>
      <c r="F3601" s="2"/>
      <c r="G3601" s="2"/>
      <c r="H3601" s="2"/>
      <c r="I3601" s="2"/>
      <c r="J3601" s="2"/>
      <c r="K3601" s="72"/>
      <c r="L3601" s="39"/>
      <c r="M3601" s="72"/>
      <c r="N3601" s="72"/>
    </row>
    <row r="3602" spans="1:14" x14ac:dyDescent="0.2">
      <c r="A3602" s="73"/>
      <c r="B3602" s="3"/>
      <c r="C3602" s="3"/>
      <c r="D3602" s="73"/>
      <c r="E3602" s="2"/>
      <c r="F3602" s="2"/>
      <c r="G3602" s="2"/>
      <c r="H3602" s="2"/>
      <c r="I3602" s="2"/>
      <c r="J3602" s="2"/>
      <c r="K3602" s="72"/>
      <c r="L3602" s="39"/>
      <c r="M3602" s="72"/>
      <c r="N3602" s="72"/>
    </row>
    <row r="3603" spans="1:14" x14ac:dyDescent="0.2">
      <c r="A3603" s="73"/>
      <c r="B3603" s="3"/>
      <c r="C3603" s="3"/>
      <c r="D3603" s="73"/>
      <c r="E3603" s="2"/>
      <c r="F3603" s="2"/>
      <c r="G3603" s="2"/>
      <c r="H3603" s="2"/>
      <c r="I3603" s="2"/>
      <c r="J3603" s="2"/>
      <c r="K3603" s="72"/>
      <c r="L3603" s="39"/>
      <c r="M3603" s="72"/>
      <c r="N3603" s="72"/>
    </row>
    <row r="3604" spans="1:14" x14ac:dyDescent="0.2">
      <c r="A3604" s="73"/>
      <c r="B3604" s="3"/>
      <c r="C3604" s="3"/>
      <c r="D3604" s="73"/>
      <c r="E3604" s="2"/>
      <c r="F3604" s="2"/>
      <c r="G3604" s="2"/>
      <c r="H3604" s="2"/>
      <c r="I3604" s="2"/>
      <c r="J3604" s="2"/>
      <c r="K3604" s="72"/>
      <c r="L3604" s="39"/>
      <c r="M3604" s="72"/>
      <c r="N3604" s="72"/>
    </row>
    <row r="3605" spans="1:14" x14ac:dyDescent="0.2">
      <c r="A3605" s="73"/>
      <c r="B3605" s="3"/>
      <c r="C3605" s="3"/>
      <c r="D3605" s="73"/>
      <c r="E3605" s="2"/>
      <c r="F3605" s="2"/>
      <c r="G3605" s="2"/>
      <c r="H3605" s="2"/>
      <c r="I3605" s="2"/>
      <c r="J3605" s="2"/>
      <c r="K3605" s="72"/>
      <c r="L3605" s="39"/>
      <c r="M3605" s="72"/>
      <c r="N3605" s="72"/>
    </row>
    <row r="3606" spans="1:14" x14ac:dyDescent="0.2">
      <c r="A3606" s="73"/>
      <c r="B3606" s="3"/>
      <c r="C3606" s="3"/>
      <c r="D3606" s="73"/>
      <c r="E3606" s="2"/>
      <c r="F3606" s="2"/>
      <c r="G3606" s="2"/>
      <c r="H3606" s="2"/>
      <c r="I3606" s="2"/>
      <c r="J3606" s="2"/>
      <c r="K3606" s="72"/>
      <c r="L3606" s="39"/>
      <c r="M3606" s="72"/>
      <c r="N3606" s="72"/>
    </row>
    <row r="3607" spans="1:14" x14ac:dyDescent="0.2">
      <c r="A3607" s="73"/>
      <c r="B3607" s="3"/>
      <c r="C3607" s="3"/>
      <c r="D3607" s="73"/>
      <c r="E3607" s="2"/>
      <c r="F3607" s="2"/>
      <c r="G3607" s="2"/>
      <c r="H3607" s="2"/>
      <c r="I3607" s="2"/>
      <c r="J3607" s="2"/>
      <c r="K3607" s="72"/>
      <c r="L3607" s="39"/>
      <c r="M3607" s="72"/>
      <c r="N3607" s="72"/>
    </row>
    <row r="3608" spans="1:14" x14ac:dyDescent="0.2">
      <c r="A3608" s="73"/>
      <c r="B3608" s="3"/>
      <c r="C3608" s="3"/>
      <c r="D3608" s="73"/>
      <c r="E3608" s="2"/>
      <c r="F3608" s="2"/>
      <c r="G3608" s="2"/>
      <c r="H3608" s="2"/>
      <c r="I3608" s="2"/>
      <c r="J3608" s="2"/>
      <c r="K3608" s="72"/>
      <c r="L3608" s="39"/>
      <c r="M3608" s="72"/>
      <c r="N3608" s="72"/>
    </row>
    <row r="3609" spans="1:14" x14ac:dyDescent="0.2">
      <c r="A3609" s="73"/>
      <c r="B3609" s="3"/>
      <c r="C3609" s="3"/>
      <c r="D3609" s="73"/>
      <c r="E3609" s="2"/>
      <c r="F3609" s="2"/>
      <c r="G3609" s="2"/>
      <c r="H3609" s="2"/>
      <c r="I3609" s="2"/>
      <c r="J3609" s="2"/>
      <c r="K3609" s="72"/>
      <c r="L3609" s="39"/>
      <c r="M3609" s="72"/>
      <c r="N3609" s="72"/>
    </row>
    <row r="3610" spans="1:14" x14ac:dyDescent="0.2">
      <c r="A3610" s="73"/>
      <c r="B3610" s="3"/>
      <c r="C3610" s="3"/>
      <c r="D3610" s="73"/>
      <c r="E3610" s="2"/>
      <c r="F3610" s="2"/>
      <c r="G3610" s="2"/>
      <c r="H3610" s="2"/>
      <c r="I3610" s="2"/>
      <c r="J3610" s="2"/>
      <c r="K3610" s="72"/>
      <c r="L3610" s="39"/>
      <c r="M3610" s="72"/>
      <c r="N3610" s="72"/>
    </row>
    <row r="3611" spans="1:14" x14ac:dyDescent="0.2">
      <c r="A3611" s="73"/>
      <c r="B3611" s="3"/>
      <c r="C3611" s="3"/>
      <c r="D3611" s="73"/>
      <c r="E3611" s="2"/>
      <c r="F3611" s="2"/>
      <c r="G3611" s="2"/>
      <c r="H3611" s="2"/>
      <c r="I3611" s="2"/>
      <c r="J3611" s="2"/>
      <c r="K3611" s="72"/>
      <c r="L3611" s="39"/>
      <c r="M3611" s="72"/>
      <c r="N3611" s="72"/>
    </row>
    <row r="3612" spans="1:14" x14ac:dyDescent="0.2">
      <c r="A3612" s="73"/>
      <c r="B3612" s="3"/>
      <c r="C3612" s="3"/>
      <c r="D3612" s="73"/>
      <c r="E3612" s="2"/>
      <c r="F3612" s="2"/>
      <c r="G3612" s="2"/>
      <c r="H3612" s="2"/>
      <c r="I3612" s="2"/>
      <c r="J3612" s="2"/>
      <c r="K3612" s="72"/>
      <c r="L3612" s="39"/>
      <c r="M3612" s="72"/>
      <c r="N3612" s="72"/>
    </row>
    <row r="3613" spans="1:14" x14ac:dyDescent="0.2">
      <c r="A3613" s="73"/>
      <c r="B3613" s="3"/>
      <c r="C3613" s="3"/>
      <c r="D3613" s="73"/>
      <c r="E3613" s="2"/>
      <c r="F3613" s="2"/>
      <c r="G3613" s="2"/>
      <c r="H3613" s="2"/>
      <c r="I3613" s="2"/>
      <c r="J3613" s="2"/>
      <c r="K3613" s="72"/>
      <c r="L3613" s="39"/>
      <c r="M3613" s="72"/>
      <c r="N3613" s="72"/>
    </row>
    <row r="3614" spans="1:14" x14ac:dyDescent="0.2">
      <c r="A3614" s="73"/>
      <c r="B3614" s="3"/>
      <c r="C3614" s="3"/>
      <c r="D3614" s="73"/>
      <c r="E3614" s="2"/>
      <c r="F3614" s="2"/>
      <c r="G3614" s="2"/>
      <c r="H3614" s="2"/>
      <c r="I3614" s="2"/>
      <c r="J3614" s="2"/>
      <c r="K3614" s="72"/>
      <c r="L3614" s="39"/>
      <c r="M3614" s="72"/>
      <c r="N3614" s="72"/>
    </row>
    <row r="3615" spans="1:14" x14ac:dyDescent="0.2">
      <c r="A3615" s="73"/>
      <c r="B3615" s="3"/>
      <c r="C3615" s="3"/>
      <c r="D3615" s="73"/>
      <c r="E3615" s="2"/>
      <c r="F3615" s="2"/>
      <c r="G3615" s="2"/>
      <c r="H3615" s="2"/>
      <c r="I3615" s="2"/>
      <c r="J3615" s="2"/>
      <c r="K3615" s="72"/>
      <c r="L3615" s="39"/>
      <c r="M3615" s="72"/>
      <c r="N3615" s="72"/>
    </row>
    <row r="3616" spans="1:14" x14ac:dyDescent="0.2">
      <c r="A3616" s="73"/>
      <c r="B3616" s="3"/>
      <c r="C3616" s="3"/>
      <c r="D3616" s="73"/>
      <c r="E3616" s="2"/>
      <c r="F3616" s="2"/>
      <c r="G3616" s="2"/>
      <c r="H3616" s="2"/>
      <c r="I3616" s="2"/>
      <c r="J3616" s="2"/>
      <c r="K3616" s="72"/>
      <c r="L3616" s="39"/>
      <c r="M3616" s="72"/>
      <c r="N3616" s="72"/>
    </row>
    <row r="3617" spans="1:14" x14ac:dyDescent="0.2">
      <c r="A3617" s="73"/>
      <c r="B3617" s="3"/>
      <c r="C3617" s="3"/>
      <c r="D3617" s="73"/>
      <c r="E3617" s="2"/>
      <c r="F3617" s="2"/>
      <c r="G3617" s="2"/>
      <c r="H3617" s="2"/>
      <c r="I3617" s="2"/>
      <c r="J3617" s="2"/>
      <c r="K3617" s="72"/>
      <c r="L3617" s="39"/>
      <c r="M3617" s="72"/>
      <c r="N3617" s="72"/>
    </row>
    <row r="3618" spans="1:14" x14ac:dyDescent="0.2">
      <c r="A3618" s="73"/>
      <c r="B3618" s="3"/>
      <c r="C3618" s="3"/>
      <c r="D3618" s="73"/>
      <c r="E3618" s="2"/>
      <c r="F3618" s="2"/>
      <c r="G3618" s="2"/>
      <c r="H3618" s="2"/>
      <c r="I3618" s="2"/>
      <c r="J3618" s="2"/>
      <c r="K3618" s="72"/>
      <c r="L3618" s="39"/>
      <c r="M3618" s="72"/>
      <c r="N3618" s="72"/>
    </row>
    <row r="3619" spans="1:14" x14ac:dyDescent="0.2">
      <c r="A3619" s="73"/>
      <c r="B3619" s="3"/>
      <c r="C3619" s="3"/>
      <c r="D3619" s="73"/>
      <c r="E3619" s="2"/>
      <c r="F3619" s="2"/>
      <c r="G3619" s="2"/>
      <c r="H3619" s="2"/>
      <c r="I3619" s="2"/>
      <c r="J3619" s="2"/>
      <c r="K3619" s="72"/>
      <c r="L3619" s="39"/>
      <c r="M3619" s="72"/>
      <c r="N3619" s="72"/>
    </row>
    <row r="3620" spans="1:14" x14ac:dyDescent="0.2">
      <c r="A3620" s="73"/>
      <c r="B3620" s="3"/>
      <c r="C3620" s="3"/>
      <c r="D3620" s="73"/>
      <c r="E3620" s="2"/>
      <c r="F3620" s="2"/>
      <c r="G3620" s="2"/>
      <c r="H3620" s="2"/>
      <c r="I3620" s="2"/>
      <c r="J3620" s="2"/>
      <c r="K3620" s="72"/>
      <c r="L3620" s="39"/>
      <c r="M3620" s="72"/>
      <c r="N3620" s="72"/>
    </row>
    <row r="3621" spans="1:14" x14ac:dyDescent="0.2">
      <c r="A3621" s="73"/>
      <c r="B3621" s="3"/>
      <c r="C3621" s="3"/>
      <c r="D3621" s="73"/>
      <c r="E3621" s="2"/>
      <c r="F3621" s="2"/>
      <c r="G3621" s="2"/>
      <c r="H3621" s="2"/>
      <c r="I3621" s="2"/>
      <c r="J3621" s="2"/>
      <c r="K3621" s="72"/>
      <c r="L3621" s="39"/>
      <c r="M3621" s="72"/>
      <c r="N3621" s="72"/>
    </row>
    <row r="3622" spans="1:14" x14ac:dyDescent="0.2">
      <c r="A3622" s="73"/>
      <c r="B3622" s="3"/>
      <c r="C3622" s="3"/>
      <c r="D3622" s="73"/>
      <c r="E3622" s="2"/>
      <c r="F3622" s="2"/>
      <c r="G3622" s="2"/>
      <c r="H3622" s="2"/>
      <c r="I3622" s="2"/>
      <c r="J3622" s="2"/>
      <c r="K3622" s="72"/>
      <c r="L3622" s="39"/>
      <c r="M3622" s="72"/>
      <c r="N3622" s="72"/>
    </row>
    <row r="3623" spans="1:14" x14ac:dyDescent="0.2">
      <c r="A3623" s="73"/>
      <c r="B3623" s="3"/>
      <c r="C3623" s="3"/>
      <c r="D3623" s="73"/>
      <c r="E3623" s="2"/>
      <c r="F3623" s="2"/>
      <c r="G3623" s="2"/>
      <c r="H3623" s="2"/>
      <c r="I3623" s="2"/>
      <c r="J3623" s="2"/>
      <c r="K3623" s="72"/>
      <c r="L3623" s="39"/>
      <c r="M3623" s="72"/>
      <c r="N3623" s="72"/>
    </row>
    <row r="3624" spans="1:14" x14ac:dyDescent="0.2">
      <c r="A3624" s="73"/>
      <c r="B3624" s="3"/>
      <c r="C3624" s="3"/>
      <c r="D3624" s="73"/>
      <c r="E3624" s="2"/>
      <c r="F3624" s="2"/>
      <c r="G3624" s="2"/>
      <c r="H3624" s="2"/>
      <c r="I3624" s="2"/>
      <c r="J3624" s="2"/>
      <c r="K3624" s="72"/>
      <c r="L3624" s="39"/>
      <c r="M3624" s="72"/>
      <c r="N3624" s="72"/>
    </row>
    <row r="3625" spans="1:14" x14ac:dyDescent="0.2">
      <c r="A3625" s="73"/>
      <c r="B3625" s="3"/>
      <c r="C3625" s="3"/>
      <c r="D3625" s="73"/>
      <c r="E3625" s="2"/>
      <c r="F3625" s="2"/>
      <c r="G3625" s="2"/>
      <c r="H3625" s="2"/>
      <c r="I3625" s="2"/>
      <c r="J3625" s="2"/>
      <c r="K3625" s="72"/>
      <c r="L3625" s="39"/>
      <c r="M3625" s="72"/>
      <c r="N3625" s="72"/>
    </row>
    <row r="3626" spans="1:14" x14ac:dyDescent="0.2">
      <c r="A3626" s="73"/>
      <c r="B3626" s="3"/>
      <c r="C3626" s="3"/>
      <c r="D3626" s="73"/>
      <c r="E3626" s="2"/>
      <c r="F3626" s="2"/>
      <c r="G3626" s="2"/>
      <c r="H3626" s="2"/>
      <c r="I3626" s="2"/>
      <c r="J3626" s="2"/>
      <c r="K3626" s="72"/>
      <c r="L3626" s="39"/>
      <c r="M3626" s="72"/>
      <c r="N3626" s="72"/>
    </row>
    <row r="3627" spans="1:14" x14ac:dyDescent="0.2">
      <c r="A3627" s="73"/>
      <c r="B3627" s="3"/>
      <c r="C3627" s="3"/>
      <c r="D3627" s="73"/>
      <c r="E3627" s="2"/>
      <c r="F3627" s="2"/>
      <c r="G3627" s="2"/>
      <c r="H3627" s="2"/>
      <c r="I3627" s="2"/>
      <c r="J3627" s="2"/>
      <c r="K3627" s="72"/>
      <c r="L3627" s="39"/>
      <c r="M3627" s="72"/>
      <c r="N3627" s="72"/>
    </row>
    <row r="3628" spans="1:14" x14ac:dyDescent="0.2">
      <c r="A3628" s="73"/>
      <c r="B3628" s="3"/>
      <c r="C3628" s="3"/>
      <c r="D3628" s="73"/>
      <c r="E3628" s="2"/>
      <c r="F3628" s="2"/>
      <c r="G3628" s="2"/>
      <c r="H3628" s="2"/>
      <c r="I3628" s="2"/>
      <c r="J3628" s="2"/>
      <c r="K3628" s="72"/>
      <c r="L3628" s="39"/>
      <c r="M3628" s="72"/>
      <c r="N3628" s="72"/>
    </row>
    <row r="3629" spans="1:14" x14ac:dyDescent="0.2">
      <c r="A3629" s="73"/>
      <c r="B3629" s="3"/>
      <c r="C3629" s="3"/>
      <c r="D3629" s="73"/>
      <c r="E3629" s="2"/>
      <c r="F3629" s="2"/>
      <c r="G3629" s="2"/>
      <c r="H3629" s="2"/>
      <c r="I3629" s="2"/>
      <c r="J3629" s="2"/>
      <c r="K3629" s="72"/>
      <c r="L3629" s="39"/>
      <c r="M3629" s="72"/>
      <c r="N3629" s="72"/>
    </row>
    <row r="3630" spans="1:14" x14ac:dyDescent="0.2">
      <c r="A3630" s="73"/>
      <c r="B3630" s="3"/>
      <c r="C3630" s="3"/>
      <c r="D3630" s="73"/>
      <c r="E3630" s="2"/>
      <c r="F3630" s="2"/>
      <c r="G3630" s="2"/>
      <c r="H3630" s="2"/>
      <c r="I3630" s="2"/>
      <c r="J3630" s="2"/>
      <c r="K3630" s="72"/>
      <c r="L3630" s="39"/>
      <c r="M3630" s="72"/>
      <c r="N3630" s="72"/>
    </row>
    <row r="3631" spans="1:14" x14ac:dyDescent="0.2">
      <c r="A3631" s="73"/>
      <c r="B3631" s="3"/>
      <c r="C3631" s="3"/>
      <c r="D3631" s="73"/>
      <c r="E3631" s="2"/>
      <c r="F3631" s="2"/>
      <c r="G3631" s="2"/>
      <c r="H3631" s="2"/>
      <c r="I3631" s="2"/>
      <c r="J3631" s="2"/>
      <c r="K3631" s="72"/>
      <c r="L3631" s="39"/>
      <c r="M3631" s="72"/>
      <c r="N3631" s="72"/>
    </row>
    <row r="3632" spans="1:14" x14ac:dyDescent="0.2">
      <c r="A3632" s="73"/>
      <c r="B3632" s="3"/>
      <c r="C3632" s="3"/>
      <c r="D3632" s="73"/>
      <c r="E3632" s="2"/>
      <c r="F3632" s="2"/>
      <c r="G3632" s="2"/>
      <c r="H3632" s="2"/>
      <c r="I3632" s="2"/>
      <c r="J3632" s="2"/>
      <c r="K3632" s="72"/>
      <c r="L3632" s="39"/>
      <c r="M3632" s="72"/>
      <c r="N3632" s="72"/>
    </row>
    <row r="3633" spans="1:14" x14ac:dyDescent="0.2">
      <c r="A3633" s="73"/>
      <c r="B3633" s="3"/>
      <c r="C3633" s="3"/>
      <c r="D3633" s="73"/>
      <c r="E3633" s="2"/>
      <c r="F3633" s="2"/>
      <c r="G3633" s="2"/>
      <c r="H3633" s="2"/>
      <c r="I3633" s="2"/>
      <c r="J3633" s="2"/>
      <c r="K3633" s="72"/>
      <c r="L3633" s="39"/>
      <c r="M3633" s="72"/>
      <c r="N3633" s="72"/>
    </row>
    <row r="3634" spans="1:14" x14ac:dyDescent="0.2">
      <c r="A3634" s="73"/>
      <c r="B3634" s="3"/>
      <c r="C3634" s="3"/>
      <c r="D3634" s="73"/>
      <c r="E3634" s="2"/>
      <c r="F3634" s="2"/>
      <c r="G3634" s="2"/>
      <c r="H3634" s="2"/>
      <c r="I3634" s="2"/>
      <c r="J3634" s="2"/>
      <c r="K3634" s="72"/>
      <c r="L3634" s="39"/>
      <c r="M3634" s="72"/>
      <c r="N3634" s="72"/>
    </row>
    <row r="3635" spans="1:14" x14ac:dyDescent="0.2">
      <c r="A3635" s="73"/>
      <c r="B3635" s="3"/>
      <c r="C3635" s="3"/>
      <c r="D3635" s="73"/>
      <c r="E3635" s="2"/>
      <c r="F3635" s="2"/>
      <c r="G3635" s="2"/>
      <c r="H3635" s="2"/>
      <c r="I3635" s="2"/>
      <c r="J3635" s="2"/>
      <c r="K3635" s="72"/>
      <c r="L3635" s="39"/>
      <c r="M3635" s="72"/>
      <c r="N3635" s="72"/>
    </row>
    <row r="3636" spans="1:14" x14ac:dyDescent="0.2">
      <c r="A3636" s="73"/>
      <c r="B3636" s="3"/>
      <c r="C3636" s="3"/>
      <c r="D3636" s="73"/>
      <c r="E3636" s="2"/>
      <c r="F3636" s="2"/>
      <c r="G3636" s="2"/>
      <c r="H3636" s="2"/>
      <c r="I3636" s="2"/>
      <c r="J3636" s="2"/>
      <c r="K3636" s="72"/>
      <c r="L3636" s="39"/>
      <c r="M3636" s="72"/>
      <c r="N3636" s="72"/>
    </row>
    <row r="3637" spans="1:14" x14ac:dyDescent="0.2">
      <c r="A3637" s="73"/>
      <c r="B3637" s="3"/>
      <c r="C3637" s="3"/>
      <c r="D3637" s="73"/>
      <c r="E3637" s="2"/>
      <c r="F3637" s="2"/>
      <c r="G3637" s="2"/>
      <c r="H3637" s="2"/>
      <c r="I3637" s="2"/>
      <c r="J3637" s="2"/>
      <c r="K3637" s="72"/>
      <c r="L3637" s="39"/>
      <c r="M3637" s="72"/>
      <c r="N3637" s="72"/>
    </row>
    <row r="3638" spans="1:14" x14ac:dyDescent="0.2">
      <c r="A3638" s="73"/>
      <c r="B3638" s="3"/>
      <c r="C3638" s="3"/>
      <c r="D3638" s="73"/>
      <c r="E3638" s="2"/>
      <c r="F3638" s="2"/>
      <c r="G3638" s="2"/>
      <c r="H3638" s="2"/>
      <c r="I3638" s="2"/>
      <c r="J3638" s="2"/>
      <c r="K3638" s="72"/>
      <c r="L3638" s="39"/>
      <c r="M3638" s="72"/>
      <c r="N3638" s="72"/>
    </row>
    <row r="3639" spans="1:14" x14ac:dyDescent="0.2">
      <c r="A3639" s="73"/>
      <c r="B3639" s="3"/>
      <c r="C3639" s="3"/>
      <c r="D3639" s="73"/>
      <c r="E3639" s="2"/>
      <c r="F3639" s="2"/>
      <c r="G3639" s="2"/>
      <c r="H3639" s="2"/>
      <c r="I3639" s="2"/>
      <c r="J3639" s="2"/>
      <c r="K3639" s="72"/>
      <c r="L3639" s="39"/>
      <c r="M3639" s="72"/>
      <c r="N3639" s="72"/>
    </row>
    <row r="3640" spans="1:14" x14ac:dyDescent="0.2">
      <c r="A3640" s="73"/>
      <c r="B3640" s="3"/>
      <c r="C3640" s="3"/>
      <c r="D3640" s="73"/>
      <c r="E3640" s="2"/>
      <c r="F3640" s="2"/>
      <c r="G3640" s="2"/>
      <c r="H3640" s="2"/>
      <c r="I3640" s="2"/>
      <c r="J3640" s="2"/>
      <c r="K3640" s="72"/>
      <c r="L3640" s="39"/>
      <c r="M3640" s="72"/>
      <c r="N3640" s="72"/>
    </row>
    <row r="3641" spans="1:14" x14ac:dyDescent="0.2">
      <c r="A3641" s="73"/>
      <c r="B3641" s="3"/>
      <c r="C3641" s="3"/>
      <c r="D3641" s="73"/>
      <c r="E3641" s="2"/>
      <c r="F3641" s="2"/>
      <c r="G3641" s="2"/>
      <c r="H3641" s="2"/>
      <c r="I3641" s="2"/>
      <c r="J3641" s="2"/>
      <c r="K3641" s="72"/>
      <c r="L3641" s="39"/>
      <c r="M3641" s="72"/>
      <c r="N3641" s="72"/>
    </row>
    <row r="3642" spans="1:14" x14ac:dyDescent="0.2">
      <c r="A3642" s="73"/>
      <c r="B3642" s="3"/>
      <c r="C3642" s="3"/>
      <c r="D3642" s="73"/>
      <c r="E3642" s="2"/>
      <c r="F3642" s="2"/>
      <c r="G3642" s="2"/>
      <c r="H3642" s="2"/>
      <c r="I3642" s="2"/>
      <c r="J3642" s="2"/>
      <c r="K3642" s="72"/>
      <c r="L3642" s="39"/>
      <c r="M3642" s="72"/>
      <c r="N3642" s="72"/>
    </row>
    <row r="3643" spans="1:14" x14ac:dyDescent="0.2">
      <c r="A3643" s="73"/>
      <c r="B3643" s="3"/>
      <c r="C3643" s="3"/>
      <c r="D3643" s="73"/>
      <c r="E3643" s="2"/>
      <c r="F3643" s="2"/>
      <c r="G3643" s="2"/>
      <c r="H3643" s="2"/>
      <c r="I3643" s="2"/>
      <c r="J3643" s="2"/>
      <c r="K3643" s="72"/>
      <c r="L3643" s="39"/>
      <c r="M3643" s="72"/>
      <c r="N3643" s="72"/>
    </row>
    <row r="3644" spans="1:14" x14ac:dyDescent="0.2">
      <c r="A3644" s="73"/>
      <c r="B3644" s="3"/>
      <c r="C3644" s="3"/>
      <c r="D3644" s="73"/>
      <c r="E3644" s="2"/>
      <c r="F3644" s="2"/>
      <c r="G3644" s="2"/>
      <c r="H3644" s="2"/>
      <c r="I3644" s="2"/>
      <c r="J3644" s="2"/>
      <c r="K3644" s="72"/>
      <c r="L3644" s="39"/>
      <c r="M3644" s="72"/>
      <c r="N3644" s="72"/>
    </row>
    <row r="3645" spans="1:14" x14ac:dyDescent="0.2">
      <c r="A3645" s="73"/>
      <c r="B3645" s="3"/>
      <c r="C3645" s="3"/>
      <c r="D3645" s="73"/>
      <c r="E3645" s="2"/>
      <c r="F3645" s="2"/>
      <c r="G3645" s="2"/>
      <c r="H3645" s="2"/>
      <c r="I3645" s="2"/>
      <c r="J3645" s="2"/>
      <c r="K3645" s="72"/>
      <c r="L3645" s="39"/>
      <c r="M3645" s="72"/>
      <c r="N3645" s="72"/>
    </row>
    <row r="3646" spans="1:14" x14ac:dyDescent="0.2">
      <c r="A3646" s="73"/>
      <c r="B3646" s="3"/>
      <c r="C3646" s="3"/>
      <c r="D3646" s="73"/>
      <c r="E3646" s="2"/>
      <c r="F3646" s="2"/>
      <c r="G3646" s="2"/>
      <c r="H3646" s="2"/>
      <c r="I3646" s="2"/>
      <c r="J3646" s="2"/>
      <c r="K3646" s="72"/>
      <c r="L3646" s="39"/>
      <c r="M3646" s="72"/>
      <c r="N3646" s="72"/>
    </row>
    <row r="3647" spans="1:14" x14ac:dyDescent="0.2">
      <c r="A3647" s="73"/>
      <c r="B3647" s="3"/>
      <c r="C3647" s="3"/>
      <c r="D3647" s="73"/>
      <c r="E3647" s="2"/>
      <c r="F3647" s="2"/>
      <c r="G3647" s="2"/>
      <c r="H3647" s="2"/>
      <c r="I3647" s="2"/>
      <c r="J3647" s="2"/>
      <c r="K3647" s="72"/>
      <c r="L3647" s="39"/>
      <c r="M3647" s="72"/>
      <c r="N3647" s="72"/>
    </row>
    <row r="3648" spans="1:14" x14ac:dyDescent="0.2">
      <c r="A3648" s="73"/>
      <c r="B3648" s="3"/>
      <c r="C3648" s="3"/>
      <c r="D3648" s="73"/>
      <c r="E3648" s="2"/>
      <c r="F3648" s="2"/>
      <c r="G3648" s="2"/>
      <c r="H3648" s="2"/>
      <c r="I3648" s="2"/>
      <c r="J3648" s="2"/>
      <c r="K3648" s="72"/>
      <c r="L3648" s="39"/>
      <c r="M3648" s="72"/>
      <c r="N3648" s="72"/>
    </row>
    <row r="3649" spans="1:14" x14ac:dyDescent="0.2">
      <c r="A3649" s="73"/>
      <c r="B3649" s="3"/>
      <c r="C3649" s="3"/>
      <c r="D3649" s="73"/>
      <c r="E3649" s="2"/>
      <c r="F3649" s="2"/>
      <c r="G3649" s="2"/>
      <c r="H3649" s="2"/>
      <c r="I3649" s="2"/>
      <c r="J3649" s="2"/>
      <c r="K3649" s="72"/>
      <c r="L3649" s="39"/>
      <c r="M3649" s="72"/>
      <c r="N3649" s="72"/>
    </row>
    <row r="3650" spans="1:14" x14ac:dyDescent="0.2">
      <c r="A3650" s="73"/>
      <c r="B3650" s="3"/>
      <c r="C3650" s="3"/>
      <c r="D3650" s="73"/>
      <c r="E3650" s="2"/>
      <c r="F3650" s="2"/>
      <c r="G3650" s="2"/>
      <c r="H3650" s="2"/>
      <c r="I3650" s="2"/>
      <c r="J3650" s="2"/>
      <c r="K3650" s="72"/>
      <c r="L3650" s="39"/>
      <c r="M3650" s="72"/>
      <c r="N3650" s="72"/>
    </row>
    <row r="3651" spans="1:14" x14ac:dyDescent="0.2">
      <c r="A3651" s="73"/>
      <c r="B3651" s="3"/>
      <c r="C3651" s="3"/>
      <c r="D3651" s="73"/>
      <c r="E3651" s="2"/>
      <c r="F3651" s="2"/>
      <c r="G3651" s="2"/>
      <c r="H3651" s="2"/>
      <c r="I3651" s="2"/>
      <c r="J3651" s="2"/>
      <c r="K3651" s="72"/>
      <c r="L3651" s="39"/>
      <c r="M3651" s="72"/>
      <c r="N3651" s="72"/>
    </row>
    <row r="3652" spans="1:14" x14ac:dyDescent="0.2">
      <c r="A3652" s="73"/>
      <c r="B3652" s="3"/>
      <c r="C3652" s="3"/>
      <c r="D3652" s="73"/>
      <c r="E3652" s="2"/>
      <c r="F3652" s="2"/>
      <c r="G3652" s="2"/>
      <c r="H3652" s="2"/>
      <c r="I3652" s="2"/>
      <c r="J3652" s="2"/>
      <c r="K3652" s="72"/>
      <c r="L3652" s="39"/>
      <c r="M3652" s="72"/>
      <c r="N3652" s="72"/>
    </row>
    <row r="3653" spans="1:14" x14ac:dyDescent="0.2">
      <c r="A3653" s="73"/>
      <c r="B3653" s="3"/>
      <c r="C3653" s="3"/>
      <c r="D3653" s="73"/>
      <c r="E3653" s="2"/>
      <c r="F3653" s="2"/>
      <c r="G3653" s="2"/>
      <c r="H3653" s="2"/>
      <c r="I3653" s="2"/>
      <c r="J3653" s="2"/>
      <c r="K3653" s="72"/>
      <c r="L3653" s="39"/>
      <c r="M3653" s="72"/>
      <c r="N3653" s="72"/>
    </row>
    <row r="3654" spans="1:14" x14ac:dyDescent="0.2">
      <c r="A3654" s="73"/>
      <c r="B3654" s="3"/>
      <c r="C3654" s="3"/>
      <c r="D3654" s="73"/>
      <c r="E3654" s="2"/>
      <c r="F3654" s="2"/>
      <c r="G3654" s="2"/>
      <c r="H3654" s="2"/>
      <c r="I3654" s="2"/>
      <c r="J3654" s="2"/>
      <c r="K3654" s="72"/>
      <c r="L3654" s="39"/>
      <c r="M3654" s="72"/>
      <c r="N3654" s="72"/>
    </row>
    <row r="3655" spans="1:14" x14ac:dyDescent="0.2">
      <c r="A3655" s="73"/>
      <c r="B3655" s="3"/>
      <c r="C3655" s="3"/>
      <c r="D3655" s="73"/>
      <c r="E3655" s="2"/>
      <c r="F3655" s="2"/>
      <c r="G3655" s="2"/>
      <c r="H3655" s="2"/>
      <c r="I3655" s="2"/>
      <c r="J3655" s="2"/>
      <c r="K3655" s="72"/>
      <c r="L3655" s="39"/>
      <c r="M3655" s="72"/>
      <c r="N3655" s="72"/>
    </row>
    <row r="3656" spans="1:14" x14ac:dyDescent="0.2">
      <c r="A3656" s="73"/>
      <c r="B3656" s="3"/>
      <c r="C3656" s="3"/>
      <c r="D3656" s="73"/>
      <c r="E3656" s="2"/>
      <c r="F3656" s="2"/>
      <c r="G3656" s="2"/>
      <c r="H3656" s="2"/>
      <c r="I3656" s="2"/>
      <c r="J3656" s="2"/>
      <c r="K3656" s="72"/>
      <c r="L3656" s="39"/>
      <c r="M3656" s="72"/>
      <c r="N3656" s="72"/>
    </row>
    <row r="3657" spans="1:14" x14ac:dyDescent="0.2">
      <c r="A3657" s="73"/>
      <c r="B3657" s="3"/>
      <c r="C3657" s="3"/>
      <c r="D3657" s="73"/>
      <c r="E3657" s="2"/>
      <c r="F3657" s="2"/>
      <c r="G3657" s="2"/>
      <c r="H3657" s="2"/>
      <c r="I3657" s="2"/>
      <c r="J3657" s="2"/>
      <c r="K3657" s="72"/>
      <c r="L3657" s="39"/>
      <c r="M3657" s="72"/>
      <c r="N3657" s="72"/>
    </row>
    <row r="3658" spans="1:14" x14ac:dyDescent="0.2">
      <c r="A3658" s="73"/>
      <c r="B3658" s="3"/>
      <c r="C3658" s="3"/>
      <c r="D3658" s="73"/>
      <c r="E3658" s="2"/>
      <c r="F3658" s="2"/>
      <c r="G3658" s="2"/>
      <c r="H3658" s="2"/>
      <c r="I3658" s="2"/>
      <c r="J3658" s="2"/>
      <c r="K3658" s="72"/>
      <c r="L3658" s="39"/>
      <c r="M3658" s="72"/>
      <c r="N3658" s="72"/>
    </row>
    <row r="3659" spans="1:14" x14ac:dyDescent="0.2">
      <c r="A3659" s="73"/>
      <c r="B3659" s="3"/>
      <c r="C3659" s="3"/>
      <c r="D3659" s="73"/>
      <c r="E3659" s="2"/>
      <c r="F3659" s="2"/>
      <c r="G3659" s="2"/>
      <c r="H3659" s="2"/>
      <c r="I3659" s="2"/>
      <c r="J3659" s="2"/>
      <c r="K3659" s="72"/>
      <c r="L3659" s="39"/>
      <c r="M3659" s="72"/>
      <c r="N3659" s="72"/>
    </row>
    <row r="3660" spans="1:14" x14ac:dyDescent="0.2">
      <c r="A3660" s="73"/>
      <c r="B3660" s="3"/>
      <c r="C3660" s="3"/>
      <c r="D3660" s="73"/>
      <c r="E3660" s="2"/>
      <c r="F3660" s="2"/>
      <c r="G3660" s="2"/>
      <c r="H3660" s="2"/>
      <c r="I3660" s="2"/>
      <c r="J3660" s="2"/>
      <c r="K3660" s="72"/>
      <c r="L3660" s="39"/>
      <c r="M3660" s="72"/>
      <c r="N3660" s="72"/>
    </row>
    <row r="3661" spans="1:14" x14ac:dyDescent="0.2">
      <c r="A3661" s="73"/>
      <c r="B3661" s="3"/>
      <c r="C3661" s="3"/>
      <c r="D3661" s="73"/>
      <c r="E3661" s="2"/>
      <c r="F3661" s="2"/>
      <c r="G3661" s="2"/>
      <c r="H3661" s="2"/>
      <c r="I3661" s="2"/>
      <c r="J3661" s="2"/>
      <c r="K3661" s="72"/>
      <c r="L3661" s="39"/>
      <c r="M3661" s="72"/>
      <c r="N3661" s="72"/>
    </row>
    <row r="3662" spans="1:14" x14ac:dyDescent="0.2">
      <c r="A3662" s="73"/>
      <c r="B3662" s="3"/>
      <c r="C3662" s="3"/>
      <c r="D3662" s="73"/>
      <c r="E3662" s="2"/>
      <c r="F3662" s="2"/>
      <c r="G3662" s="2"/>
      <c r="H3662" s="2"/>
      <c r="I3662" s="2"/>
      <c r="J3662" s="2"/>
      <c r="K3662" s="72"/>
      <c r="L3662" s="39"/>
      <c r="M3662" s="72"/>
      <c r="N3662" s="72"/>
    </row>
    <row r="3663" spans="1:14" x14ac:dyDescent="0.2">
      <c r="A3663" s="73"/>
      <c r="B3663" s="3"/>
      <c r="C3663" s="3"/>
      <c r="D3663" s="73"/>
      <c r="E3663" s="2"/>
      <c r="F3663" s="2"/>
      <c r="G3663" s="2"/>
      <c r="H3663" s="2"/>
      <c r="I3663" s="2"/>
      <c r="J3663" s="2"/>
      <c r="K3663" s="72"/>
      <c r="L3663" s="39"/>
      <c r="M3663" s="72"/>
      <c r="N3663" s="72"/>
    </row>
    <row r="3664" spans="1:14" x14ac:dyDescent="0.2">
      <c r="A3664" s="73"/>
      <c r="B3664" s="3"/>
      <c r="C3664" s="3"/>
      <c r="D3664" s="73"/>
      <c r="E3664" s="2"/>
      <c r="F3664" s="2"/>
      <c r="G3664" s="2"/>
      <c r="H3664" s="2"/>
      <c r="I3664" s="2"/>
      <c r="J3664" s="2"/>
      <c r="K3664" s="72"/>
      <c r="L3664" s="39"/>
      <c r="M3664" s="72"/>
      <c r="N3664" s="72"/>
    </row>
    <row r="3665" spans="1:14" x14ac:dyDescent="0.2">
      <c r="A3665" s="73"/>
      <c r="B3665" s="3"/>
      <c r="C3665" s="3"/>
      <c r="D3665" s="73"/>
      <c r="E3665" s="2"/>
      <c r="F3665" s="2"/>
      <c r="G3665" s="2"/>
      <c r="H3665" s="2"/>
      <c r="I3665" s="2"/>
      <c r="J3665" s="2"/>
      <c r="K3665" s="72"/>
      <c r="L3665" s="39"/>
      <c r="M3665" s="72"/>
      <c r="N3665" s="72"/>
    </row>
    <row r="3666" spans="1:14" x14ac:dyDescent="0.2">
      <c r="A3666" s="73"/>
      <c r="B3666" s="3"/>
      <c r="C3666" s="3"/>
      <c r="D3666" s="73"/>
      <c r="E3666" s="2"/>
      <c r="F3666" s="2"/>
      <c r="G3666" s="2"/>
      <c r="H3666" s="2"/>
      <c r="I3666" s="2"/>
      <c r="J3666" s="2"/>
      <c r="K3666" s="72"/>
      <c r="L3666" s="39"/>
      <c r="M3666" s="72"/>
      <c r="N3666" s="72"/>
    </row>
    <row r="3667" spans="1:14" x14ac:dyDescent="0.2">
      <c r="A3667" s="73"/>
      <c r="B3667" s="3"/>
      <c r="C3667" s="3"/>
      <c r="D3667" s="73"/>
      <c r="E3667" s="2"/>
      <c r="F3667" s="2"/>
      <c r="G3667" s="2"/>
      <c r="H3667" s="2"/>
      <c r="I3667" s="2"/>
      <c r="J3667" s="2"/>
      <c r="K3667" s="72"/>
      <c r="L3667" s="39"/>
      <c r="M3667" s="72"/>
      <c r="N3667" s="72"/>
    </row>
    <row r="3668" spans="1:14" x14ac:dyDescent="0.2">
      <c r="A3668" s="73"/>
      <c r="B3668" s="3"/>
      <c r="C3668" s="3"/>
      <c r="D3668" s="73"/>
      <c r="E3668" s="2"/>
      <c r="F3668" s="2"/>
      <c r="G3668" s="2"/>
      <c r="H3668" s="2"/>
      <c r="I3668" s="2"/>
      <c r="J3668" s="2"/>
      <c r="K3668" s="72"/>
      <c r="L3668" s="39"/>
      <c r="M3668" s="72"/>
      <c r="N3668" s="72"/>
    </row>
    <row r="3669" spans="1:14" x14ac:dyDescent="0.2">
      <c r="A3669" s="73"/>
      <c r="B3669" s="3"/>
      <c r="C3669" s="3"/>
      <c r="D3669" s="73"/>
      <c r="E3669" s="2"/>
      <c r="F3669" s="2"/>
      <c r="G3669" s="2"/>
      <c r="H3669" s="2"/>
      <c r="I3669" s="2"/>
      <c r="J3669" s="2"/>
      <c r="K3669" s="72"/>
      <c r="L3669" s="39"/>
      <c r="M3669" s="72"/>
      <c r="N3669" s="72"/>
    </row>
    <row r="3670" spans="1:14" x14ac:dyDescent="0.2">
      <c r="A3670" s="73"/>
      <c r="B3670" s="3"/>
      <c r="C3670" s="3"/>
      <c r="D3670" s="73"/>
      <c r="E3670" s="2"/>
      <c r="F3670" s="2"/>
      <c r="G3670" s="2"/>
      <c r="H3670" s="2"/>
      <c r="I3670" s="2"/>
      <c r="J3670" s="2"/>
      <c r="K3670" s="72"/>
      <c r="L3670" s="39"/>
      <c r="M3670" s="72"/>
      <c r="N3670" s="72"/>
    </row>
    <row r="3671" spans="1:14" x14ac:dyDescent="0.2">
      <c r="A3671" s="73"/>
      <c r="B3671" s="3"/>
      <c r="C3671" s="3"/>
      <c r="D3671" s="73"/>
      <c r="E3671" s="2"/>
      <c r="F3671" s="2"/>
      <c r="G3671" s="2"/>
      <c r="H3671" s="2"/>
      <c r="I3671" s="2"/>
      <c r="J3671" s="2"/>
      <c r="K3671" s="72"/>
      <c r="L3671" s="39"/>
      <c r="M3671" s="72"/>
      <c r="N3671" s="72"/>
    </row>
    <row r="3672" spans="1:14" x14ac:dyDescent="0.2">
      <c r="A3672" s="73"/>
      <c r="B3672" s="3"/>
      <c r="C3672" s="3"/>
      <c r="D3672" s="73"/>
      <c r="E3672" s="2"/>
      <c r="F3672" s="2"/>
      <c r="G3672" s="2"/>
      <c r="H3672" s="2"/>
      <c r="I3672" s="2"/>
      <c r="J3672" s="2"/>
      <c r="K3672" s="72"/>
      <c r="L3672" s="39"/>
      <c r="M3672" s="72"/>
      <c r="N3672" s="72"/>
    </row>
    <row r="3673" spans="1:14" x14ac:dyDescent="0.2">
      <c r="A3673" s="73"/>
      <c r="B3673" s="3"/>
      <c r="C3673" s="3"/>
      <c r="D3673" s="73"/>
      <c r="E3673" s="2"/>
      <c r="F3673" s="2"/>
      <c r="G3673" s="2"/>
      <c r="H3673" s="2"/>
      <c r="I3673" s="2"/>
      <c r="J3673" s="2"/>
      <c r="K3673" s="72"/>
      <c r="L3673" s="39"/>
      <c r="M3673" s="72"/>
      <c r="N3673" s="72"/>
    </row>
    <row r="3674" spans="1:14" x14ac:dyDescent="0.2">
      <c r="A3674" s="73"/>
      <c r="B3674" s="3"/>
      <c r="C3674" s="3"/>
      <c r="D3674" s="73"/>
      <c r="E3674" s="2"/>
      <c r="F3674" s="2"/>
      <c r="G3674" s="2"/>
      <c r="H3674" s="2"/>
      <c r="I3674" s="2"/>
      <c r="J3674" s="2"/>
      <c r="K3674" s="72"/>
      <c r="L3674" s="39"/>
      <c r="M3674" s="72"/>
      <c r="N3674" s="72"/>
    </row>
    <row r="3675" spans="1:14" x14ac:dyDescent="0.2">
      <c r="A3675" s="73"/>
      <c r="B3675" s="3"/>
      <c r="C3675" s="3"/>
      <c r="D3675" s="73"/>
      <c r="E3675" s="2"/>
      <c r="F3675" s="2"/>
      <c r="G3675" s="2"/>
      <c r="H3675" s="2"/>
      <c r="I3675" s="2"/>
      <c r="J3675" s="2"/>
      <c r="K3675" s="72"/>
      <c r="L3675" s="39"/>
      <c r="M3675" s="72"/>
      <c r="N3675" s="72"/>
    </row>
    <row r="3676" spans="1:14" x14ac:dyDescent="0.2">
      <c r="A3676" s="73"/>
      <c r="B3676" s="3"/>
      <c r="C3676" s="3"/>
      <c r="D3676" s="73"/>
      <c r="E3676" s="2"/>
      <c r="F3676" s="2"/>
      <c r="G3676" s="2"/>
      <c r="H3676" s="2"/>
      <c r="I3676" s="2"/>
      <c r="J3676" s="2"/>
      <c r="K3676" s="72"/>
      <c r="L3676" s="39"/>
      <c r="M3676" s="72"/>
      <c r="N3676" s="72"/>
    </row>
    <row r="3677" spans="1:14" x14ac:dyDescent="0.2">
      <c r="A3677" s="73"/>
      <c r="B3677" s="3"/>
      <c r="C3677" s="3"/>
      <c r="D3677" s="73"/>
      <c r="E3677" s="2"/>
      <c r="F3677" s="2"/>
      <c r="G3677" s="2"/>
      <c r="H3677" s="2"/>
      <c r="I3677" s="2"/>
      <c r="J3677" s="2"/>
      <c r="K3677" s="72"/>
      <c r="L3677" s="39"/>
      <c r="M3677" s="72"/>
      <c r="N3677" s="72"/>
    </row>
    <row r="3678" spans="1:14" x14ac:dyDescent="0.2">
      <c r="A3678" s="73"/>
      <c r="B3678" s="3"/>
      <c r="C3678" s="3"/>
      <c r="D3678" s="73"/>
      <c r="E3678" s="2"/>
      <c r="F3678" s="2"/>
      <c r="G3678" s="2"/>
      <c r="H3678" s="2"/>
      <c r="I3678" s="2"/>
      <c r="J3678" s="2"/>
      <c r="K3678" s="72"/>
      <c r="L3678" s="39"/>
      <c r="M3678" s="72"/>
      <c r="N3678" s="72"/>
    </row>
    <row r="3679" spans="1:14" x14ac:dyDescent="0.2">
      <c r="A3679" s="73"/>
      <c r="B3679" s="3"/>
      <c r="C3679" s="3"/>
      <c r="D3679" s="73"/>
      <c r="E3679" s="2"/>
      <c r="F3679" s="2"/>
      <c r="G3679" s="2"/>
      <c r="H3679" s="2"/>
      <c r="I3679" s="2"/>
      <c r="J3679" s="2"/>
      <c r="K3679" s="72"/>
      <c r="L3679" s="39"/>
      <c r="M3679" s="72"/>
      <c r="N3679" s="72"/>
    </row>
    <row r="3680" spans="1:14" x14ac:dyDescent="0.2">
      <c r="A3680" s="73"/>
      <c r="B3680" s="3"/>
      <c r="C3680" s="3"/>
      <c r="D3680" s="73"/>
      <c r="E3680" s="2"/>
      <c r="F3680" s="2"/>
      <c r="G3680" s="2"/>
      <c r="H3680" s="2"/>
      <c r="I3680" s="2"/>
      <c r="J3680" s="2"/>
      <c r="K3680" s="72"/>
      <c r="L3680" s="39"/>
      <c r="M3680" s="72"/>
      <c r="N3680" s="72"/>
    </row>
    <row r="3681" spans="1:14" x14ac:dyDescent="0.2">
      <c r="A3681" s="73"/>
      <c r="B3681" s="3"/>
      <c r="C3681" s="3"/>
      <c r="D3681" s="73"/>
      <c r="E3681" s="2"/>
      <c r="F3681" s="2"/>
      <c r="G3681" s="2"/>
      <c r="H3681" s="2"/>
      <c r="I3681" s="2"/>
      <c r="J3681" s="2"/>
      <c r="K3681" s="72"/>
      <c r="L3681" s="39"/>
      <c r="M3681" s="72"/>
      <c r="N3681" s="72"/>
    </row>
    <row r="3682" spans="1:14" x14ac:dyDescent="0.2">
      <c r="A3682" s="73"/>
      <c r="B3682" s="3"/>
      <c r="C3682" s="3"/>
      <c r="D3682" s="73"/>
      <c r="E3682" s="2"/>
      <c r="F3682" s="2"/>
      <c r="G3682" s="2"/>
      <c r="H3682" s="2"/>
      <c r="I3682" s="2"/>
      <c r="J3682" s="2"/>
      <c r="K3682" s="72"/>
      <c r="L3682" s="39"/>
      <c r="M3682" s="72"/>
      <c r="N3682" s="72"/>
    </row>
    <row r="3683" spans="1:14" x14ac:dyDescent="0.2">
      <c r="A3683" s="73"/>
      <c r="B3683" s="3"/>
      <c r="C3683" s="3"/>
      <c r="D3683" s="73"/>
      <c r="E3683" s="2"/>
      <c r="F3683" s="2"/>
      <c r="G3683" s="2"/>
      <c r="H3683" s="2"/>
      <c r="I3683" s="2"/>
      <c r="J3683" s="2"/>
      <c r="K3683" s="72"/>
      <c r="L3683" s="39"/>
      <c r="M3683" s="72"/>
      <c r="N3683" s="72"/>
    </row>
    <row r="3684" spans="1:14" x14ac:dyDescent="0.2">
      <c r="A3684" s="73"/>
      <c r="B3684" s="3"/>
      <c r="C3684" s="3"/>
      <c r="D3684" s="73"/>
      <c r="E3684" s="2"/>
      <c r="F3684" s="2"/>
      <c r="G3684" s="2"/>
      <c r="H3684" s="2"/>
      <c r="I3684" s="2"/>
      <c r="J3684" s="2"/>
      <c r="K3684" s="72"/>
      <c r="L3684" s="39"/>
      <c r="M3684" s="72"/>
      <c r="N3684" s="72"/>
    </row>
    <row r="3685" spans="1:14" x14ac:dyDescent="0.2">
      <c r="A3685" s="73"/>
      <c r="B3685" s="3"/>
      <c r="C3685" s="3"/>
      <c r="D3685" s="73"/>
      <c r="E3685" s="2"/>
      <c r="F3685" s="2"/>
      <c r="G3685" s="2"/>
      <c r="H3685" s="2"/>
      <c r="I3685" s="2"/>
      <c r="J3685" s="2"/>
      <c r="K3685" s="72"/>
      <c r="L3685" s="39"/>
      <c r="M3685" s="72"/>
      <c r="N3685" s="72"/>
    </row>
    <row r="3686" spans="1:14" x14ac:dyDescent="0.2">
      <c r="A3686" s="73"/>
      <c r="B3686" s="3"/>
      <c r="C3686" s="3"/>
      <c r="D3686" s="73"/>
      <c r="E3686" s="2"/>
      <c r="F3686" s="2"/>
      <c r="G3686" s="2"/>
      <c r="H3686" s="2"/>
      <c r="I3686" s="2"/>
      <c r="J3686" s="2"/>
      <c r="K3686" s="72"/>
      <c r="L3686" s="39"/>
      <c r="M3686" s="72"/>
      <c r="N3686" s="72"/>
    </row>
    <row r="3687" spans="1:14" x14ac:dyDescent="0.2">
      <c r="A3687" s="73"/>
      <c r="B3687" s="3"/>
      <c r="C3687" s="3"/>
      <c r="D3687" s="73"/>
      <c r="E3687" s="2"/>
      <c r="F3687" s="2"/>
      <c r="G3687" s="2"/>
      <c r="H3687" s="2"/>
      <c r="I3687" s="2"/>
      <c r="J3687" s="2"/>
      <c r="K3687" s="72"/>
      <c r="L3687" s="39"/>
      <c r="M3687" s="72"/>
      <c r="N3687" s="72"/>
    </row>
    <row r="3688" spans="1:14" x14ac:dyDescent="0.2">
      <c r="A3688" s="73"/>
      <c r="B3688" s="3"/>
      <c r="C3688" s="3"/>
      <c r="D3688" s="73"/>
      <c r="E3688" s="2"/>
      <c r="F3688" s="2"/>
      <c r="G3688" s="2"/>
      <c r="H3688" s="2"/>
      <c r="I3688" s="2"/>
      <c r="J3688" s="2"/>
      <c r="K3688" s="72"/>
      <c r="L3688" s="39"/>
      <c r="M3688" s="72"/>
      <c r="N3688" s="72"/>
    </row>
    <row r="3689" spans="1:14" x14ac:dyDescent="0.2">
      <c r="A3689" s="73"/>
      <c r="B3689" s="3"/>
      <c r="C3689" s="3"/>
      <c r="D3689" s="73"/>
      <c r="E3689" s="2"/>
      <c r="F3689" s="2"/>
      <c r="G3689" s="2"/>
      <c r="H3689" s="2"/>
      <c r="I3689" s="2"/>
      <c r="J3689" s="2"/>
      <c r="K3689" s="72"/>
      <c r="L3689" s="39"/>
      <c r="M3689" s="72"/>
      <c r="N3689" s="72"/>
    </row>
    <row r="3690" spans="1:14" x14ac:dyDescent="0.2">
      <c r="A3690" s="73"/>
      <c r="B3690" s="3"/>
      <c r="C3690" s="3"/>
      <c r="D3690" s="73"/>
      <c r="E3690" s="2"/>
      <c r="F3690" s="2"/>
      <c r="G3690" s="2"/>
      <c r="H3690" s="2"/>
      <c r="I3690" s="2"/>
      <c r="J3690" s="2"/>
      <c r="K3690" s="72"/>
      <c r="L3690" s="39"/>
      <c r="M3690" s="72"/>
      <c r="N3690" s="72"/>
    </row>
    <row r="3691" spans="1:14" x14ac:dyDescent="0.2">
      <c r="A3691" s="73"/>
      <c r="B3691" s="3"/>
      <c r="C3691" s="3"/>
      <c r="D3691" s="73"/>
      <c r="E3691" s="2"/>
      <c r="F3691" s="2"/>
      <c r="G3691" s="2"/>
      <c r="H3691" s="2"/>
      <c r="I3691" s="2"/>
      <c r="J3691" s="2"/>
      <c r="K3691" s="72"/>
      <c r="L3691" s="39"/>
      <c r="M3691" s="72"/>
      <c r="N3691" s="72"/>
    </row>
    <row r="3692" spans="1:14" x14ac:dyDescent="0.2">
      <c r="A3692" s="73"/>
      <c r="B3692" s="3"/>
      <c r="C3692" s="3"/>
      <c r="D3692" s="73"/>
      <c r="E3692" s="2"/>
      <c r="F3692" s="2"/>
      <c r="G3692" s="2"/>
      <c r="H3692" s="2"/>
      <c r="I3692" s="2"/>
      <c r="J3692" s="2"/>
      <c r="K3692" s="72"/>
      <c r="L3692" s="39"/>
      <c r="M3692" s="72"/>
      <c r="N3692" s="72"/>
    </row>
    <row r="3693" spans="1:14" x14ac:dyDescent="0.2">
      <c r="A3693" s="73"/>
      <c r="B3693" s="3"/>
      <c r="C3693" s="3"/>
      <c r="D3693" s="73"/>
      <c r="E3693" s="2"/>
      <c r="F3693" s="2"/>
      <c r="G3693" s="2"/>
      <c r="H3693" s="2"/>
      <c r="I3693" s="2"/>
      <c r="J3693" s="2"/>
      <c r="K3693" s="72"/>
      <c r="L3693" s="39"/>
      <c r="M3693" s="72"/>
      <c r="N3693" s="72"/>
    </row>
    <row r="3694" spans="1:14" x14ac:dyDescent="0.2">
      <c r="A3694" s="73"/>
      <c r="B3694" s="3"/>
      <c r="C3694" s="3"/>
      <c r="D3694" s="73"/>
      <c r="E3694" s="2"/>
      <c r="F3694" s="2"/>
      <c r="G3694" s="2"/>
      <c r="H3694" s="2"/>
      <c r="I3694" s="2"/>
      <c r="J3694" s="2"/>
      <c r="K3694" s="72"/>
      <c r="L3694" s="39"/>
      <c r="M3694" s="72"/>
      <c r="N3694" s="72"/>
    </row>
    <row r="3695" spans="1:14" x14ac:dyDescent="0.2">
      <c r="A3695" s="73"/>
      <c r="B3695" s="3"/>
      <c r="C3695" s="3"/>
      <c r="D3695" s="73"/>
      <c r="E3695" s="2"/>
      <c r="F3695" s="2"/>
      <c r="G3695" s="2"/>
      <c r="H3695" s="2"/>
      <c r="I3695" s="2"/>
      <c r="J3695" s="2"/>
      <c r="K3695" s="72"/>
      <c r="L3695" s="39"/>
      <c r="M3695" s="72"/>
      <c r="N3695" s="72"/>
    </row>
    <row r="3696" spans="1:14" x14ac:dyDescent="0.2">
      <c r="A3696" s="73"/>
      <c r="B3696" s="3"/>
      <c r="C3696" s="3"/>
      <c r="D3696" s="73"/>
      <c r="E3696" s="2"/>
      <c r="F3696" s="2"/>
      <c r="G3696" s="2"/>
      <c r="H3696" s="2"/>
      <c r="I3696" s="2"/>
      <c r="J3696" s="2"/>
      <c r="K3696" s="72"/>
      <c r="L3696" s="39"/>
      <c r="M3696" s="72"/>
      <c r="N3696" s="72"/>
    </row>
    <row r="3697" spans="1:14" x14ac:dyDescent="0.2">
      <c r="A3697" s="73"/>
      <c r="B3697" s="3"/>
      <c r="C3697" s="3"/>
      <c r="D3697" s="73"/>
      <c r="E3697" s="2"/>
      <c r="F3697" s="2"/>
      <c r="G3697" s="2"/>
      <c r="H3697" s="2"/>
      <c r="I3697" s="2"/>
      <c r="J3697" s="2"/>
      <c r="K3697" s="72"/>
      <c r="L3697" s="39"/>
      <c r="M3697" s="72"/>
      <c r="N3697" s="72"/>
    </row>
    <row r="3698" spans="1:14" x14ac:dyDescent="0.2">
      <c r="A3698" s="73"/>
      <c r="B3698" s="3"/>
      <c r="C3698" s="3"/>
      <c r="D3698" s="73"/>
      <c r="E3698" s="2"/>
      <c r="F3698" s="2"/>
      <c r="G3698" s="2"/>
      <c r="H3698" s="2"/>
      <c r="I3698" s="2"/>
      <c r="J3698" s="2"/>
      <c r="K3698" s="72"/>
      <c r="L3698" s="39"/>
      <c r="M3698" s="72"/>
      <c r="N3698" s="72"/>
    </row>
    <row r="3699" spans="1:14" x14ac:dyDescent="0.2">
      <c r="A3699" s="73"/>
      <c r="B3699" s="3"/>
      <c r="C3699" s="3"/>
      <c r="D3699" s="73"/>
      <c r="E3699" s="2"/>
      <c r="F3699" s="2"/>
      <c r="G3699" s="2"/>
      <c r="H3699" s="2"/>
      <c r="I3699" s="2"/>
      <c r="J3699" s="2"/>
      <c r="K3699" s="72"/>
      <c r="L3699" s="39"/>
      <c r="M3699" s="72"/>
      <c r="N3699" s="72"/>
    </row>
    <row r="3700" spans="1:14" x14ac:dyDescent="0.2">
      <c r="A3700" s="73"/>
      <c r="B3700" s="3"/>
      <c r="C3700" s="3"/>
      <c r="D3700" s="73"/>
      <c r="E3700" s="2"/>
      <c r="F3700" s="2"/>
      <c r="G3700" s="2"/>
      <c r="H3700" s="2"/>
      <c r="I3700" s="2"/>
      <c r="J3700" s="2"/>
      <c r="K3700" s="72"/>
      <c r="L3700" s="39"/>
      <c r="M3700" s="72"/>
      <c r="N3700" s="72"/>
    </row>
    <row r="3701" spans="1:14" x14ac:dyDescent="0.2">
      <c r="A3701" s="73"/>
      <c r="B3701" s="3"/>
      <c r="C3701" s="3"/>
      <c r="D3701" s="73"/>
      <c r="E3701" s="2"/>
      <c r="F3701" s="2"/>
      <c r="G3701" s="2"/>
      <c r="H3701" s="2"/>
      <c r="I3701" s="2"/>
      <c r="J3701" s="2"/>
      <c r="K3701" s="72"/>
      <c r="L3701" s="39"/>
      <c r="M3701" s="72"/>
      <c r="N3701" s="72"/>
    </row>
    <row r="3702" spans="1:14" x14ac:dyDescent="0.2">
      <c r="A3702" s="73"/>
      <c r="B3702" s="3"/>
      <c r="C3702" s="3"/>
      <c r="D3702" s="73"/>
      <c r="E3702" s="2"/>
      <c r="F3702" s="2"/>
      <c r="G3702" s="2"/>
      <c r="H3702" s="2"/>
      <c r="I3702" s="2"/>
      <c r="J3702" s="2"/>
      <c r="K3702" s="72"/>
      <c r="L3702" s="39"/>
      <c r="M3702" s="72"/>
      <c r="N3702" s="72"/>
    </row>
    <row r="3703" spans="1:14" x14ac:dyDescent="0.2">
      <c r="A3703" s="73"/>
      <c r="B3703" s="3"/>
      <c r="C3703" s="3"/>
      <c r="D3703" s="73"/>
      <c r="E3703" s="2"/>
      <c r="F3703" s="2"/>
      <c r="G3703" s="2"/>
      <c r="H3703" s="2"/>
      <c r="I3703" s="2"/>
      <c r="J3703" s="2"/>
      <c r="K3703" s="72"/>
      <c r="L3703" s="39"/>
      <c r="M3703" s="72"/>
      <c r="N3703" s="72"/>
    </row>
    <row r="3704" spans="1:14" x14ac:dyDescent="0.2">
      <c r="A3704" s="73"/>
      <c r="B3704" s="3"/>
      <c r="C3704" s="3"/>
      <c r="D3704" s="73"/>
      <c r="E3704" s="2"/>
      <c r="F3704" s="2"/>
      <c r="G3704" s="2"/>
      <c r="H3704" s="2"/>
      <c r="I3704" s="2"/>
      <c r="J3704" s="2"/>
      <c r="K3704" s="72"/>
      <c r="L3704" s="39"/>
      <c r="M3704" s="72"/>
      <c r="N3704" s="72"/>
    </row>
    <row r="3705" spans="1:14" x14ac:dyDescent="0.2">
      <c r="A3705" s="73"/>
      <c r="B3705" s="3"/>
      <c r="C3705" s="3"/>
      <c r="D3705" s="73"/>
      <c r="E3705" s="2"/>
      <c r="F3705" s="2"/>
      <c r="G3705" s="2"/>
      <c r="H3705" s="2"/>
      <c r="I3705" s="2"/>
      <c r="J3705" s="2"/>
      <c r="K3705" s="72"/>
      <c r="L3705" s="39"/>
      <c r="M3705" s="72"/>
      <c r="N3705" s="72"/>
    </row>
    <row r="3706" spans="1:14" x14ac:dyDescent="0.2">
      <c r="A3706" s="73"/>
      <c r="B3706" s="3"/>
      <c r="C3706" s="3"/>
      <c r="D3706" s="73"/>
      <c r="E3706" s="2"/>
      <c r="F3706" s="2"/>
      <c r="G3706" s="2"/>
      <c r="H3706" s="2"/>
      <c r="I3706" s="2"/>
      <c r="J3706" s="2"/>
      <c r="K3706" s="72"/>
      <c r="L3706" s="39"/>
      <c r="M3706" s="72"/>
      <c r="N3706" s="72"/>
    </row>
    <row r="3707" spans="1:14" x14ac:dyDescent="0.2">
      <c r="A3707" s="73"/>
      <c r="B3707" s="3"/>
      <c r="C3707" s="3"/>
      <c r="D3707" s="73"/>
      <c r="E3707" s="2"/>
      <c r="F3707" s="2"/>
      <c r="G3707" s="2"/>
      <c r="H3707" s="2"/>
      <c r="I3707" s="2"/>
      <c r="J3707" s="2"/>
      <c r="K3707" s="72"/>
      <c r="L3707" s="39"/>
      <c r="M3707" s="72"/>
      <c r="N3707" s="72"/>
    </row>
    <row r="3708" spans="1:14" x14ac:dyDescent="0.2">
      <c r="A3708" s="73"/>
      <c r="B3708" s="3"/>
      <c r="C3708" s="3"/>
      <c r="D3708" s="73"/>
      <c r="E3708" s="2"/>
      <c r="F3708" s="2"/>
      <c r="G3708" s="2"/>
      <c r="H3708" s="2"/>
      <c r="I3708" s="2"/>
      <c r="J3708" s="2"/>
      <c r="K3708" s="72"/>
      <c r="L3708" s="39"/>
      <c r="M3708" s="72"/>
      <c r="N3708" s="72"/>
    </row>
    <row r="3709" spans="1:14" x14ac:dyDescent="0.2">
      <c r="A3709" s="73"/>
      <c r="B3709" s="3"/>
      <c r="C3709" s="3"/>
      <c r="D3709" s="73"/>
      <c r="E3709" s="2"/>
      <c r="F3709" s="2"/>
      <c r="G3709" s="2"/>
      <c r="H3709" s="2"/>
      <c r="I3709" s="2"/>
      <c r="J3709" s="2"/>
      <c r="K3709" s="72"/>
      <c r="L3709" s="39"/>
      <c r="M3709" s="72"/>
      <c r="N3709" s="72"/>
    </row>
    <row r="3710" spans="1:14" x14ac:dyDescent="0.2">
      <c r="A3710" s="73"/>
      <c r="B3710" s="3"/>
      <c r="C3710" s="3"/>
      <c r="D3710" s="73"/>
      <c r="E3710" s="2"/>
      <c r="F3710" s="2"/>
      <c r="G3710" s="2"/>
      <c r="H3710" s="2"/>
      <c r="I3710" s="2"/>
      <c r="J3710" s="2"/>
      <c r="K3710" s="72"/>
      <c r="L3710" s="39"/>
      <c r="M3710" s="72"/>
      <c r="N3710" s="72"/>
    </row>
    <row r="3711" spans="1:14" x14ac:dyDescent="0.2">
      <c r="A3711" s="73"/>
      <c r="B3711" s="3"/>
      <c r="C3711" s="3"/>
      <c r="D3711" s="73"/>
      <c r="E3711" s="2"/>
      <c r="F3711" s="2"/>
      <c r="G3711" s="2"/>
      <c r="H3711" s="2"/>
      <c r="I3711" s="2"/>
      <c r="J3711" s="2"/>
      <c r="K3711" s="72"/>
      <c r="L3711" s="39"/>
      <c r="M3711" s="72"/>
      <c r="N3711" s="72"/>
    </row>
    <row r="3712" spans="1:14" x14ac:dyDescent="0.2">
      <c r="A3712" s="73"/>
      <c r="B3712" s="3"/>
      <c r="C3712" s="3"/>
      <c r="D3712" s="73"/>
      <c r="E3712" s="2"/>
      <c r="F3712" s="2"/>
      <c r="G3712" s="2"/>
      <c r="H3712" s="2"/>
      <c r="I3712" s="2"/>
      <c r="J3712" s="2"/>
      <c r="K3712" s="72"/>
      <c r="L3712" s="39"/>
      <c r="M3712" s="72"/>
      <c r="N3712" s="72"/>
    </row>
    <row r="3713" spans="1:14" x14ac:dyDescent="0.2">
      <c r="A3713" s="73"/>
      <c r="B3713" s="3"/>
      <c r="C3713" s="3"/>
      <c r="D3713" s="73"/>
      <c r="E3713" s="2"/>
      <c r="F3713" s="2"/>
      <c r="G3713" s="2"/>
      <c r="H3713" s="2"/>
      <c r="I3713" s="2"/>
      <c r="J3713" s="2"/>
      <c r="K3713" s="72"/>
      <c r="L3713" s="39"/>
      <c r="M3713" s="72"/>
      <c r="N3713" s="72"/>
    </row>
    <row r="3714" spans="1:14" x14ac:dyDescent="0.2">
      <c r="A3714" s="73"/>
      <c r="B3714" s="3"/>
      <c r="C3714" s="3"/>
      <c r="D3714" s="73"/>
      <c r="E3714" s="2"/>
      <c r="F3714" s="2"/>
      <c r="G3714" s="2"/>
      <c r="H3714" s="2"/>
      <c r="I3714" s="2"/>
      <c r="J3714" s="2"/>
      <c r="K3714" s="72"/>
      <c r="L3714" s="39"/>
      <c r="M3714" s="72"/>
      <c r="N3714" s="72"/>
    </row>
    <row r="3715" spans="1:14" x14ac:dyDescent="0.2">
      <c r="A3715" s="73"/>
      <c r="B3715" s="3"/>
      <c r="C3715" s="3"/>
      <c r="D3715" s="73"/>
      <c r="E3715" s="2"/>
      <c r="F3715" s="2"/>
      <c r="G3715" s="2"/>
      <c r="H3715" s="2"/>
      <c r="I3715" s="2"/>
      <c r="J3715" s="2"/>
      <c r="K3715" s="72"/>
      <c r="L3715" s="39"/>
      <c r="M3715" s="72"/>
      <c r="N3715" s="72"/>
    </row>
    <row r="3716" spans="1:14" x14ac:dyDescent="0.2">
      <c r="A3716" s="73"/>
      <c r="B3716" s="3"/>
      <c r="C3716" s="3"/>
      <c r="D3716" s="73"/>
      <c r="E3716" s="2"/>
      <c r="F3716" s="2"/>
      <c r="G3716" s="2"/>
      <c r="H3716" s="2"/>
      <c r="I3716" s="2"/>
      <c r="J3716" s="2"/>
      <c r="K3716" s="72"/>
      <c r="L3716" s="39"/>
      <c r="M3716" s="72"/>
      <c r="N3716" s="72"/>
    </row>
    <row r="3717" spans="1:14" x14ac:dyDescent="0.2">
      <c r="A3717" s="73"/>
      <c r="B3717" s="3"/>
      <c r="C3717" s="3"/>
      <c r="D3717" s="73"/>
      <c r="E3717" s="2"/>
      <c r="F3717" s="2"/>
      <c r="G3717" s="2"/>
      <c r="H3717" s="2"/>
      <c r="I3717" s="2"/>
      <c r="J3717" s="2"/>
      <c r="K3717" s="72"/>
      <c r="L3717" s="39"/>
      <c r="M3717" s="72"/>
      <c r="N3717" s="72"/>
    </row>
    <row r="3718" spans="1:14" x14ac:dyDescent="0.2">
      <c r="A3718" s="73"/>
      <c r="B3718" s="3"/>
      <c r="C3718" s="3"/>
      <c r="D3718" s="73"/>
      <c r="E3718" s="2"/>
      <c r="F3718" s="2"/>
      <c r="G3718" s="2"/>
      <c r="H3718" s="2"/>
      <c r="I3718" s="2"/>
      <c r="J3718" s="2"/>
      <c r="K3718" s="72"/>
      <c r="L3718" s="39"/>
      <c r="M3718" s="72"/>
      <c r="N3718" s="72"/>
    </row>
    <row r="3719" spans="1:14" x14ac:dyDescent="0.2">
      <c r="A3719" s="73"/>
      <c r="B3719" s="3"/>
      <c r="C3719" s="3"/>
      <c r="D3719" s="73"/>
      <c r="E3719" s="2"/>
      <c r="F3719" s="2"/>
      <c r="G3719" s="2"/>
      <c r="H3719" s="2"/>
      <c r="I3719" s="2"/>
      <c r="J3719" s="2"/>
      <c r="K3719" s="72"/>
      <c r="L3719" s="39"/>
      <c r="M3719" s="72"/>
      <c r="N3719" s="72"/>
    </row>
    <row r="3720" spans="1:14" x14ac:dyDescent="0.2">
      <c r="A3720" s="73"/>
      <c r="B3720" s="3"/>
      <c r="C3720" s="3"/>
      <c r="D3720" s="73"/>
      <c r="E3720" s="2"/>
      <c r="F3720" s="2"/>
      <c r="G3720" s="2"/>
      <c r="H3720" s="2"/>
      <c r="I3720" s="2"/>
      <c r="J3720" s="2"/>
      <c r="K3720" s="72"/>
      <c r="L3720" s="39"/>
      <c r="M3720" s="72"/>
      <c r="N3720" s="72"/>
    </row>
    <row r="3721" spans="1:14" x14ac:dyDescent="0.2">
      <c r="A3721" s="73"/>
      <c r="B3721" s="3"/>
      <c r="C3721" s="3"/>
      <c r="D3721" s="73"/>
      <c r="E3721" s="2"/>
      <c r="F3721" s="2"/>
      <c r="G3721" s="2"/>
      <c r="H3721" s="2"/>
      <c r="I3721" s="2"/>
      <c r="J3721" s="2"/>
      <c r="K3721" s="72"/>
      <c r="L3721" s="39"/>
      <c r="M3721" s="72"/>
      <c r="N3721" s="72"/>
    </row>
    <row r="3722" spans="1:14" x14ac:dyDescent="0.2">
      <c r="A3722" s="73"/>
      <c r="B3722" s="3"/>
      <c r="C3722" s="3"/>
      <c r="D3722" s="73"/>
      <c r="E3722" s="2"/>
      <c r="F3722" s="2"/>
      <c r="G3722" s="2"/>
      <c r="H3722" s="2"/>
      <c r="I3722" s="2"/>
      <c r="J3722" s="2"/>
      <c r="K3722" s="72"/>
      <c r="L3722" s="39"/>
      <c r="M3722" s="72"/>
      <c r="N3722" s="72"/>
    </row>
    <row r="3723" spans="1:14" x14ac:dyDescent="0.2">
      <c r="A3723" s="73"/>
      <c r="B3723" s="3"/>
      <c r="C3723" s="3"/>
      <c r="D3723" s="73"/>
      <c r="E3723" s="2"/>
      <c r="F3723" s="2"/>
      <c r="G3723" s="2"/>
      <c r="H3723" s="2"/>
      <c r="I3723" s="2"/>
      <c r="J3723" s="2"/>
      <c r="K3723" s="72"/>
      <c r="L3723" s="39"/>
      <c r="M3723" s="72"/>
      <c r="N3723" s="72"/>
    </row>
    <row r="3724" spans="1:14" x14ac:dyDescent="0.2">
      <c r="A3724" s="73"/>
      <c r="B3724" s="3"/>
      <c r="C3724" s="3"/>
      <c r="D3724" s="73"/>
      <c r="E3724" s="2"/>
      <c r="F3724" s="2"/>
      <c r="G3724" s="2"/>
      <c r="H3724" s="2"/>
      <c r="I3724" s="2"/>
      <c r="J3724" s="2"/>
      <c r="K3724" s="72"/>
      <c r="L3724" s="39"/>
      <c r="M3724" s="72"/>
      <c r="N3724" s="72"/>
    </row>
    <row r="3725" spans="1:14" x14ac:dyDescent="0.2">
      <c r="A3725" s="73"/>
      <c r="B3725" s="3"/>
      <c r="C3725" s="3"/>
      <c r="D3725" s="73"/>
      <c r="E3725" s="2"/>
      <c r="F3725" s="2"/>
      <c r="G3725" s="2"/>
      <c r="H3725" s="2"/>
      <c r="I3725" s="2"/>
      <c r="J3725" s="2"/>
      <c r="K3725" s="72"/>
      <c r="L3725" s="39"/>
      <c r="M3725" s="72"/>
      <c r="N3725" s="72"/>
    </row>
    <row r="3726" spans="1:14" x14ac:dyDescent="0.2">
      <c r="A3726" s="73"/>
      <c r="B3726" s="3"/>
      <c r="C3726" s="3"/>
      <c r="D3726" s="73"/>
      <c r="E3726" s="2"/>
      <c r="F3726" s="2"/>
      <c r="G3726" s="2"/>
      <c r="H3726" s="2"/>
      <c r="I3726" s="2"/>
      <c r="J3726" s="2"/>
      <c r="K3726" s="72"/>
      <c r="L3726" s="39"/>
      <c r="M3726" s="72"/>
      <c r="N3726" s="72"/>
    </row>
    <row r="3727" spans="1:14" x14ac:dyDescent="0.2">
      <c r="A3727" s="73"/>
      <c r="B3727" s="3"/>
      <c r="C3727" s="3"/>
      <c r="D3727" s="73"/>
      <c r="E3727" s="2"/>
      <c r="F3727" s="2"/>
      <c r="G3727" s="2"/>
      <c r="H3727" s="2"/>
      <c r="I3727" s="2"/>
      <c r="J3727" s="2"/>
      <c r="K3727" s="72"/>
      <c r="L3727" s="39"/>
      <c r="M3727" s="72"/>
      <c r="N3727" s="72"/>
    </row>
    <row r="3728" spans="1:14" x14ac:dyDescent="0.2">
      <c r="A3728" s="73"/>
      <c r="B3728" s="3"/>
      <c r="C3728" s="3"/>
      <c r="D3728" s="73"/>
      <c r="E3728" s="2"/>
      <c r="F3728" s="2"/>
      <c r="G3728" s="2"/>
      <c r="H3728" s="2"/>
      <c r="I3728" s="2"/>
      <c r="J3728" s="2"/>
      <c r="K3728" s="72"/>
      <c r="L3728" s="39"/>
      <c r="M3728" s="72"/>
      <c r="N3728" s="72"/>
    </row>
    <row r="3729" spans="1:14" x14ac:dyDescent="0.2">
      <c r="A3729" s="73"/>
      <c r="B3729" s="3"/>
      <c r="C3729" s="3"/>
      <c r="D3729" s="73"/>
      <c r="E3729" s="2"/>
      <c r="F3729" s="2"/>
      <c r="G3729" s="2"/>
      <c r="H3729" s="2"/>
      <c r="I3729" s="2"/>
      <c r="J3729" s="2"/>
      <c r="K3729" s="72"/>
      <c r="L3729" s="39"/>
      <c r="M3729" s="72"/>
      <c r="N3729" s="72"/>
    </row>
    <row r="3730" spans="1:14" x14ac:dyDescent="0.2">
      <c r="A3730" s="73"/>
      <c r="B3730" s="3"/>
      <c r="C3730" s="3"/>
      <c r="D3730" s="73"/>
      <c r="E3730" s="2"/>
      <c r="F3730" s="2"/>
      <c r="G3730" s="2"/>
      <c r="H3730" s="2"/>
      <c r="I3730" s="2"/>
      <c r="J3730" s="2"/>
      <c r="K3730" s="72"/>
      <c r="L3730" s="39"/>
      <c r="M3730" s="72"/>
      <c r="N3730" s="72"/>
    </row>
    <row r="3731" spans="1:14" x14ac:dyDescent="0.2">
      <c r="A3731" s="73"/>
      <c r="B3731" s="3"/>
      <c r="C3731" s="3"/>
      <c r="D3731" s="73"/>
      <c r="E3731" s="2"/>
      <c r="F3731" s="2"/>
      <c r="G3731" s="2"/>
      <c r="H3731" s="2"/>
      <c r="I3731" s="2"/>
      <c r="J3731" s="2"/>
      <c r="K3731" s="72"/>
      <c r="L3731" s="39"/>
      <c r="M3731" s="72"/>
      <c r="N3731" s="72"/>
    </row>
    <row r="3732" spans="1:14" x14ac:dyDescent="0.2">
      <c r="A3732" s="73"/>
      <c r="B3732" s="3"/>
      <c r="C3732" s="3"/>
      <c r="D3732" s="73"/>
      <c r="E3732" s="2"/>
      <c r="F3732" s="2"/>
      <c r="G3732" s="2"/>
      <c r="H3732" s="2"/>
      <c r="I3732" s="2"/>
      <c r="J3732" s="2"/>
      <c r="K3732" s="72"/>
      <c r="L3732" s="39"/>
      <c r="M3732" s="72"/>
      <c r="N3732" s="72"/>
    </row>
    <row r="3733" spans="1:14" x14ac:dyDescent="0.2">
      <c r="A3733" s="73"/>
      <c r="B3733" s="3"/>
      <c r="C3733" s="3"/>
      <c r="D3733" s="73"/>
      <c r="E3733" s="2"/>
      <c r="F3733" s="2"/>
      <c r="G3733" s="2"/>
      <c r="H3733" s="2"/>
      <c r="I3733" s="2"/>
      <c r="J3733" s="2"/>
      <c r="K3733" s="72"/>
      <c r="L3733" s="39"/>
      <c r="M3733" s="72"/>
      <c r="N3733" s="72"/>
    </row>
    <row r="3734" spans="1:14" x14ac:dyDescent="0.2">
      <c r="A3734" s="73"/>
      <c r="B3734" s="3"/>
      <c r="C3734" s="3"/>
      <c r="D3734" s="73"/>
      <c r="E3734" s="2"/>
      <c r="F3734" s="2"/>
      <c r="G3734" s="2"/>
      <c r="H3734" s="2"/>
      <c r="I3734" s="2"/>
      <c r="J3734" s="2"/>
      <c r="K3734" s="72"/>
      <c r="L3734" s="39"/>
      <c r="M3734" s="72"/>
      <c r="N3734" s="72"/>
    </row>
    <row r="3735" spans="1:14" x14ac:dyDescent="0.2">
      <c r="A3735" s="73"/>
      <c r="B3735" s="3"/>
      <c r="C3735" s="3"/>
      <c r="D3735" s="73"/>
      <c r="E3735" s="2"/>
      <c r="F3735" s="2"/>
      <c r="G3735" s="2"/>
      <c r="H3735" s="2"/>
      <c r="I3735" s="2"/>
      <c r="J3735" s="2"/>
      <c r="K3735" s="72"/>
      <c r="L3735" s="39"/>
      <c r="M3735" s="72"/>
      <c r="N3735" s="72"/>
    </row>
    <row r="3736" spans="1:14" x14ac:dyDescent="0.2">
      <c r="A3736" s="73"/>
      <c r="B3736" s="3"/>
      <c r="C3736" s="3"/>
      <c r="D3736" s="73"/>
      <c r="E3736" s="2"/>
      <c r="F3736" s="2"/>
      <c r="G3736" s="2"/>
      <c r="H3736" s="2"/>
      <c r="I3736" s="2"/>
      <c r="J3736" s="2"/>
      <c r="K3736" s="72"/>
      <c r="L3736" s="39"/>
      <c r="M3736" s="72"/>
      <c r="N3736" s="72"/>
    </row>
    <row r="3737" spans="1:14" x14ac:dyDescent="0.2">
      <c r="A3737" s="73"/>
      <c r="B3737" s="3"/>
      <c r="C3737" s="3"/>
      <c r="D3737" s="73"/>
      <c r="E3737" s="2"/>
      <c r="F3737" s="2"/>
      <c r="G3737" s="2"/>
      <c r="H3737" s="2"/>
      <c r="I3737" s="2"/>
      <c r="J3737" s="2"/>
      <c r="K3737" s="72"/>
      <c r="L3737" s="39"/>
      <c r="M3737" s="72"/>
      <c r="N3737" s="72"/>
    </row>
    <row r="3738" spans="1:14" x14ac:dyDescent="0.2">
      <c r="A3738" s="73"/>
      <c r="B3738" s="3"/>
      <c r="C3738" s="3"/>
      <c r="D3738" s="73"/>
      <c r="E3738" s="2"/>
      <c r="F3738" s="2"/>
      <c r="G3738" s="2"/>
      <c r="H3738" s="2"/>
      <c r="I3738" s="2"/>
      <c r="J3738" s="2"/>
      <c r="K3738" s="72"/>
      <c r="L3738" s="39"/>
      <c r="M3738" s="72"/>
      <c r="N3738" s="72"/>
    </row>
    <row r="3739" spans="1:14" x14ac:dyDescent="0.2">
      <c r="A3739" s="73"/>
      <c r="B3739" s="3"/>
      <c r="C3739" s="3"/>
      <c r="D3739" s="73"/>
      <c r="E3739" s="2"/>
      <c r="F3739" s="2"/>
      <c r="G3739" s="2"/>
      <c r="H3739" s="2"/>
      <c r="I3739" s="2"/>
      <c r="J3739" s="2"/>
      <c r="K3739" s="72"/>
      <c r="L3739" s="39"/>
      <c r="M3739" s="72"/>
      <c r="N3739" s="72"/>
    </row>
    <row r="3740" spans="1:14" x14ac:dyDescent="0.2">
      <c r="A3740" s="73"/>
      <c r="B3740" s="3"/>
      <c r="C3740" s="3"/>
      <c r="D3740" s="73"/>
      <c r="E3740" s="2"/>
      <c r="F3740" s="2"/>
      <c r="G3740" s="2"/>
      <c r="H3740" s="2"/>
      <c r="I3740" s="2"/>
      <c r="J3740" s="2"/>
      <c r="K3740" s="72"/>
      <c r="L3740" s="39"/>
      <c r="M3740" s="72"/>
      <c r="N3740" s="72"/>
    </row>
    <row r="3741" spans="1:14" x14ac:dyDescent="0.2">
      <c r="A3741" s="73"/>
      <c r="B3741" s="3"/>
      <c r="C3741" s="3"/>
      <c r="D3741" s="73"/>
      <c r="E3741" s="2"/>
      <c r="F3741" s="2"/>
      <c r="G3741" s="2"/>
      <c r="H3741" s="2"/>
      <c r="I3741" s="2"/>
      <c r="J3741" s="2"/>
      <c r="K3741" s="72"/>
      <c r="L3741" s="39"/>
      <c r="M3741" s="72"/>
      <c r="N3741" s="72"/>
    </row>
    <row r="3742" spans="1:14" x14ac:dyDescent="0.2">
      <c r="A3742" s="73"/>
      <c r="B3742" s="3"/>
      <c r="C3742" s="3"/>
      <c r="D3742" s="73"/>
      <c r="E3742" s="2"/>
      <c r="F3742" s="2"/>
      <c r="G3742" s="2"/>
      <c r="H3742" s="2"/>
      <c r="I3742" s="2"/>
      <c r="J3742" s="2"/>
      <c r="K3742" s="72"/>
      <c r="L3742" s="39"/>
      <c r="M3742" s="72"/>
      <c r="N3742" s="72"/>
    </row>
    <row r="3743" spans="1:14" x14ac:dyDescent="0.2">
      <c r="A3743" s="73"/>
      <c r="B3743" s="3"/>
      <c r="C3743" s="3"/>
      <c r="D3743" s="73"/>
      <c r="E3743" s="2"/>
      <c r="F3743" s="2"/>
      <c r="G3743" s="2"/>
      <c r="H3743" s="2"/>
      <c r="I3743" s="2"/>
      <c r="J3743" s="2"/>
      <c r="K3743" s="72"/>
      <c r="L3743" s="39"/>
      <c r="M3743" s="72"/>
      <c r="N3743" s="72"/>
    </row>
    <row r="3744" spans="1:14" x14ac:dyDescent="0.2">
      <c r="A3744" s="73"/>
      <c r="B3744" s="3"/>
      <c r="C3744" s="3"/>
      <c r="D3744" s="73"/>
      <c r="E3744" s="2"/>
      <c r="F3744" s="2"/>
      <c r="G3744" s="2"/>
      <c r="H3744" s="2"/>
      <c r="I3744" s="2"/>
      <c r="J3744" s="2"/>
      <c r="K3744" s="72"/>
      <c r="L3744" s="39"/>
      <c r="M3744" s="72"/>
      <c r="N3744" s="72"/>
    </row>
    <row r="3745" spans="1:14" x14ac:dyDescent="0.2">
      <c r="A3745" s="73"/>
      <c r="B3745" s="3"/>
      <c r="C3745" s="3"/>
      <c r="D3745" s="73"/>
      <c r="E3745" s="2"/>
      <c r="F3745" s="2"/>
      <c r="G3745" s="2"/>
      <c r="H3745" s="2"/>
      <c r="I3745" s="2"/>
      <c r="J3745" s="2"/>
      <c r="K3745" s="72"/>
      <c r="L3745" s="39"/>
      <c r="M3745" s="72"/>
      <c r="N3745" s="72"/>
    </row>
    <row r="3746" spans="1:14" x14ac:dyDescent="0.2">
      <c r="A3746" s="73"/>
      <c r="B3746" s="3"/>
      <c r="C3746" s="3"/>
      <c r="D3746" s="73"/>
      <c r="E3746" s="2"/>
      <c r="F3746" s="2"/>
      <c r="G3746" s="2"/>
      <c r="H3746" s="2"/>
      <c r="I3746" s="2"/>
      <c r="J3746" s="2"/>
      <c r="K3746" s="72"/>
      <c r="L3746" s="39"/>
      <c r="M3746" s="72"/>
      <c r="N3746" s="72"/>
    </row>
    <row r="3747" spans="1:14" x14ac:dyDescent="0.2">
      <c r="A3747" s="73"/>
      <c r="B3747" s="3"/>
      <c r="C3747" s="3"/>
      <c r="D3747" s="73"/>
      <c r="E3747" s="2"/>
      <c r="F3747" s="2"/>
      <c r="G3747" s="2"/>
      <c r="H3747" s="2"/>
      <c r="I3747" s="2"/>
      <c r="J3747" s="2"/>
      <c r="K3747" s="72"/>
      <c r="L3747" s="39"/>
      <c r="M3747" s="72"/>
      <c r="N3747" s="72"/>
    </row>
    <row r="3748" spans="1:14" x14ac:dyDescent="0.2">
      <c r="A3748" s="73"/>
      <c r="B3748" s="3"/>
      <c r="C3748" s="3"/>
      <c r="D3748" s="73"/>
      <c r="E3748" s="2"/>
      <c r="F3748" s="2"/>
      <c r="G3748" s="2"/>
      <c r="H3748" s="2"/>
      <c r="I3748" s="2"/>
      <c r="J3748" s="2"/>
      <c r="K3748" s="72"/>
      <c r="L3748" s="39"/>
      <c r="M3748" s="72"/>
      <c r="N3748" s="72"/>
    </row>
    <row r="3749" spans="1:14" x14ac:dyDescent="0.2">
      <c r="A3749" s="73"/>
      <c r="B3749" s="3"/>
      <c r="C3749" s="3"/>
      <c r="D3749" s="73"/>
      <c r="E3749" s="2"/>
      <c r="F3749" s="2"/>
      <c r="G3749" s="2"/>
      <c r="H3749" s="2"/>
      <c r="I3749" s="2"/>
      <c r="J3749" s="2"/>
      <c r="K3749" s="72"/>
      <c r="L3749" s="39"/>
      <c r="M3749" s="72"/>
      <c r="N3749" s="72"/>
    </row>
    <row r="3750" spans="1:14" x14ac:dyDescent="0.2">
      <c r="A3750" s="73"/>
      <c r="B3750" s="3"/>
      <c r="C3750" s="3"/>
      <c r="D3750" s="73"/>
      <c r="E3750" s="2"/>
      <c r="F3750" s="2"/>
      <c r="G3750" s="2"/>
      <c r="H3750" s="2"/>
      <c r="I3750" s="2"/>
      <c r="J3750" s="2"/>
      <c r="K3750" s="72"/>
      <c r="L3750" s="39"/>
      <c r="M3750" s="72"/>
      <c r="N3750" s="72"/>
    </row>
    <row r="3751" spans="1:14" x14ac:dyDescent="0.2">
      <c r="A3751" s="73"/>
      <c r="B3751" s="3"/>
      <c r="C3751" s="3"/>
      <c r="D3751" s="73"/>
      <c r="E3751" s="2"/>
      <c r="F3751" s="2"/>
      <c r="G3751" s="2"/>
      <c r="H3751" s="2"/>
      <c r="I3751" s="2"/>
      <c r="J3751" s="2"/>
      <c r="K3751" s="72"/>
      <c r="L3751" s="39"/>
      <c r="M3751" s="72"/>
      <c r="N3751" s="72"/>
    </row>
    <row r="3752" spans="1:14" x14ac:dyDescent="0.2">
      <c r="A3752" s="73"/>
      <c r="B3752" s="3"/>
      <c r="C3752" s="3"/>
      <c r="D3752" s="73"/>
      <c r="E3752" s="2"/>
      <c r="F3752" s="2"/>
      <c r="G3752" s="2"/>
      <c r="H3752" s="2"/>
      <c r="I3752" s="2"/>
      <c r="J3752" s="2"/>
      <c r="K3752" s="72"/>
      <c r="L3752" s="39"/>
      <c r="M3752" s="72"/>
      <c r="N3752" s="72"/>
    </row>
    <row r="3753" spans="1:14" x14ac:dyDescent="0.2">
      <c r="A3753" s="73"/>
      <c r="B3753" s="3"/>
      <c r="C3753" s="3"/>
      <c r="D3753" s="73"/>
      <c r="E3753" s="2"/>
      <c r="F3753" s="2"/>
      <c r="G3753" s="2"/>
      <c r="H3753" s="2"/>
      <c r="I3753" s="2"/>
      <c r="J3753" s="2"/>
      <c r="K3753" s="72"/>
      <c r="L3753" s="39"/>
      <c r="M3753" s="72"/>
      <c r="N3753" s="72"/>
    </row>
    <row r="3754" spans="1:14" x14ac:dyDescent="0.2">
      <c r="A3754" s="73"/>
      <c r="B3754" s="3"/>
      <c r="C3754" s="3"/>
      <c r="D3754" s="73"/>
      <c r="E3754" s="2"/>
      <c r="F3754" s="2"/>
      <c r="G3754" s="2"/>
      <c r="H3754" s="2"/>
      <c r="I3754" s="2"/>
      <c r="J3754" s="2"/>
      <c r="K3754" s="72"/>
      <c r="L3754" s="39"/>
      <c r="M3754" s="72"/>
      <c r="N3754" s="72"/>
    </row>
    <row r="3755" spans="1:14" x14ac:dyDescent="0.2">
      <c r="A3755" s="73"/>
      <c r="B3755" s="3"/>
      <c r="C3755" s="3"/>
      <c r="D3755" s="73"/>
      <c r="E3755" s="2"/>
      <c r="F3755" s="2"/>
      <c r="G3755" s="2"/>
      <c r="H3755" s="2"/>
      <c r="I3755" s="2"/>
      <c r="J3755" s="2"/>
      <c r="K3755" s="72"/>
      <c r="L3755" s="39"/>
      <c r="M3755" s="72"/>
      <c r="N3755" s="72"/>
    </row>
    <row r="3756" spans="1:14" x14ac:dyDescent="0.2">
      <c r="A3756" s="73"/>
      <c r="B3756" s="3"/>
      <c r="C3756" s="3"/>
      <c r="D3756" s="73"/>
      <c r="E3756" s="2"/>
      <c r="F3756" s="2"/>
      <c r="G3756" s="2"/>
      <c r="H3756" s="2"/>
      <c r="I3756" s="2"/>
      <c r="J3756" s="2"/>
      <c r="K3756" s="72"/>
      <c r="L3756" s="39"/>
      <c r="M3756" s="72"/>
      <c r="N3756" s="72"/>
    </row>
    <row r="3757" spans="1:14" x14ac:dyDescent="0.2">
      <c r="A3757" s="73"/>
      <c r="B3757" s="3"/>
      <c r="C3757" s="3"/>
      <c r="D3757" s="73"/>
      <c r="E3757" s="2"/>
      <c r="F3757" s="2"/>
      <c r="G3757" s="2"/>
      <c r="H3757" s="2"/>
      <c r="I3757" s="2"/>
      <c r="J3757" s="2"/>
      <c r="K3757" s="72"/>
      <c r="L3757" s="39"/>
      <c r="M3757" s="72"/>
      <c r="N3757" s="72"/>
    </row>
    <row r="3758" spans="1:14" x14ac:dyDescent="0.2">
      <c r="A3758" s="73"/>
      <c r="B3758" s="3"/>
      <c r="C3758" s="3"/>
      <c r="D3758" s="73"/>
      <c r="E3758" s="2"/>
      <c r="F3758" s="2"/>
      <c r="G3758" s="2"/>
      <c r="H3758" s="2"/>
      <c r="I3758" s="2"/>
      <c r="J3758" s="2"/>
      <c r="K3758" s="72"/>
      <c r="L3758" s="39"/>
      <c r="M3758" s="72"/>
      <c r="N3758" s="72"/>
    </row>
    <row r="3759" spans="1:14" x14ac:dyDescent="0.2">
      <c r="A3759" s="73"/>
      <c r="B3759" s="3"/>
      <c r="C3759" s="3"/>
      <c r="D3759" s="73"/>
      <c r="E3759" s="2"/>
      <c r="F3759" s="2"/>
      <c r="G3759" s="2"/>
      <c r="H3759" s="2"/>
      <c r="I3759" s="2"/>
      <c r="J3759" s="2"/>
      <c r="K3759" s="72"/>
      <c r="L3759" s="39"/>
      <c r="M3759" s="72"/>
      <c r="N3759" s="72"/>
    </row>
    <row r="3760" spans="1:14" x14ac:dyDescent="0.2">
      <c r="A3760" s="73"/>
      <c r="B3760" s="3"/>
      <c r="C3760" s="3"/>
      <c r="D3760" s="73"/>
      <c r="E3760" s="2"/>
      <c r="F3760" s="2"/>
      <c r="G3760" s="2"/>
      <c r="H3760" s="2"/>
      <c r="I3760" s="2"/>
      <c r="J3760" s="2"/>
      <c r="K3760" s="72"/>
      <c r="L3760" s="39"/>
      <c r="M3760" s="72"/>
      <c r="N3760" s="72"/>
    </row>
    <row r="3761" spans="1:14" x14ac:dyDescent="0.2">
      <c r="A3761" s="73"/>
      <c r="B3761" s="3"/>
      <c r="C3761" s="3"/>
      <c r="D3761" s="73"/>
      <c r="E3761" s="2"/>
      <c r="F3761" s="2"/>
      <c r="G3761" s="2"/>
      <c r="H3761" s="2"/>
      <c r="I3761" s="2"/>
      <c r="J3761" s="2"/>
      <c r="K3761" s="72"/>
      <c r="L3761" s="39"/>
      <c r="M3761" s="72"/>
      <c r="N3761" s="72"/>
    </row>
    <row r="3762" spans="1:14" x14ac:dyDescent="0.2">
      <c r="A3762" s="73"/>
      <c r="B3762" s="3"/>
      <c r="C3762" s="3"/>
      <c r="D3762" s="73"/>
      <c r="E3762" s="2"/>
      <c r="F3762" s="2"/>
      <c r="G3762" s="2"/>
      <c r="H3762" s="2"/>
      <c r="I3762" s="2"/>
      <c r="J3762" s="2"/>
      <c r="K3762" s="72"/>
      <c r="L3762" s="39"/>
      <c r="M3762" s="72"/>
      <c r="N3762" s="72"/>
    </row>
    <row r="3763" spans="1:14" x14ac:dyDescent="0.2">
      <c r="A3763" s="73"/>
      <c r="B3763" s="3"/>
      <c r="C3763" s="3"/>
      <c r="D3763" s="73"/>
      <c r="E3763" s="2"/>
      <c r="F3763" s="2"/>
      <c r="G3763" s="2"/>
      <c r="H3763" s="2"/>
      <c r="I3763" s="2"/>
      <c r="J3763" s="2"/>
      <c r="K3763" s="72"/>
      <c r="L3763" s="39"/>
      <c r="M3763" s="72"/>
      <c r="N3763" s="72"/>
    </row>
    <row r="3764" spans="1:14" x14ac:dyDescent="0.2">
      <c r="A3764" s="73"/>
      <c r="B3764" s="3"/>
      <c r="C3764" s="3"/>
      <c r="D3764" s="73"/>
      <c r="E3764" s="2"/>
      <c r="F3764" s="2"/>
      <c r="G3764" s="2"/>
      <c r="H3764" s="2"/>
      <c r="I3764" s="2"/>
      <c r="J3764" s="2"/>
      <c r="K3764" s="72"/>
      <c r="L3764" s="39"/>
      <c r="M3764" s="72"/>
      <c r="N3764" s="72"/>
    </row>
    <row r="3765" spans="1:14" x14ac:dyDescent="0.2">
      <c r="A3765" s="73"/>
      <c r="B3765" s="3"/>
      <c r="C3765" s="3"/>
      <c r="D3765" s="73"/>
      <c r="E3765" s="2"/>
      <c r="F3765" s="2"/>
      <c r="G3765" s="2"/>
      <c r="H3765" s="2"/>
      <c r="I3765" s="2"/>
      <c r="J3765" s="2"/>
      <c r="K3765" s="72"/>
      <c r="L3765" s="39"/>
      <c r="M3765" s="72"/>
      <c r="N3765" s="72"/>
    </row>
    <row r="3766" spans="1:14" x14ac:dyDescent="0.2">
      <c r="A3766" s="73"/>
      <c r="B3766" s="3"/>
      <c r="C3766" s="3"/>
      <c r="D3766" s="73"/>
      <c r="E3766" s="2"/>
      <c r="F3766" s="2"/>
      <c r="G3766" s="2"/>
      <c r="H3766" s="2"/>
      <c r="I3766" s="2"/>
      <c r="J3766" s="2"/>
      <c r="K3766" s="72"/>
      <c r="L3766" s="39"/>
      <c r="M3766" s="72"/>
      <c r="N3766" s="72"/>
    </row>
    <row r="3767" spans="1:14" x14ac:dyDescent="0.2">
      <c r="A3767" s="73"/>
      <c r="B3767" s="3"/>
      <c r="C3767" s="3"/>
      <c r="D3767" s="73"/>
      <c r="E3767" s="2"/>
      <c r="F3767" s="2"/>
      <c r="G3767" s="2"/>
      <c r="H3767" s="2"/>
      <c r="I3767" s="2"/>
      <c r="J3767" s="2"/>
      <c r="K3767" s="72"/>
      <c r="L3767" s="39"/>
      <c r="M3767" s="72"/>
      <c r="N3767" s="72"/>
    </row>
    <row r="3768" spans="1:14" x14ac:dyDescent="0.2">
      <c r="A3768" s="73"/>
      <c r="B3768" s="3"/>
      <c r="C3768" s="3"/>
      <c r="D3768" s="73"/>
      <c r="E3768" s="2"/>
      <c r="F3768" s="2"/>
      <c r="G3768" s="2"/>
      <c r="H3768" s="2"/>
      <c r="I3768" s="2"/>
      <c r="J3768" s="2"/>
      <c r="K3768" s="72"/>
      <c r="L3768" s="39"/>
      <c r="M3768" s="72"/>
      <c r="N3768" s="72"/>
    </row>
    <row r="3769" spans="1:14" x14ac:dyDescent="0.2">
      <c r="A3769" s="73"/>
      <c r="B3769" s="3"/>
      <c r="C3769" s="3"/>
      <c r="D3769" s="73"/>
      <c r="E3769" s="2"/>
      <c r="F3769" s="2"/>
      <c r="G3769" s="2"/>
      <c r="H3769" s="2"/>
      <c r="I3769" s="2"/>
      <c r="J3769" s="2"/>
      <c r="K3769" s="72"/>
      <c r="L3769" s="39"/>
      <c r="M3769" s="72"/>
      <c r="N3769" s="72"/>
    </row>
    <row r="3770" spans="1:14" x14ac:dyDescent="0.2">
      <c r="A3770" s="73"/>
      <c r="B3770" s="3"/>
      <c r="C3770" s="3"/>
      <c r="D3770" s="73"/>
      <c r="E3770" s="2"/>
      <c r="F3770" s="2"/>
      <c r="G3770" s="2"/>
      <c r="H3770" s="2"/>
      <c r="I3770" s="2"/>
      <c r="J3770" s="2"/>
      <c r="K3770" s="72"/>
      <c r="L3770" s="39"/>
      <c r="M3770" s="72"/>
      <c r="N3770" s="72"/>
    </row>
    <row r="3771" spans="1:14" x14ac:dyDescent="0.2">
      <c r="A3771" s="73"/>
      <c r="B3771" s="3"/>
      <c r="C3771" s="3"/>
      <c r="D3771" s="73"/>
      <c r="E3771" s="2"/>
      <c r="F3771" s="2"/>
      <c r="G3771" s="2"/>
      <c r="H3771" s="2"/>
      <c r="I3771" s="2"/>
      <c r="J3771" s="2"/>
      <c r="K3771" s="72"/>
      <c r="L3771" s="39"/>
      <c r="M3771" s="72"/>
      <c r="N3771" s="72"/>
    </row>
    <row r="3772" spans="1:14" x14ac:dyDescent="0.2">
      <c r="A3772" s="73"/>
      <c r="B3772" s="3"/>
      <c r="C3772" s="3"/>
      <c r="D3772" s="73"/>
      <c r="E3772" s="2"/>
      <c r="F3772" s="2"/>
      <c r="G3772" s="2"/>
      <c r="H3772" s="2"/>
      <c r="I3772" s="2"/>
      <c r="J3772" s="2"/>
      <c r="K3772" s="72"/>
      <c r="L3772" s="39"/>
      <c r="M3772" s="72"/>
      <c r="N3772" s="72"/>
    </row>
    <row r="3773" spans="1:14" x14ac:dyDescent="0.2">
      <c r="A3773" s="73"/>
      <c r="B3773" s="3"/>
      <c r="C3773" s="3"/>
      <c r="D3773" s="73"/>
      <c r="E3773" s="2"/>
      <c r="F3773" s="2"/>
      <c r="G3773" s="2"/>
      <c r="H3773" s="2"/>
      <c r="I3773" s="2"/>
      <c r="J3773" s="2"/>
      <c r="K3773" s="72"/>
      <c r="L3773" s="39"/>
      <c r="M3773" s="72"/>
      <c r="N3773" s="72"/>
    </row>
    <row r="3774" spans="1:14" x14ac:dyDescent="0.2">
      <c r="A3774" s="73"/>
      <c r="B3774" s="3"/>
      <c r="C3774" s="3"/>
      <c r="D3774" s="73"/>
      <c r="E3774" s="2"/>
      <c r="F3774" s="2"/>
      <c r="G3774" s="2"/>
      <c r="H3774" s="2"/>
      <c r="I3774" s="2"/>
      <c r="J3774" s="2"/>
      <c r="K3774" s="72"/>
      <c r="L3774" s="39"/>
      <c r="M3774" s="72"/>
      <c r="N3774" s="72"/>
    </row>
    <row r="3775" spans="1:14" x14ac:dyDescent="0.2">
      <c r="A3775" s="73"/>
      <c r="B3775" s="3"/>
      <c r="C3775" s="3"/>
      <c r="D3775" s="73"/>
      <c r="E3775" s="2"/>
      <c r="F3775" s="2"/>
      <c r="G3775" s="2"/>
      <c r="H3775" s="2"/>
      <c r="I3775" s="2"/>
      <c r="J3775" s="2"/>
      <c r="K3775" s="72"/>
      <c r="L3775" s="39"/>
      <c r="M3775" s="72"/>
      <c r="N3775" s="72"/>
    </row>
    <row r="3776" spans="1:14" x14ac:dyDescent="0.2">
      <c r="A3776" s="73"/>
      <c r="B3776" s="3"/>
      <c r="C3776" s="3"/>
      <c r="D3776" s="73"/>
      <c r="E3776" s="2"/>
      <c r="F3776" s="2"/>
      <c r="G3776" s="2"/>
      <c r="H3776" s="2"/>
      <c r="I3776" s="2"/>
      <c r="J3776" s="2"/>
      <c r="K3776" s="72"/>
      <c r="L3776" s="39"/>
      <c r="M3776" s="72"/>
      <c r="N3776" s="72"/>
    </row>
    <row r="3777" spans="1:14" x14ac:dyDescent="0.2">
      <c r="A3777" s="73"/>
      <c r="B3777" s="3"/>
      <c r="C3777" s="3"/>
      <c r="D3777" s="73"/>
      <c r="E3777" s="2"/>
      <c r="F3777" s="2"/>
      <c r="G3777" s="2"/>
      <c r="H3777" s="2"/>
      <c r="I3777" s="2"/>
      <c r="J3777" s="2"/>
      <c r="K3777" s="72"/>
      <c r="L3777" s="39"/>
      <c r="M3777" s="72"/>
      <c r="N3777" s="72"/>
    </row>
    <row r="3778" spans="1:14" x14ac:dyDescent="0.2">
      <c r="A3778" s="73"/>
      <c r="B3778" s="3"/>
      <c r="C3778" s="3"/>
      <c r="D3778" s="73"/>
      <c r="E3778" s="2"/>
      <c r="F3778" s="2"/>
      <c r="G3778" s="2"/>
      <c r="H3778" s="2"/>
      <c r="I3778" s="2"/>
      <c r="J3778" s="2"/>
      <c r="K3778" s="72"/>
      <c r="L3778" s="39"/>
      <c r="M3778" s="72"/>
      <c r="N3778" s="72"/>
    </row>
    <row r="3779" spans="1:14" x14ac:dyDescent="0.2">
      <c r="A3779" s="73"/>
      <c r="B3779" s="3"/>
      <c r="C3779" s="3"/>
      <c r="D3779" s="73"/>
      <c r="E3779" s="2"/>
      <c r="F3779" s="2"/>
      <c r="G3779" s="2"/>
      <c r="H3779" s="2"/>
      <c r="I3779" s="2"/>
      <c r="J3779" s="2"/>
      <c r="K3779" s="72"/>
      <c r="L3779" s="39"/>
      <c r="M3779" s="72"/>
      <c r="N3779" s="72"/>
    </row>
    <row r="3780" spans="1:14" x14ac:dyDescent="0.2">
      <c r="A3780" s="73"/>
      <c r="B3780" s="3"/>
      <c r="C3780" s="3"/>
      <c r="D3780" s="73"/>
      <c r="E3780" s="2"/>
      <c r="F3780" s="2"/>
      <c r="G3780" s="2"/>
      <c r="H3780" s="2"/>
      <c r="I3780" s="2"/>
      <c r="J3780" s="2"/>
      <c r="K3780" s="72"/>
      <c r="L3780" s="39"/>
      <c r="M3780" s="72"/>
      <c r="N3780" s="72"/>
    </row>
    <row r="3781" spans="1:14" x14ac:dyDescent="0.2">
      <c r="A3781" s="73"/>
      <c r="B3781" s="3"/>
      <c r="C3781" s="3"/>
      <c r="D3781" s="73"/>
      <c r="E3781" s="2"/>
      <c r="F3781" s="2"/>
      <c r="G3781" s="2"/>
      <c r="H3781" s="2"/>
      <c r="I3781" s="2"/>
      <c r="J3781" s="2"/>
      <c r="K3781" s="72"/>
      <c r="L3781" s="39"/>
      <c r="M3781" s="72"/>
      <c r="N3781" s="72"/>
    </row>
    <row r="3782" spans="1:14" x14ac:dyDescent="0.2">
      <c r="A3782" s="73"/>
      <c r="B3782" s="3"/>
      <c r="C3782" s="3"/>
      <c r="D3782" s="73"/>
      <c r="E3782" s="2"/>
      <c r="F3782" s="2"/>
      <c r="G3782" s="2"/>
      <c r="H3782" s="2"/>
      <c r="I3782" s="2"/>
      <c r="J3782" s="2"/>
      <c r="K3782" s="72"/>
      <c r="L3782" s="39"/>
      <c r="M3782" s="72"/>
      <c r="N3782" s="72"/>
    </row>
    <row r="3783" spans="1:14" x14ac:dyDescent="0.2">
      <c r="A3783" s="73"/>
      <c r="B3783" s="3"/>
      <c r="C3783" s="3"/>
      <c r="D3783" s="73"/>
      <c r="E3783" s="2"/>
      <c r="F3783" s="2"/>
      <c r="G3783" s="2"/>
      <c r="H3783" s="2"/>
      <c r="I3783" s="2"/>
      <c r="J3783" s="2"/>
      <c r="K3783" s="72"/>
      <c r="L3783" s="39"/>
      <c r="M3783" s="72"/>
      <c r="N3783" s="72"/>
    </row>
    <row r="3784" spans="1:14" x14ac:dyDescent="0.2">
      <c r="A3784" s="73"/>
      <c r="B3784" s="3"/>
      <c r="C3784" s="3"/>
      <c r="D3784" s="73"/>
      <c r="E3784" s="2"/>
      <c r="F3784" s="2"/>
      <c r="G3784" s="2"/>
      <c r="H3784" s="2"/>
      <c r="I3784" s="2"/>
      <c r="J3784" s="2"/>
      <c r="K3784" s="72"/>
      <c r="L3784" s="39"/>
      <c r="M3784" s="72"/>
      <c r="N3784" s="72"/>
    </row>
    <row r="3785" spans="1:14" x14ac:dyDescent="0.2">
      <c r="A3785" s="73"/>
      <c r="B3785" s="3"/>
      <c r="C3785" s="3"/>
      <c r="D3785" s="73"/>
      <c r="E3785" s="2"/>
      <c r="F3785" s="2"/>
      <c r="G3785" s="2"/>
      <c r="H3785" s="2"/>
      <c r="I3785" s="2"/>
      <c r="J3785" s="2"/>
      <c r="K3785" s="72"/>
      <c r="L3785" s="39"/>
      <c r="M3785" s="72"/>
      <c r="N3785" s="72"/>
    </row>
    <row r="3786" spans="1:14" x14ac:dyDescent="0.2">
      <c r="A3786" s="73"/>
      <c r="B3786" s="3"/>
      <c r="C3786" s="3"/>
      <c r="D3786" s="73"/>
      <c r="E3786" s="2"/>
      <c r="F3786" s="2"/>
      <c r="G3786" s="2"/>
      <c r="H3786" s="2"/>
      <c r="I3786" s="2"/>
      <c r="J3786" s="2"/>
      <c r="K3786" s="72"/>
      <c r="L3786" s="39"/>
      <c r="M3786" s="72"/>
      <c r="N3786" s="72"/>
    </row>
    <row r="3787" spans="1:14" x14ac:dyDescent="0.2">
      <c r="A3787" s="73"/>
      <c r="B3787" s="3"/>
      <c r="C3787" s="3"/>
      <c r="D3787" s="73"/>
      <c r="E3787" s="2"/>
      <c r="F3787" s="2"/>
      <c r="G3787" s="2"/>
      <c r="H3787" s="2"/>
      <c r="I3787" s="2"/>
      <c r="J3787" s="2"/>
      <c r="K3787" s="72"/>
      <c r="L3787" s="39"/>
      <c r="M3787" s="72"/>
      <c r="N3787" s="72"/>
    </row>
    <row r="3788" spans="1:14" x14ac:dyDescent="0.2">
      <c r="A3788" s="73"/>
      <c r="B3788" s="3"/>
      <c r="C3788" s="3"/>
      <c r="D3788" s="73"/>
      <c r="E3788" s="2"/>
      <c r="F3788" s="2"/>
      <c r="G3788" s="2"/>
      <c r="H3788" s="2"/>
      <c r="I3788" s="2"/>
      <c r="J3788" s="2"/>
      <c r="K3788" s="72"/>
      <c r="L3788" s="39"/>
      <c r="M3788" s="72"/>
      <c r="N3788" s="72"/>
    </row>
    <row r="3789" spans="1:14" x14ac:dyDescent="0.2">
      <c r="A3789" s="73"/>
      <c r="B3789" s="3"/>
      <c r="C3789" s="3"/>
      <c r="D3789" s="73"/>
      <c r="E3789" s="2"/>
      <c r="F3789" s="2"/>
      <c r="G3789" s="2"/>
      <c r="H3789" s="2"/>
      <c r="I3789" s="2"/>
      <c r="J3789" s="2"/>
      <c r="K3789" s="72"/>
      <c r="L3789" s="39"/>
      <c r="M3789" s="72"/>
      <c r="N3789" s="72"/>
    </row>
    <row r="3790" spans="1:14" x14ac:dyDescent="0.2">
      <c r="A3790" s="73"/>
      <c r="B3790" s="3"/>
      <c r="C3790" s="3"/>
      <c r="D3790" s="73"/>
      <c r="E3790" s="2"/>
      <c r="F3790" s="2"/>
      <c r="G3790" s="2"/>
      <c r="H3790" s="2"/>
      <c r="I3790" s="2"/>
      <c r="J3790" s="2"/>
      <c r="K3790" s="72"/>
      <c r="L3790" s="39"/>
      <c r="M3790" s="72"/>
      <c r="N3790" s="72"/>
    </row>
    <row r="3791" spans="1:14" x14ac:dyDescent="0.2">
      <c r="A3791" s="73"/>
      <c r="B3791" s="3"/>
      <c r="C3791" s="3"/>
      <c r="D3791" s="73"/>
      <c r="E3791" s="2"/>
      <c r="F3791" s="2"/>
      <c r="G3791" s="2"/>
      <c r="H3791" s="2"/>
      <c r="I3791" s="2"/>
      <c r="J3791" s="2"/>
      <c r="K3791" s="72"/>
      <c r="L3791" s="39"/>
      <c r="M3791" s="72"/>
      <c r="N3791" s="72"/>
    </row>
    <row r="3792" spans="1:14" x14ac:dyDescent="0.2">
      <c r="A3792" s="73"/>
      <c r="B3792" s="3"/>
      <c r="C3792" s="3"/>
      <c r="D3792" s="73"/>
      <c r="E3792" s="2"/>
      <c r="F3792" s="2"/>
      <c r="G3792" s="2"/>
      <c r="H3792" s="2"/>
      <c r="I3792" s="2"/>
      <c r="J3792" s="2"/>
      <c r="K3792" s="72"/>
      <c r="L3792" s="39"/>
      <c r="M3792" s="72"/>
      <c r="N3792" s="72"/>
    </row>
    <row r="3793" spans="1:14" x14ac:dyDescent="0.2">
      <c r="A3793" s="73"/>
      <c r="B3793" s="3"/>
      <c r="C3793" s="3"/>
      <c r="D3793" s="73"/>
      <c r="E3793" s="2"/>
      <c r="F3793" s="2"/>
      <c r="G3793" s="2"/>
      <c r="H3793" s="2"/>
      <c r="I3793" s="2"/>
      <c r="J3793" s="2"/>
      <c r="K3793" s="72"/>
      <c r="L3793" s="39"/>
      <c r="M3793" s="72"/>
      <c r="N3793" s="72"/>
    </row>
    <row r="3794" spans="1:14" x14ac:dyDescent="0.2">
      <c r="A3794" s="73"/>
      <c r="B3794" s="3"/>
      <c r="C3794" s="3"/>
      <c r="D3794" s="73"/>
      <c r="E3794" s="2"/>
      <c r="F3794" s="2"/>
      <c r="G3794" s="2"/>
      <c r="H3794" s="2"/>
      <c r="I3794" s="2"/>
      <c r="J3794" s="2"/>
      <c r="K3794" s="72"/>
      <c r="L3794" s="39"/>
      <c r="M3794" s="72"/>
      <c r="N3794" s="72"/>
    </row>
    <row r="3795" spans="1:14" x14ac:dyDescent="0.2">
      <c r="A3795" s="73"/>
      <c r="B3795" s="3"/>
      <c r="C3795" s="3"/>
      <c r="D3795" s="73"/>
      <c r="E3795" s="2"/>
      <c r="F3795" s="2"/>
      <c r="G3795" s="2"/>
      <c r="H3795" s="2"/>
      <c r="I3795" s="2"/>
      <c r="J3795" s="2"/>
      <c r="K3795" s="72"/>
      <c r="L3795" s="39"/>
      <c r="M3795" s="72"/>
      <c r="N3795" s="72"/>
    </row>
    <row r="3796" spans="1:14" x14ac:dyDescent="0.2">
      <c r="A3796" s="73"/>
      <c r="B3796" s="3"/>
      <c r="C3796" s="3"/>
      <c r="D3796" s="73"/>
      <c r="E3796" s="2"/>
      <c r="F3796" s="2"/>
      <c r="G3796" s="2"/>
      <c r="H3796" s="2"/>
      <c r="I3796" s="2"/>
      <c r="J3796" s="2"/>
      <c r="K3796" s="72"/>
      <c r="L3796" s="39"/>
      <c r="M3796" s="72"/>
      <c r="N3796" s="72"/>
    </row>
    <row r="3797" spans="1:14" x14ac:dyDescent="0.2">
      <c r="A3797" s="73"/>
      <c r="B3797" s="3"/>
      <c r="C3797" s="3"/>
      <c r="D3797" s="73"/>
      <c r="E3797" s="2"/>
      <c r="F3797" s="2"/>
      <c r="G3797" s="2"/>
      <c r="H3797" s="2"/>
      <c r="I3797" s="2"/>
      <c r="J3797" s="2"/>
      <c r="K3797" s="72"/>
      <c r="L3797" s="39"/>
      <c r="M3797" s="72"/>
      <c r="N3797" s="72"/>
    </row>
    <row r="3798" spans="1:14" x14ac:dyDescent="0.2">
      <c r="A3798" s="73"/>
      <c r="B3798" s="3"/>
      <c r="C3798" s="3"/>
      <c r="D3798" s="73"/>
      <c r="E3798" s="2"/>
      <c r="F3798" s="2"/>
      <c r="G3798" s="2"/>
      <c r="H3798" s="2"/>
      <c r="I3798" s="2"/>
      <c r="J3798" s="2"/>
      <c r="K3798" s="72"/>
      <c r="L3798" s="39"/>
      <c r="M3798" s="72"/>
      <c r="N3798" s="72"/>
    </row>
    <row r="3799" spans="1:14" x14ac:dyDescent="0.2">
      <c r="A3799" s="73"/>
      <c r="B3799" s="3"/>
      <c r="C3799" s="3"/>
      <c r="D3799" s="73"/>
      <c r="E3799" s="2"/>
      <c r="F3799" s="2"/>
      <c r="G3799" s="2"/>
      <c r="H3799" s="2"/>
      <c r="I3799" s="2"/>
      <c r="J3799" s="2"/>
      <c r="K3799" s="72"/>
      <c r="L3799" s="39"/>
      <c r="M3799" s="72"/>
      <c r="N3799" s="72"/>
    </row>
    <row r="3800" spans="1:14" x14ac:dyDescent="0.2">
      <c r="A3800" s="73"/>
      <c r="B3800" s="3"/>
      <c r="C3800" s="3"/>
      <c r="D3800" s="73"/>
      <c r="E3800" s="2"/>
      <c r="F3800" s="2"/>
      <c r="G3800" s="2"/>
      <c r="H3800" s="2"/>
      <c r="I3800" s="2"/>
      <c r="J3800" s="2"/>
      <c r="K3800" s="72"/>
      <c r="L3800" s="39"/>
      <c r="M3800" s="72"/>
      <c r="N3800" s="72"/>
    </row>
    <row r="3801" spans="1:14" x14ac:dyDescent="0.2">
      <c r="A3801" s="73"/>
      <c r="B3801" s="3"/>
      <c r="C3801" s="3"/>
      <c r="D3801" s="73"/>
      <c r="E3801" s="2"/>
      <c r="F3801" s="2"/>
      <c r="G3801" s="2"/>
      <c r="H3801" s="2"/>
      <c r="I3801" s="2"/>
      <c r="J3801" s="2"/>
      <c r="K3801" s="72"/>
      <c r="L3801" s="39"/>
      <c r="M3801" s="72"/>
      <c r="N3801" s="72"/>
    </row>
    <row r="3802" spans="1:14" x14ac:dyDescent="0.2">
      <c r="A3802" s="73"/>
      <c r="B3802" s="3"/>
      <c r="C3802" s="3"/>
      <c r="D3802" s="73"/>
      <c r="E3802" s="2"/>
      <c r="F3802" s="2"/>
      <c r="G3802" s="2"/>
      <c r="H3802" s="2"/>
      <c r="I3802" s="2"/>
      <c r="J3802" s="2"/>
      <c r="K3802" s="72"/>
      <c r="L3802" s="39"/>
      <c r="M3802" s="72"/>
      <c r="N3802" s="72"/>
    </row>
    <row r="3803" spans="1:14" x14ac:dyDescent="0.2">
      <c r="A3803" s="73"/>
      <c r="B3803" s="3"/>
      <c r="C3803" s="3"/>
      <c r="D3803" s="73"/>
      <c r="E3803" s="2"/>
      <c r="F3803" s="2"/>
      <c r="G3803" s="2"/>
      <c r="H3803" s="2"/>
      <c r="I3803" s="2"/>
      <c r="J3803" s="2"/>
      <c r="K3803" s="72"/>
      <c r="L3803" s="39"/>
      <c r="M3803" s="72"/>
      <c r="N3803" s="72"/>
    </row>
    <row r="3804" spans="1:14" x14ac:dyDescent="0.2">
      <c r="A3804" s="73"/>
      <c r="B3804" s="3"/>
      <c r="C3804" s="3"/>
      <c r="D3804" s="73"/>
      <c r="E3804" s="2"/>
      <c r="F3804" s="2"/>
      <c r="G3804" s="2"/>
      <c r="H3804" s="2"/>
      <c r="I3804" s="2"/>
      <c r="J3804" s="2"/>
      <c r="K3804" s="72"/>
      <c r="L3804" s="39"/>
      <c r="M3804" s="72"/>
      <c r="N3804" s="72"/>
    </row>
    <row r="3805" spans="1:14" x14ac:dyDescent="0.2">
      <c r="A3805" s="73"/>
      <c r="B3805" s="3"/>
      <c r="C3805" s="3"/>
      <c r="D3805" s="73"/>
      <c r="E3805" s="2"/>
      <c r="F3805" s="2"/>
      <c r="G3805" s="2"/>
      <c r="H3805" s="2"/>
      <c r="I3805" s="2"/>
      <c r="J3805" s="2"/>
      <c r="K3805" s="72"/>
      <c r="L3805" s="39"/>
      <c r="M3805" s="72"/>
      <c r="N3805" s="72"/>
    </row>
    <row r="3806" spans="1:14" x14ac:dyDescent="0.2">
      <c r="A3806" s="73"/>
      <c r="B3806" s="3"/>
      <c r="C3806" s="3"/>
      <c r="D3806" s="73"/>
      <c r="E3806" s="2"/>
      <c r="F3806" s="2"/>
      <c r="G3806" s="2"/>
      <c r="H3806" s="2"/>
      <c r="I3806" s="2"/>
      <c r="J3806" s="2"/>
      <c r="K3806" s="72"/>
      <c r="L3806" s="39"/>
      <c r="M3806" s="72"/>
      <c r="N3806" s="72"/>
    </row>
    <row r="3807" spans="1:14" x14ac:dyDescent="0.2">
      <c r="A3807" s="73"/>
      <c r="B3807" s="3"/>
      <c r="C3807" s="3"/>
      <c r="D3807" s="73"/>
      <c r="E3807" s="2"/>
      <c r="F3807" s="2"/>
      <c r="G3807" s="2"/>
      <c r="H3807" s="2"/>
      <c r="I3807" s="2"/>
      <c r="J3807" s="2"/>
      <c r="K3807" s="72"/>
      <c r="L3807" s="39"/>
      <c r="M3807" s="72"/>
      <c r="N3807" s="72"/>
    </row>
    <row r="3808" spans="1:14" x14ac:dyDescent="0.2">
      <c r="A3808" s="73"/>
      <c r="B3808" s="3"/>
      <c r="C3808" s="3"/>
      <c r="D3808" s="73"/>
      <c r="E3808" s="2"/>
      <c r="F3808" s="2"/>
      <c r="G3808" s="2"/>
      <c r="H3808" s="2"/>
      <c r="I3808" s="2"/>
      <c r="J3808" s="2"/>
      <c r="K3808" s="72"/>
      <c r="L3808" s="39"/>
      <c r="M3808" s="72"/>
      <c r="N3808" s="72"/>
    </row>
    <row r="3809" spans="1:14" x14ac:dyDescent="0.2">
      <c r="A3809" s="73"/>
      <c r="B3809" s="3"/>
      <c r="C3809" s="3"/>
      <c r="D3809" s="73"/>
      <c r="E3809" s="2"/>
      <c r="F3809" s="2"/>
      <c r="G3809" s="2"/>
      <c r="H3809" s="2"/>
      <c r="I3809" s="2"/>
      <c r="J3809" s="2"/>
      <c r="K3809" s="72"/>
      <c r="L3809" s="39"/>
      <c r="M3809" s="72"/>
      <c r="N3809" s="72"/>
    </row>
    <row r="3810" spans="1:14" x14ac:dyDescent="0.2">
      <c r="A3810" s="73"/>
      <c r="B3810" s="3"/>
      <c r="C3810" s="3"/>
      <c r="D3810" s="73"/>
      <c r="E3810" s="2"/>
      <c r="F3810" s="2"/>
      <c r="G3810" s="2"/>
      <c r="H3810" s="2"/>
      <c r="I3810" s="2"/>
      <c r="J3810" s="2"/>
      <c r="K3810" s="72"/>
      <c r="L3810" s="39"/>
      <c r="M3810" s="72"/>
      <c r="N3810" s="72"/>
    </row>
    <row r="3811" spans="1:14" x14ac:dyDescent="0.2">
      <c r="A3811" s="73"/>
      <c r="B3811" s="3"/>
      <c r="C3811" s="3"/>
      <c r="D3811" s="73"/>
      <c r="E3811" s="2"/>
      <c r="F3811" s="2"/>
      <c r="G3811" s="2"/>
      <c r="H3811" s="2"/>
      <c r="I3811" s="2"/>
      <c r="J3811" s="2"/>
      <c r="K3811" s="72"/>
      <c r="L3811" s="39"/>
      <c r="M3811" s="72"/>
      <c r="N3811" s="72"/>
    </row>
    <row r="3812" spans="1:14" x14ac:dyDescent="0.2">
      <c r="A3812" s="73"/>
      <c r="B3812" s="3"/>
      <c r="C3812" s="3"/>
      <c r="D3812" s="73"/>
      <c r="E3812" s="2"/>
      <c r="F3812" s="2"/>
      <c r="G3812" s="2"/>
      <c r="H3812" s="2"/>
      <c r="I3812" s="2"/>
      <c r="J3812" s="2"/>
      <c r="K3812" s="72"/>
      <c r="L3812" s="39"/>
      <c r="M3812" s="72"/>
      <c r="N3812" s="72"/>
    </row>
    <row r="3813" spans="1:14" x14ac:dyDescent="0.2">
      <c r="A3813" s="73"/>
      <c r="B3813" s="3"/>
      <c r="C3813" s="3"/>
      <c r="D3813" s="73"/>
      <c r="E3813" s="2"/>
      <c r="F3813" s="2"/>
      <c r="G3813" s="2"/>
      <c r="H3813" s="2"/>
      <c r="I3813" s="2"/>
      <c r="J3813" s="2"/>
      <c r="K3813" s="72"/>
      <c r="L3813" s="39"/>
      <c r="M3813" s="72"/>
      <c r="N3813" s="72"/>
    </row>
    <row r="3814" spans="1:14" x14ac:dyDescent="0.2">
      <c r="A3814" s="73"/>
      <c r="B3814" s="3"/>
      <c r="C3814" s="3"/>
      <c r="D3814" s="73"/>
      <c r="E3814" s="2"/>
      <c r="F3814" s="2"/>
      <c r="G3814" s="2"/>
      <c r="H3814" s="2"/>
      <c r="I3814" s="2"/>
      <c r="J3814" s="2"/>
      <c r="K3814" s="72"/>
      <c r="L3814" s="39"/>
      <c r="M3814" s="72"/>
      <c r="N3814" s="72"/>
    </row>
    <row r="3815" spans="1:14" x14ac:dyDescent="0.2">
      <c r="A3815" s="73"/>
      <c r="B3815" s="3"/>
      <c r="C3815" s="3"/>
      <c r="D3815" s="73"/>
      <c r="E3815" s="2"/>
      <c r="F3815" s="2"/>
      <c r="G3815" s="2"/>
      <c r="H3815" s="2"/>
      <c r="I3815" s="2"/>
      <c r="J3815" s="2"/>
      <c r="K3815" s="72"/>
      <c r="L3815" s="39"/>
      <c r="M3815" s="72"/>
      <c r="N3815" s="72"/>
    </row>
    <row r="3816" spans="1:14" x14ac:dyDescent="0.2">
      <c r="A3816" s="73"/>
      <c r="B3816" s="3"/>
      <c r="C3816" s="3"/>
      <c r="D3816" s="73"/>
      <c r="E3816" s="2"/>
      <c r="F3816" s="2"/>
      <c r="G3816" s="2"/>
      <c r="H3816" s="2"/>
      <c r="I3816" s="2"/>
      <c r="J3816" s="2"/>
      <c r="K3816" s="72"/>
      <c r="L3816" s="39"/>
      <c r="M3816" s="72"/>
      <c r="N3816" s="72"/>
    </row>
    <row r="3817" spans="1:14" x14ac:dyDescent="0.2">
      <c r="A3817" s="73"/>
      <c r="B3817" s="3"/>
      <c r="C3817" s="3"/>
      <c r="D3817" s="73"/>
      <c r="E3817" s="2"/>
      <c r="F3817" s="2"/>
      <c r="G3817" s="2"/>
      <c r="H3817" s="2"/>
      <c r="I3817" s="2"/>
      <c r="J3817" s="2"/>
      <c r="K3817" s="72"/>
      <c r="L3817" s="39"/>
      <c r="M3817" s="72"/>
      <c r="N3817" s="72"/>
    </row>
    <row r="3818" spans="1:14" x14ac:dyDescent="0.2">
      <c r="A3818" s="73"/>
      <c r="B3818" s="3"/>
      <c r="C3818" s="3"/>
      <c r="D3818" s="73"/>
      <c r="E3818" s="2"/>
      <c r="F3818" s="2"/>
      <c r="G3818" s="2"/>
      <c r="H3818" s="2"/>
      <c r="I3818" s="2"/>
      <c r="J3818" s="2"/>
      <c r="K3818" s="72"/>
      <c r="L3818" s="39"/>
      <c r="M3818" s="72"/>
      <c r="N3818" s="72"/>
    </row>
    <row r="3819" spans="1:14" x14ac:dyDescent="0.2">
      <c r="A3819" s="73"/>
      <c r="B3819" s="3"/>
      <c r="C3819" s="3"/>
      <c r="D3819" s="73"/>
      <c r="E3819" s="2"/>
      <c r="F3819" s="2"/>
      <c r="G3819" s="2"/>
      <c r="H3819" s="2"/>
      <c r="I3819" s="2"/>
      <c r="J3819" s="2"/>
      <c r="K3819" s="72"/>
      <c r="L3819" s="39"/>
      <c r="M3819" s="72"/>
      <c r="N3819" s="72"/>
    </row>
    <row r="3820" spans="1:14" x14ac:dyDescent="0.2">
      <c r="A3820" s="73"/>
      <c r="B3820" s="3"/>
      <c r="C3820" s="3"/>
      <c r="D3820" s="73"/>
      <c r="E3820" s="2"/>
      <c r="F3820" s="2"/>
      <c r="G3820" s="2"/>
      <c r="H3820" s="2"/>
      <c r="I3820" s="2"/>
      <c r="J3820" s="2"/>
      <c r="K3820" s="72"/>
      <c r="L3820" s="39"/>
      <c r="M3820" s="72"/>
      <c r="N3820" s="72"/>
    </row>
    <row r="3821" spans="1:14" x14ac:dyDescent="0.2">
      <c r="A3821" s="73"/>
      <c r="B3821" s="3"/>
      <c r="C3821" s="3"/>
      <c r="D3821" s="73"/>
      <c r="E3821" s="2"/>
      <c r="F3821" s="2"/>
      <c r="G3821" s="2"/>
      <c r="H3821" s="2"/>
      <c r="I3821" s="2"/>
      <c r="J3821" s="2"/>
      <c r="K3821" s="72"/>
      <c r="L3821" s="39"/>
      <c r="M3821" s="72"/>
      <c r="N3821" s="72"/>
    </row>
    <row r="3822" spans="1:14" x14ac:dyDescent="0.2">
      <c r="A3822" s="73"/>
      <c r="B3822" s="3"/>
      <c r="C3822" s="3"/>
      <c r="D3822" s="73"/>
      <c r="E3822" s="2"/>
      <c r="F3822" s="2"/>
      <c r="G3822" s="2"/>
      <c r="H3822" s="2"/>
      <c r="I3822" s="2"/>
      <c r="J3822" s="2"/>
      <c r="K3822" s="72"/>
      <c r="L3822" s="39"/>
      <c r="M3822" s="72"/>
      <c r="N3822" s="72"/>
    </row>
    <row r="3823" spans="1:14" x14ac:dyDescent="0.2">
      <c r="A3823" s="73"/>
      <c r="B3823" s="3"/>
      <c r="C3823" s="3"/>
      <c r="D3823" s="73"/>
      <c r="E3823" s="2"/>
      <c r="F3823" s="2"/>
      <c r="G3823" s="2"/>
      <c r="H3823" s="2"/>
      <c r="I3823" s="2"/>
      <c r="J3823" s="2"/>
      <c r="K3823" s="72"/>
      <c r="L3823" s="39"/>
      <c r="M3823" s="72"/>
      <c r="N3823" s="72"/>
    </row>
    <row r="3824" spans="1:14" x14ac:dyDescent="0.2">
      <c r="A3824" s="73"/>
      <c r="B3824" s="3"/>
      <c r="C3824" s="3"/>
      <c r="D3824" s="73"/>
      <c r="E3824" s="2"/>
      <c r="F3824" s="2"/>
      <c r="G3824" s="2"/>
      <c r="H3824" s="2"/>
      <c r="I3824" s="2"/>
      <c r="J3824" s="2"/>
      <c r="K3824" s="72"/>
      <c r="L3824" s="39"/>
      <c r="M3824" s="72"/>
      <c r="N3824" s="72"/>
    </row>
    <row r="3825" spans="1:14" x14ac:dyDescent="0.2">
      <c r="A3825" s="73"/>
      <c r="B3825" s="3"/>
      <c r="C3825" s="3"/>
      <c r="D3825" s="73"/>
      <c r="E3825" s="2"/>
      <c r="F3825" s="2"/>
      <c r="G3825" s="2"/>
      <c r="H3825" s="2"/>
      <c r="I3825" s="2"/>
      <c r="J3825" s="2"/>
      <c r="K3825" s="72"/>
      <c r="L3825" s="39"/>
      <c r="M3825" s="72"/>
      <c r="N3825" s="72"/>
    </row>
    <row r="3826" spans="1:14" x14ac:dyDescent="0.2">
      <c r="A3826" s="73"/>
      <c r="B3826" s="3"/>
      <c r="C3826" s="3"/>
      <c r="D3826" s="73"/>
      <c r="E3826" s="2"/>
      <c r="F3826" s="2"/>
      <c r="G3826" s="2"/>
      <c r="H3826" s="2"/>
      <c r="I3826" s="2"/>
      <c r="J3826" s="2"/>
      <c r="K3826" s="72"/>
      <c r="L3826" s="39"/>
      <c r="M3826" s="72"/>
      <c r="N3826" s="72"/>
    </row>
    <row r="3827" spans="1:14" x14ac:dyDescent="0.2">
      <c r="A3827" s="73"/>
      <c r="B3827" s="3"/>
      <c r="C3827" s="3"/>
      <c r="D3827" s="73"/>
      <c r="E3827" s="2"/>
      <c r="F3827" s="2"/>
      <c r="G3827" s="2"/>
      <c r="H3827" s="2"/>
      <c r="I3827" s="2"/>
      <c r="J3827" s="2"/>
      <c r="K3827" s="72"/>
      <c r="L3827" s="39"/>
      <c r="M3827" s="72"/>
      <c r="N3827" s="72"/>
    </row>
    <row r="3828" spans="1:14" x14ac:dyDescent="0.2">
      <c r="A3828" s="73"/>
      <c r="B3828" s="3"/>
      <c r="C3828" s="3"/>
      <c r="D3828" s="73"/>
      <c r="E3828" s="2"/>
      <c r="F3828" s="2"/>
      <c r="G3828" s="2"/>
      <c r="H3828" s="2"/>
      <c r="I3828" s="2"/>
      <c r="J3828" s="2"/>
      <c r="K3828" s="72"/>
      <c r="L3828" s="39"/>
      <c r="M3828" s="72"/>
      <c r="N3828" s="72"/>
    </row>
    <row r="3829" spans="1:14" x14ac:dyDescent="0.2">
      <c r="A3829" s="73"/>
      <c r="B3829" s="3"/>
      <c r="C3829" s="3"/>
      <c r="D3829" s="73"/>
      <c r="E3829" s="2"/>
      <c r="F3829" s="2"/>
      <c r="G3829" s="2"/>
      <c r="H3829" s="2"/>
      <c r="I3829" s="2"/>
      <c r="J3829" s="2"/>
      <c r="K3829" s="72"/>
      <c r="L3829" s="39"/>
      <c r="M3829" s="72"/>
      <c r="N3829" s="72"/>
    </row>
    <row r="3830" spans="1:14" x14ac:dyDescent="0.2">
      <c r="A3830" s="73"/>
      <c r="B3830" s="3"/>
      <c r="C3830" s="3"/>
      <c r="D3830" s="73"/>
      <c r="E3830" s="2"/>
      <c r="F3830" s="2"/>
      <c r="G3830" s="2"/>
      <c r="H3830" s="2"/>
      <c r="I3830" s="2"/>
      <c r="J3830" s="2"/>
      <c r="K3830" s="72"/>
      <c r="L3830" s="39"/>
      <c r="M3830" s="72"/>
      <c r="N3830" s="72"/>
    </row>
    <row r="3831" spans="1:14" x14ac:dyDescent="0.2">
      <c r="A3831" s="73"/>
      <c r="B3831" s="3"/>
      <c r="C3831" s="3"/>
      <c r="D3831" s="73"/>
      <c r="E3831" s="2"/>
      <c r="F3831" s="2"/>
      <c r="G3831" s="2"/>
      <c r="H3831" s="2"/>
      <c r="I3831" s="2"/>
      <c r="J3831" s="2"/>
      <c r="K3831" s="72"/>
      <c r="L3831" s="39"/>
      <c r="M3831" s="72"/>
      <c r="N3831" s="72"/>
    </row>
    <row r="3832" spans="1:14" x14ac:dyDescent="0.2">
      <c r="A3832" s="73"/>
      <c r="B3832" s="3"/>
      <c r="C3832" s="3"/>
      <c r="D3832" s="73"/>
      <c r="E3832" s="2"/>
      <c r="F3832" s="2"/>
      <c r="G3832" s="2"/>
      <c r="H3832" s="2"/>
      <c r="I3832" s="2"/>
      <c r="J3832" s="2"/>
      <c r="K3832" s="72"/>
      <c r="L3832" s="39"/>
      <c r="M3832" s="72"/>
      <c r="N3832" s="72"/>
    </row>
    <row r="3833" spans="1:14" x14ac:dyDescent="0.2">
      <c r="A3833" s="73"/>
      <c r="B3833" s="3"/>
      <c r="C3833" s="3"/>
      <c r="D3833" s="73"/>
      <c r="E3833" s="2"/>
      <c r="F3833" s="2"/>
      <c r="G3833" s="2"/>
      <c r="H3833" s="2"/>
      <c r="I3833" s="2"/>
      <c r="J3833" s="2"/>
      <c r="K3833" s="72"/>
      <c r="L3833" s="39"/>
      <c r="M3833" s="72"/>
      <c r="N3833" s="72"/>
    </row>
    <row r="3834" spans="1:14" x14ac:dyDescent="0.2">
      <c r="A3834" s="73"/>
      <c r="B3834" s="3"/>
      <c r="C3834" s="3"/>
      <c r="D3834" s="73"/>
      <c r="E3834" s="2"/>
      <c r="F3834" s="2"/>
      <c r="G3834" s="2"/>
      <c r="H3834" s="2"/>
      <c r="I3834" s="2"/>
      <c r="J3834" s="2"/>
      <c r="K3834" s="72"/>
      <c r="L3834" s="39"/>
      <c r="M3834" s="72"/>
      <c r="N3834" s="72"/>
    </row>
    <row r="3835" spans="1:14" x14ac:dyDescent="0.2">
      <c r="A3835" s="73"/>
      <c r="B3835" s="3"/>
      <c r="C3835" s="3"/>
      <c r="D3835" s="73"/>
      <c r="E3835" s="2"/>
      <c r="F3835" s="2"/>
      <c r="G3835" s="2"/>
      <c r="H3835" s="2"/>
      <c r="I3835" s="2"/>
      <c r="J3835" s="2"/>
      <c r="K3835" s="72"/>
      <c r="L3835" s="39"/>
      <c r="M3835" s="72"/>
      <c r="N3835" s="72"/>
    </row>
    <row r="3836" spans="1:14" x14ac:dyDescent="0.2">
      <c r="A3836" s="73"/>
      <c r="B3836" s="3"/>
      <c r="C3836" s="3"/>
      <c r="D3836" s="73"/>
      <c r="E3836" s="2"/>
      <c r="F3836" s="2"/>
      <c r="G3836" s="2"/>
      <c r="H3836" s="2"/>
      <c r="I3836" s="2"/>
      <c r="J3836" s="2"/>
      <c r="K3836" s="72"/>
      <c r="L3836" s="39"/>
      <c r="M3836" s="72"/>
      <c r="N3836" s="72"/>
    </row>
    <row r="3837" spans="1:14" x14ac:dyDescent="0.2">
      <c r="A3837" s="73"/>
      <c r="B3837" s="3"/>
      <c r="C3837" s="3"/>
      <c r="D3837" s="73"/>
      <c r="E3837" s="2"/>
      <c r="F3837" s="2"/>
      <c r="G3837" s="2"/>
      <c r="H3837" s="2"/>
      <c r="I3837" s="2"/>
      <c r="J3837" s="2"/>
      <c r="K3837" s="72"/>
      <c r="L3837" s="39"/>
      <c r="M3837" s="72"/>
      <c r="N3837" s="72"/>
    </row>
    <row r="3838" spans="1:14" x14ac:dyDescent="0.2">
      <c r="A3838" s="73"/>
      <c r="B3838" s="3"/>
      <c r="C3838" s="3"/>
      <c r="D3838" s="73"/>
      <c r="E3838" s="2"/>
      <c r="F3838" s="2"/>
      <c r="G3838" s="2"/>
      <c r="H3838" s="2"/>
      <c r="I3838" s="2"/>
      <c r="J3838" s="2"/>
      <c r="K3838" s="72"/>
      <c r="L3838" s="39"/>
      <c r="M3838" s="72"/>
      <c r="N3838" s="72"/>
    </row>
    <row r="3839" spans="1:14" x14ac:dyDescent="0.2">
      <c r="A3839" s="73"/>
      <c r="B3839" s="3"/>
      <c r="C3839" s="3"/>
      <c r="D3839" s="73"/>
      <c r="E3839" s="2"/>
      <c r="F3839" s="2"/>
      <c r="G3839" s="2"/>
      <c r="H3839" s="2"/>
      <c r="I3839" s="2"/>
      <c r="J3839" s="2"/>
      <c r="K3839" s="72"/>
      <c r="L3839" s="39"/>
      <c r="M3839" s="72"/>
      <c r="N3839" s="72"/>
    </row>
    <row r="3840" spans="1:14" x14ac:dyDescent="0.2">
      <c r="A3840" s="73"/>
      <c r="B3840" s="3"/>
      <c r="C3840" s="3"/>
      <c r="D3840" s="73"/>
      <c r="E3840" s="2"/>
      <c r="F3840" s="2"/>
      <c r="G3840" s="2"/>
      <c r="H3840" s="2"/>
      <c r="I3840" s="2"/>
      <c r="J3840" s="2"/>
      <c r="K3840" s="72"/>
      <c r="L3840" s="39"/>
      <c r="M3840" s="72"/>
      <c r="N3840" s="72"/>
    </row>
    <row r="3841" spans="1:14" x14ac:dyDescent="0.2">
      <c r="A3841" s="73"/>
      <c r="B3841" s="3"/>
      <c r="C3841" s="3"/>
      <c r="D3841" s="73"/>
      <c r="E3841" s="2"/>
      <c r="F3841" s="2"/>
      <c r="G3841" s="2"/>
      <c r="H3841" s="2"/>
      <c r="I3841" s="2"/>
      <c r="J3841" s="2"/>
      <c r="K3841" s="72"/>
      <c r="L3841" s="39"/>
      <c r="M3841" s="72"/>
      <c r="N3841" s="72"/>
    </row>
    <row r="3842" spans="1:14" x14ac:dyDescent="0.2">
      <c r="A3842" s="73"/>
      <c r="B3842" s="3"/>
      <c r="C3842" s="3"/>
      <c r="D3842" s="73"/>
      <c r="E3842" s="2"/>
      <c r="F3842" s="2"/>
      <c r="G3842" s="2"/>
      <c r="H3842" s="2"/>
      <c r="I3842" s="2"/>
      <c r="J3842" s="2"/>
      <c r="K3842" s="72"/>
      <c r="L3842" s="39"/>
      <c r="M3842" s="72"/>
      <c r="N3842" s="72"/>
    </row>
    <row r="3843" spans="1:14" x14ac:dyDescent="0.2">
      <c r="A3843" s="73"/>
      <c r="B3843" s="3"/>
      <c r="C3843" s="3"/>
      <c r="D3843" s="73"/>
      <c r="E3843" s="2"/>
      <c r="F3843" s="2"/>
      <c r="G3843" s="2"/>
      <c r="H3843" s="2"/>
      <c r="I3843" s="2"/>
      <c r="J3843" s="2"/>
      <c r="K3843" s="72"/>
      <c r="L3843" s="39"/>
      <c r="M3843" s="72"/>
      <c r="N3843" s="72"/>
    </row>
    <row r="3844" spans="1:14" x14ac:dyDescent="0.2">
      <c r="A3844" s="73"/>
      <c r="B3844" s="3"/>
      <c r="C3844" s="3"/>
      <c r="D3844" s="73"/>
      <c r="E3844" s="2"/>
      <c r="F3844" s="2"/>
      <c r="G3844" s="2"/>
      <c r="H3844" s="2"/>
      <c r="I3844" s="2"/>
      <c r="J3844" s="2"/>
      <c r="K3844" s="72"/>
      <c r="L3844" s="39"/>
      <c r="M3844" s="72"/>
      <c r="N3844" s="72"/>
    </row>
    <row r="3845" spans="1:14" x14ac:dyDescent="0.2">
      <c r="A3845" s="73"/>
      <c r="B3845" s="3"/>
      <c r="C3845" s="3"/>
      <c r="D3845" s="73"/>
      <c r="E3845" s="2"/>
      <c r="F3845" s="2"/>
      <c r="G3845" s="2"/>
      <c r="H3845" s="2"/>
      <c r="I3845" s="2"/>
      <c r="J3845" s="2"/>
      <c r="K3845" s="72"/>
      <c r="L3845" s="39"/>
      <c r="M3845" s="72"/>
      <c r="N3845" s="72"/>
    </row>
    <row r="3846" spans="1:14" x14ac:dyDescent="0.2">
      <c r="A3846" s="73"/>
      <c r="B3846" s="3"/>
      <c r="C3846" s="3"/>
      <c r="D3846" s="73"/>
      <c r="E3846" s="2"/>
      <c r="F3846" s="2"/>
      <c r="G3846" s="2"/>
      <c r="H3846" s="2"/>
      <c r="I3846" s="2"/>
      <c r="J3846" s="2"/>
      <c r="K3846" s="72"/>
      <c r="L3846" s="39"/>
      <c r="M3846" s="72"/>
      <c r="N3846" s="72"/>
    </row>
    <row r="3847" spans="1:14" x14ac:dyDescent="0.2">
      <c r="A3847" s="73"/>
      <c r="B3847" s="3"/>
      <c r="C3847" s="3"/>
      <c r="D3847" s="73"/>
      <c r="E3847" s="2"/>
      <c r="F3847" s="2"/>
      <c r="G3847" s="2"/>
      <c r="H3847" s="2"/>
      <c r="I3847" s="2"/>
      <c r="J3847" s="2"/>
      <c r="K3847" s="72"/>
      <c r="L3847" s="39"/>
      <c r="M3847" s="72"/>
      <c r="N3847" s="72"/>
    </row>
    <row r="3848" spans="1:14" x14ac:dyDescent="0.2">
      <c r="A3848" s="73"/>
      <c r="B3848" s="3"/>
      <c r="C3848" s="3"/>
      <c r="D3848" s="73"/>
      <c r="E3848" s="2"/>
      <c r="F3848" s="2"/>
      <c r="G3848" s="2"/>
      <c r="H3848" s="2"/>
      <c r="I3848" s="2"/>
      <c r="J3848" s="2"/>
      <c r="K3848" s="72"/>
      <c r="L3848" s="39"/>
      <c r="M3848" s="72"/>
      <c r="N3848" s="72"/>
    </row>
    <row r="3849" spans="1:14" x14ac:dyDescent="0.2">
      <c r="A3849" s="73"/>
      <c r="B3849" s="3"/>
      <c r="C3849" s="3"/>
      <c r="D3849" s="73"/>
      <c r="E3849" s="2"/>
      <c r="F3849" s="2"/>
      <c r="G3849" s="2"/>
      <c r="H3849" s="2"/>
      <c r="I3849" s="2"/>
      <c r="J3849" s="2"/>
      <c r="K3849" s="72"/>
      <c r="L3849" s="39"/>
      <c r="M3849" s="72"/>
      <c r="N3849" s="72"/>
    </row>
    <row r="3850" spans="1:14" x14ac:dyDescent="0.2">
      <c r="A3850" s="73"/>
      <c r="B3850" s="3"/>
      <c r="C3850" s="3"/>
      <c r="D3850" s="73"/>
      <c r="E3850" s="2"/>
      <c r="F3850" s="2"/>
      <c r="G3850" s="2"/>
      <c r="H3850" s="2"/>
      <c r="I3850" s="2"/>
      <c r="J3850" s="2"/>
      <c r="K3850" s="72"/>
      <c r="L3850" s="39"/>
      <c r="M3850" s="72"/>
      <c r="N3850" s="72"/>
    </row>
    <row r="3851" spans="1:14" x14ac:dyDescent="0.2">
      <c r="A3851" s="73"/>
      <c r="B3851" s="3"/>
      <c r="C3851" s="3"/>
      <c r="D3851" s="73"/>
      <c r="E3851" s="2"/>
      <c r="F3851" s="2"/>
      <c r="G3851" s="2"/>
      <c r="H3851" s="2"/>
      <c r="I3851" s="2"/>
      <c r="J3851" s="2"/>
      <c r="K3851" s="72"/>
      <c r="L3851" s="39"/>
      <c r="M3851" s="72"/>
      <c r="N3851" s="72"/>
    </row>
    <row r="3852" spans="1:14" x14ac:dyDescent="0.2">
      <c r="A3852" s="73"/>
      <c r="B3852" s="3"/>
      <c r="C3852" s="3"/>
      <c r="D3852" s="73"/>
      <c r="E3852" s="2"/>
      <c r="F3852" s="2"/>
      <c r="G3852" s="2"/>
      <c r="H3852" s="2"/>
      <c r="I3852" s="2"/>
      <c r="J3852" s="2"/>
      <c r="K3852" s="72"/>
      <c r="L3852" s="39"/>
      <c r="M3852" s="72"/>
      <c r="N3852" s="72"/>
    </row>
    <row r="3853" spans="1:14" x14ac:dyDescent="0.2">
      <c r="A3853" s="73"/>
      <c r="B3853" s="3"/>
      <c r="C3853" s="3"/>
      <c r="D3853" s="73"/>
      <c r="E3853" s="2"/>
      <c r="F3853" s="2"/>
      <c r="G3853" s="2"/>
      <c r="H3853" s="2"/>
      <c r="I3853" s="2"/>
      <c r="J3853" s="2"/>
      <c r="K3853" s="72"/>
      <c r="L3853" s="39"/>
      <c r="M3853" s="72"/>
      <c r="N3853" s="72"/>
    </row>
    <row r="3854" spans="1:14" x14ac:dyDescent="0.2">
      <c r="A3854" s="73"/>
      <c r="B3854" s="3"/>
      <c r="C3854" s="3"/>
      <c r="D3854" s="73"/>
      <c r="E3854" s="2"/>
      <c r="F3854" s="2"/>
      <c r="G3854" s="2"/>
      <c r="H3854" s="2"/>
      <c r="I3854" s="2"/>
      <c r="J3854" s="2"/>
      <c r="K3854" s="72"/>
      <c r="L3854" s="39"/>
      <c r="M3854" s="72"/>
      <c r="N3854" s="72"/>
    </row>
    <row r="3855" spans="1:14" x14ac:dyDescent="0.2">
      <c r="A3855" s="73"/>
      <c r="B3855" s="3"/>
      <c r="C3855" s="3"/>
      <c r="D3855" s="73"/>
      <c r="E3855" s="2"/>
      <c r="F3855" s="2"/>
      <c r="G3855" s="2"/>
      <c r="H3855" s="2"/>
      <c r="I3855" s="2"/>
      <c r="J3855" s="2"/>
      <c r="K3855" s="72"/>
      <c r="L3855" s="39"/>
      <c r="M3855" s="72"/>
      <c r="N3855" s="72"/>
    </row>
    <row r="3856" spans="1:14" x14ac:dyDescent="0.2">
      <c r="A3856" s="73"/>
      <c r="B3856" s="3"/>
      <c r="C3856" s="3"/>
      <c r="D3856" s="73"/>
      <c r="E3856" s="2"/>
      <c r="F3856" s="2"/>
      <c r="G3856" s="2"/>
      <c r="H3856" s="2"/>
      <c r="I3856" s="2"/>
      <c r="J3856" s="2"/>
      <c r="K3856" s="72"/>
      <c r="L3856" s="39"/>
      <c r="M3856" s="72"/>
      <c r="N3856" s="72"/>
    </row>
    <row r="3857" spans="1:14" x14ac:dyDescent="0.2">
      <c r="A3857" s="73"/>
      <c r="B3857" s="3"/>
      <c r="C3857" s="3"/>
      <c r="D3857" s="73"/>
      <c r="E3857" s="2"/>
      <c r="F3857" s="2"/>
      <c r="G3857" s="2"/>
      <c r="H3857" s="2"/>
      <c r="I3857" s="2"/>
      <c r="J3857" s="2"/>
      <c r="K3857" s="72"/>
      <c r="L3857" s="39"/>
      <c r="M3857" s="72"/>
      <c r="N3857" s="72"/>
    </row>
    <row r="3858" spans="1:14" x14ac:dyDescent="0.2">
      <c r="A3858" s="73"/>
      <c r="B3858" s="3"/>
      <c r="C3858" s="3"/>
      <c r="D3858" s="73"/>
      <c r="E3858" s="2"/>
      <c r="F3858" s="2"/>
      <c r="G3858" s="2"/>
      <c r="H3858" s="2"/>
      <c r="I3858" s="2"/>
      <c r="J3858" s="2"/>
      <c r="K3858" s="72"/>
      <c r="L3858" s="39"/>
      <c r="M3858" s="72"/>
      <c r="N3858" s="72"/>
    </row>
    <row r="3859" spans="1:14" x14ac:dyDescent="0.2">
      <c r="A3859" s="73"/>
      <c r="B3859" s="3"/>
      <c r="C3859" s="3"/>
      <c r="D3859" s="73"/>
      <c r="E3859" s="2"/>
      <c r="F3859" s="2"/>
      <c r="G3859" s="2"/>
      <c r="H3859" s="2"/>
      <c r="I3859" s="2"/>
      <c r="J3859" s="2"/>
      <c r="K3859" s="72"/>
      <c r="L3859" s="39"/>
      <c r="M3859" s="72"/>
      <c r="N3859" s="72"/>
    </row>
    <row r="3860" spans="1:14" x14ac:dyDescent="0.2">
      <c r="A3860" s="73"/>
      <c r="B3860" s="3"/>
      <c r="C3860" s="3"/>
      <c r="D3860" s="73"/>
      <c r="E3860" s="2"/>
      <c r="F3860" s="2"/>
      <c r="G3860" s="2"/>
      <c r="H3860" s="2"/>
      <c r="I3860" s="2"/>
      <c r="J3860" s="2"/>
      <c r="K3860" s="72"/>
      <c r="L3860" s="39"/>
      <c r="M3860" s="72"/>
      <c r="N3860" s="72"/>
    </row>
    <row r="3861" spans="1:14" x14ac:dyDescent="0.2">
      <c r="A3861" s="73"/>
      <c r="B3861" s="3"/>
      <c r="C3861" s="3"/>
      <c r="D3861" s="73"/>
      <c r="E3861" s="2"/>
      <c r="F3861" s="2"/>
      <c r="G3861" s="2"/>
      <c r="H3861" s="2"/>
      <c r="I3861" s="2"/>
      <c r="J3861" s="2"/>
      <c r="K3861" s="72"/>
      <c r="L3861" s="39"/>
      <c r="M3861" s="72"/>
      <c r="N3861" s="72"/>
    </row>
    <row r="3862" spans="1:14" x14ac:dyDescent="0.2">
      <c r="A3862" s="73"/>
      <c r="B3862" s="3"/>
      <c r="C3862" s="3"/>
      <c r="D3862" s="73"/>
      <c r="E3862" s="2"/>
      <c r="F3862" s="2"/>
      <c r="G3862" s="2"/>
      <c r="H3862" s="2"/>
      <c r="I3862" s="2"/>
      <c r="J3862" s="2"/>
      <c r="K3862" s="72"/>
      <c r="L3862" s="39"/>
      <c r="M3862" s="72"/>
      <c r="N3862" s="72"/>
    </row>
    <row r="3863" spans="1:14" x14ac:dyDescent="0.2">
      <c r="A3863" s="73"/>
      <c r="B3863" s="3"/>
      <c r="C3863" s="3"/>
      <c r="D3863" s="73"/>
      <c r="E3863" s="2"/>
      <c r="F3863" s="2"/>
      <c r="G3863" s="2"/>
      <c r="H3863" s="2"/>
      <c r="I3863" s="2"/>
      <c r="J3863" s="2"/>
      <c r="K3863" s="72"/>
      <c r="L3863" s="39"/>
      <c r="M3863" s="72"/>
      <c r="N3863" s="72"/>
    </row>
    <row r="3864" spans="1:14" x14ac:dyDescent="0.2">
      <c r="A3864" s="73"/>
      <c r="B3864" s="3"/>
      <c r="C3864" s="3"/>
      <c r="D3864" s="73"/>
      <c r="E3864" s="2"/>
      <c r="F3864" s="2"/>
      <c r="G3864" s="2"/>
      <c r="H3864" s="2"/>
      <c r="I3864" s="2"/>
      <c r="J3864" s="2"/>
      <c r="K3864" s="72"/>
      <c r="L3864" s="39"/>
      <c r="M3864" s="72"/>
      <c r="N3864" s="72"/>
    </row>
    <row r="3865" spans="1:14" x14ac:dyDescent="0.2">
      <c r="A3865" s="73"/>
      <c r="B3865" s="3"/>
      <c r="C3865" s="3"/>
      <c r="D3865" s="73"/>
      <c r="E3865" s="2"/>
      <c r="F3865" s="2"/>
      <c r="G3865" s="2"/>
      <c r="H3865" s="2"/>
      <c r="I3865" s="2"/>
      <c r="J3865" s="2"/>
      <c r="K3865" s="72"/>
      <c r="L3865" s="39"/>
      <c r="M3865" s="72"/>
      <c r="N3865" s="72"/>
    </row>
    <row r="3866" spans="1:14" x14ac:dyDescent="0.2">
      <c r="A3866" s="73"/>
      <c r="B3866" s="3"/>
      <c r="C3866" s="3"/>
      <c r="D3866" s="73"/>
      <c r="E3866" s="2"/>
      <c r="F3866" s="2"/>
      <c r="G3866" s="2"/>
      <c r="H3866" s="2"/>
      <c r="I3866" s="2"/>
      <c r="J3866" s="2"/>
      <c r="K3866" s="72"/>
      <c r="L3866" s="39"/>
      <c r="M3866" s="72"/>
      <c r="N3866" s="72"/>
    </row>
    <row r="3867" spans="1:14" x14ac:dyDescent="0.2">
      <c r="A3867" s="73"/>
      <c r="B3867" s="3"/>
      <c r="C3867" s="3"/>
      <c r="D3867" s="73"/>
      <c r="E3867" s="2"/>
      <c r="F3867" s="2"/>
      <c r="G3867" s="2"/>
      <c r="H3867" s="2"/>
      <c r="I3867" s="2"/>
      <c r="J3867" s="2"/>
      <c r="K3867" s="72"/>
      <c r="L3867" s="39"/>
      <c r="M3867" s="72"/>
      <c r="N3867" s="72"/>
    </row>
    <row r="3868" spans="1:14" x14ac:dyDescent="0.2">
      <c r="A3868" s="73"/>
      <c r="B3868" s="3"/>
      <c r="C3868" s="3"/>
      <c r="D3868" s="73"/>
      <c r="E3868" s="2"/>
      <c r="F3868" s="2"/>
      <c r="G3868" s="2"/>
      <c r="H3868" s="2"/>
      <c r="I3868" s="2"/>
      <c r="J3868" s="2"/>
      <c r="K3868" s="72"/>
      <c r="L3868" s="39"/>
      <c r="M3868" s="72"/>
      <c r="N3868" s="72"/>
    </row>
    <row r="3869" spans="1:14" x14ac:dyDescent="0.2">
      <c r="A3869" s="73"/>
      <c r="B3869" s="3"/>
      <c r="C3869" s="3"/>
      <c r="D3869" s="73"/>
      <c r="E3869" s="2"/>
      <c r="F3869" s="2"/>
      <c r="G3869" s="2"/>
      <c r="H3869" s="2"/>
      <c r="I3869" s="2"/>
      <c r="J3869" s="2"/>
      <c r="K3869" s="72"/>
      <c r="L3869" s="39"/>
      <c r="M3869" s="72"/>
      <c r="N3869" s="72"/>
    </row>
    <row r="3870" spans="1:14" x14ac:dyDescent="0.2">
      <c r="A3870" s="73"/>
      <c r="B3870" s="3"/>
      <c r="C3870" s="3"/>
      <c r="D3870" s="73"/>
      <c r="E3870" s="2"/>
      <c r="F3870" s="2"/>
      <c r="G3870" s="2"/>
      <c r="H3870" s="2"/>
      <c r="I3870" s="2"/>
      <c r="J3870" s="2"/>
      <c r="K3870" s="72"/>
      <c r="L3870" s="39"/>
      <c r="M3870" s="72"/>
      <c r="N3870" s="72"/>
    </row>
    <row r="3871" spans="1:14" x14ac:dyDescent="0.2">
      <c r="A3871" s="73"/>
      <c r="B3871" s="3"/>
      <c r="C3871" s="3"/>
      <c r="D3871" s="73"/>
      <c r="E3871" s="2"/>
      <c r="F3871" s="2"/>
      <c r="G3871" s="2"/>
      <c r="H3871" s="2"/>
      <c r="I3871" s="2"/>
      <c r="J3871" s="2"/>
      <c r="K3871" s="72"/>
      <c r="L3871" s="39"/>
      <c r="M3871" s="72"/>
      <c r="N3871" s="72"/>
    </row>
    <row r="3872" spans="1:14" x14ac:dyDescent="0.2">
      <c r="A3872" s="73"/>
      <c r="B3872" s="3"/>
      <c r="C3872" s="3"/>
      <c r="D3872" s="73"/>
      <c r="E3872" s="2"/>
      <c r="F3872" s="2"/>
      <c r="G3872" s="2"/>
      <c r="H3872" s="2"/>
      <c r="I3872" s="2"/>
      <c r="J3872" s="2"/>
      <c r="K3872" s="72"/>
      <c r="L3872" s="39"/>
      <c r="M3872" s="72"/>
      <c r="N3872" s="72"/>
    </row>
    <row r="3873" spans="1:14" x14ac:dyDescent="0.2">
      <c r="A3873" s="73"/>
      <c r="B3873" s="3"/>
      <c r="C3873" s="3"/>
      <c r="D3873" s="73"/>
      <c r="E3873" s="2"/>
      <c r="F3873" s="2"/>
      <c r="G3873" s="2"/>
      <c r="H3873" s="2"/>
      <c r="I3873" s="2"/>
      <c r="J3873" s="2"/>
      <c r="K3873" s="72"/>
      <c r="L3873" s="39"/>
      <c r="M3873" s="72"/>
      <c r="N3873" s="72"/>
    </row>
    <row r="3874" spans="1:14" x14ac:dyDescent="0.2">
      <c r="A3874" s="73"/>
      <c r="B3874" s="3"/>
      <c r="C3874" s="3"/>
      <c r="D3874" s="73"/>
      <c r="E3874" s="2"/>
      <c r="F3874" s="2"/>
      <c r="G3874" s="2"/>
      <c r="H3874" s="2"/>
      <c r="I3874" s="2"/>
      <c r="J3874" s="2"/>
      <c r="K3874" s="72"/>
      <c r="L3874" s="39"/>
      <c r="M3874" s="72"/>
      <c r="N3874" s="72"/>
    </row>
    <row r="3875" spans="1:14" x14ac:dyDescent="0.2">
      <c r="A3875" s="73"/>
      <c r="B3875" s="3"/>
      <c r="C3875" s="3"/>
      <c r="D3875" s="73"/>
      <c r="E3875" s="2"/>
      <c r="F3875" s="2"/>
      <c r="G3875" s="2"/>
      <c r="H3875" s="2"/>
      <c r="I3875" s="2"/>
      <c r="J3875" s="2"/>
      <c r="K3875" s="72"/>
      <c r="L3875" s="39"/>
      <c r="M3875" s="72"/>
      <c r="N3875" s="72"/>
    </row>
    <row r="3876" spans="1:14" x14ac:dyDescent="0.2">
      <c r="A3876" s="73"/>
      <c r="B3876" s="3"/>
      <c r="C3876" s="3"/>
      <c r="D3876" s="73"/>
      <c r="E3876" s="2"/>
      <c r="F3876" s="2"/>
      <c r="G3876" s="2"/>
      <c r="H3876" s="2"/>
      <c r="I3876" s="2"/>
      <c r="J3876" s="2"/>
      <c r="K3876" s="72"/>
      <c r="L3876" s="39"/>
      <c r="M3876" s="72"/>
      <c r="N3876" s="72"/>
    </row>
    <row r="3877" spans="1:14" x14ac:dyDescent="0.2">
      <c r="A3877" s="73"/>
      <c r="B3877" s="3"/>
      <c r="C3877" s="3"/>
      <c r="D3877" s="73"/>
      <c r="E3877" s="2"/>
      <c r="F3877" s="2"/>
      <c r="G3877" s="2"/>
      <c r="H3877" s="2"/>
      <c r="I3877" s="2"/>
      <c r="J3877" s="2"/>
      <c r="K3877" s="72"/>
      <c r="L3877" s="39"/>
      <c r="M3877" s="72"/>
      <c r="N3877" s="72"/>
    </row>
    <row r="3878" spans="1:14" x14ac:dyDescent="0.2">
      <c r="A3878" s="73"/>
      <c r="B3878" s="3"/>
      <c r="C3878" s="3"/>
      <c r="D3878" s="73"/>
      <c r="E3878" s="2"/>
      <c r="F3878" s="2"/>
      <c r="G3878" s="2"/>
      <c r="H3878" s="2"/>
      <c r="I3878" s="2"/>
      <c r="J3878" s="2"/>
      <c r="K3878" s="72"/>
      <c r="L3878" s="39"/>
      <c r="M3878" s="72"/>
      <c r="N3878" s="72"/>
    </row>
    <row r="3879" spans="1:14" x14ac:dyDescent="0.2">
      <c r="A3879" s="73"/>
      <c r="B3879" s="3"/>
      <c r="C3879" s="3"/>
      <c r="D3879" s="73"/>
      <c r="E3879" s="2"/>
      <c r="F3879" s="2"/>
      <c r="G3879" s="2"/>
      <c r="H3879" s="2"/>
      <c r="I3879" s="2"/>
      <c r="J3879" s="2"/>
      <c r="K3879" s="72"/>
      <c r="L3879" s="39"/>
      <c r="M3879" s="72"/>
      <c r="N3879" s="72"/>
    </row>
    <row r="3880" spans="1:14" x14ac:dyDescent="0.2">
      <c r="A3880" s="73"/>
      <c r="B3880" s="3"/>
      <c r="C3880" s="3"/>
      <c r="D3880" s="73"/>
      <c r="E3880" s="2"/>
      <c r="F3880" s="2"/>
      <c r="G3880" s="2"/>
      <c r="H3880" s="2"/>
      <c r="I3880" s="2"/>
      <c r="J3880" s="2"/>
      <c r="K3880" s="72"/>
      <c r="L3880" s="39"/>
      <c r="M3880" s="72"/>
      <c r="N3880" s="72"/>
    </row>
    <row r="3881" spans="1:14" x14ac:dyDescent="0.2">
      <c r="A3881" s="73"/>
      <c r="B3881" s="3"/>
      <c r="C3881" s="3"/>
      <c r="D3881" s="73"/>
      <c r="E3881" s="2"/>
      <c r="F3881" s="2"/>
      <c r="G3881" s="2"/>
      <c r="H3881" s="2"/>
      <c r="I3881" s="2"/>
      <c r="J3881" s="2"/>
      <c r="K3881" s="72"/>
      <c r="L3881" s="39"/>
      <c r="M3881" s="72"/>
      <c r="N3881" s="72"/>
    </row>
    <row r="3882" spans="1:14" x14ac:dyDescent="0.2">
      <c r="A3882" s="73"/>
      <c r="B3882" s="3"/>
      <c r="C3882" s="3"/>
      <c r="D3882" s="73"/>
      <c r="E3882" s="2"/>
      <c r="F3882" s="2"/>
      <c r="G3882" s="2"/>
      <c r="H3882" s="2"/>
      <c r="I3882" s="2"/>
      <c r="J3882" s="2"/>
      <c r="K3882" s="72"/>
      <c r="L3882" s="39"/>
      <c r="M3882" s="72"/>
      <c r="N3882" s="72"/>
    </row>
    <row r="3883" spans="1:14" x14ac:dyDescent="0.2">
      <c r="A3883" s="73"/>
      <c r="B3883" s="3"/>
      <c r="C3883" s="3"/>
      <c r="D3883" s="73"/>
      <c r="E3883" s="2"/>
      <c r="F3883" s="2"/>
      <c r="G3883" s="2"/>
      <c r="H3883" s="2"/>
      <c r="I3883" s="2"/>
      <c r="J3883" s="2"/>
      <c r="K3883" s="72"/>
      <c r="L3883" s="39"/>
      <c r="M3883" s="72"/>
      <c r="N3883" s="72"/>
    </row>
    <row r="3884" spans="1:14" x14ac:dyDescent="0.2">
      <c r="A3884" s="73"/>
      <c r="B3884" s="3"/>
      <c r="C3884" s="3"/>
      <c r="D3884" s="73"/>
      <c r="E3884" s="2"/>
      <c r="F3884" s="2"/>
      <c r="G3884" s="2"/>
      <c r="H3884" s="2"/>
      <c r="I3884" s="2"/>
      <c r="J3884" s="2"/>
      <c r="K3884" s="72"/>
      <c r="L3884" s="39"/>
      <c r="M3884" s="72"/>
      <c r="N3884" s="72"/>
    </row>
    <row r="3885" spans="1:14" x14ac:dyDescent="0.2">
      <c r="A3885" s="73"/>
      <c r="B3885" s="3"/>
      <c r="C3885" s="3"/>
      <c r="D3885" s="73"/>
      <c r="E3885" s="2"/>
      <c r="F3885" s="2"/>
      <c r="G3885" s="2"/>
      <c r="H3885" s="2"/>
      <c r="I3885" s="2"/>
      <c r="J3885" s="2"/>
      <c r="K3885" s="72"/>
      <c r="L3885" s="39"/>
      <c r="M3885" s="72"/>
      <c r="N3885" s="72"/>
    </row>
    <row r="3886" spans="1:14" x14ac:dyDescent="0.2">
      <c r="A3886" s="73"/>
      <c r="B3886" s="3"/>
      <c r="C3886" s="3"/>
      <c r="D3886" s="73"/>
      <c r="E3886" s="2"/>
      <c r="F3886" s="2"/>
      <c r="G3886" s="2"/>
      <c r="H3886" s="2"/>
      <c r="I3886" s="2"/>
      <c r="J3886" s="2"/>
      <c r="K3886" s="72"/>
      <c r="L3886" s="39"/>
      <c r="M3886" s="72"/>
      <c r="N3886" s="72"/>
    </row>
    <row r="3887" spans="1:14" x14ac:dyDescent="0.2">
      <c r="A3887" s="73"/>
      <c r="B3887" s="3"/>
      <c r="C3887" s="3"/>
      <c r="D3887" s="73"/>
      <c r="E3887" s="2"/>
      <c r="F3887" s="2"/>
      <c r="G3887" s="2"/>
      <c r="H3887" s="2"/>
      <c r="I3887" s="2"/>
      <c r="J3887" s="2"/>
      <c r="K3887" s="72"/>
      <c r="L3887" s="39"/>
      <c r="M3887" s="72"/>
      <c r="N3887" s="72"/>
    </row>
    <row r="3888" spans="1:14" x14ac:dyDescent="0.2">
      <c r="A3888" s="73"/>
      <c r="B3888" s="3"/>
      <c r="C3888" s="3"/>
      <c r="D3888" s="73"/>
      <c r="E3888" s="2"/>
      <c r="F3888" s="2"/>
      <c r="G3888" s="2"/>
      <c r="H3888" s="2"/>
      <c r="I3888" s="2"/>
      <c r="J3888" s="2"/>
      <c r="K3888" s="72"/>
      <c r="L3888" s="39"/>
      <c r="M3888" s="72"/>
      <c r="N3888" s="72"/>
    </row>
    <row r="3889" spans="1:14" x14ac:dyDescent="0.2">
      <c r="A3889" s="73"/>
      <c r="B3889" s="3"/>
      <c r="C3889" s="3"/>
      <c r="D3889" s="73"/>
      <c r="E3889" s="2"/>
      <c r="F3889" s="2"/>
      <c r="G3889" s="2"/>
      <c r="H3889" s="2"/>
      <c r="I3889" s="2"/>
      <c r="J3889" s="2"/>
      <c r="K3889" s="72"/>
      <c r="L3889" s="39"/>
      <c r="M3889" s="72"/>
      <c r="N3889" s="72"/>
    </row>
    <row r="3890" spans="1:14" x14ac:dyDescent="0.2">
      <c r="A3890" s="73"/>
      <c r="B3890" s="3"/>
      <c r="C3890" s="3"/>
      <c r="D3890" s="73"/>
      <c r="E3890" s="2"/>
      <c r="F3890" s="2"/>
      <c r="G3890" s="2"/>
      <c r="H3890" s="2"/>
      <c r="I3890" s="2"/>
      <c r="J3890" s="2"/>
      <c r="K3890" s="72"/>
      <c r="L3890" s="39"/>
      <c r="M3890" s="72"/>
      <c r="N3890" s="72"/>
    </row>
    <row r="3891" spans="1:14" x14ac:dyDescent="0.2">
      <c r="A3891" s="73"/>
      <c r="B3891" s="3"/>
      <c r="C3891" s="3"/>
      <c r="D3891" s="73"/>
      <c r="E3891" s="2"/>
      <c r="F3891" s="2"/>
      <c r="G3891" s="2"/>
      <c r="H3891" s="2"/>
      <c r="I3891" s="2"/>
      <c r="J3891" s="2"/>
      <c r="K3891" s="72"/>
      <c r="L3891" s="39"/>
      <c r="M3891" s="72"/>
      <c r="N3891" s="72"/>
    </row>
    <row r="3892" spans="1:14" x14ac:dyDescent="0.2">
      <c r="A3892" s="73"/>
      <c r="B3892" s="3"/>
      <c r="C3892" s="3"/>
      <c r="D3892" s="73"/>
      <c r="E3892" s="2"/>
      <c r="F3892" s="2"/>
      <c r="G3892" s="2"/>
      <c r="H3892" s="2"/>
      <c r="I3892" s="2"/>
      <c r="J3892" s="2"/>
      <c r="K3892" s="72"/>
      <c r="L3892" s="39"/>
      <c r="M3892" s="72"/>
      <c r="N3892" s="72"/>
    </row>
    <row r="3893" spans="1:14" x14ac:dyDescent="0.2">
      <c r="A3893" s="73"/>
      <c r="B3893" s="3"/>
      <c r="C3893" s="3"/>
      <c r="D3893" s="73"/>
      <c r="E3893" s="2"/>
      <c r="F3893" s="2"/>
      <c r="G3893" s="2"/>
      <c r="H3893" s="2"/>
      <c r="I3893" s="2"/>
      <c r="J3893" s="2"/>
      <c r="K3893" s="72"/>
      <c r="L3893" s="39"/>
      <c r="M3893" s="72"/>
      <c r="N3893" s="72"/>
    </row>
    <row r="3894" spans="1:14" x14ac:dyDescent="0.2">
      <c r="A3894" s="73"/>
      <c r="B3894" s="3"/>
      <c r="C3894" s="3"/>
      <c r="D3894" s="73"/>
      <c r="E3894" s="2"/>
      <c r="F3894" s="2"/>
      <c r="G3894" s="2"/>
      <c r="H3894" s="2"/>
      <c r="I3894" s="2"/>
      <c r="J3894" s="2"/>
      <c r="K3894" s="72"/>
      <c r="L3894" s="39"/>
      <c r="M3894" s="72"/>
      <c r="N3894" s="72"/>
    </row>
    <row r="3895" spans="1:14" x14ac:dyDescent="0.2">
      <c r="A3895" s="73"/>
      <c r="B3895" s="3"/>
      <c r="C3895" s="3"/>
      <c r="D3895" s="73"/>
      <c r="E3895" s="2"/>
      <c r="F3895" s="2"/>
      <c r="G3895" s="2"/>
      <c r="H3895" s="2"/>
      <c r="I3895" s="2"/>
      <c r="J3895" s="2"/>
      <c r="K3895" s="72"/>
      <c r="L3895" s="39"/>
      <c r="M3895" s="72"/>
      <c r="N3895" s="72"/>
    </row>
    <row r="3896" spans="1:14" x14ac:dyDescent="0.2">
      <c r="A3896" s="73"/>
      <c r="B3896" s="3"/>
      <c r="C3896" s="3"/>
      <c r="D3896" s="73"/>
      <c r="E3896" s="2"/>
      <c r="F3896" s="2"/>
      <c r="G3896" s="2"/>
      <c r="H3896" s="2"/>
      <c r="I3896" s="2"/>
      <c r="J3896" s="2"/>
      <c r="K3896" s="72"/>
      <c r="L3896" s="39"/>
      <c r="M3896" s="72"/>
      <c r="N3896" s="72"/>
    </row>
    <row r="3897" spans="1:14" x14ac:dyDescent="0.2">
      <c r="A3897" s="73"/>
      <c r="B3897" s="3"/>
      <c r="C3897" s="3"/>
      <c r="D3897" s="73"/>
      <c r="E3897" s="2"/>
      <c r="F3897" s="2"/>
      <c r="G3897" s="2"/>
      <c r="H3897" s="2"/>
      <c r="I3897" s="2"/>
      <c r="J3897" s="2"/>
      <c r="K3897" s="72"/>
      <c r="L3897" s="39"/>
      <c r="M3897" s="72"/>
      <c r="N3897" s="72"/>
    </row>
    <row r="3898" spans="1:14" x14ac:dyDescent="0.2">
      <c r="A3898" s="73"/>
      <c r="B3898" s="3"/>
      <c r="C3898" s="3"/>
      <c r="D3898" s="73"/>
      <c r="E3898" s="2"/>
      <c r="F3898" s="2"/>
      <c r="G3898" s="2"/>
      <c r="H3898" s="2"/>
      <c r="I3898" s="2"/>
      <c r="J3898" s="2"/>
      <c r="K3898" s="72"/>
      <c r="L3898" s="39"/>
      <c r="M3898" s="72"/>
      <c r="N3898" s="72"/>
    </row>
    <row r="3899" spans="1:14" x14ac:dyDescent="0.2">
      <c r="A3899" s="73"/>
      <c r="B3899" s="3"/>
      <c r="C3899" s="3"/>
      <c r="D3899" s="73"/>
      <c r="E3899" s="2"/>
      <c r="F3899" s="2"/>
      <c r="G3899" s="2"/>
      <c r="H3899" s="2"/>
      <c r="I3899" s="2"/>
      <c r="J3899" s="2"/>
      <c r="K3899" s="72"/>
      <c r="L3899" s="39"/>
      <c r="M3899" s="72"/>
      <c r="N3899" s="72"/>
    </row>
    <row r="3900" spans="1:14" x14ac:dyDescent="0.2">
      <c r="A3900" s="73"/>
      <c r="B3900" s="3"/>
      <c r="C3900" s="3"/>
      <c r="D3900" s="73"/>
      <c r="E3900" s="2"/>
      <c r="F3900" s="2"/>
      <c r="G3900" s="2"/>
      <c r="H3900" s="2"/>
      <c r="I3900" s="2"/>
      <c r="J3900" s="2"/>
      <c r="K3900" s="72"/>
      <c r="L3900" s="39"/>
      <c r="M3900" s="72"/>
      <c r="N3900" s="72"/>
    </row>
    <row r="3901" spans="1:14" x14ac:dyDescent="0.2">
      <c r="A3901" s="73"/>
      <c r="B3901" s="3"/>
      <c r="C3901" s="3"/>
      <c r="D3901" s="73"/>
      <c r="E3901" s="2"/>
      <c r="F3901" s="2"/>
      <c r="G3901" s="2"/>
      <c r="H3901" s="2"/>
      <c r="I3901" s="2"/>
      <c r="J3901" s="2"/>
      <c r="K3901" s="72"/>
      <c r="L3901" s="39"/>
      <c r="M3901" s="72"/>
      <c r="N3901" s="72"/>
    </row>
    <row r="3902" spans="1:14" x14ac:dyDescent="0.2">
      <c r="A3902" s="73"/>
      <c r="B3902" s="3"/>
      <c r="C3902" s="3"/>
      <c r="D3902" s="73"/>
      <c r="E3902" s="2"/>
      <c r="F3902" s="2"/>
      <c r="G3902" s="2"/>
      <c r="H3902" s="2"/>
      <c r="I3902" s="2"/>
      <c r="J3902" s="2"/>
      <c r="K3902" s="72"/>
      <c r="L3902" s="39"/>
      <c r="M3902" s="72"/>
      <c r="N3902" s="72"/>
    </row>
    <row r="3903" spans="1:14" x14ac:dyDescent="0.2">
      <c r="A3903" s="73"/>
      <c r="B3903" s="3"/>
      <c r="C3903" s="3"/>
      <c r="D3903" s="73"/>
      <c r="E3903" s="2"/>
      <c r="F3903" s="2"/>
      <c r="G3903" s="2"/>
      <c r="H3903" s="2"/>
      <c r="I3903" s="2"/>
      <c r="J3903" s="2"/>
      <c r="K3903" s="72"/>
      <c r="L3903" s="39"/>
      <c r="M3903" s="72"/>
      <c r="N3903" s="72"/>
    </row>
    <row r="3904" spans="1:14" x14ac:dyDescent="0.2">
      <c r="A3904" s="73"/>
      <c r="B3904" s="3"/>
      <c r="C3904" s="3"/>
      <c r="D3904" s="73"/>
      <c r="E3904" s="2"/>
      <c r="F3904" s="2"/>
      <c r="G3904" s="2"/>
      <c r="H3904" s="2"/>
      <c r="I3904" s="2"/>
      <c r="J3904" s="2"/>
      <c r="K3904" s="72"/>
      <c r="L3904" s="39"/>
      <c r="M3904" s="72"/>
      <c r="N3904" s="72"/>
    </row>
    <row r="3905" spans="1:14" x14ac:dyDescent="0.2">
      <c r="A3905" s="73"/>
      <c r="B3905" s="3"/>
      <c r="C3905" s="3"/>
      <c r="D3905" s="73"/>
      <c r="E3905" s="2"/>
      <c r="F3905" s="2"/>
      <c r="G3905" s="2"/>
      <c r="H3905" s="2"/>
      <c r="I3905" s="2"/>
      <c r="J3905" s="2"/>
      <c r="K3905" s="72"/>
      <c r="L3905" s="39"/>
      <c r="M3905" s="72"/>
      <c r="N3905" s="72"/>
    </row>
    <row r="3906" spans="1:14" x14ac:dyDescent="0.2">
      <c r="A3906" s="73"/>
      <c r="B3906" s="3"/>
      <c r="C3906" s="3"/>
      <c r="D3906" s="73"/>
      <c r="E3906" s="2"/>
      <c r="F3906" s="2"/>
      <c r="G3906" s="2"/>
      <c r="H3906" s="2"/>
      <c r="I3906" s="2"/>
      <c r="J3906" s="2"/>
      <c r="K3906" s="72"/>
      <c r="L3906" s="39"/>
      <c r="M3906" s="72"/>
      <c r="N3906" s="72"/>
    </row>
    <row r="3907" spans="1:14" x14ac:dyDescent="0.2">
      <c r="A3907" s="73"/>
      <c r="B3907" s="3"/>
      <c r="C3907" s="3"/>
      <c r="D3907" s="73"/>
      <c r="E3907" s="2"/>
      <c r="F3907" s="2"/>
      <c r="G3907" s="2"/>
      <c r="H3907" s="2"/>
      <c r="I3907" s="2"/>
      <c r="J3907" s="2"/>
      <c r="K3907" s="72"/>
      <c r="L3907" s="39"/>
      <c r="M3907" s="72"/>
      <c r="N3907" s="72"/>
    </row>
    <row r="3908" spans="1:14" x14ac:dyDescent="0.2">
      <c r="A3908" s="73"/>
      <c r="B3908" s="3"/>
      <c r="C3908" s="3"/>
      <c r="D3908" s="73"/>
      <c r="E3908" s="2"/>
      <c r="F3908" s="2"/>
      <c r="G3908" s="2"/>
      <c r="H3908" s="2"/>
      <c r="I3908" s="2"/>
      <c r="J3908" s="2"/>
      <c r="K3908" s="72"/>
      <c r="L3908" s="39"/>
      <c r="M3908" s="72"/>
      <c r="N3908" s="72"/>
    </row>
    <row r="3909" spans="1:14" x14ac:dyDescent="0.2">
      <c r="A3909" s="73"/>
      <c r="B3909" s="3"/>
      <c r="C3909" s="3"/>
      <c r="D3909" s="73"/>
      <c r="E3909" s="2"/>
      <c r="F3909" s="2"/>
      <c r="G3909" s="2"/>
      <c r="H3909" s="2"/>
      <c r="I3909" s="2"/>
      <c r="J3909" s="2"/>
      <c r="K3909" s="72"/>
      <c r="L3909" s="39"/>
      <c r="M3909" s="72"/>
      <c r="N3909" s="72"/>
    </row>
    <row r="3910" spans="1:14" x14ac:dyDescent="0.2">
      <c r="A3910" s="73"/>
      <c r="B3910" s="3"/>
      <c r="C3910" s="3"/>
      <c r="D3910" s="73"/>
      <c r="E3910" s="2"/>
      <c r="F3910" s="2"/>
      <c r="G3910" s="2"/>
      <c r="H3910" s="2"/>
      <c r="I3910" s="2"/>
      <c r="J3910" s="2"/>
      <c r="K3910" s="72"/>
      <c r="L3910" s="39"/>
      <c r="M3910" s="72"/>
      <c r="N3910" s="72"/>
    </row>
    <row r="3911" spans="1:14" x14ac:dyDescent="0.2">
      <c r="A3911" s="73"/>
      <c r="B3911" s="3"/>
      <c r="C3911" s="3"/>
      <c r="D3911" s="73"/>
      <c r="E3911" s="2"/>
      <c r="F3911" s="2"/>
      <c r="G3911" s="2"/>
      <c r="H3911" s="2"/>
      <c r="I3911" s="2"/>
      <c r="J3911" s="2"/>
      <c r="K3911" s="72"/>
      <c r="L3911" s="39"/>
      <c r="M3911" s="72"/>
      <c r="N3911" s="72"/>
    </row>
    <row r="3912" spans="1:14" x14ac:dyDescent="0.2">
      <c r="A3912" s="73"/>
      <c r="B3912" s="3"/>
      <c r="C3912" s="3"/>
      <c r="D3912" s="73"/>
      <c r="E3912" s="2"/>
      <c r="F3912" s="2"/>
      <c r="G3912" s="2"/>
      <c r="H3912" s="2"/>
      <c r="I3912" s="2"/>
      <c r="J3912" s="2"/>
      <c r="K3912" s="72"/>
      <c r="L3912" s="39"/>
      <c r="M3912" s="72"/>
      <c r="N3912" s="72"/>
    </row>
    <row r="3913" spans="1:14" x14ac:dyDescent="0.2">
      <c r="A3913" s="73"/>
      <c r="B3913" s="3"/>
      <c r="C3913" s="3"/>
      <c r="D3913" s="73"/>
      <c r="E3913" s="2"/>
      <c r="F3913" s="2"/>
      <c r="G3913" s="2"/>
      <c r="H3913" s="2"/>
      <c r="I3913" s="2"/>
      <c r="J3913" s="2"/>
      <c r="K3913" s="72"/>
      <c r="L3913" s="39"/>
      <c r="M3913" s="72"/>
      <c r="N3913" s="72"/>
    </row>
    <row r="3914" spans="1:14" x14ac:dyDescent="0.2">
      <c r="A3914" s="73"/>
      <c r="B3914" s="3"/>
      <c r="C3914" s="3"/>
      <c r="D3914" s="73"/>
      <c r="E3914" s="2"/>
      <c r="F3914" s="2"/>
      <c r="G3914" s="2"/>
      <c r="H3914" s="2"/>
      <c r="I3914" s="2"/>
      <c r="J3914" s="2"/>
      <c r="K3914" s="72"/>
      <c r="L3914" s="39"/>
      <c r="M3914" s="72"/>
      <c r="N3914" s="72"/>
    </row>
    <row r="3915" spans="1:14" x14ac:dyDescent="0.2">
      <c r="A3915" s="73"/>
      <c r="B3915" s="3"/>
      <c r="C3915" s="3"/>
      <c r="D3915" s="73"/>
      <c r="E3915" s="2"/>
      <c r="F3915" s="2"/>
      <c r="G3915" s="2"/>
      <c r="H3915" s="2"/>
      <c r="I3915" s="2"/>
      <c r="J3915" s="2"/>
      <c r="K3915" s="72"/>
      <c r="L3915" s="39"/>
      <c r="M3915" s="72"/>
      <c r="N3915" s="72"/>
    </row>
    <row r="3916" spans="1:14" x14ac:dyDescent="0.2">
      <c r="A3916" s="73"/>
      <c r="B3916" s="3"/>
      <c r="C3916" s="3"/>
      <c r="D3916" s="73"/>
      <c r="E3916" s="2"/>
      <c r="F3916" s="2"/>
      <c r="G3916" s="2"/>
      <c r="H3916" s="2"/>
      <c r="I3916" s="2"/>
      <c r="J3916" s="2"/>
      <c r="K3916" s="72"/>
      <c r="L3916" s="39"/>
      <c r="M3916" s="72"/>
      <c r="N3916" s="72"/>
    </row>
    <row r="3917" spans="1:14" x14ac:dyDescent="0.2">
      <c r="A3917" s="73"/>
      <c r="B3917" s="3"/>
      <c r="C3917" s="3"/>
      <c r="D3917" s="73"/>
      <c r="E3917" s="2"/>
      <c r="F3917" s="2"/>
      <c r="G3917" s="2"/>
      <c r="H3917" s="2"/>
      <c r="I3917" s="2"/>
      <c r="J3917" s="2"/>
      <c r="K3917" s="72"/>
      <c r="L3917" s="39"/>
      <c r="M3917" s="72"/>
      <c r="N3917" s="72"/>
    </row>
    <row r="3918" spans="1:14" x14ac:dyDescent="0.2">
      <c r="A3918" s="73"/>
      <c r="B3918" s="3"/>
      <c r="C3918" s="3"/>
      <c r="D3918" s="73"/>
      <c r="E3918" s="2"/>
      <c r="F3918" s="2"/>
      <c r="G3918" s="2"/>
      <c r="H3918" s="2"/>
      <c r="I3918" s="2"/>
      <c r="J3918" s="2"/>
      <c r="K3918" s="72"/>
      <c r="L3918" s="39"/>
      <c r="M3918" s="72"/>
      <c r="N3918" s="72"/>
    </row>
    <row r="3919" spans="1:14" x14ac:dyDescent="0.2">
      <c r="A3919" s="73"/>
      <c r="B3919" s="3"/>
      <c r="C3919" s="3"/>
      <c r="D3919" s="73"/>
      <c r="E3919" s="2"/>
      <c r="F3919" s="2"/>
      <c r="G3919" s="2"/>
      <c r="H3919" s="2"/>
      <c r="I3919" s="2"/>
      <c r="J3919" s="2"/>
      <c r="K3919" s="72"/>
      <c r="L3919" s="39"/>
      <c r="M3919" s="72"/>
      <c r="N3919" s="72"/>
    </row>
    <row r="3920" spans="1:14" x14ac:dyDescent="0.2">
      <c r="A3920" s="73"/>
      <c r="B3920" s="3"/>
      <c r="C3920" s="3"/>
      <c r="D3920" s="73"/>
      <c r="E3920" s="2"/>
      <c r="F3920" s="2"/>
      <c r="G3920" s="2"/>
      <c r="H3920" s="2"/>
      <c r="I3920" s="2"/>
      <c r="J3920" s="2"/>
      <c r="K3920" s="72"/>
      <c r="L3920" s="39"/>
      <c r="M3920" s="72"/>
      <c r="N3920" s="72"/>
    </row>
    <row r="3921" spans="1:14" x14ac:dyDescent="0.2">
      <c r="A3921" s="73"/>
      <c r="B3921" s="3"/>
      <c r="C3921" s="3"/>
      <c r="D3921" s="73"/>
      <c r="E3921" s="2"/>
      <c r="F3921" s="2"/>
      <c r="G3921" s="2"/>
      <c r="H3921" s="2"/>
      <c r="I3921" s="2"/>
      <c r="J3921" s="2"/>
      <c r="K3921" s="72"/>
      <c r="L3921" s="39"/>
      <c r="M3921" s="72"/>
      <c r="N3921" s="72"/>
    </row>
    <row r="3922" spans="1:14" x14ac:dyDescent="0.2">
      <c r="A3922" s="73"/>
      <c r="B3922" s="3"/>
      <c r="C3922" s="3"/>
      <c r="D3922" s="73"/>
      <c r="E3922" s="2"/>
      <c r="F3922" s="2"/>
      <c r="G3922" s="2"/>
      <c r="H3922" s="2"/>
      <c r="I3922" s="2"/>
      <c r="J3922" s="2"/>
      <c r="K3922" s="72"/>
      <c r="L3922" s="39"/>
      <c r="M3922" s="72"/>
      <c r="N3922" s="72"/>
    </row>
    <row r="3923" spans="1:14" x14ac:dyDescent="0.2">
      <c r="A3923" s="73"/>
      <c r="B3923" s="3"/>
      <c r="C3923" s="3"/>
      <c r="D3923" s="73"/>
      <c r="E3923" s="2"/>
      <c r="F3923" s="2"/>
      <c r="G3923" s="2"/>
      <c r="H3923" s="2"/>
      <c r="I3923" s="2"/>
      <c r="J3923" s="2"/>
      <c r="K3923" s="72"/>
      <c r="L3923" s="39"/>
      <c r="M3923" s="72"/>
      <c r="N3923" s="72"/>
    </row>
    <row r="3924" spans="1:14" x14ac:dyDescent="0.2">
      <c r="A3924" s="73"/>
      <c r="B3924" s="3"/>
      <c r="C3924" s="3"/>
      <c r="D3924" s="73"/>
      <c r="E3924" s="2"/>
      <c r="F3924" s="2"/>
      <c r="G3924" s="2"/>
      <c r="H3924" s="2"/>
      <c r="I3924" s="2"/>
      <c r="J3924" s="2"/>
      <c r="K3924" s="72"/>
      <c r="L3924" s="39"/>
      <c r="M3924" s="72"/>
      <c r="N3924" s="72"/>
    </row>
    <row r="3925" spans="1:14" x14ac:dyDescent="0.2">
      <c r="A3925" s="73"/>
      <c r="B3925" s="3"/>
      <c r="C3925" s="3"/>
      <c r="D3925" s="73"/>
      <c r="E3925" s="2"/>
      <c r="F3925" s="2"/>
      <c r="G3925" s="2"/>
      <c r="H3925" s="2"/>
      <c r="I3925" s="2"/>
      <c r="J3925" s="2"/>
      <c r="K3925" s="72"/>
      <c r="L3925" s="39"/>
      <c r="M3925" s="72"/>
      <c r="N3925" s="72"/>
    </row>
    <row r="3926" spans="1:14" x14ac:dyDescent="0.2">
      <c r="A3926" s="73"/>
      <c r="B3926" s="3"/>
      <c r="C3926" s="3"/>
      <c r="D3926" s="73"/>
      <c r="E3926" s="2"/>
      <c r="F3926" s="2"/>
      <c r="G3926" s="2"/>
      <c r="H3926" s="2"/>
      <c r="I3926" s="2"/>
      <c r="J3926" s="2"/>
      <c r="K3926" s="72"/>
      <c r="L3926" s="39"/>
      <c r="M3926" s="72"/>
      <c r="N3926" s="72"/>
    </row>
    <row r="3927" spans="1:14" x14ac:dyDescent="0.2">
      <c r="A3927" s="73"/>
      <c r="B3927" s="3"/>
      <c r="C3927" s="3"/>
      <c r="D3927" s="73"/>
      <c r="E3927" s="2"/>
      <c r="F3927" s="2"/>
      <c r="G3927" s="2"/>
      <c r="H3927" s="2"/>
      <c r="I3927" s="2"/>
      <c r="J3927" s="2"/>
      <c r="K3927" s="72"/>
      <c r="L3927" s="39"/>
      <c r="M3927" s="72"/>
      <c r="N3927" s="72"/>
    </row>
    <row r="3928" spans="1:14" x14ac:dyDescent="0.2">
      <c r="A3928" s="73"/>
      <c r="B3928" s="3"/>
      <c r="C3928" s="3"/>
      <c r="D3928" s="73"/>
      <c r="E3928" s="2"/>
      <c r="F3928" s="2"/>
      <c r="G3928" s="2"/>
      <c r="H3928" s="2"/>
      <c r="I3928" s="2"/>
      <c r="J3928" s="2"/>
      <c r="K3928" s="72"/>
      <c r="L3928" s="39"/>
      <c r="M3928" s="72"/>
      <c r="N3928" s="72"/>
    </row>
    <row r="3929" spans="1:14" x14ac:dyDescent="0.2">
      <c r="A3929" s="73"/>
      <c r="B3929" s="3"/>
      <c r="C3929" s="3"/>
      <c r="D3929" s="73"/>
      <c r="E3929" s="2"/>
      <c r="F3929" s="2"/>
      <c r="G3929" s="2"/>
      <c r="H3929" s="2"/>
      <c r="I3929" s="2"/>
      <c r="J3929" s="2"/>
      <c r="K3929" s="72"/>
      <c r="L3929" s="39"/>
      <c r="M3929" s="72"/>
      <c r="N3929" s="72"/>
    </row>
    <row r="3930" spans="1:14" x14ac:dyDescent="0.2">
      <c r="A3930" s="73"/>
      <c r="B3930" s="3"/>
      <c r="C3930" s="3"/>
      <c r="D3930" s="73"/>
      <c r="E3930" s="2"/>
      <c r="F3930" s="2"/>
      <c r="G3930" s="2"/>
      <c r="H3930" s="2"/>
      <c r="I3930" s="2"/>
      <c r="J3930" s="2"/>
      <c r="K3930" s="72"/>
      <c r="L3930" s="39"/>
      <c r="M3930" s="72"/>
      <c r="N3930" s="72"/>
    </row>
    <row r="3931" spans="1:14" x14ac:dyDescent="0.2">
      <c r="A3931" s="73"/>
      <c r="B3931" s="3"/>
      <c r="C3931" s="3"/>
      <c r="D3931" s="73"/>
      <c r="E3931" s="2"/>
      <c r="F3931" s="2"/>
      <c r="G3931" s="2"/>
      <c r="H3931" s="2"/>
      <c r="I3931" s="2"/>
      <c r="J3931" s="2"/>
      <c r="K3931" s="72"/>
      <c r="L3931" s="39"/>
      <c r="M3931" s="72"/>
      <c r="N3931" s="72"/>
    </row>
    <row r="3932" spans="1:14" x14ac:dyDescent="0.2">
      <c r="A3932" s="73"/>
      <c r="B3932" s="3"/>
      <c r="C3932" s="3"/>
      <c r="D3932" s="73"/>
      <c r="E3932" s="2"/>
      <c r="F3932" s="2"/>
      <c r="G3932" s="2"/>
      <c r="H3932" s="2"/>
      <c r="I3932" s="2"/>
      <c r="J3932" s="2"/>
      <c r="K3932" s="72"/>
      <c r="L3932" s="39"/>
      <c r="M3932" s="72"/>
      <c r="N3932" s="72"/>
    </row>
    <row r="3933" spans="1:14" x14ac:dyDescent="0.2">
      <c r="A3933" s="73"/>
      <c r="B3933" s="3"/>
      <c r="C3933" s="3"/>
      <c r="D3933" s="73"/>
      <c r="E3933" s="2"/>
      <c r="F3933" s="2"/>
      <c r="G3933" s="2"/>
      <c r="H3933" s="2"/>
      <c r="I3933" s="2"/>
      <c r="J3933" s="2"/>
      <c r="K3933" s="72"/>
      <c r="L3933" s="39"/>
      <c r="M3933" s="72"/>
      <c r="N3933" s="72"/>
    </row>
    <row r="3934" spans="1:14" x14ac:dyDescent="0.2">
      <c r="A3934" s="73"/>
      <c r="B3934" s="3"/>
      <c r="C3934" s="3"/>
      <c r="D3934" s="73"/>
      <c r="E3934" s="2"/>
      <c r="F3934" s="2"/>
      <c r="G3934" s="2"/>
      <c r="H3934" s="2"/>
      <c r="I3934" s="2"/>
      <c r="J3934" s="2"/>
      <c r="K3934" s="72"/>
      <c r="L3934" s="39"/>
      <c r="M3934" s="72"/>
      <c r="N3934" s="72"/>
    </row>
    <row r="3935" spans="1:14" x14ac:dyDescent="0.2">
      <c r="A3935" s="73"/>
      <c r="B3935" s="3"/>
      <c r="C3935" s="3"/>
      <c r="D3935" s="73"/>
      <c r="E3935" s="2"/>
      <c r="F3935" s="2"/>
      <c r="G3935" s="2"/>
      <c r="H3935" s="2"/>
      <c r="I3935" s="2"/>
      <c r="J3935" s="2"/>
      <c r="K3935" s="72"/>
      <c r="L3935" s="39"/>
      <c r="M3935" s="72"/>
      <c r="N3935" s="72"/>
    </row>
    <row r="3936" spans="1:14" x14ac:dyDescent="0.2">
      <c r="A3936" s="73"/>
      <c r="B3936" s="3"/>
      <c r="C3936" s="3"/>
      <c r="D3936" s="73"/>
      <c r="E3936" s="2"/>
      <c r="F3936" s="2"/>
      <c r="G3936" s="2"/>
      <c r="H3936" s="2"/>
      <c r="I3936" s="2"/>
      <c r="J3936" s="2"/>
      <c r="K3936" s="72"/>
      <c r="L3936" s="39"/>
      <c r="M3936" s="72"/>
      <c r="N3936" s="72"/>
    </row>
    <row r="3937" spans="1:14" x14ac:dyDescent="0.2">
      <c r="A3937" s="73"/>
      <c r="B3937" s="3"/>
      <c r="C3937" s="3"/>
      <c r="D3937" s="73"/>
      <c r="E3937" s="2"/>
      <c r="F3937" s="2"/>
      <c r="G3937" s="2"/>
      <c r="H3937" s="2"/>
      <c r="I3937" s="2"/>
      <c r="J3937" s="2"/>
      <c r="K3937" s="72"/>
      <c r="L3937" s="39"/>
      <c r="M3937" s="72"/>
      <c r="N3937" s="72"/>
    </row>
    <row r="3938" spans="1:14" x14ac:dyDescent="0.2">
      <c r="A3938" s="73"/>
      <c r="B3938" s="3"/>
      <c r="C3938" s="3"/>
      <c r="D3938" s="73"/>
      <c r="E3938" s="2"/>
      <c r="F3938" s="2"/>
      <c r="G3938" s="2"/>
      <c r="H3938" s="2"/>
      <c r="I3938" s="2"/>
      <c r="J3938" s="2"/>
      <c r="K3938" s="72"/>
      <c r="L3938" s="39"/>
      <c r="M3938" s="72"/>
      <c r="N3938" s="72"/>
    </row>
    <row r="3939" spans="1:14" x14ac:dyDescent="0.2">
      <c r="A3939" s="73"/>
      <c r="B3939" s="3"/>
      <c r="C3939" s="3"/>
      <c r="D3939" s="73"/>
      <c r="E3939" s="2"/>
      <c r="F3939" s="2"/>
      <c r="G3939" s="2"/>
      <c r="H3939" s="2"/>
      <c r="I3939" s="2"/>
      <c r="J3939" s="2"/>
      <c r="K3939" s="72"/>
      <c r="L3939" s="39"/>
      <c r="M3939" s="72"/>
      <c r="N3939" s="72"/>
    </row>
    <row r="3940" spans="1:14" x14ac:dyDescent="0.2">
      <c r="A3940" s="73"/>
      <c r="B3940" s="3"/>
      <c r="C3940" s="3"/>
      <c r="D3940" s="73"/>
      <c r="E3940" s="2"/>
      <c r="F3940" s="2"/>
      <c r="G3940" s="2"/>
      <c r="H3940" s="2"/>
      <c r="I3940" s="2"/>
      <c r="J3940" s="2"/>
      <c r="K3940" s="72"/>
      <c r="L3940" s="39"/>
      <c r="M3940" s="72"/>
      <c r="N3940" s="72"/>
    </row>
    <row r="3941" spans="1:14" x14ac:dyDescent="0.2">
      <c r="A3941" s="73"/>
      <c r="B3941" s="3"/>
      <c r="C3941" s="3"/>
      <c r="D3941" s="73"/>
      <c r="E3941" s="2"/>
      <c r="F3941" s="2"/>
      <c r="G3941" s="2"/>
      <c r="H3941" s="2"/>
      <c r="I3941" s="2"/>
      <c r="J3941" s="2"/>
      <c r="K3941" s="72"/>
      <c r="L3941" s="39"/>
      <c r="M3941" s="72"/>
      <c r="N3941" s="72"/>
    </row>
    <row r="3942" spans="1:14" x14ac:dyDescent="0.2">
      <c r="A3942" s="73"/>
      <c r="B3942" s="3"/>
      <c r="C3942" s="3"/>
      <c r="D3942" s="73"/>
      <c r="E3942" s="2"/>
      <c r="F3942" s="2"/>
      <c r="G3942" s="2"/>
      <c r="H3942" s="2"/>
      <c r="I3942" s="2"/>
      <c r="J3942" s="2"/>
      <c r="K3942" s="72"/>
      <c r="L3942" s="39"/>
      <c r="M3942" s="72"/>
      <c r="N3942" s="72"/>
    </row>
    <row r="3943" spans="1:14" x14ac:dyDescent="0.2">
      <c r="A3943" s="73"/>
      <c r="B3943" s="3"/>
      <c r="C3943" s="3"/>
      <c r="D3943" s="73"/>
      <c r="E3943" s="2"/>
      <c r="F3943" s="2"/>
      <c r="G3943" s="2"/>
      <c r="H3943" s="2"/>
      <c r="I3943" s="2"/>
      <c r="J3943" s="2"/>
      <c r="K3943" s="72"/>
      <c r="L3943" s="39"/>
      <c r="M3943" s="72"/>
      <c r="N3943" s="72"/>
    </row>
    <row r="3944" spans="1:14" x14ac:dyDescent="0.2">
      <c r="A3944" s="73"/>
      <c r="B3944" s="3"/>
      <c r="C3944" s="3"/>
      <c r="D3944" s="73"/>
      <c r="E3944" s="2"/>
      <c r="F3944" s="2"/>
      <c r="G3944" s="2"/>
      <c r="H3944" s="2"/>
      <c r="I3944" s="2"/>
      <c r="J3944" s="2"/>
      <c r="K3944" s="72"/>
      <c r="L3944" s="39"/>
      <c r="M3944" s="72"/>
      <c r="N3944" s="72"/>
    </row>
    <row r="3945" spans="1:14" x14ac:dyDescent="0.2">
      <c r="A3945" s="73"/>
      <c r="B3945" s="3"/>
      <c r="C3945" s="3"/>
      <c r="D3945" s="73"/>
      <c r="E3945" s="2"/>
      <c r="F3945" s="2"/>
      <c r="G3945" s="2"/>
      <c r="H3945" s="2"/>
      <c r="I3945" s="2"/>
      <c r="J3945" s="2"/>
      <c r="K3945" s="72"/>
      <c r="L3945" s="39"/>
      <c r="M3945" s="72"/>
      <c r="N3945" s="72"/>
    </row>
    <row r="3946" spans="1:14" x14ac:dyDescent="0.2">
      <c r="A3946" s="73"/>
      <c r="B3946" s="3"/>
      <c r="C3946" s="3"/>
      <c r="D3946" s="73"/>
      <c r="E3946" s="2"/>
      <c r="F3946" s="2"/>
      <c r="G3946" s="2"/>
      <c r="H3946" s="2"/>
      <c r="I3946" s="2"/>
      <c r="J3946" s="2"/>
      <c r="K3946" s="72"/>
      <c r="L3946" s="39"/>
      <c r="M3946" s="72"/>
      <c r="N3946" s="72"/>
    </row>
    <row r="3947" spans="1:14" x14ac:dyDescent="0.2">
      <c r="A3947" s="73"/>
      <c r="B3947" s="3"/>
      <c r="C3947" s="3"/>
      <c r="D3947" s="73"/>
      <c r="E3947" s="2"/>
      <c r="F3947" s="2"/>
      <c r="G3947" s="2"/>
      <c r="H3947" s="2"/>
      <c r="I3947" s="2"/>
      <c r="J3947" s="2"/>
      <c r="K3947" s="72"/>
      <c r="L3947" s="39"/>
      <c r="M3947" s="72"/>
      <c r="N3947" s="72"/>
    </row>
    <row r="3948" spans="1:14" x14ac:dyDescent="0.2">
      <c r="A3948" s="73"/>
      <c r="B3948" s="3"/>
      <c r="C3948" s="3"/>
      <c r="D3948" s="73"/>
      <c r="E3948" s="2"/>
      <c r="F3948" s="2"/>
      <c r="G3948" s="2"/>
      <c r="H3948" s="2"/>
      <c r="I3948" s="2"/>
      <c r="J3948" s="2"/>
      <c r="K3948" s="72"/>
      <c r="L3948" s="39"/>
      <c r="M3948" s="72"/>
      <c r="N3948" s="72"/>
    </row>
    <row r="3949" spans="1:14" x14ac:dyDescent="0.2">
      <c r="A3949" s="73"/>
      <c r="B3949" s="3"/>
      <c r="C3949" s="3"/>
      <c r="D3949" s="73"/>
      <c r="E3949" s="2"/>
      <c r="F3949" s="2"/>
      <c r="G3949" s="2"/>
      <c r="H3949" s="2"/>
      <c r="I3949" s="2"/>
      <c r="J3949" s="2"/>
      <c r="K3949" s="72"/>
      <c r="L3949" s="39"/>
      <c r="M3949" s="72"/>
      <c r="N3949" s="72"/>
    </row>
    <row r="3950" spans="1:14" x14ac:dyDescent="0.2">
      <c r="A3950" s="73"/>
      <c r="B3950" s="3"/>
      <c r="C3950" s="3"/>
      <c r="D3950" s="73"/>
      <c r="E3950" s="2"/>
      <c r="F3950" s="2"/>
      <c r="G3950" s="2"/>
      <c r="H3950" s="2"/>
      <c r="I3950" s="2"/>
      <c r="J3950" s="2"/>
      <c r="K3950" s="72"/>
      <c r="L3950" s="39"/>
      <c r="M3950" s="72"/>
      <c r="N3950" s="72"/>
    </row>
    <row r="3951" spans="1:14" x14ac:dyDescent="0.2">
      <c r="A3951" s="73"/>
      <c r="B3951" s="3"/>
      <c r="C3951" s="3"/>
      <c r="D3951" s="73"/>
      <c r="E3951" s="2"/>
      <c r="F3951" s="2"/>
      <c r="G3951" s="2"/>
      <c r="H3951" s="2"/>
      <c r="I3951" s="2"/>
      <c r="J3951" s="2"/>
      <c r="K3951" s="72"/>
      <c r="L3951" s="39"/>
      <c r="M3951" s="72"/>
      <c r="N3951" s="72"/>
    </row>
    <row r="3952" spans="1:14" x14ac:dyDescent="0.2">
      <c r="A3952" s="73"/>
      <c r="B3952" s="3"/>
      <c r="C3952" s="3"/>
      <c r="D3952" s="73"/>
      <c r="E3952" s="2"/>
      <c r="F3952" s="2"/>
      <c r="G3952" s="2"/>
      <c r="H3952" s="2"/>
      <c r="I3952" s="2"/>
      <c r="J3952" s="2"/>
      <c r="K3952" s="72"/>
      <c r="L3952" s="39"/>
      <c r="M3952" s="72"/>
      <c r="N3952" s="72"/>
    </row>
    <row r="3953" spans="1:14" x14ac:dyDescent="0.2">
      <c r="A3953" s="73"/>
      <c r="B3953" s="3"/>
      <c r="C3953" s="3"/>
      <c r="D3953" s="73"/>
      <c r="E3953" s="2"/>
      <c r="F3953" s="2"/>
      <c r="G3953" s="2"/>
      <c r="H3953" s="2"/>
      <c r="I3953" s="2"/>
      <c r="J3953" s="2"/>
      <c r="K3953" s="72"/>
      <c r="L3953" s="39"/>
      <c r="M3953" s="72"/>
      <c r="N3953" s="72"/>
    </row>
    <row r="3954" spans="1:14" x14ac:dyDescent="0.2">
      <c r="A3954" s="73"/>
      <c r="B3954" s="3"/>
      <c r="C3954" s="3"/>
      <c r="D3954" s="73"/>
      <c r="E3954" s="2"/>
      <c r="F3954" s="2"/>
      <c r="G3954" s="2"/>
      <c r="H3954" s="2"/>
      <c r="I3954" s="2"/>
      <c r="J3954" s="2"/>
      <c r="K3954" s="72"/>
      <c r="L3954" s="39"/>
      <c r="M3954" s="72"/>
      <c r="N3954" s="72"/>
    </row>
    <row r="3955" spans="1:14" x14ac:dyDescent="0.2">
      <c r="A3955" s="73"/>
      <c r="B3955" s="3"/>
      <c r="C3955" s="3"/>
      <c r="D3955" s="73"/>
      <c r="E3955" s="2"/>
      <c r="F3955" s="2"/>
      <c r="G3955" s="2"/>
      <c r="H3955" s="2"/>
      <c r="I3955" s="2"/>
      <c r="J3955" s="2"/>
      <c r="K3955" s="72"/>
      <c r="L3955" s="39"/>
      <c r="M3955" s="72"/>
      <c r="N3955" s="72"/>
    </row>
    <row r="3956" spans="1:14" x14ac:dyDescent="0.2">
      <c r="A3956" s="73"/>
      <c r="B3956" s="3"/>
      <c r="C3956" s="3"/>
      <c r="D3956" s="73"/>
      <c r="E3956" s="2"/>
      <c r="F3956" s="2"/>
      <c r="G3956" s="2"/>
      <c r="H3956" s="2"/>
      <c r="I3956" s="2"/>
      <c r="J3956" s="2"/>
      <c r="K3956" s="72"/>
      <c r="L3956" s="39"/>
      <c r="M3956" s="72"/>
      <c r="N3956" s="72"/>
    </row>
    <row r="3957" spans="1:14" x14ac:dyDescent="0.2">
      <c r="A3957" s="73"/>
      <c r="B3957" s="3"/>
      <c r="C3957" s="3"/>
      <c r="D3957" s="73"/>
      <c r="E3957" s="2"/>
      <c r="F3957" s="2"/>
      <c r="G3957" s="2"/>
      <c r="H3957" s="2"/>
      <c r="I3957" s="2"/>
      <c r="J3957" s="2"/>
      <c r="K3957" s="72"/>
      <c r="L3957" s="39"/>
      <c r="M3957" s="72"/>
      <c r="N3957" s="72"/>
    </row>
    <row r="3958" spans="1:14" x14ac:dyDescent="0.2">
      <c r="A3958" s="73"/>
      <c r="B3958" s="3"/>
      <c r="C3958" s="3"/>
      <c r="D3958" s="73"/>
      <c r="E3958" s="2"/>
      <c r="F3958" s="2"/>
      <c r="G3958" s="2"/>
      <c r="H3958" s="2"/>
      <c r="I3958" s="2"/>
      <c r="J3958" s="2"/>
      <c r="K3958" s="72"/>
      <c r="L3958" s="39"/>
      <c r="M3958" s="72"/>
      <c r="N3958" s="72"/>
    </row>
    <row r="3959" spans="1:14" x14ac:dyDescent="0.2">
      <c r="A3959" s="73"/>
      <c r="B3959" s="3"/>
      <c r="C3959" s="3"/>
      <c r="D3959" s="73"/>
      <c r="E3959" s="2"/>
      <c r="F3959" s="2"/>
      <c r="G3959" s="2"/>
      <c r="H3959" s="2"/>
      <c r="I3959" s="2"/>
      <c r="J3959" s="2"/>
      <c r="K3959" s="72"/>
      <c r="L3959" s="39"/>
      <c r="M3959" s="72"/>
      <c r="N3959" s="72"/>
    </row>
    <row r="3960" spans="1:14" x14ac:dyDescent="0.2">
      <c r="A3960" s="73"/>
      <c r="B3960" s="3"/>
      <c r="C3960" s="3"/>
      <c r="D3960" s="73"/>
      <c r="E3960" s="2"/>
      <c r="F3960" s="2"/>
      <c r="G3960" s="2"/>
      <c r="H3960" s="2"/>
      <c r="I3960" s="2"/>
      <c r="J3960" s="2"/>
      <c r="K3960" s="72"/>
      <c r="L3960" s="39"/>
      <c r="M3960" s="72"/>
      <c r="N3960" s="72"/>
    </row>
    <row r="3961" spans="1:14" x14ac:dyDescent="0.2">
      <c r="A3961" s="73"/>
      <c r="B3961" s="3"/>
      <c r="C3961" s="3"/>
      <c r="D3961" s="73"/>
      <c r="E3961" s="2"/>
      <c r="F3961" s="2"/>
      <c r="G3961" s="2"/>
      <c r="H3961" s="2"/>
      <c r="I3961" s="2"/>
      <c r="J3961" s="2"/>
      <c r="K3961" s="72"/>
      <c r="L3961" s="39"/>
      <c r="M3961" s="72"/>
      <c r="N3961" s="72"/>
    </row>
    <row r="3962" spans="1:14" x14ac:dyDescent="0.2">
      <c r="A3962" s="73"/>
      <c r="B3962" s="3"/>
      <c r="C3962" s="3"/>
      <c r="D3962" s="73"/>
      <c r="E3962" s="2"/>
      <c r="F3962" s="2"/>
      <c r="G3962" s="2"/>
      <c r="H3962" s="2"/>
      <c r="I3962" s="2"/>
      <c r="J3962" s="2"/>
      <c r="K3962" s="72"/>
      <c r="L3962" s="39"/>
      <c r="M3962" s="72"/>
      <c r="N3962" s="72"/>
    </row>
    <row r="3963" spans="1:14" x14ac:dyDescent="0.2">
      <c r="A3963" s="73"/>
      <c r="B3963" s="3"/>
      <c r="C3963" s="3"/>
      <c r="D3963" s="73"/>
      <c r="E3963" s="2"/>
      <c r="F3963" s="2"/>
      <c r="G3963" s="2"/>
      <c r="H3963" s="2"/>
      <c r="I3963" s="2"/>
      <c r="J3963" s="2"/>
      <c r="K3963" s="72"/>
      <c r="L3963" s="39"/>
      <c r="M3963" s="72"/>
      <c r="N3963" s="72"/>
    </row>
    <row r="3964" spans="1:14" x14ac:dyDescent="0.2">
      <c r="A3964" s="73"/>
      <c r="B3964" s="3"/>
      <c r="C3964" s="3"/>
      <c r="D3964" s="73"/>
      <c r="E3964" s="2"/>
      <c r="F3964" s="2"/>
      <c r="G3964" s="2"/>
      <c r="H3964" s="2"/>
      <c r="I3964" s="2"/>
      <c r="J3964" s="2"/>
      <c r="K3964" s="72"/>
      <c r="L3964" s="39"/>
      <c r="M3964" s="72"/>
      <c r="N3964" s="72"/>
    </row>
    <row r="3965" spans="1:14" x14ac:dyDescent="0.2">
      <c r="A3965" s="73"/>
      <c r="B3965" s="3"/>
      <c r="C3965" s="3"/>
      <c r="D3965" s="73"/>
      <c r="E3965" s="2"/>
      <c r="F3965" s="2"/>
      <c r="G3965" s="2"/>
      <c r="H3965" s="2"/>
      <c r="I3965" s="2"/>
      <c r="J3965" s="2"/>
      <c r="K3965" s="72"/>
      <c r="L3965" s="39"/>
      <c r="M3965" s="72"/>
      <c r="N3965" s="72"/>
    </row>
    <row r="3966" spans="1:14" x14ac:dyDescent="0.2">
      <c r="A3966" s="73"/>
      <c r="B3966" s="3"/>
      <c r="C3966" s="3"/>
      <c r="D3966" s="73"/>
      <c r="E3966" s="2"/>
      <c r="F3966" s="2"/>
      <c r="G3966" s="2"/>
      <c r="H3966" s="2"/>
      <c r="I3966" s="2"/>
      <c r="J3966" s="2"/>
      <c r="K3966" s="72"/>
      <c r="L3966" s="39"/>
      <c r="M3966" s="72"/>
      <c r="N3966" s="72"/>
    </row>
    <row r="3967" spans="1:14" x14ac:dyDescent="0.2">
      <c r="A3967" s="73"/>
      <c r="B3967" s="3"/>
      <c r="C3967" s="3"/>
      <c r="D3967" s="73"/>
      <c r="E3967" s="2"/>
      <c r="F3967" s="2"/>
      <c r="G3967" s="2"/>
      <c r="H3967" s="2"/>
      <c r="I3967" s="2"/>
      <c r="J3967" s="2"/>
      <c r="K3967" s="72"/>
      <c r="L3967" s="39"/>
      <c r="M3967" s="72"/>
      <c r="N3967" s="72"/>
    </row>
    <row r="3968" spans="1:14" x14ac:dyDescent="0.2">
      <c r="A3968" s="73"/>
      <c r="B3968" s="3"/>
      <c r="C3968" s="3"/>
      <c r="D3968" s="73"/>
      <c r="E3968" s="2"/>
      <c r="F3968" s="2"/>
      <c r="G3968" s="2"/>
      <c r="H3968" s="2"/>
      <c r="I3968" s="2"/>
      <c r="J3968" s="2"/>
      <c r="K3968" s="72"/>
      <c r="L3968" s="39"/>
      <c r="M3968" s="72"/>
      <c r="N3968" s="72"/>
    </row>
    <row r="3969" spans="1:14" x14ac:dyDescent="0.2">
      <c r="A3969" s="73"/>
      <c r="B3969" s="3"/>
      <c r="C3969" s="3"/>
      <c r="D3969" s="73"/>
      <c r="E3969" s="2"/>
      <c r="F3969" s="2"/>
      <c r="G3969" s="2"/>
      <c r="H3969" s="2"/>
      <c r="I3969" s="2"/>
      <c r="J3969" s="2"/>
      <c r="K3969" s="72"/>
      <c r="L3969" s="39"/>
      <c r="M3969" s="72"/>
      <c r="N3969" s="72"/>
    </row>
    <row r="3970" spans="1:14" x14ac:dyDescent="0.2">
      <c r="A3970" s="73"/>
      <c r="B3970" s="3"/>
      <c r="C3970" s="3"/>
      <c r="D3970" s="73"/>
      <c r="E3970" s="2"/>
      <c r="F3970" s="2"/>
      <c r="G3970" s="2"/>
      <c r="H3970" s="2"/>
      <c r="I3970" s="2"/>
      <c r="J3970" s="2"/>
      <c r="K3970" s="72"/>
      <c r="L3970" s="39"/>
      <c r="M3970" s="72"/>
      <c r="N3970" s="72"/>
    </row>
    <row r="3971" spans="1:14" x14ac:dyDescent="0.2">
      <c r="A3971" s="73"/>
      <c r="B3971" s="3"/>
      <c r="C3971" s="3"/>
      <c r="D3971" s="73"/>
      <c r="E3971" s="2"/>
      <c r="F3971" s="2"/>
      <c r="G3971" s="2"/>
      <c r="H3971" s="2"/>
      <c r="I3971" s="2"/>
      <c r="J3971" s="2"/>
      <c r="K3971" s="72"/>
      <c r="L3971" s="39"/>
      <c r="M3971" s="72"/>
      <c r="N3971" s="72"/>
    </row>
    <row r="3972" spans="1:14" x14ac:dyDescent="0.2">
      <c r="A3972" s="73"/>
      <c r="B3972" s="3"/>
      <c r="C3972" s="3"/>
      <c r="D3972" s="73"/>
      <c r="E3972" s="2"/>
      <c r="F3972" s="2"/>
      <c r="G3972" s="2"/>
      <c r="H3972" s="2"/>
      <c r="I3972" s="2"/>
      <c r="J3972" s="2"/>
      <c r="K3972" s="72"/>
      <c r="L3972" s="39"/>
      <c r="M3972" s="72"/>
      <c r="N3972" s="72"/>
    </row>
    <row r="3973" spans="1:14" x14ac:dyDescent="0.2">
      <c r="A3973" s="73"/>
      <c r="B3973" s="3"/>
      <c r="C3973" s="3"/>
      <c r="D3973" s="73"/>
      <c r="E3973" s="2"/>
      <c r="F3973" s="2"/>
      <c r="G3973" s="2"/>
      <c r="H3973" s="2"/>
      <c r="I3973" s="2"/>
      <c r="J3973" s="2"/>
      <c r="K3973" s="72"/>
      <c r="L3973" s="39"/>
      <c r="M3973" s="72"/>
      <c r="N3973" s="72"/>
    </row>
    <row r="3974" spans="1:14" x14ac:dyDescent="0.2">
      <c r="A3974" s="73"/>
      <c r="B3974" s="3"/>
      <c r="C3974" s="3"/>
      <c r="D3974" s="73"/>
      <c r="E3974" s="2"/>
      <c r="F3974" s="2"/>
      <c r="G3974" s="2"/>
      <c r="H3974" s="2"/>
      <c r="I3974" s="2"/>
      <c r="J3974" s="2"/>
      <c r="K3974" s="72"/>
      <c r="L3974" s="39"/>
      <c r="M3974" s="72"/>
      <c r="N3974" s="72"/>
    </row>
    <row r="3975" spans="1:14" x14ac:dyDescent="0.2">
      <c r="A3975" s="73"/>
      <c r="B3975" s="3"/>
      <c r="C3975" s="3"/>
      <c r="D3975" s="73"/>
      <c r="E3975" s="2"/>
      <c r="F3975" s="2"/>
      <c r="G3975" s="2"/>
      <c r="H3975" s="2"/>
      <c r="I3975" s="2"/>
      <c r="J3975" s="2"/>
      <c r="K3975" s="72"/>
      <c r="L3975" s="39"/>
      <c r="M3975" s="72"/>
      <c r="N3975" s="72"/>
    </row>
    <row r="3976" spans="1:14" x14ac:dyDescent="0.2">
      <c r="A3976" s="73"/>
      <c r="B3976" s="3"/>
      <c r="C3976" s="3"/>
      <c r="D3976" s="73"/>
      <c r="E3976" s="2"/>
      <c r="F3976" s="2"/>
      <c r="G3976" s="2"/>
      <c r="H3976" s="2"/>
      <c r="I3976" s="2"/>
      <c r="J3976" s="2"/>
      <c r="K3976" s="72"/>
      <c r="L3976" s="39"/>
      <c r="M3976" s="72"/>
      <c r="N3976" s="72"/>
    </row>
    <row r="3977" spans="1:14" x14ac:dyDescent="0.2">
      <c r="A3977" s="73"/>
      <c r="B3977" s="3"/>
      <c r="C3977" s="3"/>
      <c r="D3977" s="73"/>
      <c r="E3977" s="2"/>
      <c r="F3977" s="2"/>
      <c r="G3977" s="2"/>
      <c r="H3977" s="2"/>
      <c r="I3977" s="2"/>
      <c r="J3977" s="2"/>
      <c r="K3977" s="72"/>
      <c r="L3977" s="39"/>
      <c r="M3977" s="72"/>
      <c r="N3977" s="72"/>
    </row>
    <row r="3978" spans="1:14" x14ac:dyDescent="0.2">
      <c r="A3978" s="73"/>
      <c r="B3978" s="3"/>
      <c r="C3978" s="3"/>
      <c r="D3978" s="73"/>
      <c r="E3978" s="2"/>
      <c r="F3978" s="2"/>
      <c r="G3978" s="2"/>
      <c r="H3978" s="2"/>
      <c r="I3978" s="2"/>
      <c r="J3978" s="2"/>
      <c r="K3978" s="72"/>
      <c r="L3978" s="39"/>
      <c r="M3978" s="72"/>
      <c r="N3978" s="72"/>
    </row>
    <row r="3979" spans="1:14" x14ac:dyDescent="0.2">
      <c r="A3979" s="73"/>
      <c r="B3979" s="3"/>
      <c r="C3979" s="3"/>
      <c r="D3979" s="73"/>
      <c r="E3979" s="2"/>
      <c r="F3979" s="2"/>
      <c r="G3979" s="2"/>
      <c r="H3979" s="2"/>
      <c r="I3979" s="2"/>
      <c r="J3979" s="2"/>
      <c r="K3979" s="72"/>
      <c r="L3979" s="39"/>
      <c r="M3979" s="72"/>
      <c r="N3979" s="72"/>
    </row>
    <row r="3980" spans="1:14" x14ac:dyDescent="0.2">
      <c r="A3980" s="73"/>
      <c r="B3980" s="3"/>
      <c r="C3980" s="3"/>
      <c r="D3980" s="73"/>
      <c r="E3980" s="2"/>
      <c r="F3980" s="2"/>
      <c r="G3980" s="2"/>
      <c r="H3980" s="2"/>
      <c r="I3980" s="2"/>
      <c r="J3980" s="2"/>
      <c r="K3980" s="72"/>
      <c r="L3980" s="39"/>
      <c r="M3980" s="72"/>
      <c r="N3980" s="72"/>
    </row>
    <row r="3981" spans="1:14" x14ac:dyDescent="0.2">
      <c r="A3981" s="73"/>
      <c r="B3981" s="3"/>
      <c r="C3981" s="3"/>
      <c r="D3981" s="73"/>
      <c r="E3981" s="2"/>
      <c r="F3981" s="2"/>
      <c r="G3981" s="2"/>
      <c r="H3981" s="2"/>
      <c r="I3981" s="2"/>
      <c r="J3981" s="2"/>
      <c r="K3981" s="72"/>
      <c r="L3981" s="39"/>
      <c r="M3981" s="72"/>
      <c r="N3981" s="72"/>
    </row>
    <row r="3982" spans="1:14" x14ac:dyDescent="0.2">
      <c r="A3982" s="73"/>
      <c r="B3982" s="3"/>
      <c r="C3982" s="3"/>
      <c r="D3982" s="73"/>
      <c r="E3982" s="2"/>
      <c r="F3982" s="2"/>
      <c r="G3982" s="2"/>
      <c r="H3982" s="2"/>
      <c r="I3982" s="2"/>
      <c r="J3982" s="2"/>
      <c r="K3982" s="72"/>
      <c r="L3982" s="39"/>
      <c r="M3982" s="72"/>
      <c r="N3982" s="72"/>
    </row>
    <row r="3983" spans="1:14" x14ac:dyDescent="0.2">
      <c r="A3983" s="73"/>
      <c r="B3983" s="3"/>
      <c r="C3983" s="3"/>
      <c r="D3983" s="73"/>
      <c r="E3983" s="2"/>
      <c r="F3983" s="2"/>
      <c r="G3983" s="2"/>
      <c r="H3983" s="2"/>
      <c r="I3983" s="2"/>
      <c r="J3983" s="2"/>
      <c r="K3983" s="72"/>
      <c r="L3983" s="39"/>
      <c r="M3983" s="72"/>
      <c r="N3983" s="72"/>
    </row>
    <row r="3984" spans="1:14" x14ac:dyDescent="0.2">
      <c r="A3984" s="73"/>
      <c r="B3984" s="3"/>
      <c r="C3984" s="3"/>
      <c r="D3984" s="73"/>
      <c r="E3984" s="2"/>
      <c r="F3984" s="2"/>
      <c r="G3984" s="2"/>
      <c r="H3984" s="2"/>
      <c r="I3984" s="2"/>
      <c r="J3984" s="2"/>
      <c r="K3984" s="72"/>
      <c r="L3984" s="39"/>
      <c r="M3984" s="72"/>
      <c r="N3984" s="72"/>
    </row>
    <row r="3985" spans="1:14" x14ac:dyDescent="0.2">
      <c r="A3985" s="73"/>
      <c r="B3985" s="3"/>
      <c r="C3985" s="3"/>
      <c r="D3985" s="73"/>
      <c r="E3985" s="2"/>
      <c r="F3985" s="2"/>
      <c r="G3985" s="2"/>
      <c r="H3985" s="2"/>
      <c r="I3985" s="2"/>
      <c r="J3985" s="2"/>
      <c r="K3985" s="72"/>
      <c r="L3985" s="39"/>
      <c r="M3985" s="72"/>
      <c r="N3985" s="72"/>
    </row>
    <row r="3986" spans="1:14" x14ac:dyDescent="0.2">
      <c r="A3986" s="73"/>
      <c r="B3986" s="3"/>
      <c r="C3986" s="3"/>
      <c r="D3986" s="73"/>
      <c r="E3986" s="2"/>
      <c r="F3986" s="2"/>
      <c r="G3986" s="2"/>
      <c r="H3986" s="2"/>
      <c r="I3986" s="2"/>
      <c r="J3986" s="2"/>
      <c r="K3986" s="72"/>
      <c r="L3986" s="39"/>
      <c r="M3986" s="72"/>
      <c r="N3986" s="72"/>
    </row>
    <row r="3987" spans="1:14" x14ac:dyDescent="0.2">
      <c r="A3987" s="73"/>
      <c r="B3987" s="3"/>
      <c r="C3987" s="3"/>
      <c r="D3987" s="73"/>
      <c r="E3987" s="2"/>
      <c r="F3987" s="2"/>
      <c r="G3987" s="2"/>
      <c r="H3987" s="2"/>
      <c r="I3987" s="2"/>
      <c r="J3987" s="2"/>
      <c r="K3987" s="72"/>
      <c r="L3987" s="39"/>
      <c r="M3987" s="72"/>
      <c r="N3987" s="72"/>
    </row>
    <row r="3988" spans="1:14" x14ac:dyDescent="0.2">
      <c r="A3988" s="73"/>
      <c r="B3988" s="3"/>
      <c r="C3988" s="3"/>
      <c r="D3988" s="73"/>
      <c r="E3988" s="2"/>
      <c r="F3988" s="2"/>
      <c r="G3988" s="2"/>
      <c r="H3988" s="2"/>
      <c r="I3988" s="2"/>
      <c r="J3988" s="2"/>
      <c r="K3988" s="72"/>
      <c r="L3988" s="39"/>
      <c r="M3988" s="72"/>
      <c r="N3988" s="72"/>
    </row>
    <row r="3989" spans="1:14" x14ac:dyDescent="0.2">
      <c r="A3989" s="73"/>
      <c r="B3989" s="3"/>
      <c r="C3989" s="3"/>
      <c r="D3989" s="73"/>
      <c r="E3989" s="2"/>
      <c r="F3989" s="2"/>
      <c r="G3989" s="2"/>
      <c r="H3989" s="2"/>
      <c r="I3989" s="2"/>
      <c r="J3989" s="2"/>
      <c r="K3989" s="72"/>
      <c r="L3989" s="39"/>
      <c r="M3989" s="72"/>
      <c r="N3989" s="72"/>
    </row>
    <row r="3990" spans="1:14" x14ac:dyDescent="0.2">
      <c r="A3990" s="73"/>
      <c r="B3990" s="3"/>
      <c r="C3990" s="3"/>
      <c r="D3990" s="73"/>
      <c r="E3990" s="2"/>
      <c r="F3990" s="2"/>
      <c r="G3990" s="2"/>
      <c r="H3990" s="2"/>
      <c r="I3990" s="2"/>
      <c r="J3990" s="2"/>
      <c r="K3990" s="72"/>
      <c r="L3990" s="39"/>
      <c r="M3990" s="72"/>
      <c r="N3990" s="72"/>
    </row>
    <row r="3991" spans="1:14" x14ac:dyDescent="0.2">
      <c r="A3991" s="73"/>
      <c r="B3991" s="3"/>
      <c r="C3991" s="3"/>
      <c r="D3991" s="73"/>
      <c r="E3991" s="2"/>
      <c r="F3991" s="2"/>
      <c r="G3991" s="2"/>
      <c r="H3991" s="2"/>
      <c r="I3991" s="2"/>
      <c r="J3991" s="2"/>
      <c r="K3991" s="72"/>
      <c r="L3991" s="39"/>
      <c r="M3991" s="72"/>
      <c r="N3991" s="72"/>
    </row>
    <row r="3992" spans="1:14" x14ac:dyDescent="0.2">
      <c r="A3992" s="73"/>
      <c r="B3992" s="3"/>
      <c r="C3992" s="3"/>
      <c r="D3992" s="73"/>
      <c r="E3992" s="2"/>
      <c r="F3992" s="2"/>
      <c r="G3992" s="2"/>
      <c r="H3992" s="2"/>
      <c r="I3992" s="2"/>
      <c r="J3992" s="2"/>
      <c r="K3992" s="72"/>
      <c r="L3992" s="39"/>
      <c r="M3992" s="72"/>
      <c r="N3992" s="72"/>
    </row>
    <row r="3993" spans="1:14" x14ac:dyDescent="0.2">
      <c r="A3993" s="73"/>
      <c r="B3993" s="3"/>
      <c r="C3993" s="3"/>
      <c r="D3993" s="73"/>
      <c r="E3993" s="2"/>
      <c r="F3993" s="2"/>
      <c r="G3993" s="2"/>
      <c r="H3993" s="2"/>
      <c r="I3993" s="2"/>
      <c r="J3993" s="2"/>
      <c r="K3993" s="72"/>
      <c r="L3993" s="39"/>
      <c r="M3993" s="72"/>
      <c r="N3993" s="72"/>
    </row>
    <row r="3994" spans="1:14" x14ac:dyDescent="0.2">
      <c r="A3994" s="73"/>
      <c r="B3994" s="3"/>
      <c r="C3994" s="3"/>
      <c r="D3994" s="73"/>
      <c r="E3994" s="2"/>
      <c r="F3994" s="2"/>
      <c r="G3994" s="2"/>
      <c r="H3994" s="2"/>
      <c r="I3994" s="2"/>
      <c r="J3994" s="2"/>
      <c r="K3994" s="72"/>
      <c r="L3994" s="39"/>
      <c r="M3994" s="72"/>
      <c r="N3994" s="72"/>
    </row>
    <row r="3995" spans="1:14" x14ac:dyDescent="0.2">
      <c r="A3995" s="73"/>
      <c r="B3995" s="3"/>
      <c r="C3995" s="3"/>
      <c r="D3995" s="73"/>
      <c r="E3995" s="2"/>
      <c r="F3995" s="2"/>
      <c r="G3995" s="2"/>
      <c r="H3995" s="2"/>
      <c r="I3995" s="2"/>
      <c r="J3995" s="2"/>
      <c r="K3995" s="72"/>
      <c r="L3995" s="39"/>
      <c r="M3995" s="72"/>
      <c r="N3995" s="72"/>
    </row>
    <row r="3996" spans="1:14" x14ac:dyDescent="0.2">
      <c r="A3996" s="73"/>
      <c r="B3996" s="3"/>
      <c r="C3996" s="3"/>
      <c r="D3996" s="73"/>
      <c r="E3996" s="2"/>
      <c r="F3996" s="2"/>
      <c r="G3996" s="2"/>
      <c r="H3996" s="2"/>
      <c r="I3996" s="2"/>
      <c r="J3996" s="2"/>
      <c r="K3996" s="72"/>
      <c r="L3996" s="39"/>
      <c r="M3996" s="72"/>
      <c r="N3996" s="72"/>
    </row>
    <row r="3997" spans="1:14" x14ac:dyDescent="0.2">
      <c r="A3997" s="73"/>
      <c r="B3997" s="3"/>
      <c r="C3997" s="3"/>
      <c r="D3997" s="73"/>
      <c r="E3997" s="2"/>
      <c r="F3997" s="2"/>
      <c r="G3997" s="2"/>
      <c r="H3997" s="2"/>
      <c r="I3997" s="2"/>
      <c r="J3997" s="2"/>
      <c r="K3997" s="72"/>
      <c r="L3997" s="39"/>
      <c r="M3997" s="72"/>
      <c r="N3997" s="72"/>
    </row>
    <row r="3998" spans="1:14" x14ac:dyDescent="0.2">
      <c r="A3998" s="73"/>
      <c r="B3998" s="3"/>
      <c r="C3998" s="3"/>
      <c r="D3998" s="73"/>
      <c r="E3998" s="2"/>
      <c r="F3998" s="2"/>
      <c r="G3998" s="2"/>
      <c r="H3998" s="2"/>
      <c r="I3998" s="2"/>
      <c r="J3998" s="2"/>
      <c r="K3998" s="72"/>
      <c r="L3998" s="39"/>
      <c r="M3998" s="72"/>
      <c r="N3998" s="72"/>
    </row>
    <row r="3999" spans="1:14" x14ac:dyDescent="0.2">
      <c r="A3999" s="73"/>
      <c r="B3999" s="3"/>
      <c r="C3999" s="3"/>
      <c r="D3999" s="73"/>
      <c r="E3999" s="2"/>
      <c r="F3999" s="2"/>
      <c r="G3999" s="2"/>
      <c r="H3999" s="2"/>
      <c r="I3999" s="2"/>
      <c r="J3999" s="2"/>
      <c r="K3999" s="72"/>
      <c r="L3999" s="39"/>
      <c r="M3999" s="72"/>
      <c r="N3999" s="72"/>
    </row>
    <row r="4000" spans="1:14" x14ac:dyDescent="0.2">
      <c r="A4000" s="73"/>
      <c r="B4000" s="3"/>
      <c r="C4000" s="3"/>
      <c r="D4000" s="73"/>
      <c r="E4000" s="2"/>
      <c r="F4000" s="2"/>
      <c r="G4000" s="2"/>
      <c r="H4000" s="2"/>
      <c r="I4000" s="2"/>
      <c r="J4000" s="2"/>
      <c r="K4000" s="72"/>
      <c r="L4000" s="39"/>
      <c r="M4000" s="72"/>
      <c r="N4000" s="72"/>
    </row>
    <row r="4001" spans="1:14" x14ac:dyDescent="0.2">
      <c r="A4001" s="73"/>
      <c r="B4001" s="3"/>
      <c r="C4001" s="3"/>
      <c r="D4001" s="73"/>
      <c r="E4001" s="2"/>
      <c r="F4001" s="2"/>
      <c r="G4001" s="2"/>
      <c r="H4001" s="2"/>
      <c r="I4001" s="2"/>
      <c r="J4001" s="2"/>
      <c r="K4001" s="72"/>
      <c r="L4001" s="39"/>
      <c r="M4001" s="72"/>
      <c r="N4001" s="72"/>
    </row>
    <row r="4002" spans="1:14" x14ac:dyDescent="0.2">
      <c r="A4002" s="73"/>
      <c r="B4002" s="3"/>
      <c r="C4002" s="3"/>
      <c r="D4002" s="73"/>
      <c r="E4002" s="2"/>
      <c r="F4002" s="2"/>
      <c r="G4002" s="2"/>
      <c r="H4002" s="2"/>
      <c r="I4002" s="2"/>
      <c r="J4002" s="2"/>
      <c r="K4002" s="72"/>
      <c r="L4002" s="39"/>
      <c r="M4002" s="72"/>
      <c r="N4002" s="72"/>
    </row>
    <row r="4003" spans="1:14" x14ac:dyDescent="0.2">
      <c r="A4003" s="73"/>
      <c r="B4003" s="3"/>
      <c r="C4003" s="3"/>
      <c r="D4003" s="73"/>
      <c r="E4003" s="2"/>
      <c r="F4003" s="2"/>
      <c r="G4003" s="2"/>
      <c r="H4003" s="2"/>
      <c r="I4003" s="2"/>
      <c r="J4003" s="2"/>
      <c r="K4003" s="72"/>
      <c r="L4003" s="39"/>
      <c r="M4003" s="72"/>
      <c r="N4003" s="72"/>
    </row>
    <row r="4004" spans="1:14" x14ac:dyDescent="0.2">
      <c r="A4004" s="73"/>
      <c r="B4004" s="3"/>
      <c r="C4004" s="3"/>
      <c r="D4004" s="73"/>
      <c r="E4004" s="2"/>
      <c r="F4004" s="2"/>
      <c r="G4004" s="2"/>
      <c r="H4004" s="2"/>
      <c r="I4004" s="2"/>
      <c r="J4004" s="2"/>
      <c r="K4004" s="72"/>
      <c r="L4004" s="39"/>
      <c r="M4004" s="72"/>
      <c r="N4004" s="72"/>
    </row>
    <row r="4005" spans="1:14" x14ac:dyDescent="0.2">
      <c r="A4005" s="73"/>
      <c r="B4005" s="3"/>
      <c r="C4005" s="3"/>
      <c r="D4005" s="73"/>
      <c r="E4005" s="2"/>
      <c r="F4005" s="2"/>
      <c r="G4005" s="2"/>
      <c r="H4005" s="2"/>
      <c r="I4005" s="2"/>
      <c r="J4005" s="2"/>
      <c r="K4005" s="72"/>
      <c r="L4005" s="39"/>
      <c r="M4005" s="72"/>
      <c r="N4005" s="72"/>
    </row>
    <row r="4006" spans="1:14" x14ac:dyDescent="0.2">
      <c r="A4006" s="73"/>
      <c r="B4006" s="3"/>
      <c r="C4006" s="3"/>
      <c r="D4006" s="73"/>
      <c r="E4006" s="2"/>
      <c r="F4006" s="2"/>
      <c r="G4006" s="2"/>
      <c r="H4006" s="2"/>
      <c r="I4006" s="2"/>
      <c r="J4006" s="2"/>
      <c r="K4006" s="72"/>
      <c r="L4006" s="39"/>
      <c r="M4006" s="72"/>
      <c r="N4006" s="72"/>
    </row>
    <row r="4007" spans="1:14" x14ac:dyDescent="0.2">
      <c r="A4007" s="73"/>
      <c r="B4007" s="3"/>
      <c r="C4007" s="3"/>
      <c r="D4007" s="73"/>
      <c r="E4007" s="2"/>
      <c r="F4007" s="2"/>
      <c r="G4007" s="2"/>
      <c r="H4007" s="2"/>
      <c r="I4007" s="2"/>
      <c r="J4007" s="2"/>
      <c r="K4007" s="72"/>
      <c r="L4007" s="39"/>
      <c r="M4007" s="72"/>
      <c r="N4007" s="72"/>
    </row>
    <row r="4008" spans="1:14" x14ac:dyDescent="0.2">
      <c r="A4008" s="73"/>
      <c r="B4008" s="3"/>
      <c r="C4008" s="3"/>
      <c r="D4008" s="73"/>
      <c r="E4008" s="2"/>
      <c r="F4008" s="2"/>
      <c r="G4008" s="2"/>
      <c r="H4008" s="2"/>
      <c r="I4008" s="2"/>
      <c r="J4008" s="2"/>
      <c r="K4008" s="72"/>
      <c r="L4008" s="39"/>
      <c r="M4008" s="72"/>
      <c r="N4008" s="72"/>
    </row>
    <row r="4009" spans="1:14" x14ac:dyDescent="0.2">
      <c r="A4009" s="73"/>
      <c r="B4009" s="3"/>
      <c r="C4009" s="3"/>
      <c r="D4009" s="73"/>
      <c r="E4009" s="2"/>
      <c r="F4009" s="2"/>
      <c r="G4009" s="2"/>
      <c r="H4009" s="2"/>
      <c r="I4009" s="2"/>
      <c r="J4009" s="2"/>
      <c r="K4009" s="72"/>
      <c r="L4009" s="39"/>
      <c r="M4009" s="72"/>
      <c r="N4009" s="72"/>
    </row>
    <row r="4010" spans="1:14" x14ac:dyDescent="0.2">
      <c r="A4010" s="73"/>
      <c r="B4010" s="3"/>
      <c r="C4010" s="3"/>
      <c r="D4010" s="73"/>
      <c r="E4010" s="2"/>
      <c r="F4010" s="2"/>
      <c r="G4010" s="2"/>
      <c r="H4010" s="2"/>
      <c r="I4010" s="2"/>
      <c r="J4010" s="2"/>
      <c r="K4010" s="72"/>
      <c r="L4010" s="39"/>
      <c r="M4010" s="72"/>
      <c r="N4010" s="72"/>
    </row>
    <row r="4011" spans="1:14" x14ac:dyDescent="0.2">
      <c r="A4011" s="73"/>
      <c r="B4011" s="3"/>
      <c r="C4011" s="3"/>
      <c r="D4011" s="73"/>
      <c r="E4011" s="2"/>
      <c r="F4011" s="2"/>
      <c r="G4011" s="2"/>
      <c r="H4011" s="2"/>
      <c r="I4011" s="2"/>
      <c r="J4011" s="2"/>
      <c r="K4011" s="72"/>
      <c r="L4011" s="39"/>
      <c r="M4011" s="72"/>
      <c r="N4011" s="72"/>
    </row>
    <row r="4012" spans="1:14" x14ac:dyDescent="0.2">
      <c r="A4012" s="73"/>
      <c r="B4012" s="3"/>
      <c r="C4012" s="3"/>
      <c r="D4012" s="73"/>
      <c r="E4012" s="2"/>
      <c r="F4012" s="2"/>
      <c r="G4012" s="2"/>
      <c r="H4012" s="2"/>
      <c r="I4012" s="2"/>
      <c r="J4012" s="2"/>
      <c r="K4012" s="72"/>
      <c r="L4012" s="39"/>
      <c r="M4012" s="72"/>
      <c r="N4012" s="72"/>
    </row>
    <row r="4013" spans="1:14" x14ac:dyDescent="0.2">
      <c r="A4013" s="73"/>
      <c r="B4013" s="3"/>
      <c r="C4013" s="3"/>
      <c r="D4013" s="73"/>
      <c r="E4013" s="2"/>
      <c r="F4013" s="2"/>
      <c r="G4013" s="2"/>
      <c r="H4013" s="2"/>
      <c r="I4013" s="2"/>
      <c r="J4013" s="2"/>
      <c r="K4013" s="72"/>
      <c r="L4013" s="39"/>
      <c r="M4013" s="72"/>
      <c r="N4013" s="72"/>
    </row>
    <row r="4014" spans="1:14" x14ac:dyDescent="0.2">
      <c r="A4014" s="73"/>
      <c r="B4014" s="3"/>
      <c r="C4014" s="3"/>
      <c r="D4014" s="73"/>
      <c r="E4014" s="2"/>
      <c r="F4014" s="2"/>
      <c r="G4014" s="2"/>
      <c r="H4014" s="2"/>
      <c r="I4014" s="2"/>
      <c r="J4014" s="2"/>
      <c r="K4014" s="72"/>
      <c r="L4014" s="39"/>
      <c r="M4014" s="72"/>
      <c r="N4014" s="72"/>
    </row>
    <row r="4015" spans="1:14" x14ac:dyDescent="0.2">
      <c r="A4015" s="73"/>
      <c r="B4015" s="3"/>
      <c r="C4015" s="3"/>
      <c r="D4015" s="73"/>
      <c r="E4015" s="2"/>
      <c r="F4015" s="2"/>
      <c r="G4015" s="2"/>
      <c r="H4015" s="2"/>
      <c r="I4015" s="2"/>
      <c r="J4015" s="2"/>
      <c r="K4015" s="72"/>
      <c r="L4015" s="39"/>
      <c r="M4015" s="72"/>
      <c r="N4015" s="72"/>
    </row>
    <row r="4016" spans="1:14" x14ac:dyDescent="0.2">
      <c r="A4016" s="73"/>
      <c r="B4016" s="3"/>
      <c r="C4016" s="3"/>
      <c r="D4016" s="73"/>
      <c r="E4016" s="2"/>
      <c r="F4016" s="2"/>
      <c r="G4016" s="2"/>
      <c r="H4016" s="2"/>
      <c r="I4016" s="2"/>
      <c r="J4016" s="2"/>
      <c r="K4016" s="72"/>
      <c r="L4016" s="39"/>
      <c r="M4016" s="72"/>
      <c r="N4016" s="72"/>
    </row>
    <row r="4017" spans="1:14" x14ac:dyDescent="0.2">
      <c r="A4017" s="73"/>
      <c r="B4017" s="3"/>
      <c r="C4017" s="3"/>
      <c r="D4017" s="73"/>
      <c r="E4017" s="2"/>
      <c r="F4017" s="2"/>
      <c r="G4017" s="2"/>
      <c r="H4017" s="2"/>
      <c r="I4017" s="2"/>
      <c r="J4017" s="2"/>
      <c r="K4017" s="72"/>
      <c r="L4017" s="39"/>
      <c r="M4017" s="72"/>
      <c r="N4017" s="72"/>
    </row>
    <row r="4018" spans="1:14" x14ac:dyDescent="0.2">
      <c r="A4018" s="73"/>
      <c r="B4018" s="3"/>
      <c r="C4018" s="3"/>
      <c r="D4018" s="73"/>
      <c r="E4018" s="2"/>
      <c r="F4018" s="2"/>
      <c r="G4018" s="2"/>
      <c r="H4018" s="2"/>
      <c r="I4018" s="2"/>
      <c r="J4018" s="2"/>
      <c r="K4018" s="72"/>
      <c r="L4018" s="39"/>
      <c r="M4018" s="72"/>
      <c r="N4018" s="72"/>
    </row>
    <row r="4019" spans="1:14" x14ac:dyDescent="0.2">
      <c r="A4019" s="73"/>
      <c r="B4019" s="3"/>
      <c r="C4019" s="3"/>
      <c r="D4019" s="73"/>
      <c r="E4019" s="2"/>
      <c r="F4019" s="2"/>
      <c r="G4019" s="2"/>
      <c r="H4019" s="2"/>
      <c r="I4019" s="2"/>
      <c r="J4019" s="2"/>
      <c r="K4019" s="72"/>
      <c r="L4019" s="39"/>
      <c r="M4019" s="72"/>
      <c r="N4019" s="72"/>
    </row>
    <row r="4020" spans="1:14" x14ac:dyDescent="0.2">
      <c r="A4020" s="73"/>
      <c r="B4020" s="3"/>
      <c r="C4020" s="3"/>
      <c r="D4020" s="73"/>
      <c r="E4020" s="2"/>
      <c r="F4020" s="2"/>
      <c r="G4020" s="2"/>
      <c r="H4020" s="2"/>
      <c r="I4020" s="2"/>
      <c r="J4020" s="2"/>
      <c r="K4020" s="72"/>
      <c r="L4020" s="39"/>
      <c r="M4020" s="72"/>
      <c r="N4020" s="72"/>
    </row>
    <row r="4021" spans="1:14" x14ac:dyDescent="0.2">
      <c r="A4021" s="73"/>
      <c r="B4021" s="3"/>
      <c r="C4021" s="3"/>
      <c r="D4021" s="73"/>
      <c r="E4021" s="2"/>
      <c r="F4021" s="2"/>
      <c r="G4021" s="2"/>
      <c r="H4021" s="2"/>
      <c r="I4021" s="2"/>
      <c r="J4021" s="2"/>
      <c r="K4021" s="72"/>
      <c r="L4021" s="39"/>
      <c r="M4021" s="72"/>
      <c r="N4021" s="72"/>
    </row>
    <row r="4022" spans="1:14" x14ac:dyDescent="0.2">
      <c r="A4022" s="73"/>
      <c r="B4022" s="3"/>
      <c r="C4022" s="3"/>
      <c r="D4022" s="73"/>
      <c r="E4022" s="2"/>
      <c r="F4022" s="2"/>
      <c r="G4022" s="2"/>
      <c r="H4022" s="2"/>
      <c r="I4022" s="2"/>
      <c r="J4022" s="2"/>
      <c r="K4022" s="72"/>
      <c r="L4022" s="39"/>
      <c r="M4022" s="72"/>
      <c r="N4022" s="72"/>
    </row>
    <row r="4023" spans="1:14" x14ac:dyDescent="0.2">
      <c r="A4023" s="73"/>
      <c r="B4023" s="3"/>
      <c r="C4023" s="3"/>
      <c r="D4023" s="73"/>
      <c r="E4023" s="2"/>
      <c r="F4023" s="2"/>
      <c r="G4023" s="2"/>
      <c r="H4023" s="2"/>
      <c r="I4023" s="2"/>
      <c r="J4023" s="2"/>
      <c r="K4023" s="72"/>
      <c r="L4023" s="39"/>
      <c r="M4023" s="72"/>
      <c r="N4023" s="72"/>
    </row>
    <row r="4024" spans="1:14" x14ac:dyDescent="0.2">
      <c r="A4024" s="73"/>
      <c r="B4024" s="3"/>
      <c r="C4024" s="3"/>
      <c r="D4024" s="73"/>
      <c r="E4024" s="2"/>
      <c r="F4024" s="2"/>
      <c r="G4024" s="2"/>
      <c r="H4024" s="2"/>
      <c r="I4024" s="2"/>
      <c r="J4024" s="2"/>
      <c r="K4024" s="72"/>
      <c r="L4024" s="39"/>
      <c r="M4024" s="72"/>
      <c r="N4024" s="72"/>
    </row>
    <row r="4025" spans="1:14" x14ac:dyDescent="0.2">
      <c r="A4025" s="73"/>
      <c r="B4025" s="3"/>
      <c r="C4025" s="3"/>
      <c r="D4025" s="73"/>
      <c r="E4025" s="2"/>
      <c r="F4025" s="2"/>
      <c r="G4025" s="2"/>
      <c r="H4025" s="2"/>
      <c r="I4025" s="2"/>
      <c r="J4025" s="2"/>
      <c r="K4025" s="72"/>
      <c r="L4025" s="39"/>
      <c r="M4025" s="72"/>
      <c r="N4025" s="72"/>
    </row>
    <row r="4026" spans="1:14" x14ac:dyDescent="0.2">
      <c r="A4026" s="73"/>
      <c r="B4026" s="3"/>
      <c r="C4026" s="3"/>
      <c r="D4026" s="73"/>
      <c r="E4026" s="2"/>
      <c r="F4026" s="2"/>
      <c r="G4026" s="2"/>
      <c r="H4026" s="2"/>
      <c r="I4026" s="2"/>
      <c r="J4026" s="2"/>
      <c r="K4026" s="72"/>
      <c r="L4026" s="39"/>
      <c r="M4026" s="72"/>
      <c r="N4026" s="72"/>
    </row>
    <row r="4027" spans="1:14" x14ac:dyDescent="0.2">
      <c r="A4027" s="73"/>
      <c r="B4027" s="3"/>
      <c r="C4027" s="3"/>
      <c r="D4027" s="73"/>
      <c r="E4027" s="2"/>
      <c r="F4027" s="2"/>
      <c r="G4027" s="2"/>
      <c r="H4027" s="2"/>
      <c r="I4027" s="2"/>
      <c r="J4027" s="2"/>
      <c r="K4027" s="72"/>
      <c r="L4027" s="39"/>
      <c r="M4027" s="72"/>
      <c r="N4027" s="72"/>
    </row>
    <row r="4028" spans="1:14" x14ac:dyDescent="0.2">
      <c r="A4028" s="73"/>
      <c r="B4028" s="3"/>
      <c r="C4028" s="3"/>
      <c r="D4028" s="73"/>
      <c r="E4028" s="2"/>
      <c r="F4028" s="2"/>
      <c r="G4028" s="2"/>
      <c r="H4028" s="2"/>
      <c r="I4028" s="2"/>
      <c r="J4028" s="2"/>
      <c r="K4028" s="72"/>
      <c r="L4028" s="39"/>
      <c r="M4028" s="72"/>
      <c r="N4028" s="72"/>
    </row>
    <row r="4029" spans="1:14" x14ac:dyDescent="0.2">
      <c r="A4029" s="73"/>
      <c r="B4029" s="3"/>
      <c r="C4029" s="3"/>
      <c r="D4029" s="73"/>
      <c r="E4029" s="2"/>
      <c r="F4029" s="2"/>
      <c r="G4029" s="2"/>
      <c r="H4029" s="2"/>
      <c r="I4029" s="2"/>
      <c r="J4029" s="2"/>
      <c r="K4029" s="72"/>
      <c r="L4029" s="39"/>
      <c r="M4029" s="72"/>
      <c r="N4029" s="72"/>
    </row>
    <row r="4030" spans="1:14" x14ac:dyDescent="0.2">
      <c r="A4030" s="73"/>
      <c r="B4030" s="3"/>
      <c r="C4030" s="3"/>
      <c r="D4030" s="73"/>
      <c r="E4030" s="2"/>
      <c r="F4030" s="2"/>
      <c r="G4030" s="2"/>
      <c r="H4030" s="2"/>
      <c r="I4030" s="2"/>
      <c r="J4030" s="2"/>
      <c r="K4030" s="72"/>
      <c r="L4030" s="39"/>
      <c r="M4030" s="72"/>
      <c r="N4030" s="72"/>
    </row>
    <row r="4031" spans="1:14" x14ac:dyDescent="0.2">
      <c r="A4031" s="73"/>
      <c r="B4031" s="3"/>
      <c r="C4031" s="3"/>
      <c r="D4031" s="73"/>
      <c r="E4031" s="2"/>
      <c r="F4031" s="2"/>
      <c r="G4031" s="2"/>
      <c r="H4031" s="2"/>
      <c r="I4031" s="2"/>
      <c r="J4031" s="2"/>
      <c r="K4031" s="72"/>
      <c r="L4031" s="39"/>
      <c r="M4031" s="72"/>
      <c r="N4031" s="72"/>
    </row>
    <row r="4032" spans="1:14" x14ac:dyDescent="0.2">
      <c r="A4032" s="73"/>
      <c r="B4032" s="3"/>
      <c r="C4032" s="3"/>
      <c r="D4032" s="73"/>
      <c r="E4032" s="2"/>
      <c r="F4032" s="2"/>
      <c r="G4032" s="2"/>
      <c r="H4032" s="2"/>
      <c r="I4032" s="2"/>
      <c r="J4032" s="2"/>
      <c r="K4032" s="72"/>
      <c r="L4032" s="39"/>
      <c r="M4032" s="72"/>
      <c r="N4032" s="72"/>
    </row>
    <row r="4033" spans="1:14" x14ac:dyDescent="0.2">
      <c r="A4033" s="73"/>
      <c r="B4033" s="3"/>
      <c r="C4033" s="3"/>
      <c r="D4033" s="73"/>
      <c r="E4033" s="2"/>
      <c r="F4033" s="2"/>
      <c r="G4033" s="2"/>
      <c r="H4033" s="2"/>
      <c r="I4033" s="2"/>
      <c r="J4033" s="2"/>
      <c r="K4033" s="72"/>
      <c r="L4033" s="39"/>
      <c r="M4033" s="72"/>
      <c r="N4033" s="72"/>
    </row>
    <row r="4034" spans="1:14" x14ac:dyDescent="0.2">
      <c r="A4034" s="73"/>
      <c r="B4034" s="3"/>
      <c r="C4034" s="3"/>
      <c r="D4034" s="73"/>
      <c r="E4034" s="2"/>
      <c r="F4034" s="2"/>
      <c r="G4034" s="2"/>
      <c r="H4034" s="2"/>
      <c r="I4034" s="2"/>
      <c r="J4034" s="2"/>
      <c r="K4034" s="72"/>
      <c r="L4034" s="39"/>
      <c r="M4034" s="72"/>
      <c r="N4034" s="72"/>
    </row>
    <row r="4035" spans="1:14" x14ac:dyDescent="0.2">
      <c r="A4035" s="73"/>
      <c r="B4035" s="3"/>
      <c r="C4035" s="3"/>
      <c r="D4035" s="73"/>
      <c r="E4035" s="2"/>
      <c r="F4035" s="2"/>
      <c r="G4035" s="2"/>
      <c r="H4035" s="2"/>
      <c r="I4035" s="2"/>
      <c r="J4035" s="2"/>
      <c r="K4035" s="72"/>
      <c r="L4035" s="39"/>
      <c r="M4035" s="72"/>
      <c r="N4035" s="72"/>
    </row>
    <row r="4036" spans="1:14" x14ac:dyDescent="0.2">
      <c r="A4036" s="73"/>
      <c r="B4036" s="3"/>
      <c r="C4036" s="3"/>
      <c r="D4036" s="73"/>
      <c r="E4036" s="2"/>
      <c r="F4036" s="2"/>
      <c r="G4036" s="2"/>
      <c r="H4036" s="2"/>
      <c r="I4036" s="2"/>
      <c r="J4036" s="2"/>
      <c r="K4036" s="72"/>
      <c r="L4036" s="39"/>
      <c r="M4036" s="72"/>
      <c r="N4036" s="72"/>
    </row>
    <row r="4037" spans="1:14" x14ac:dyDescent="0.2">
      <c r="A4037" s="73"/>
      <c r="B4037" s="3"/>
      <c r="C4037" s="3"/>
      <c r="D4037" s="73"/>
      <c r="E4037" s="2"/>
      <c r="F4037" s="2"/>
      <c r="G4037" s="2"/>
      <c r="H4037" s="2"/>
      <c r="I4037" s="2"/>
      <c r="J4037" s="2"/>
      <c r="K4037" s="72"/>
      <c r="L4037" s="39"/>
      <c r="M4037" s="72"/>
      <c r="N4037" s="72"/>
    </row>
    <row r="4038" spans="1:14" x14ac:dyDescent="0.2">
      <c r="A4038" s="73"/>
      <c r="B4038" s="3"/>
      <c r="C4038" s="3"/>
      <c r="D4038" s="73"/>
      <c r="E4038" s="2"/>
      <c r="F4038" s="2"/>
      <c r="G4038" s="2"/>
      <c r="H4038" s="2"/>
      <c r="I4038" s="2"/>
      <c r="J4038" s="2"/>
      <c r="K4038" s="72"/>
      <c r="L4038" s="39"/>
      <c r="M4038" s="72"/>
      <c r="N4038" s="72"/>
    </row>
    <row r="4039" spans="1:14" x14ac:dyDescent="0.2">
      <c r="A4039" s="73"/>
      <c r="B4039" s="3"/>
      <c r="C4039" s="3"/>
      <c r="D4039" s="73"/>
      <c r="E4039" s="2"/>
      <c r="F4039" s="2"/>
      <c r="G4039" s="2"/>
      <c r="H4039" s="2"/>
      <c r="I4039" s="2"/>
      <c r="J4039" s="2"/>
      <c r="K4039" s="72"/>
      <c r="L4039" s="39"/>
      <c r="M4039" s="72"/>
      <c r="N4039" s="72"/>
    </row>
    <row r="4040" spans="1:14" x14ac:dyDescent="0.2">
      <c r="A4040" s="73"/>
      <c r="B4040" s="3"/>
      <c r="C4040" s="3"/>
      <c r="D4040" s="73"/>
      <c r="E4040" s="2"/>
      <c r="F4040" s="2"/>
      <c r="G4040" s="2"/>
      <c r="H4040" s="2"/>
      <c r="I4040" s="2"/>
      <c r="J4040" s="2"/>
      <c r="K4040" s="72"/>
      <c r="L4040" s="39"/>
      <c r="M4040" s="72"/>
      <c r="N4040" s="72"/>
    </row>
    <row r="4041" spans="1:14" x14ac:dyDescent="0.2">
      <c r="A4041" s="73"/>
      <c r="B4041" s="3"/>
      <c r="C4041" s="3"/>
      <c r="D4041" s="73"/>
      <c r="E4041" s="2"/>
      <c r="F4041" s="2"/>
      <c r="G4041" s="2"/>
      <c r="H4041" s="2"/>
      <c r="I4041" s="2"/>
      <c r="J4041" s="2"/>
      <c r="K4041" s="72"/>
      <c r="L4041" s="39"/>
      <c r="M4041" s="72"/>
      <c r="N4041" s="72"/>
    </row>
  </sheetData>
  <sortState xmlns:xlrd2="http://schemas.microsoft.com/office/spreadsheetml/2017/richdata2" ref="A2:P2658">
    <sortCondition ref="A2:A2658"/>
    <sortCondition ref="G2:G2658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D5D7-4AC2-455F-92E1-994F4DF2B585}">
  <dimension ref="B3:C3"/>
  <sheetViews>
    <sheetView workbookViewId="0">
      <selection activeCell="I16" sqref="I16"/>
    </sheetView>
  </sheetViews>
  <sheetFormatPr baseColWidth="10" defaultColWidth="8.83203125" defaultRowHeight="13" x14ac:dyDescent="0.15"/>
  <cols>
    <col min="3" max="3" width="19.83203125" customWidth="1"/>
  </cols>
  <sheetData>
    <row r="3" spans="2:3" x14ac:dyDescent="0.15">
      <c r="B3" t="s">
        <v>137</v>
      </c>
      <c r="C3" s="36" t="s">
        <v>1537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B737-908C-457B-A2DA-63F0BE1BFE7B}">
  <dimension ref="A2:O48"/>
  <sheetViews>
    <sheetView workbookViewId="0">
      <pane xSplit="1" ySplit="4" topLeftCell="B5" activePane="bottomRight" state="frozen"/>
      <selection activeCell="R38" sqref="R38"/>
      <selection pane="topRight" activeCell="R38" sqref="R38"/>
      <selection pane="bottomLeft" activeCell="R38" sqref="R38"/>
      <selection pane="bottomRight" activeCell="R38" sqref="R38"/>
    </sheetView>
  </sheetViews>
  <sheetFormatPr baseColWidth="10" defaultColWidth="9.1640625" defaultRowHeight="14" x14ac:dyDescent="0.2"/>
  <cols>
    <col min="1" max="1" width="30" style="1" customWidth="1"/>
    <col min="2" max="2" width="4.6640625" style="1" customWidth="1"/>
    <col min="3" max="5" width="10.6640625" style="1" customWidth="1"/>
    <col min="6" max="6" width="4.6640625" style="1" customWidth="1"/>
    <col min="7" max="9" width="10.6640625" style="1" customWidth="1"/>
    <col min="10" max="10" width="4.6640625" style="1" customWidth="1"/>
    <col min="11" max="11" width="47.33203125" style="1" customWidth="1"/>
    <col min="12" max="12" width="69.6640625" style="1" customWidth="1"/>
    <col min="13" max="16384" width="9.1640625" style="1"/>
  </cols>
  <sheetData>
    <row r="2" spans="1:15" x14ac:dyDescent="0.2">
      <c r="A2" s="8" t="s">
        <v>47</v>
      </c>
      <c r="B2" s="8"/>
      <c r="C2" s="22"/>
      <c r="D2" s="22">
        <v>45474</v>
      </c>
      <c r="E2" s="22"/>
      <c r="G2" s="22"/>
      <c r="H2" s="22" t="s">
        <v>56</v>
      </c>
      <c r="I2" s="22"/>
    </row>
    <row r="3" spans="1:15" x14ac:dyDescent="0.2">
      <c r="A3" s="8"/>
      <c r="B3" s="8"/>
      <c r="C3" s="10" t="s">
        <v>52</v>
      </c>
      <c r="D3" s="10" t="s">
        <v>53</v>
      </c>
      <c r="E3" s="10" t="s">
        <v>58</v>
      </c>
      <c r="G3" s="10" t="s">
        <v>55</v>
      </c>
      <c r="H3" s="10" t="s">
        <v>54</v>
      </c>
      <c r="I3" s="10" t="s">
        <v>58</v>
      </c>
      <c r="K3" s="23" t="s">
        <v>57</v>
      </c>
    </row>
    <row r="4" spans="1:15" x14ac:dyDescent="0.2">
      <c r="A4" s="19"/>
      <c r="B4" s="19"/>
      <c r="C4" s="10"/>
      <c r="D4" s="10"/>
      <c r="E4" s="10"/>
    </row>
    <row r="5" spans="1:15" x14ac:dyDescent="0.2">
      <c r="A5" s="7" t="s">
        <v>23</v>
      </c>
      <c r="B5" s="7"/>
      <c r="C5" s="4">
        <v>228840.40999999997</v>
      </c>
      <c r="D5" s="4" t="e">
        <f>+#REF!</f>
        <v>#REF!</v>
      </c>
      <c r="E5" s="4" t="e">
        <f>+D5-C5</f>
        <v>#REF!</v>
      </c>
      <c r="G5" s="4" t="e">
        <f>+#REF!</f>
        <v>#REF!</v>
      </c>
      <c r="H5" s="4">
        <v>3325262.47</v>
      </c>
      <c r="I5" s="4" t="e">
        <f>+G5-H5</f>
        <v>#REF!</v>
      </c>
    </row>
    <row r="6" spans="1:15" x14ac:dyDescent="0.2">
      <c r="C6" s="4"/>
      <c r="D6" s="4"/>
      <c r="E6" s="4"/>
      <c r="G6" s="4"/>
      <c r="H6" s="4"/>
      <c r="I6" s="4"/>
      <c r="K6" s="14"/>
      <c r="L6" s="14"/>
      <c r="M6" s="4"/>
      <c r="O6" s="4"/>
    </row>
    <row r="7" spans="1:15" x14ac:dyDescent="0.2">
      <c r="A7" s="8" t="s">
        <v>42</v>
      </c>
      <c r="B7" s="8"/>
      <c r="C7" s="12">
        <f>+C5</f>
        <v>228840.40999999997</v>
      </c>
      <c r="D7" s="12" t="e">
        <f>+D5</f>
        <v>#REF!</v>
      </c>
      <c r="E7" s="12" t="e">
        <f>+E5</f>
        <v>#REF!</v>
      </c>
      <c r="G7" s="12" t="e">
        <f>+G5</f>
        <v>#REF!</v>
      </c>
      <c r="H7" s="12">
        <f>+H5</f>
        <v>3325262.47</v>
      </c>
      <c r="I7" s="12" t="e">
        <f>+I5</f>
        <v>#REF!</v>
      </c>
      <c r="K7" s="14"/>
      <c r="L7" s="14"/>
      <c r="M7" s="4"/>
      <c r="O7" s="4"/>
    </row>
    <row r="8" spans="1:15" x14ac:dyDescent="0.2">
      <c r="C8" s="4"/>
      <c r="D8" s="4"/>
      <c r="E8" s="4"/>
      <c r="G8" s="4"/>
      <c r="H8" s="4"/>
      <c r="I8" s="4"/>
      <c r="K8" s="14"/>
      <c r="L8" s="14"/>
      <c r="M8" s="4"/>
      <c r="O8" s="4"/>
    </row>
    <row r="9" spans="1:15" x14ac:dyDescent="0.2">
      <c r="A9" s="7" t="s">
        <v>24</v>
      </c>
      <c r="B9" s="7"/>
      <c r="C9" s="4">
        <v>162000</v>
      </c>
      <c r="D9" s="4" t="e">
        <f>+#REF!</f>
        <v>#REF!</v>
      </c>
      <c r="E9" s="4" t="e">
        <f>+C9-D9</f>
        <v>#REF!</v>
      </c>
      <c r="G9" s="4" t="e">
        <f>+#REF!</f>
        <v>#REF!</v>
      </c>
      <c r="H9" s="4">
        <v>1894083.9100000001</v>
      </c>
      <c r="I9" s="4" t="e">
        <f>+H9-G9</f>
        <v>#REF!</v>
      </c>
      <c r="K9" s="14"/>
      <c r="L9" s="14"/>
      <c r="M9" s="4"/>
      <c r="O9" s="4"/>
    </row>
    <row r="10" spans="1:15" x14ac:dyDescent="0.2">
      <c r="A10" s="7" t="s">
        <v>25</v>
      </c>
      <c r="B10" s="7"/>
      <c r="C10" s="4">
        <v>0</v>
      </c>
      <c r="D10" s="4" t="e">
        <f>+#REF!</f>
        <v>#REF!</v>
      </c>
      <c r="E10" s="4" t="e">
        <f>+C10-D10</f>
        <v>#REF!</v>
      </c>
      <c r="G10" s="4" t="e">
        <f>+#REF!</f>
        <v>#REF!</v>
      </c>
      <c r="H10" s="4">
        <v>66853.09</v>
      </c>
      <c r="I10" s="4" t="e">
        <f>+H10-G10</f>
        <v>#REF!</v>
      </c>
      <c r="K10" s="14"/>
      <c r="L10" s="14"/>
      <c r="M10" s="4"/>
      <c r="O10" s="4"/>
    </row>
    <row r="11" spans="1:15" x14ac:dyDescent="0.2">
      <c r="A11" s="7" t="s">
        <v>20</v>
      </c>
      <c r="B11" s="7"/>
      <c r="C11" s="4">
        <v>78000</v>
      </c>
      <c r="D11" s="4" t="e">
        <f>+#REF!</f>
        <v>#REF!</v>
      </c>
      <c r="E11" s="4" t="e">
        <f>+C11-D11</f>
        <v>#REF!</v>
      </c>
      <c r="G11" s="4" t="e">
        <f>+#REF!</f>
        <v>#REF!</v>
      </c>
      <c r="H11" s="4">
        <v>887462.26</v>
      </c>
      <c r="I11" s="4" t="e">
        <f>+H11-G11</f>
        <v>#REF!</v>
      </c>
      <c r="K11" s="14"/>
      <c r="L11" s="14"/>
      <c r="M11" s="4"/>
      <c r="O11" s="4"/>
    </row>
    <row r="12" spans="1:15" x14ac:dyDescent="0.2">
      <c r="A12" s="7" t="s">
        <v>11</v>
      </c>
      <c r="B12" s="7"/>
      <c r="C12" s="4">
        <v>45000</v>
      </c>
      <c r="D12" s="4" t="e">
        <f>+#REF!</f>
        <v>#REF!</v>
      </c>
      <c r="E12" s="4" t="e">
        <f>+C12-D12</f>
        <v>#REF!</v>
      </c>
      <c r="G12" s="4" t="e">
        <f>+#REF!</f>
        <v>#REF!</v>
      </c>
      <c r="H12" s="4">
        <v>553005.59000000008</v>
      </c>
      <c r="I12" s="4" t="e">
        <f>+H12-G12</f>
        <v>#REF!</v>
      </c>
      <c r="K12" s="14"/>
      <c r="L12" s="14"/>
      <c r="M12" s="4"/>
      <c r="O12" s="4"/>
    </row>
    <row r="13" spans="1:15" x14ac:dyDescent="0.2">
      <c r="A13" s="7" t="s">
        <v>19</v>
      </c>
      <c r="B13" s="7"/>
      <c r="C13" s="4">
        <v>500</v>
      </c>
      <c r="D13" s="4" t="e">
        <f>+#REF!</f>
        <v>#REF!</v>
      </c>
      <c r="E13" s="4" t="e">
        <f>+C13-D13</f>
        <v>#REF!</v>
      </c>
      <c r="G13" s="4" t="e">
        <f>+#REF!</f>
        <v>#REF!</v>
      </c>
      <c r="H13" s="4">
        <v>7186.8700000000008</v>
      </c>
      <c r="I13" s="4" t="e">
        <f>+H13-G13</f>
        <v>#REF!</v>
      </c>
      <c r="K13" s="14"/>
      <c r="L13" s="14"/>
      <c r="M13" s="4"/>
      <c r="O13" s="4"/>
    </row>
    <row r="14" spans="1:15" x14ac:dyDescent="0.2">
      <c r="A14" s="8" t="s">
        <v>40</v>
      </c>
      <c r="B14" s="8"/>
      <c r="C14" s="12">
        <f>SUM(C9:C13)</f>
        <v>285500</v>
      </c>
      <c r="D14" s="12" t="e">
        <f>SUM(D9:D13)</f>
        <v>#REF!</v>
      </c>
      <c r="E14" s="12" t="e">
        <f>SUM(E9:E13)</f>
        <v>#REF!</v>
      </c>
      <c r="G14" s="12" t="e">
        <f>SUM(G9:G13)</f>
        <v>#REF!</v>
      </c>
      <c r="H14" s="12">
        <f>SUM(H9:H13)</f>
        <v>3408591.7200000007</v>
      </c>
      <c r="I14" s="12" t="e">
        <f>SUM(I9:I13)</f>
        <v>#REF!</v>
      </c>
      <c r="K14" s="14"/>
      <c r="L14" s="14"/>
      <c r="M14" s="4"/>
      <c r="O14" s="4"/>
    </row>
    <row r="15" spans="1:15" x14ac:dyDescent="0.2">
      <c r="K15" s="14"/>
      <c r="L15" s="14"/>
      <c r="M15" s="4"/>
      <c r="O15" s="4"/>
    </row>
    <row r="16" spans="1:15" x14ac:dyDescent="0.2">
      <c r="A16" s="8" t="s">
        <v>27</v>
      </c>
      <c r="B16" s="8"/>
      <c r="C16" s="12">
        <v>117303.72</v>
      </c>
      <c r="D16" s="12" t="e">
        <f>+#REF!</f>
        <v>#REF!</v>
      </c>
      <c r="E16" s="4" t="e">
        <f>+C16-D16</f>
        <v>#REF!</v>
      </c>
      <c r="G16" s="12" t="e">
        <f>+#REF!</f>
        <v>#REF!</v>
      </c>
      <c r="H16" s="12">
        <v>1272266.1099999999</v>
      </c>
      <c r="I16" s="12" t="e">
        <f>+H16-G16</f>
        <v>#REF!</v>
      </c>
      <c r="K16" s="14"/>
      <c r="L16" s="14"/>
      <c r="M16" s="4"/>
      <c r="O16" s="4"/>
    </row>
    <row r="17" spans="1:15" x14ac:dyDescent="0.2">
      <c r="K17" s="14"/>
      <c r="L17" s="14"/>
      <c r="M17" s="4"/>
      <c r="O17" s="4"/>
    </row>
    <row r="18" spans="1:15" x14ac:dyDescent="0.2">
      <c r="A18" s="7" t="s">
        <v>34</v>
      </c>
      <c r="B18" s="7"/>
      <c r="C18" s="4">
        <v>6762</v>
      </c>
      <c r="D18" s="4" t="e">
        <f>+#REF!</f>
        <v>#REF!</v>
      </c>
      <c r="E18" s="4" t="e">
        <f t="shared" ref="E18:E27" si="0">+C18-D18</f>
        <v>#REF!</v>
      </c>
      <c r="G18" s="4" t="e">
        <f>+#REF!</f>
        <v>#REF!</v>
      </c>
      <c r="H18" s="4">
        <v>40573.75</v>
      </c>
      <c r="I18" s="4" t="e">
        <f t="shared" ref="I18:I27" si="1">+H18-G18</f>
        <v>#REF!</v>
      </c>
      <c r="K18" s="14"/>
      <c r="L18" s="14"/>
      <c r="M18" s="4"/>
      <c r="O18" s="4"/>
    </row>
    <row r="19" spans="1:15" x14ac:dyDescent="0.2">
      <c r="A19" s="7" t="s">
        <v>30</v>
      </c>
      <c r="B19" s="7"/>
      <c r="C19" s="4">
        <v>10000</v>
      </c>
      <c r="D19" s="4" t="e">
        <f>+#REF!</f>
        <v>#REF!</v>
      </c>
      <c r="E19" s="4" t="e">
        <f t="shared" si="0"/>
        <v>#REF!</v>
      </c>
      <c r="G19" s="4" t="e">
        <f>+#REF!</f>
        <v>#REF!</v>
      </c>
      <c r="H19" s="4">
        <v>110875.29000000001</v>
      </c>
      <c r="I19" s="4" t="e">
        <f t="shared" si="1"/>
        <v>#REF!</v>
      </c>
      <c r="K19" s="14"/>
      <c r="L19" s="14"/>
      <c r="M19" s="4"/>
      <c r="O19" s="4"/>
    </row>
    <row r="20" spans="1:15" x14ac:dyDescent="0.2">
      <c r="A20" s="7" t="s">
        <v>17</v>
      </c>
      <c r="B20" s="7"/>
      <c r="C20" s="4">
        <v>4000</v>
      </c>
      <c r="D20" s="4" t="e">
        <f>+#REF!</f>
        <v>#REF!</v>
      </c>
      <c r="E20" s="4" t="e">
        <f t="shared" si="0"/>
        <v>#REF!</v>
      </c>
      <c r="G20" s="4" t="e">
        <f>+#REF!</f>
        <v>#REF!</v>
      </c>
      <c r="H20" s="4">
        <v>44377.770000000004</v>
      </c>
      <c r="I20" s="4" t="e">
        <f t="shared" si="1"/>
        <v>#REF!</v>
      </c>
      <c r="K20" s="14"/>
      <c r="L20" s="14"/>
      <c r="M20" s="4"/>
      <c r="O20" s="4"/>
    </row>
    <row r="21" spans="1:15" x14ac:dyDescent="0.2">
      <c r="A21" s="7" t="s">
        <v>28</v>
      </c>
      <c r="B21" s="7"/>
      <c r="C21" s="4">
        <v>0</v>
      </c>
      <c r="D21" s="4" t="e">
        <f>+#REF!</f>
        <v>#REF!</v>
      </c>
      <c r="E21" s="4" t="e">
        <f t="shared" si="0"/>
        <v>#REF!</v>
      </c>
      <c r="G21" s="4" t="e">
        <f>+#REF!</f>
        <v>#REF!</v>
      </c>
      <c r="H21" s="4">
        <v>638.42000000000007</v>
      </c>
      <c r="I21" s="4" t="e">
        <f t="shared" si="1"/>
        <v>#REF!</v>
      </c>
      <c r="K21" s="14"/>
      <c r="L21" s="14"/>
      <c r="M21" s="4"/>
      <c r="O21" s="4"/>
    </row>
    <row r="22" spans="1:15" x14ac:dyDescent="0.2">
      <c r="A22" s="7" t="s">
        <v>18</v>
      </c>
      <c r="B22" s="7"/>
      <c r="C22" s="4">
        <v>6000</v>
      </c>
      <c r="D22" s="4" t="e">
        <f>+#REF!</f>
        <v>#REF!</v>
      </c>
      <c r="E22" s="4" t="e">
        <f t="shared" si="0"/>
        <v>#REF!</v>
      </c>
      <c r="G22" s="4" t="e">
        <f>+#REF!</f>
        <v>#REF!</v>
      </c>
      <c r="H22" s="4">
        <v>76013</v>
      </c>
      <c r="I22" s="4" t="e">
        <f t="shared" si="1"/>
        <v>#REF!</v>
      </c>
      <c r="K22" s="14"/>
      <c r="L22" s="14"/>
      <c r="M22" s="4"/>
      <c r="O22" s="4"/>
    </row>
    <row r="23" spans="1:15" x14ac:dyDescent="0.2">
      <c r="A23" s="7" t="s">
        <v>29</v>
      </c>
      <c r="B23" s="7"/>
      <c r="C23" s="4">
        <v>265000</v>
      </c>
      <c r="D23" s="4" t="e">
        <f>+#REF!</f>
        <v>#REF!</v>
      </c>
      <c r="E23" s="4" t="e">
        <f t="shared" si="0"/>
        <v>#REF!</v>
      </c>
      <c r="G23" s="4" t="e">
        <f>+#REF!</f>
        <v>#REF!</v>
      </c>
      <c r="H23" s="4">
        <v>303153.5</v>
      </c>
      <c r="I23" s="4" t="e">
        <f t="shared" si="1"/>
        <v>#REF!</v>
      </c>
      <c r="K23" s="14"/>
      <c r="L23" s="14"/>
      <c r="M23" s="4"/>
      <c r="O23" s="4"/>
    </row>
    <row r="24" spans="1:15" x14ac:dyDescent="0.2">
      <c r="A24" s="7" t="s">
        <v>32</v>
      </c>
      <c r="B24" s="7"/>
      <c r="C24" s="4">
        <v>10000</v>
      </c>
      <c r="D24" s="4" t="e">
        <f>+#REF!</f>
        <v>#REF!</v>
      </c>
      <c r="E24" s="4" t="e">
        <f t="shared" si="0"/>
        <v>#REF!</v>
      </c>
      <c r="G24" s="4" t="e">
        <f>+#REF!</f>
        <v>#REF!</v>
      </c>
      <c r="H24" s="4">
        <v>139641.25</v>
      </c>
      <c r="I24" s="4" t="e">
        <f t="shared" si="1"/>
        <v>#REF!</v>
      </c>
      <c r="K24" s="14"/>
      <c r="L24" s="14"/>
      <c r="M24" s="4"/>
      <c r="O24" s="4"/>
    </row>
    <row r="25" spans="1:15" x14ac:dyDescent="0.2">
      <c r="A25" s="7" t="s">
        <v>31</v>
      </c>
      <c r="B25" s="7"/>
      <c r="C25" s="4">
        <v>0</v>
      </c>
      <c r="D25" s="4" t="e">
        <f>+#REF!</f>
        <v>#REF!</v>
      </c>
      <c r="E25" s="4" t="e">
        <f t="shared" si="0"/>
        <v>#REF!</v>
      </c>
      <c r="G25" s="4" t="e">
        <f>+#REF!</f>
        <v>#REF!</v>
      </c>
      <c r="H25" s="4">
        <v>18000</v>
      </c>
      <c r="I25" s="4" t="e">
        <f t="shared" si="1"/>
        <v>#REF!</v>
      </c>
      <c r="K25" s="14"/>
      <c r="L25" s="14"/>
      <c r="M25" s="4"/>
      <c r="O25" s="4"/>
    </row>
    <row r="26" spans="1:15" x14ac:dyDescent="0.2">
      <c r="A26" s="7" t="s">
        <v>21</v>
      </c>
      <c r="B26" s="7"/>
      <c r="C26" s="4">
        <v>0</v>
      </c>
      <c r="D26" s="4" t="e">
        <f>+#REF!</f>
        <v>#REF!</v>
      </c>
      <c r="E26" s="4" t="e">
        <f t="shared" si="0"/>
        <v>#REF!</v>
      </c>
      <c r="G26" s="4" t="e">
        <f>+#REF!</f>
        <v>#REF!</v>
      </c>
      <c r="H26" s="4">
        <v>7613.43</v>
      </c>
      <c r="I26" s="4" t="e">
        <f t="shared" si="1"/>
        <v>#REF!</v>
      </c>
      <c r="K26" s="14"/>
      <c r="L26" s="14"/>
      <c r="M26" s="4"/>
      <c r="O26" s="4"/>
    </row>
    <row r="27" spans="1:15" x14ac:dyDescent="0.2">
      <c r="A27" s="7" t="s">
        <v>22</v>
      </c>
      <c r="B27" s="7"/>
      <c r="C27" s="4">
        <v>1500</v>
      </c>
      <c r="D27" s="4" t="e">
        <f>+#REF!</f>
        <v>#REF!</v>
      </c>
      <c r="E27" s="4" t="e">
        <f t="shared" si="0"/>
        <v>#REF!</v>
      </c>
      <c r="G27" s="4" t="e">
        <f>+#REF!</f>
        <v>#REF!</v>
      </c>
      <c r="H27" s="4">
        <v>19248.669999999998</v>
      </c>
      <c r="I27" s="4" t="e">
        <f t="shared" si="1"/>
        <v>#REF!</v>
      </c>
      <c r="K27" s="14"/>
      <c r="L27" s="14"/>
      <c r="M27" s="4"/>
      <c r="O27" s="4"/>
    </row>
    <row r="28" spans="1:15" x14ac:dyDescent="0.2">
      <c r="A28" s="8" t="s">
        <v>41</v>
      </c>
      <c r="B28" s="8"/>
      <c r="C28" s="12">
        <f>SUM(C18:C27)</f>
        <v>303262</v>
      </c>
      <c r="D28" s="12" t="e">
        <f>SUM(D18:D27)</f>
        <v>#REF!</v>
      </c>
      <c r="E28" s="12" t="e">
        <f>SUM(E18:E27)</f>
        <v>#REF!</v>
      </c>
      <c r="G28" s="12" t="e">
        <f>SUM(G18:G27)</f>
        <v>#REF!</v>
      </c>
      <c r="H28" s="12">
        <f>SUM(H18:H27)</f>
        <v>760135.08000000007</v>
      </c>
      <c r="I28" s="12" t="e">
        <f>SUM(I18:I27)</f>
        <v>#REF!</v>
      </c>
      <c r="K28" s="14"/>
      <c r="L28" s="14"/>
      <c r="M28" s="4"/>
      <c r="O28" s="4"/>
    </row>
    <row r="29" spans="1:15" x14ac:dyDescent="0.2">
      <c r="C29" s="4"/>
      <c r="D29" s="4"/>
      <c r="E29" s="4"/>
      <c r="G29" s="4"/>
      <c r="H29" s="4"/>
      <c r="I29" s="4"/>
    </row>
    <row r="30" spans="1:15" x14ac:dyDescent="0.2">
      <c r="A30" s="8" t="s">
        <v>43</v>
      </c>
      <c r="B30" s="8"/>
      <c r="C30" s="12">
        <f>+C14+C16+C28</f>
        <v>706065.72</v>
      </c>
      <c r="D30" s="12" t="e">
        <f>+D14+D16+D28</f>
        <v>#REF!</v>
      </c>
      <c r="E30" s="12" t="e">
        <f>+E14+E16+E28</f>
        <v>#REF!</v>
      </c>
      <c r="G30" s="12" t="e">
        <f>+G14+G16+G28</f>
        <v>#REF!</v>
      </c>
      <c r="H30" s="12">
        <f>+H14+H16+H28</f>
        <v>5440992.9100000001</v>
      </c>
      <c r="I30" s="12" t="e">
        <f>+I14+I16+I28</f>
        <v>#REF!</v>
      </c>
      <c r="J30" s="4"/>
    </row>
    <row r="32" spans="1:15" x14ac:dyDescent="0.2">
      <c r="A32" s="7" t="s">
        <v>50</v>
      </c>
      <c r="B32" s="7"/>
      <c r="C32" s="4">
        <v>0</v>
      </c>
      <c r="D32" s="4" t="e">
        <f>+#REF!</f>
        <v>#REF!</v>
      </c>
      <c r="E32" s="4" t="e">
        <f t="shared" ref="E32:E38" si="2">+D32-C32</f>
        <v>#REF!</v>
      </c>
      <c r="G32" s="4" t="e">
        <f>+#REF!</f>
        <v>#REF!</v>
      </c>
      <c r="H32" s="4">
        <v>3249999.8099999996</v>
      </c>
      <c r="I32" s="4" t="e">
        <f t="shared" ref="I32:I38" si="3">+G32-H32</f>
        <v>#REF!</v>
      </c>
    </row>
    <row r="33" spans="1:9" x14ac:dyDescent="0.2">
      <c r="A33" s="7" t="s">
        <v>33</v>
      </c>
      <c r="B33" s="7"/>
      <c r="C33" s="4">
        <v>0</v>
      </c>
      <c r="D33" s="4" t="e">
        <f>+#REF!</f>
        <v>#REF!</v>
      </c>
      <c r="E33" s="4" t="e">
        <f t="shared" si="2"/>
        <v>#REF!</v>
      </c>
      <c r="G33" s="4" t="e">
        <f>+#REF!</f>
        <v>#REF!</v>
      </c>
      <c r="H33" s="4">
        <v>-413175.03999999998</v>
      </c>
      <c r="I33" s="4" t="e">
        <f t="shared" si="3"/>
        <v>#REF!</v>
      </c>
    </row>
    <row r="34" spans="1:9" x14ac:dyDescent="0.2">
      <c r="A34" s="7" t="s">
        <v>35</v>
      </c>
      <c r="B34" s="7"/>
      <c r="C34" s="4">
        <v>0</v>
      </c>
      <c r="D34" s="4" t="e">
        <f>+#REF!</f>
        <v>#REF!</v>
      </c>
      <c r="E34" s="4" t="e">
        <f t="shared" si="2"/>
        <v>#REF!</v>
      </c>
      <c r="G34" s="4" t="e">
        <f>+#REF!</f>
        <v>#REF!</v>
      </c>
      <c r="H34" s="4">
        <v>0</v>
      </c>
      <c r="I34" s="4" t="e">
        <f t="shared" si="3"/>
        <v>#REF!</v>
      </c>
    </row>
    <row r="35" spans="1:9" x14ac:dyDescent="0.2">
      <c r="A35" s="7" t="s">
        <v>16</v>
      </c>
      <c r="B35" s="7"/>
      <c r="C35" s="4">
        <v>-2750</v>
      </c>
      <c r="D35" s="4" t="e">
        <f>+#REF!</f>
        <v>#REF!</v>
      </c>
      <c r="E35" s="4" t="e">
        <f t="shared" si="2"/>
        <v>#REF!</v>
      </c>
      <c r="G35" s="4" t="e">
        <f>+#REF!</f>
        <v>#REF!</v>
      </c>
      <c r="H35" s="4">
        <v>-40720.9</v>
      </c>
      <c r="I35" s="4" t="e">
        <f t="shared" si="3"/>
        <v>#REF!</v>
      </c>
    </row>
    <row r="36" spans="1:9" x14ac:dyDescent="0.2">
      <c r="A36" s="7" t="s">
        <v>0</v>
      </c>
      <c r="B36" s="7"/>
      <c r="C36" s="4">
        <v>-750</v>
      </c>
      <c r="D36" s="4" t="e">
        <f>+#REF!</f>
        <v>#REF!</v>
      </c>
      <c r="E36" s="4" t="e">
        <f t="shared" si="2"/>
        <v>#REF!</v>
      </c>
      <c r="G36" s="4" t="e">
        <f>+#REF!</f>
        <v>#REF!</v>
      </c>
      <c r="H36" s="4">
        <v>-16651.759999999998</v>
      </c>
      <c r="I36" s="4" t="e">
        <f t="shared" si="3"/>
        <v>#REF!</v>
      </c>
    </row>
    <row r="37" spans="1:9" x14ac:dyDescent="0.2">
      <c r="A37" s="7" t="s">
        <v>26</v>
      </c>
      <c r="B37" s="7"/>
      <c r="C37" s="4">
        <v>-200</v>
      </c>
      <c r="D37" s="4" t="e">
        <f>+#REF!</f>
        <v>#REF!</v>
      </c>
      <c r="E37" s="4" t="e">
        <f t="shared" si="2"/>
        <v>#REF!</v>
      </c>
      <c r="G37" s="4" t="e">
        <f>+#REF!</f>
        <v>#REF!</v>
      </c>
      <c r="H37" s="4">
        <v>-2618.19</v>
      </c>
      <c r="I37" s="4" t="e">
        <f t="shared" si="3"/>
        <v>#REF!</v>
      </c>
    </row>
    <row r="38" spans="1:9" x14ac:dyDescent="0.2">
      <c r="A38" s="7" t="s">
        <v>48</v>
      </c>
      <c r="B38" s="7"/>
      <c r="C38" s="4">
        <v>0</v>
      </c>
      <c r="D38" s="4" t="e">
        <f>+#REF!</f>
        <v>#REF!</v>
      </c>
      <c r="E38" s="4" t="e">
        <f t="shared" si="2"/>
        <v>#REF!</v>
      </c>
      <c r="G38" s="4" t="e">
        <f>+#REF!</f>
        <v>#REF!</v>
      </c>
      <c r="H38" s="4">
        <v>56.180000000000007</v>
      </c>
      <c r="I38" s="4" t="e">
        <f t="shared" si="3"/>
        <v>#REF!</v>
      </c>
    </row>
    <row r="39" spans="1:9" x14ac:dyDescent="0.2">
      <c r="D39" s="4"/>
      <c r="H39" s="4"/>
    </row>
    <row r="40" spans="1:9" x14ac:dyDescent="0.2">
      <c r="A40" s="1" t="s">
        <v>44</v>
      </c>
      <c r="C40" s="4" t="e">
        <f>+#REF!</f>
        <v>#REF!</v>
      </c>
      <c r="D40" s="4" t="e">
        <f>+C40</f>
        <v>#REF!</v>
      </c>
      <c r="E40" s="4" t="e">
        <f>+D40-C40</f>
        <v>#REF!</v>
      </c>
      <c r="G40" s="4" t="e">
        <f>+#REF!</f>
        <v>#REF!</v>
      </c>
      <c r="H40" s="4" t="e">
        <f>+G40</f>
        <v>#REF!</v>
      </c>
      <c r="I40" s="4" t="e">
        <f>+H40-G40</f>
        <v>#REF!</v>
      </c>
    </row>
    <row r="42" spans="1:9" x14ac:dyDescent="0.2">
      <c r="A42" s="7" t="s">
        <v>45</v>
      </c>
      <c r="B42" s="7"/>
      <c r="C42" s="4">
        <f>+C7-C30+SUM(C32:C38)</f>
        <v>-480925.31</v>
      </c>
      <c r="D42" s="4" t="e">
        <f>+D7-D30+SUM(D32:D38)</f>
        <v>#REF!</v>
      </c>
      <c r="E42" s="4" t="e">
        <f>+D42-C42</f>
        <v>#REF!</v>
      </c>
      <c r="G42" s="4" t="e">
        <f>+G7-G30+SUM(G32:G38)</f>
        <v>#REF!</v>
      </c>
      <c r="H42" s="4">
        <f>+H7-H30+SUM(H32:H38)</f>
        <v>661159.66000000015</v>
      </c>
      <c r="I42" s="4" t="e">
        <f>+G42-H42</f>
        <v>#REF!</v>
      </c>
    </row>
    <row r="43" spans="1:9" x14ac:dyDescent="0.2">
      <c r="A43" s="7"/>
      <c r="B43" s="7"/>
    </row>
    <row r="44" spans="1:9" x14ac:dyDescent="0.2">
      <c r="A44" s="8" t="s">
        <v>46</v>
      </c>
      <c r="B44" s="8"/>
      <c r="C44" s="12" t="e">
        <f>+C40+C42</f>
        <v>#REF!</v>
      </c>
      <c r="D44" s="12" t="e">
        <f>+D40+D42</f>
        <v>#REF!</v>
      </c>
      <c r="E44" s="12" t="e">
        <f>+D44-C44</f>
        <v>#REF!</v>
      </c>
      <c r="G44" s="12" t="e">
        <f>+G40+G42</f>
        <v>#REF!</v>
      </c>
      <c r="H44" s="12" t="e">
        <f>+H40+H42</f>
        <v>#REF!</v>
      </c>
      <c r="I44" s="12" t="e">
        <f>+G44-H44</f>
        <v>#REF!</v>
      </c>
    </row>
    <row r="46" spans="1:9" x14ac:dyDescent="0.2">
      <c r="D46" s="4" t="e">
        <f>+D44-#REF!</f>
        <v>#REF!</v>
      </c>
      <c r="E46" s="4"/>
      <c r="G46" s="4" t="e">
        <f>+G44-#REF!</f>
        <v>#REF!</v>
      </c>
      <c r="H46" s="4"/>
      <c r="I46" s="4"/>
    </row>
    <row r="47" spans="1:9" x14ac:dyDescent="0.2">
      <c r="C47" s="4"/>
      <c r="D47" s="4"/>
      <c r="E47" s="4"/>
      <c r="G47" s="4"/>
      <c r="H47" s="4"/>
      <c r="I47" s="4"/>
    </row>
    <row r="48" spans="1:9" x14ac:dyDescent="0.2">
      <c r="E48" s="4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1B02-13FB-4F17-BA44-854E41BF26E8}">
  <dimension ref="A2:T38"/>
  <sheetViews>
    <sheetView workbookViewId="0">
      <pane xSplit="1" ySplit="3" topLeftCell="B4" activePane="bottomRight" state="frozen"/>
      <selection activeCell="R38" sqref="R38"/>
      <selection pane="topRight" activeCell="R38" sqref="R38"/>
      <selection pane="bottomLeft" activeCell="R38" sqref="R38"/>
      <selection pane="bottomRight" activeCell="R38" sqref="R38"/>
    </sheetView>
  </sheetViews>
  <sheetFormatPr baseColWidth="10" defaultColWidth="9.1640625" defaultRowHeight="14" x14ac:dyDescent="0.2"/>
  <cols>
    <col min="1" max="1" width="30" style="1" customWidth="1"/>
    <col min="2" max="13" width="10.6640625" style="1" customWidth="1"/>
    <col min="14" max="14" width="2.6640625" style="1" customWidth="1"/>
    <col min="15" max="18" width="10.6640625" style="1" customWidth="1"/>
    <col min="19" max="19" width="2.6640625" style="1" customWidth="1"/>
    <col min="20" max="20" width="10.6640625" style="1" customWidth="1"/>
    <col min="21" max="16384" width="9.1640625" style="1"/>
  </cols>
  <sheetData>
    <row r="2" spans="1:20" x14ac:dyDescent="0.2">
      <c r="A2" s="8" t="s">
        <v>47</v>
      </c>
      <c r="B2" s="9">
        <v>45292</v>
      </c>
      <c r="C2" s="9">
        <v>45323</v>
      </c>
      <c r="D2" s="9">
        <v>45352</v>
      </c>
      <c r="E2" s="9">
        <v>45383</v>
      </c>
      <c r="F2" s="9">
        <v>45413</v>
      </c>
      <c r="G2" s="9">
        <v>45444</v>
      </c>
      <c r="H2" s="9">
        <v>45474</v>
      </c>
      <c r="I2" s="9">
        <v>45505</v>
      </c>
      <c r="J2" s="9">
        <v>45536</v>
      </c>
      <c r="K2" s="9">
        <v>45566</v>
      </c>
      <c r="L2" s="9">
        <v>45597</v>
      </c>
      <c r="M2" s="9">
        <v>45627</v>
      </c>
      <c r="N2" s="8"/>
      <c r="O2" s="10" t="s">
        <v>36</v>
      </c>
      <c r="P2" s="10" t="s">
        <v>37</v>
      </c>
      <c r="Q2" s="10" t="s">
        <v>38</v>
      </c>
      <c r="R2" s="10" t="s">
        <v>39</v>
      </c>
      <c r="S2" s="10"/>
      <c r="T2" s="11">
        <v>2024</v>
      </c>
    </row>
    <row r="3" spans="1:20" x14ac:dyDescent="0.2">
      <c r="A3" s="19"/>
    </row>
    <row r="4" spans="1:20" x14ac:dyDescent="0.2">
      <c r="A4" s="7" t="s">
        <v>23</v>
      </c>
      <c r="B4" s="20" t="e">
        <f>+#REF!/#REF!</f>
        <v>#REF!</v>
      </c>
      <c r="C4" s="20" t="e">
        <f>+#REF!/#REF!</f>
        <v>#REF!</v>
      </c>
      <c r="D4" s="20" t="e">
        <f>+#REF!/#REF!</f>
        <v>#REF!</v>
      </c>
      <c r="E4" s="20" t="e">
        <f>+#REF!/#REF!</f>
        <v>#REF!</v>
      </c>
      <c r="F4" s="20" t="e">
        <f>+#REF!/#REF!</f>
        <v>#REF!</v>
      </c>
      <c r="G4" s="20" t="e">
        <f>+#REF!/#REF!</f>
        <v>#REF!</v>
      </c>
      <c r="H4" s="20" t="e">
        <f>+#REF!/#REF!</f>
        <v>#REF!</v>
      </c>
      <c r="I4" s="20" t="e">
        <f>+#REF!/#REF!</f>
        <v>#REF!</v>
      </c>
      <c r="J4" s="20" t="e">
        <f>+#REF!/#REF!</f>
        <v>#REF!</v>
      </c>
      <c r="K4" s="20" t="e">
        <f>+#REF!/#REF!</f>
        <v>#REF!</v>
      </c>
      <c r="L4" s="20" t="e">
        <f>+#REF!/#REF!</f>
        <v>#REF!</v>
      </c>
      <c r="M4" s="20" t="e">
        <f>+#REF!/#REF!</f>
        <v>#REF!</v>
      </c>
      <c r="N4" s="20"/>
      <c r="O4" s="20" t="e">
        <f>+#REF!/#REF!</f>
        <v>#REF!</v>
      </c>
      <c r="P4" s="20" t="e">
        <f>+#REF!/#REF!</f>
        <v>#REF!</v>
      </c>
      <c r="Q4" s="20" t="e">
        <f>+#REF!/#REF!</f>
        <v>#REF!</v>
      </c>
      <c r="R4" s="20" t="e">
        <f>+#REF!/#REF!</f>
        <v>#REF!</v>
      </c>
      <c r="S4" s="20"/>
      <c r="T4" s="20" t="e">
        <f>+#REF!/#REF!</f>
        <v>#REF!</v>
      </c>
    </row>
    <row r="5" spans="1:20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x14ac:dyDescent="0.2">
      <c r="A6" s="8" t="s">
        <v>42</v>
      </c>
      <c r="B6" s="21" t="e">
        <f>+#REF!/#REF!</f>
        <v>#REF!</v>
      </c>
      <c r="C6" s="21" t="e">
        <f>+#REF!/#REF!</f>
        <v>#REF!</v>
      </c>
      <c r="D6" s="21" t="e">
        <f>+#REF!/#REF!</f>
        <v>#REF!</v>
      </c>
      <c r="E6" s="21" t="e">
        <f>+#REF!/#REF!</f>
        <v>#REF!</v>
      </c>
      <c r="F6" s="21" t="e">
        <f>+#REF!/#REF!</f>
        <v>#REF!</v>
      </c>
      <c r="G6" s="21" t="e">
        <f>+#REF!/#REF!</f>
        <v>#REF!</v>
      </c>
      <c r="H6" s="21" t="e">
        <f>+#REF!/#REF!</f>
        <v>#REF!</v>
      </c>
      <c r="I6" s="21" t="e">
        <f>+#REF!/#REF!</f>
        <v>#REF!</v>
      </c>
      <c r="J6" s="21" t="e">
        <f>+#REF!/#REF!</f>
        <v>#REF!</v>
      </c>
      <c r="K6" s="21" t="e">
        <f>+#REF!/#REF!</f>
        <v>#REF!</v>
      </c>
      <c r="L6" s="21" t="e">
        <f>+#REF!/#REF!</f>
        <v>#REF!</v>
      </c>
      <c r="M6" s="21" t="e">
        <f>+#REF!/#REF!</f>
        <v>#REF!</v>
      </c>
      <c r="N6" s="21"/>
      <c r="O6" s="21" t="e">
        <f>+#REF!/#REF!</f>
        <v>#REF!</v>
      </c>
      <c r="P6" s="21" t="e">
        <f>+#REF!/#REF!</f>
        <v>#REF!</v>
      </c>
      <c r="Q6" s="21" t="e">
        <f>+#REF!/#REF!</f>
        <v>#REF!</v>
      </c>
      <c r="R6" s="21" t="e">
        <f>+#REF!/#REF!</f>
        <v>#REF!</v>
      </c>
      <c r="S6" s="21"/>
      <c r="T6" s="21" t="e">
        <f>+#REF!/#REF!</f>
        <v>#REF!</v>
      </c>
    </row>
    <row r="7" spans="1:20" x14ac:dyDescent="0.2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 x14ac:dyDescent="0.2">
      <c r="A8" s="7" t="s">
        <v>24</v>
      </c>
      <c r="B8" s="20" t="e">
        <f>+#REF!/#REF!</f>
        <v>#REF!</v>
      </c>
      <c r="C8" s="20" t="e">
        <f>+#REF!/#REF!</f>
        <v>#REF!</v>
      </c>
      <c r="D8" s="20" t="e">
        <f>+#REF!/#REF!</f>
        <v>#REF!</v>
      </c>
      <c r="E8" s="20" t="e">
        <f>+#REF!/#REF!</f>
        <v>#REF!</v>
      </c>
      <c r="F8" s="20" t="e">
        <f>+#REF!/#REF!</f>
        <v>#REF!</v>
      </c>
      <c r="G8" s="20" t="e">
        <f>+#REF!/#REF!</f>
        <v>#REF!</v>
      </c>
      <c r="H8" s="20" t="e">
        <f>+#REF!/#REF!</f>
        <v>#REF!</v>
      </c>
      <c r="I8" s="20" t="e">
        <f>+#REF!/#REF!</f>
        <v>#REF!</v>
      </c>
      <c r="J8" s="20" t="e">
        <f>+#REF!/#REF!</f>
        <v>#REF!</v>
      </c>
      <c r="K8" s="20" t="e">
        <f>+#REF!/#REF!</f>
        <v>#REF!</v>
      </c>
      <c r="L8" s="20" t="e">
        <f>+#REF!/#REF!</f>
        <v>#REF!</v>
      </c>
      <c r="M8" s="20" t="e">
        <f>+#REF!/#REF!</f>
        <v>#REF!</v>
      </c>
      <c r="N8" s="20"/>
      <c r="O8" s="20" t="e">
        <f>+#REF!/#REF!</f>
        <v>#REF!</v>
      </c>
      <c r="P8" s="20" t="e">
        <f>+#REF!/#REF!</f>
        <v>#REF!</v>
      </c>
      <c r="Q8" s="20" t="e">
        <f>+#REF!/#REF!</f>
        <v>#REF!</v>
      </c>
      <c r="R8" s="20" t="e">
        <f>+#REF!/#REF!</f>
        <v>#REF!</v>
      </c>
      <c r="S8" s="20"/>
      <c r="T8" s="20" t="e">
        <f>+#REF!/#REF!</f>
        <v>#REF!</v>
      </c>
    </row>
    <row r="9" spans="1:20" x14ac:dyDescent="0.2">
      <c r="A9" s="7" t="s">
        <v>25</v>
      </c>
      <c r="B9" s="20" t="e">
        <f>+#REF!/#REF!</f>
        <v>#REF!</v>
      </c>
      <c r="C9" s="20" t="e">
        <f>+#REF!/#REF!</f>
        <v>#REF!</v>
      </c>
      <c r="D9" s="20" t="e">
        <f>+#REF!/#REF!</f>
        <v>#REF!</v>
      </c>
      <c r="E9" s="20" t="e">
        <f>+#REF!/#REF!</f>
        <v>#REF!</v>
      </c>
      <c r="F9" s="20" t="e">
        <f>+#REF!/#REF!</f>
        <v>#REF!</v>
      </c>
      <c r="G9" s="20" t="e">
        <f>+#REF!/#REF!</f>
        <v>#REF!</v>
      </c>
      <c r="H9" s="20" t="e">
        <f>+#REF!/#REF!</f>
        <v>#REF!</v>
      </c>
      <c r="I9" s="20" t="e">
        <f>+#REF!/#REF!</f>
        <v>#REF!</v>
      </c>
      <c r="J9" s="20" t="e">
        <f>+#REF!/#REF!</f>
        <v>#REF!</v>
      </c>
      <c r="K9" s="20" t="e">
        <f>+#REF!/#REF!</f>
        <v>#REF!</v>
      </c>
      <c r="L9" s="20" t="e">
        <f>+#REF!/#REF!</f>
        <v>#REF!</v>
      </c>
      <c r="M9" s="20" t="e">
        <f>+#REF!/#REF!</f>
        <v>#REF!</v>
      </c>
      <c r="N9" s="20"/>
      <c r="O9" s="20" t="e">
        <f>+#REF!/#REF!</f>
        <v>#REF!</v>
      </c>
      <c r="P9" s="20" t="e">
        <f>+#REF!/#REF!</f>
        <v>#REF!</v>
      </c>
      <c r="Q9" s="20" t="e">
        <f>+#REF!/#REF!</f>
        <v>#REF!</v>
      </c>
      <c r="R9" s="20" t="e">
        <f>+#REF!/#REF!</f>
        <v>#REF!</v>
      </c>
      <c r="S9" s="20"/>
      <c r="T9" s="20" t="e">
        <f>+#REF!/#REF!</f>
        <v>#REF!</v>
      </c>
    </row>
    <row r="10" spans="1:20" x14ac:dyDescent="0.2">
      <c r="A10" s="7" t="s">
        <v>20</v>
      </c>
      <c r="B10" s="20" t="e">
        <f>+#REF!/#REF!</f>
        <v>#REF!</v>
      </c>
      <c r="C10" s="20" t="e">
        <f>+#REF!/#REF!</f>
        <v>#REF!</v>
      </c>
      <c r="D10" s="20" t="e">
        <f>+#REF!/#REF!</f>
        <v>#REF!</v>
      </c>
      <c r="E10" s="20" t="e">
        <f>+#REF!/#REF!</f>
        <v>#REF!</v>
      </c>
      <c r="F10" s="20" t="e">
        <f>+#REF!/#REF!</f>
        <v>#REF!</v>
      </c>
      <c r="G10" s="20" t="e">
        <f>+#REF!/#REF!</f>
        <v>#REF!</v>
      </c>
      <c r="H10" s="20" t="e">
        <f>+#REF!/#REF!</f>
        <v>#REF!</v>
      </c>
      <c r="I10" s="20" t="e">
        <f>+#REF!/#REF!</f>
        <v>#REF!</v>
      </c>
      <c r="J10" s="20" t="e">
        <f>+#REF!/#REF!</f>
        <v>#REF!</v>
      </c>
      <c r="K10" s="20" t="e">
        <f>+#REF!/#REF!</f>
        <v>#REF!</v>
      </c>
      <c r="L10" s="20" t="e">
        <f>+#REF!/#REF!</f>
        <v>#REF!</v>
      </c>
      <c r="M10" s="20" t="e">
        <f>+#REF!/#REF!</f>
        <v>#REF!</v>
      </c>
      <c r="N10" s="20"/>
      <c r="O10" s="20" t="e">
        <f>+#REF!/#REF!</f>
        <v>#REF!</v>
      </c>
      <c r="P10" s="20" t="e">
        <f>+#REF!/#REF!</f>
        <v>#REF!</v>
      </c>
      <c r="Q10" s="20" t="e">
        <f>+#REF!/#REF!</f>
        <v>#REF!</v>
      </c>
      <c r="R10" s="20" t="e">
        <f>+#REF!/#REF!</f>
        <v>#REF!</v>
      </c>
      <c r="S10" s="20"/>
      <c r="T10" s="20" t="e">
        <f>+#REF!/#REF!</f>
        <v>#REF!</v>
      </c>
    </row>
    <row r="11" spans="1:20" x14ac:dyDescent="0.2">
      <c r="A11" s="7" t="s">
        <v>11</v>
      </c>
      <c r="B11" s="20" t="e">
        <f>+#REF!/#REF!</f>
        <v>#REF!</v>
      </c>
      <c r="C11" s="20" t="e">
        <f>+#REF!/#REF!</f>
        <v>#REF!</v>
      </c>
      <c r="D11" s="20" t="e">
        <f>+#REF!/#REF!</f>
        <v>#REF!</v>
      </c>
      <c r="E11" s="20" t="e">
        <f>+#REF!/#REF!</f>
        <v>#REF!</v>
      </c>
      <c r="F11" s="20" t="e">
        <f>+#REF!/#REF!</f>
        <v>#REF!</v>
      </c>
      <c r="G11" s="20" t="e">
        <f>+#REF!/#REF!</f>
        <v>#REF!</v>
      </c>
      <c r="H11" s="20" t="e">
        <f>+#REF!/#REF!</f>
        <v>#REF!</v>
      </c>
      <c r="I11" s="20" t="e">
        <f>+#REF!/#REF!</f>
        <v>#REF!</v>
      </c>
      <c r="J11" s="20" t="e">
        <f>+#REF!/#REF!</f>
        <v>#REF!</v>
      </c>
      <c r="K11" s="20" t="e">
        <f>+#REF!/#REF!</f>
        <v>#REF!</v>
      </c>
      <c r="L11" s="20" t="e">
        <f>+#REF!/#REF!</f>
        <v>#REF!</v>
      </c>
      <c r="M11" s="20" t="e">
        <f>+#REF!/#REF!</f>
        <v>#REF!</v>
      </c>
      <c r="N11" s="20"/>
      <c r="O11" s="20" t="e">
        <f>+#REF!/#REF!</f>
        <v>#REF!</v>
      </c>
      <c r="P11" s="20" t="e">
        <f>+#REF!/#REF!</f>
        <v>#REF!</v>
      </c>
      <c r="Q11" s="20" t="e">
        <f>+#REF!/#REF!</f>
        <v>#REF!</v>
      </c>
      <c r="R11" s="20" t="e">
        <f>+#REF!/#REF!</f>
        <v>#REF!</v>
      </c>
      <c r="S11" s="20"/>
      <c r="T11" s="20" t="e">
        <f>+#REF!/#REF!</f>
        <v>#REF!</v>
      </c>
    </row>
    <row r="12" spans="1:20" x14ac:dyDescent="0.2">
      <c r="A12" s="7" t="s">
        <v>19</v>
      </c>
      <c r="B12" s="20" t="e">
        <f>+#REF!/#REF!</f>
        <v>#REF!</v>
      </c>
      <c r="C12" s="20" t="e">
        <f>+#REF!/#REF!</f>
        <v>#REF!</v>
      </c>
      <c r="D12" s="20" t="e">
        <f>+#REF!/#REF!</f>
        <v>#REF!</v>
      </c>
      <c r="E12" s="20" t="e">
        <f>+#REF!/#REF!</f>
        <v>#REF!</v>
      </c>
      <c r="F12" s="20" t="e">
        <f>+#REF!/#REF!</f>
        <v>#REF!</v>
      </c>
      <c r="G12" s="20" t="e">
        <f>+#REF!/#REF!</f>
        <v>#REF!</v>
      </c>
      <c r="H12" s="20" t="e">
        <f>+#REF!/#REF!</f>
        <v>#REF!</v>
      </c>
      <c r="I12" s="20" t="e">
        <f>+#REF!/#REF!</f>
        <v>#REF!</v>
      </c>
      <c r="J12" s="20" t="e">
        <f>+#REF!/#REF!</f>
        <v>#REF!</v>
      </c>
      <c r="K12" s="20" t="e">
        <f>+#REF!/#REF!</f>
        <v>#REF!</v>
      </c>
      <c r="L12" s="20" t="e">
        <f>+#REF!/#REF!</f>
        <v>#REF!</v>
      </c>
      <c r="M12" s="20" t="e">
        <f>+#REF!/#REF!</f>
        <v>#REF!</v>
      </c>
      <c r="N12" s="20"/>
      <c r="O12" s="20" t="e">
        <f>+#REF!/#REF!</f>
        <v>#REF!</v>
      </c>
      <c r="P12" s="20" t="e">
        <f>+#REF!/#REF!</f>
        <v>#REF!</v>
      </c>
      <c r="Q12" s="20" t="e">
        <f>+#REF!/#REF!</f>
        <v>#REF!</v>
      </c>
      <c r="R12" s="20" t="e">
        <f>+#REF!/#REF!</f>
        <v>#REF!</v>
      </c>
      <c r="S12" s="20"/>
      <c r="T12" s="20" t="e">
        <f>+#REF!/#REF!</f>
        <v>#REF!</v>
      </c>
    </row>
    <row r="13" spans="1:20" x14ac:dyDescent="0.2">
      <c r="A13" s="8" t="s">
        <v>40</v>
      </c>
      <c r="B13" s="21" t="e">
        <f>+#REF!/#REF!</f>
        <v>#REF!</v>
      </c>
      <c r="C13" s="21" t="e">
        <f>+#REF!/#REF!</f>
        <v>#REF!</v>
      </c>
      <c r="D13" s="21" t="e">
        <f>+#REF!/#REF!</f>
        <v>#REF!</v>
      </c>
      <c r="E13" s="21" t="e">
        <f>+#REF!/#REF!</f>
        <v>#REF!</v>
      </c>
      <c r="F13" s="21" t="e">
        <f>+#REF!/#REF!</f>
        <v>#REF!</v>
      </c>
      <c r="G13" s="21" t="e">
        <f>+#REF!/#REF!</f>
        <v>#REF!</v>
      </c>
      <c r="H13" s="21" t="e">
        <f>+#REF!/#REF!</f>
        <v>#REF!</v>
      </c>
      <c r="I13" s="21" t="e">
        <f>+#REF!/#REF!</f>
        <v>#REF!</v>
      </c>
      <c r="J13" s="21" t="e">
        <f>+#REF!/#REF!</f>
        <v>#REF!</v>
      </c>
      <c r="K13" s="21" t="e">
        <f>+#REF!/#REF!</f>
        <v>#REF!</v>
      </c>
      <c r="L13" s="21" t="e">
        <f>+#REF!/#REF!</f>
        <v>#REF!</v>
      </c>
      <c r="M13" s="21" t="e">
        <f>+#REF!/#REF!</f>
        <v>#REF!</v>
      </c>
      <c r="N13" s="21"/>
      <c r="O13" s="21" t="e">
        <f>+#REF!/#REF!</f>
        <v>#REF!</v>
      </c>
      <c r="P13" s="21" t="e">
        <f>+#REF!/#REF!</f>
        <v>#REF!</v>
      </c>
      <c r="Q13" s="21" t="e">
        <f>+#REF!/#REF!</f>
        <v>#REF!</v>
      </c>
      <c r="R13" s="21" t="e">
        <f>+#REF!/#REF!</f>
        <v>#REF!</v>
      </c>
      <c r="S13" s="21"/>
      <c r="T13" s="21" t="e">
        <f>+#REF!/#REF!</f>
        <v>#REF!</v>
      </c>
    </row>
    <row r="14" spans="1:20" x14ac:dyDescent="0.2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 x14ac:dyDescent="0.2">
      <c r="A15" s="8" t="s">
        <v>27</v>
      </c>
      <c r="B15" s="21" t="e">
        <f>+#REF!/#REF!</f>
        <v>#REF!</v>
      </c>
      <c r="C15" s="21" t="e">
        <f>+#REF!/#REF!</f>
        <v>#REF!</v>
      </c>
      <c r="D15" s="21" t="e">
        <f>+#REF!/#REF!</f>
        <v>#REF!</v>
      </c>
      <c r="E15" s="21" t="e">
        <f>+#REF!/#REF!</f>
        <v>#REF!</v>
      </c>
      <c r="F15" s="21" t="e">
        <f>+#REF!/#REF!</f>
        <v>#REF!</v>
      </c>
      <c r="G15" s="21" t="e">
        <f>+#REF!/#REF!</f>
        <v>#REF!</v>
      </c>
      <c r="H15" s="21" t="e">
        <f>+#REF!/#REF!</f>
        <v>#REF!</v>
      </c>
      <c r="I15" s="21" t="e">
        <f>+#REF!/#REF!</f>
        <v>#REF!</v>
      </c>
      <c r="J15" s="21" t="e">
        <f>+#REF!/#REF!</f>
        <v>#REF!</v>
      </c>
      <c r="K15" s="21" t="e">
        <f>+#REF!/#REF!</f>
        <v>#REF!</v>
      </c>
      <c r="L15" s="21" t="e">
        <f>+#REF!/#REF!</f>
        <v>#REF!</v>
      </c>
      <c r="M15" s="21" t="e">
        <f>+#REF!/#REF!</f>
        <v>#REF!</v>
      </c>
      <c r="N15" s="21"/>
      <c r="O15" s="21" t="e">
        <f>+#REF!/#REF!</f>
        <v>#REF!</v>
      </c>
      <c r="P15" s="21" t="e">
        <f>+#REF!/#REF!</f>
        <v>#REF!</v>
      </c>
      <c r="Q15" s="21" t="e">
        <f>+#REF!/#REF!</f>
        <v>#REF!</v>
      </c>
      <c r="R15" s="21" t="e">
        <f>+#REF!/#REF!</f>
        <v>#REF!</v>
      </c>
      <c r="S15" s="21"/>
      <c r="T15" s="21" t="e">
        <f>+#REF!/#REF!</f>
        <v>#REF!</v>
      </c>
    </row>
    <row r="16" spans="1:20" x14ac:dyDescent="0.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 x14ac:dyDescent="0.2">
      <c r="A17" s="7" t="s">
        <v>34</v>
      </c>
      <c r="B17" s="20" t="e">
        <f>+#REF!/#REF!</f>
        <v>#REF!</v>
      </c>
      <c r="C17" s="20" t="e">
        <f>+#REF!/#REF!</f>
        <v>#REF!</v>
      </c>
      <c r="D17" s="20" t="e">
        <f>+#REF!/#REF!</f>
        <v>#REF!</v>
      </c>
      <c r="E17" s="20" t="e">
        <f>+#REF!/#REF!</f>
        <v>#REF!</v>
      </c>
      <c r="F17" s="20" t="e">
        <f>+#REF!/#REF!</f>
        <v>#REF!</v>
      </c>
      <c r="G17" s="20" t="e">
        <f>+#REF!/#REF!</f>
        <v>#REF!</v>
      </c>
      <c r="H17" s="20" t="e">
        <f>+#REF!/#REF!</f>
        <v>#REF!</v>
      </c>
      <c r="I17" s="20" t="e">
        <f>+#REF!/#REF!</f>
        <v>#REF!</v>
      </c>
      <c r="J17" s="20" t="e">
        <f>+#REF!/#REF!</f>
        <v>#REF!</v>
      </c>
      <c r="K17" s="20" t="e">
        <f>+#REF!/#REF!</f>
        <v>#REF!</v>
      </c>
      <c r="L17" s="20" t="e">
        <f>+#REF!/#REF!</f>
        <v>#REF!</v>
      </c>
      <c r="M17" s="20" t="e">
        <f>+#REF!/#REF!</f>
        <v>#REF!</v>
      </c>
      <c r="N17" s="20"/>
      <c r="O17" s="20" t="e">
        <f>+#REF!/#REF!</f>
        <v>#REF!</v>
      </c>
      <c r="P17" s="20" t="e">
        <f>+#REF!/#REF!</f>
        <v>#REF!</v>
      </c>
      <c r="Q17" s="20" t="e">
        <f>+#REF!/#REF!</f>
        <v>#REF!</v>
      </c>
      <c r="R17" s="20" t="e">
        <f>+#REF!/#REF!</f>
        <v>#REF!</v>
      </c>
      <c r="S17" s="20"/>
      <c r="T17" s="20" t="e">
        <f>+#REF!/#REF!</f>
        <v>#REF!</v>
      </c>
    </row>
    <row r="18" spans="1:20" x14ac:dyDescent="0.2">
      <c r="A18" s="7" t="s">
        <v>30</v>
      </c>
      <c r="B18" s="20" t="e">
        <f>+#REF!/#REF!</f>
        <v>#REF!</v>
      </c>
      <c r="C18" s="20" t="e">
        <f>+#REF!/#REF!</f>
        <v>#REF!</v>
      </c>
      <c r="D18" s="20" t="e">
        <f>+#REF!/#REF!</f>
        <v>#REF!</v>
      </c>
      <c r="E18" s="20" t="e">
        <f>+#REF!/#REF!</f>
        <v>#REF!</v>
      </c>
      <c r="F18" s="20" t="e">
        <f>+#REF!/#REF!</f>
        <v>#REF!</v>
      </c>
      <c r="G18" s="20" t="e">
        <f>+#REF!/#REF!</f>
        <v>#REF!</v>
      </c>
      <c r="H18" s="20" t="e">
        <f>+#REF!/#REF!</f>
        <v>#REF!</v>
      </c>
      <c r="I18" s="20" t="e">
        <f>+#REF!/#REF!</f>
        <v>#REF!</v>
      </c>
      <c r="J18" s="20" t="e">
        <f>+#REF!/#REF!</f>
        <v>#REF!</v>
      </c>
      <c r="K18" s="20" t="e">
        <f>+#REF!/#REF!</f>
        <v>#REF!</v>
      </c>
      <c r="L18" s="20" t="e">
        <f>+#REF!/#REF!</f>
        <v>#REF!</v>
      </c>
      <c r="M18" s="20" t="e">
        <f>+#REF!/#REF!</f>
        <v>#REF!</v>
      </c>
      <c r="N18" s="20"/>
      <c r="O18" s="20" t="e">
        <f>+#REF!/#REF!</f>
        <v>#REF!</v>
      </c>
      <c r="P18" s="20" t="e">
        <f>+#REF!/#REF!</f>
        <v>#REF!</v>
      </c>
      <c r="Q18" s="20" t="e">
        <f>+#REF!/#REF!</f>
        <v>#REF!</v>
      </c>
      <c r="R18" s="20" t="e">
        <f>+#REF!/#REF!</f>
        <v>#REF!</v>
      </c>
      <c r="S18" s="20"/>
      <c r="T18" s="20" t="e">
        <f>+#REF!/#REF!</f>
        <v>#REF!</v>
      </c>
    </row>
    <row r="19" spans="1:20" x14ac:dyDescent="0.2">
      <c r="A19" s="7" t="s">
        <v>17</v>
      </c>
      <c r="B19" s="20" t="e">
        <f>+#REF!/#REF!</f>
        <v>#REF!</v>
      </c>
      <c r="C19" s="20" t="e">
        <f>+#REF!/#REF!</f>
        <v>#REF!</v>
      </c>
      <c r="D19" s="20" t="e">
        <f>+#REF!/#REF!</f>
        <v>#REF!</v>
      </c>
      <c r="E19" s="20" t="e">
        <f>+#REF!/#REF!</f>
        <v>#REF!</v>
      </c>
      <c r="F19" s="20" t="e">
        <f>+#REF!/#REF!</f>
        <v>#REF!</v>
      </c>
      <c r="G19" s="20" t="e">
        <f>+#REF!/#REF!</f>
        <v>#REF!</v>
      </c>
      <c r="H19" s="20" t="e">
        <f>+#REF!/#REF!</f>
        <v>#REF!</v>
      </c>
      <c r="I19" s="20" t="e">
        <f>+#REF!/#REF!</f>
        <v>#REF!</v>
      </c>
      <c r="J19" s="20" t="e">
        <f>+#REF!/#REF!</f>
        <v>#REF!</v>
      </c>
      <c r="K19" s="20" t="e">
        <f>+#REF!/#REF!</f>
        <v>#REF!</v>
      </c>
      <c r="L19" s="20" t="e">
        <f>+#REF!/#REF!</f>
        <v>#REF!</v>
      </c>
      <c r="M19" s="20" t="e">
        <f>+#REF!/#REF!</f>
        <v>#REF!</v>
      </c>
      <c r="N19" s="20"/>
      <c r="O19" s="20" t="e">
        <f>+#REF!/#REF!</f>
        <v>#REF!</v>
      </c>
      <c r="P19" s="20" t="e">
        <f>+#REF!/#REF!</f>
        <v>#REF!</v>
      </c>
      <c r="Q19" s="20" t="e">
        <f>+#REF!/#REF!</f>
        <v>#REF!</v>
      </c>
      <c r="R19" s="20" t="e">
        <f>+#REF!/#REF!</f>
        <v>#REF!</v>
      </c>
      <c r="S19" s="20"/>
      <c r="T19" s="20" t="e">
        <f>+#REF!/#REF!</f>
        <v>#REF!</v>
      </c>
    </row>
    <row r="20" spans="1:20" x14ac:dyDescent="0.2">
      <c r="A20" s="7" t="s">
        <v>28</v>
      </c>
      <c r="B20" s="20" t="e">
        <f>+#REF!/#REF!</f>
        <v>#REF!</v>
      </c>
      <c r="C20" s="20" t="e">
        <f>+#REF!/#REF!</f>
        <v>#REF!</v>
      </c>
      <c r="D20" s="20" t="e">
        <f>+#REF!/#REF!</f>
        <v>#REF!</v>
      </c>
      <c r="E20" s="20" t="e">
        <f>+#REF!/#REF!</f>
        <v>#REF!</v>
      </c>
      <c r="F20" s="20" t="e">
        <f>+#REF!/#REF!</f>
        <v>#REF!</v>
      </c>
      <c r="G20" s="20" t="e">
        <f>+#REF!/#REF!</f>
        <v>#REF!</v>
      </c>
      <c r="H20" s="20" t="e">
        <f>+#REF!/#REF!</f>
        <v>#REF!</v>
      </c>
      <c r="I20" s="20" t="e">
        <f>+#REF!/#REF!</f>
        <v>#REF!</v>
      </c>
      <c r="J20" s="20" t="e">
        <f>+#REF!/#REF!</f>
        <v>#REF!</v>
      </c>
      <c r="K20" s="20" t="e">
        <f>+#REF!/#REF!</f>
        <v>#REF!</v>
      </c>
      <c r="L20" s="20" t="e">
        <f>+#REF!/#REF!</f>
        <v>#REF!</v>
      </c>
      <c r="M20" s="20" t="e">
        <f>+#REF!/#REF!</f>
        <v>#REF!</v>
      </c>
      <c r="N20" s="20"/>
      <c r="O20" s="20" t="e">
        <f>+#REF!/#REF!</f>
        <v>#REF!</v>
      </c>
      <c r="P20" s="20" t="e">
        <f>+#REF!/#REF!</f>
        <v>#REF!</v>
      </c>
      <c r="Q20" s="20" t="e">
        <f>+#REF!/#REF!</f>
        <v>#REF!</v>
      </c>
      <c r="R20" s="20" t="e">
        <f>+#REF!/#REF!</f>
        <v>#REF!</v>
      </c>
      <c r="S20" s="20"/>
      <c r="T20" s="20" t="e">
        <f>+#REF!/#REF!</f>
        <v>#REF!</v>
      </c>
    </row>
    <row r="21" spans="1:20" x14ac:dyDescent="0.2">
      <c r="A21" s="7" t="s">
        <v>18</v>
      </c>
      <c r="B21" s="20" t="e">
        <f>+#REF!/#REF!</f>
        <v>#REF!</v>
      </c>
      <c r="C21" s="20" t="e">
        <f>+#REF!/#REF!</f>
        <v>#REF!</v>
      </c>
      <c r="D21" s="20" t="e">
        <f>+#REF!/#REF!</f>
        <v>#REF!</v>
      </c>
      <c r="E21" s="20" t="e">
        <f>+#REF!/#REF!</f>
        <v>#REF!</v>
      </c>
      <c r="F21" s="20" t="e">
        <f>+#REF!/#REF!</f>
        <v>#REF!</v>
      </c>
      <c r="G21" s="20" t="e">
        <f>+#REF!/#REF!</f>
        <v>#REF!</v>
      </c>
      <c r="H21" s="20" t="e">
        <f>+#REF!/#REF!</f>
        <v>#REF!</v>
      </c>
      <c r="I21" s="20" t="e">
        <f>+#REF!/#REF!</f>
        <v>#REF!</v>
      </c>
      <c r="J21" s="20" t="e">
        <f>+#REF!/#REF!</f>
        <v>#REF!</v>
      </c>
      <c r="K21" s="20" t="e">
        <f>+#REF!/#REF!</f>
        <v>#REF!</v>
      </c>
      <c r="L21" s="20" t="e">
        <f>+#REF!/#REF!</f>
        <v>#REF!</v>
      </c>
      <c r="M21" s="20" t="e">
        <f>+#REF!/#REF!</f>
        <v>#REF!</v>
      </c>
      <c r="N21" s="20"/>
      <c r="O21" s="20" t="e">
        <f>+#REF!/#REF!</f>
        <v>#REF!</v>
      </c>
      <c r="P21" s="20" t="e">
        <f>+#REF!/#REF!</f>
        <v>#REF!</v>
      </c>
      <c r="Q21" s="20" t="e">
        <f>+#REF!/#REF!</f>
        <v>#REF!</v>
      </c>
      <c r="R21" s="20" t="e">
        <f>+#REF!/#REF!</f>
        <v>#REF!</v>
      </c>
      <c r="S21" s="20"/>
      <c r="T21" s="20" t="e">
        <f>+#REF!/#REF!</f>
        <v>#REF!</v>
      </c>
    </row>
    <row r="22" spans="1:20" x14ac:dyDescent="0.2">
      <c r="A22" s="7" t="s">
        <v>29</v>
      </c>
      <c r="B22" s="20" t="e">
        <f>+#REF!/#REF!</f>
        <v>#REF!</v>
      </c>
      <c r="C22" s="20" t="e">
        <f>+#REF!/#REF!</f>
        <v>#REF!</v>
      </c>
      <c r="D22" s="20" t="e">
        <f>+#REF!/#REF!</f>
        <v>#REF!</v>
      </c>
      <c r="E22" s="20" t="e">
        <f>+#REF!/#REF!</f>
        <v>#REF!</v>
      </c>
      <c r="F22" s="20" t="e">
        <f>+#REF!/#REF!</f>
        <v>#REF!</v>
      </c>
      <c r="G22" s="20" t="e">
        <f>+#REF!/#REF!</f>
        <v>#REF!</v>
      </c>
      <c r="H22" s="20" t="e">
        <f>+#REF!/#REF!</f>
        <v>#REF!</v>
      </c>
      <c r="I22" s="20" t="e">
        <f>+#REF!/#REF!</f>
        <v>#REF!</v>
      </c>
      <c r="J22" s="20" t="e">
        <f>+#REF!/#REF!</f>
        <v>#REF!</v>
      </c>
      <c r="K22" s="20" t="e">
        <f>+#REF!/#REF!</f>
        <v>#REF!</v>
      </c>
      <c r="L22" s="20" t="e">
        <f>+#REF!/#REF!</f>
        <v>#REF!</v>
      </c>
      <c r="M22" s="20" t="e">
        <f>+#REF!/#REF!</f>
        <v>#REF!</v>
      </c>
      <c r="N22" s="20"/>
      <c r="O22" s="20" t="e">
        <f>+#REF!/#REF!</f>
        <v>#REF!</v>
      </c>
      <c r="P22" s="20" t="e">
        <f>+#REF!/#REF!</f>
        <v>#REF!</v>
      </c>
      <c r="Q22" s="20" t="e">
        <f>+#REF!/#REF!</f>
        <v>#REF!</v>
      </c>
      <c r="R22" s="20" t="e">
        <f>+#REF!/#REF!</f>
        <v>#REF!</v>
      </c>
      <c r="S22" s="20"/>
      <c r="T22" s="20" t="e">
        <f>+#REF!/#REF!</f>
        <v>#REF!</v>
      </c>
    </row>
    <row r="23" spans="1:20" x14ac:dyDescent="0.2">
      <c r="A23" s="7" t="s">
        <v>32</v>
      </c>
      <c r="B23" s="20" t="e">
        <f>+#REF!/#REF!</f>
        <v>#REF!</v>
      </c>
      <c r="C23" s="20" t="e">
        <f>+#REF!/#REF!</f>
        <v>#REF!</v>
      </c>
      <c r="D23" s="20" t="e">
        <f>+#REF!/#REF!</f>
        <v>#REF!</v>
      </c>
      <c r="E23" s="20" t="e">
        <f>+#REF!/#REF!</f>
        <v>#REF!</v>
      </c>
      <c r="F23" s="20" t="e">
        <f>+#REF!/#REF!</f>
        <v>#REF!</v>
      </c>
      <c r="G23" s="20" t="e">
        <f>+#REF!/#REF!</f>
        <v>#REF!</v>
      </c>
      <c r="H23" s="20" t="e">
        <f>+#REF!/#REF!</f>
        <v>#REF!</v>
      </c>
      <c r="I23" s="20" t="e">
        <f>+#REF!/#REF!</f>
        <v>#REF!</v>
      </c>
      <c r="J23" s="20" t="e">
        <f>+#REF!/#REF!</f>
        <v>#REF!</v>
      </c>
      <c r="K23" s="20" t="e">
        <f>+#REF!/#REF!</f>
        <v>#REF!</v>
      </c>
      <c r="L23" s="20" t="e">
        <f>+#REF!/#REF!</f>
        <v>#REF!</v>
      </c>
      <c r="M23" s="20" t="e">
        <f>+#REF!/#REF!</f>
        <v>#REF!</v>
      </c>
      <c r="N23" s="20"/>
      <c r="O23" s="20" t="e">
        <f>+#REF!/#REF!</f>
        <v>#REF!</v>
      </c>
      <c r="P23" s="20" t="e">
        <f>+#REF!/#REF!</f>
        <v>#REF!</v>
      </c>
      <c r="Q23" s="20" t="e">
        <f>+#REF!/#REF!</f>
        <v>#REF!</v>
      </c>
      <c r="R23" s="20" t="e">
        <f>+#REF!/#REF!</f>
        <v>#REF!</v>
      </c>
      <c r="S23" s="20"/>
      <c r="T23" s="20" t="e">
        <f>+#REF!/#REF!</f>
        <v>#REF!</v>
      </c>
    </row>
    <row r="24" spans="1:20" x14ac:dyDescent="0.2">
      <c r="A24" s="7" t="s">
        <v>31</v>
      </c>
      <c r="B24" s="20" t="e">
        <f>+#REF!/#REF!</f>
        <v>#REF!</v>
      </c>
      <c r="C24" s="20" t="e">
        <f>+#REF!/#REF!</f>
        <v>#REF!</v>
      </c>
      <c r="D24" s="20" t="e">
        <f>+#REF!/#REF!</f>
        <v>#REF!</v>
      </c>
      <c r="E24" s="20" t="e">
        <f>+#REF!/#REF!</f>
        <v>#REF!</v>
      </c>
      <c r="F24" s="20" t="e">
        <f>+#REF!/#REF!</f>
        <v>#REF!</v>
      </c>
      <c r="G24" s="20" t="e">
        <f>+#REF!/#REF!</f>
        <v>#REF!</v>
      </c>
      <c r="H24" s="20" t="e">
        <f>+#REF!/#REF!</f>
        <v>#REF!</v>
      </c>
      <c r="I24" s="20" t="e">
        <f>+#REF!/#REF!</f>
        <v>#REF!</v>
      </c>
      <c r="J24" s="20" t="e">
        <f>+#REF!/#REF!</f>
        <v>#REF!</v>
      </c>
      <c r="K24" s="20" t="e">
        <f>+#REF!/#REF!</f>
        <v>#REF!</v>
      </c>
      <c r="L24" s="20" t="e">
        <f>+#REF!/#REF!</f>
        <v>#REF!</v>
      </c>
      <c r="M24" s="20" t="e">
        <f>+#REF!/#REF!</f>
        <v>#REF!</v>
      </c>
      <c r="N24" s="20"/>
      <c r="O24" s="20" t="e">
        <f>+#REF!/#REF!</f>
        <v>#REF!</v>
      </c>
      <c r="P24" s="20" t="e">
        <f>+#REF!/#REF!</f>
        <v>#REF!</v>
      </c>
      <c r="Q24" s="20" t="e">
        <f>+#REF!/#REF!</f>
        <v>#REF!</v>
      </c>
      <c r="R24" s="20" t="e">
        <f>+#REF!/#REF!</f>
        <v>#REF!</v>
      </c>
      <c r="S24" s="20"/>
      <c r="T24" s="20" t="e">
        <f>+#REF!/#REF!</f>
        <v>#REF!</v>
      </c>
    </row>
    <row r="25" spans="1:20" x14ac:dyDescent="0.2">
      <c r="A25" s="7" t="s">
        <v>21</v>
      </c>
      <c r="B25" s="20" t="e">
        <f>+#REF!/#REF!</f>
        <v>#REF!</v>
      </c>
      <c r="C25" s="20" t="e">
        <f>+#REF!/#REF!</f>
        <v>#REF!</v>
      </c>
      <c r="D25" s="20" t="e">
        <f>+#REF!/#REF!</f>
        <v>#REF!</v>
      </c>
      <c r="E25" s="20" t="e">
        <f>+#REF!/#REF!</f>
        <v>#REF!</v>
      </c>
      <c r="F25" s="20" t="e">
        <f>+#REF!/#REF!</f>
        <v>#REF!</v>
      </c>
      <c r="G25" s="20" t="e">
        <f>+#REF!/#REF!</f>
        <v>#REF!</v>
      </c>
      <c r="H25" s="20" t="e">
        <f>+#REF!/#REF!</f>
        <v>#REF!</v>
      </c>
      <c r="I25" s="20" t="e">
        <f>+#REF!/#REF!</f>
        <v>#REF!</v>
      </c>
      <c r="J25" s="20" t="e">
        <f>+#REF!/#REF!</f>
        <v>#REF!</v>
      </c>
      <c r="K25" s="20" t="e">
        <f>+#REF!/#REF!</f>
        <v>#REF!</v>
      </c>
      <c r="L25" s="20" t="e">
        <f>+#REF!/#REF!</f>
        <v>#REF!</v>
      </c>
      <c r="M25" s="20" t="e">
        <f>+#REF!/#REF!</f>
        <v>#REF!</v>
      </c>
      <c r="N25" s="20"/>
      <c r="O25" s="20" t="e">
        <f>+#REF!/#REF!</f>
        <v>#REF!</v>
      </c>
      <c r="P25" s="20" t="e">
        <f>+#REF!/#REF!</f>
        <v>#REF!</v>
      </c>
      <c r="Q25" s="20" t="e">
        <f>+#REF!/#REF!</f>
        <v>#REF!</v>
      </c>
      <c r="R25" s="20" t="e">
        <f>+#REF!/#REF!</f>
        <v>#REF!</v>
      </c>
      <c r="S25" s="20"/>
      <c r="T25" s="20" t="e">
        <f>+#REF!/#REF!</f>
        <v>#REF!</v>
      </c>
    </row>
    <row r="26" spans="1:20" x14ac:dyDescent="0.2">
      <c r="A26" s="7" t="s">
        <v>22</v>
      </c>
      <c r="B26" s="20" t="e">
        <f>+#REF!/#REF!</f>
        <v>#REF!</v>
      </c>
      <c r="C26" s="20" t="e">
        <f>+#REF!/#REF!</f>
        <v>#REF!</v>
      </c>
      <c r="D26" s="20" t="e">
        <f>+#REF!/#REF!</f>
        <v>#REF!</v>
      </c>
      <c r="E26" s="20" t="e">
        <f>+#REF!/#REF!</f>
        <v>#REF!</v>
      </c>
      <c r="F26" s="20" t="e">
        <f>+#REF!/#REF!</f>
        <v>#REF!</v>
      </c>
      <c r="G26" s="20" t="e">
        <f>+#REF!/#REF!</f>
        <v>#REF!</v>
      </c>
      <c r="H26" s="20" t="e">
        <f>+#REF!/#REF!</f>
        <v>#REF!</v>
      </c>
      <c r="I26" s="20" t="e">
        <f>+#REF!/#REF!</f>
        <v>#REF!</v>
      </c>
      <c r="J26" s="20" t="e">
        <f>+#REF!/#REF!</f>
        <v>#REF!</v>
      </c>
      <c r="K26" s="20" t="e">
        <f>+#REF!/#REF!</f>
        <v>#REF!</v>
      </c>
      <c r="L26" s="20" t="e">
        <f>+#REF!/#REF!</f>
        <v>#REF!</v>
      </c>
      <c r="M26" s="20" t="e">
        <f>+#REF!/#REF!</f>
        <v>#REF!</v>
      </c>
      <c r="N26" s="20"/>
      <c r="O26" s="20" t="e">
        <f>+#REF!/#REF!</f>
        <v>#REF!</v>
      </c>
      <c r="P26" s="20" t="e">
        <f>+#REF!/#REF!</f>
        <v>#REF!</v>
      </c>
      <c r="Q26" s="20" t="e">
        <f>+#REF!/#REF!</f>
        <v>#REF!</v>
      </c>
      <c r="R26" s="20" t="e">
        <f>+#REF!/#REF!</f>
        <v>#REF!</v>
      </c>
      <c r="S26" s="20"/>
      <c r="T26" s="20" t="e">
        <f>+#REF!/#REF!</f>
        <v>#REF!</v>
      </c>
    </row>
    <row r="27" spans="1:20" x14ac:dyDescent="0.2">
      <c r="A27" s="8" t="s">
        <v>41</v>
      </c>
      <c r="B27" s="21" t="e">
        <f>+#REF!/#REF!</f>
        <v>#REF!</v>
      </c>
      <c r="C27" s="21" t="e">
        <f>+#REF!/#REF!</f>
        <v>#REF!</v>
      </c>
      <c r="D27" s="21" t="e">
        <f>+#REF!/#REF!</f>
        <v>#REF!</v>
      </c>
      <c r="E27" s="21" t="e">
        <f>+#REF!/#REF!</f>
        <v>#REF!</v>
      </c>
      <c r="F27" s="21" t="e">
        <f>+#REF!/#REF!</f>
        <v>#REF!</v>
      </c>
      <c r="G27" s="21" t="e">
        <f>+#REF!/#REF!</f>
        <v>#REF!</v>
      </c>
      <c r="H27" s="21" t="e">
        <f>+#REF!/#REF!</f>
        <v>#REF!</v>
      </c>
      <c r="I27" s="21" t="e">
        <f>+#REF!/#REF!</f>
        <v>#REF!</v>
      </c>
      <c r="J27" s="21" t="e">
        <f>+#REF!/#REF!</f>
        <v>#REF!</v>
      </c>
      <c r="K27" s="21" t="e">
        <f>+#REF!/#REF!</f>
        <v>#REF!</v>
      </c>
      <c r="L27" s="21" t="e">
        <f>+#REF!/#REF!</f>
        <v>#REF!</v>
      </c>
      <c r="M27" s="21" t="e">
        <f>+#REF!/#REF!</f>
        <v>#REF!</v>
      </c>
      <c r="N27" s="21"/>
      <c r="O27" s="21" t="e">
        <f>+#REF!/#REF!</f>
        <v>#REF!</v>
      </c>
      <c r="P27" s="21" t="e">
        <f>+#REF!/#REF!</f>
        <v>#REF!</v>
      </c>
      <c r="Q27" s="21" t="e">
        <f>+#REF!/#REF!</f>
        <v>#REF!</v>
      </c>
      <c r="R27" s="21" t="e">
        <f>+#REF!/#REF!</f>
        <v>#REF!</v>
      </c>
      <c r="S27" s="21"/>
      <c r="T27" s="21" t="e">
        <f>+#REF!/#REF!</f>
        <v>#REF!</v>
      </c>
    </row>
    <row r="28" spans="1:20" x14ac:dyDescent="0.2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 x14ac:dyDescent="0.2">
      <c r="A29" s="8" t="s">
        <v>43</v>
      </c>
      <c r="B29" s="21" t="e">
        <f>+#REF!/#REF!</f>
        <v>#REF!</v>
      </c>
      <c r="C29" s="21" t="e">
        <f>+#REF!/#REF!</f>
        <v>#REF!</v>
      </c>
      <c r="D29" s="21" t="e">
        <f>+#REF!/#REF!</f>
        <v>#REF!</v>
      </c>
      <c r="E29" s="21" t="e">
        <f>+#REF!/#REF!</f>
        <v>#REF!</v>
      </c>
      <c r="F29" s="21" t="e">
        <f>+#REF!/#REF!</f>
        <v>#REF!</v>
      </c>
      <c r="G29" s="21" t="e">
        <f>+#REF!/#REF!</f>
        <v>#REF!</v>
      </c>
      <c r="H29" s="21" t="e">
        <f>+#REF!/#REF!</f>
        <v>#REF!</v>
      </c>
      <c r="I29" s="21" t="e">
        <f>+#REF!/#REF!</f>
        <v>#REF!</v>
      </c>
      <c r="J29" s="21" t="e">
        <f>+#REF!/#REF!</f>
        <v>#REF!</v>
      </c>
      <c r="K29" s="21" t="e">
        <f>+#REF!/#REF!</f>
        <v>#REF!</v>
      </c>
      <c r="L29" s="21" t="e">
        <f>+#REF!/#REF!</f>
        <v>#REF!</v>
      </c>
      <c r="M29" s="21" t="e">
        <f>+#REF!/#REF!</f>
        <v>#REF!</v>
      </c>
      <c r="N29" s="21"/>
      <c r="O29" s="21" t="e">
        <f>+#REF!/#REF!</f>
        <v>#REF!</v>
      </c>
      <c r="P29" s="21" t="e">
        <f>+#REF!/#REF!</f>
        <v>#REF!</v>
      </c>
      <c r="Q29" s="21" t="e">
        <f>+#REF!/#REF!</f>
        <v>#REF!</v>
      </c>
      <c r="R29" s="21" t="e">
        <f>+#REF!/#REF!</f>
        <v>#REF!</v>
      </c>
      <c r="S29" s="21"/>
      <c r="T29" s="21" t="e">
        <f>+#REF!/#REF!</f>
        <v>#REF!</v>
      </c>
    </row>
    <row r="30" spans="1:20" x14ac:dyDescent="0.2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1:20" x14ac:dyDescent="0.2">
      <c r="A31" s="7" t="s">
        <v>33</v>
      </c>
      <c r="B31" s="20" t="e">
        <f>+#REF!/#REF!</f>
        <v>#REF!</v>
      </c>
      <c r="C31" s="20" t="e">
        <f>+#REF!/#REF!</f>
        <v>#REF!</v>
      </c>
      <c r="D31" s="20" t="e">
        <f>+#REF!/#REF!</f>
        <v>#REF!</v>
      </c>
      <c r="E31" s="20" t="e">
        <f>+#REF!/#REF!</f>
        <v>#REF!</v>
      </c>
      <c r="F31" s="20" t="e">
        <f>+#REF!/#REF!</f>
        <v>#REF!</v>
      </c>
      <c r="G31" s="20" t="e">
        <f>+#REF!/#REF!</f>
        <v>#REF!</v>
      </c>
      <c r="H31" s="20" t="e">
        <f>+#REF!/#REF!</f>
        <v>#REF!</v>
      </c>
      <c r="I31" s="20" t="e">
        <f>+#REF!/#REF!</f>
        <v>#REF!</v>
      </c>
      <c r="J31" s="20" t="e">
        <f>+#REF!/#REF!</f>
        <v>#REF!</v>
      </c>
      <c r="K31" s="20" t="e">
        <f>+#REF!/#REF!</f>
        <v>#REF!</v>
      </c>
      <c r="L31" s="20" t="e">
        <f>+#REF!/#REF!</f>
        <v>#REF!</v>
      </c>
      <c r="M31" s="20" t="e">
        <f>+#REF!/#REF!</f>
        <v>#REF!</v>
      </c>
      <c r="N31" s="20"/>
      <c r="O31" s="20" t="e">
        <f>+#REF!/#REF!</f>
        <v>#REF!</v>
      </c>
      <c r="P31" s="20" t="e">
        <f>+#REF!/#REF!</f>
        <v>#REF!</v>
      </c>
      <c r="Q31" s="20" t="e">
        <f>+#REF!/#REF!</f>
        <v>#REF!</v>
      </c>
      <c r="R31" s="20" t="e">
        <f>+#REF!/#REF!</f>
        <v>#REF!</v>
      </c>
      <c r="S31" s="20"/>
      <c r="T31" s="20" t="e">
        <f>+#REF!/#REF!</f>
        <v>#REF!</v>
      </c>
    </row>
    <row r="32" spans="1:20" x14ac:dyDescent="0.2">
      <c r="A32" s="7" t="s">
        <v>35</v>
      </c>
      <c r="B32" s="20" t="e">
        <f>+#REF!/#REF!</f>
        <v>#REF!</v>
      </c>
      <c r="C32" s="20" t="e">
        <f>+#REF!/#REF!</f>
        <v>#REF!</v>
      </c>
      <c r="D32" s="20" t="e">
        <f>+#REF!/#REF!</f>
        <v>#REF!</v>
      </c>
      <c r="E32" s="20" t="e">
        <f>+#REF!/#REF!</f>
        <v>#REF!</v>
      </c>
      <c r="F32" s="20" t="e">
        <f>+#REF!/#REF!</f>
        <v>#REF!</v>
      </c>
      <c r="G32" s="20" t="e">
        <f>+#REF!/#REF!</f>
        <v>#REF!</v>
      </c>
      <c r="H32" s="20" t="e">
        <f>+#REF!/#REF!</f>
        <v>#REF!</v>
      </c>
      <c r="I32" s="20" t="e">
        <f>+#REF!/#REF!</f>
        <v>#REF!</v>
      </c>
      <c r="J32" s="20" t="e">
        <f>+#REF!/#REF!</f>
        <v>#REF!</v>
      </c>
      <c r="K32" s="20" t="e">
        <f>+#REF!/#REF!</f>
        <v>#REF!</v>
      </c>
      <c r="L32" s="20" t="e">
        <f>+#REF!/#REF!</f>
        <v>#REF!</v>
      </c>
      <c r="M32" s="20" t="e">
        <f>+#REF!/#REF!</f>
        <v>#REF!</v>
      </c>
      <c r="N32" s="20"/>
      <c r="O32" s="20" t="e">
        <f>+#REF!/#REF!</f>
        <v>#REF!</v>
      </c>
      <c r="P32" s="20" t="e">
        <f>+#REF!/#REF!</f>
        <v>#REF!</v>
      </c>
      <c r="Q32" s="20" t="e">
        <f>+#REF!/#REF!</f>
        <v>#REF!</v>
      </c>
      <c r="R32" s="20" t="e">
        <f>+#REF!/#REF!</f>
        <v>#REF!</v>
      </c>
      <c r="S32" s="20"/>
      <c r="T32" s="20" t="e">
        <f>+#REF!/#REF!</f>
        <v>#REF!</v>
      </c>
    </row>
    <row r="33" spans="1:20" x14ac:dyDescent="0.2">
      <c r="A33" s="7" t="s">
        <v>16</v>
      </c>
      <c r="B33" s="20" t="e">
        <f>+#REF!/#REF!</f>
        <v>#REF!</v>
      </c>
      <c r="C33" s="20" t="e">
        <f>+#REF!/#REF!</f>
        <v>#REF!</v>
      </c>
      <c r="D33" s="20" t="e">
        <f>+#REF!/#REF!</f>
        <v>#REF!</v>
      </c>
      <c r="E33" s="20" t="e">
        <f>+#REF!/#REF!</f>
        <v>#REF!</v>
      </c>
      <c r="F33" s="20" t="e">
        <f>+#REF!/#REF!</f>
        <v>#REF!</v>
      </c>
      <c r="G33" s="20" t="e">
        <f>+#REF!/#REF!</f>
        <v>#REF!</v>
      </c>
      <c r="H33" s="20" t="e">
        <f>+#REF!/#REF!</f>
        <v>#REF!</v>
      </c>
      <c r="I33" s="20" t="e">
        <f>+#REF!/#REF!</f>
        <v>#REF!</v>
      </c>
      <c r="J33" s="20" t="e">
        <f>+#REF!/#REF!</f>
        <v>#REF!</v>
      </c>
      <c r="K33" s="20" t="e">
        <f>+#REF!/#REF!</f>
        <v>#REF!</v>
      </c>
      <c r="L33" s="20" t="e">
        <f>+#REF!/#REF!</f>
        <v>#REF!</v>
      </c>
      <c r="M33" s="20" t="e">
        <f>+#REF!/#REF!</f>
        <v>#REF!</v>
      </c>
      <c r="N33" s="20"/>
      <c r="O33" s="20" t="e">
        <f>+#REF!/#REF!</f>
        <v>#REF!</v>
      </c>
      <c r="P33" s="20" t="e">
        <f>+#REF!/#REF!</f>
        <v>#REF!</v>
      </c>
      <c r="Q33" s="20" t="e">
        <f>+#REF!/#REF!</f>
        <v>#REF!</v>
      </c>
      <c r="R33" s="20" t="e">
        <f>+#REF!/#REF!</f>
        <v>#REF!</v>
      </c>
      <c r="S33" s="20"/>
      <c r="T33" s="20" t="e">
        <f>+#REF!/#REF!</f>
        <v>#REF!</v>
      </c>
    </row>
    <row r="34" spans="1:20" x14ac:dyDescent="0.2">
      <c r="A34" s="7" t="s">
        <v>0</v>
      </c>
      <c r="B34" s="20" t="e">
        <f>+#REF!/#REF!</f>
        <v>#REF!</v>
      </c>
      <c r="C34" s="20" t="e">
        <f>+#REF!/#REF!</f>
        <v>#REF!</v>
      </c>
      <c r="D34" s="20" t="e">
        <f>+#REF!/#REF!</f>
        <v>#REF!</v>
      </c>
      <c r="E34" s="20" t="e">
        <f>+#REF!/#REF!</f>
        <v>#REF!</v>
      </c>
      <c r="F34" s="20" t="e">
        <f>+#REF!/#REF!</f>
        <v>#REF!</v>
      </c>
      <c r="G34" s="20" t="e">
        <f>+#REF!/#REF!</f>
        <v>#REF!</v>
      </c>
      <c r="H34" s="20" t="e">
        <f>+#REF!/#REF!</f>
        <v>#REF!</v>
      </c>
      <c r="I34" s="20" t="e">
        <f>+#REF!/#REF!</f>
        <v>#REF!</v>
      </c>
      <c r="J34" s="20" t="e">
        <f>+#REF!/#REF!</f>
        <v>#REF!</v>
      </c>
      <c r="K34" s="20" t="e">
        <f>+#REF!/#REF!</f>
        <v>#REF!</v>
      </c>
      <c r="L34" s="20" t="e">
        <f>+#REF!/#REF!</f>
        <v>#REF!</v>
      </c>
      <c r="M34" s="20" t="e">
        <f>+#REF!/#REF!</f>
        <v>#REF!</v>
      </c>
      <c r="N34" s="20"/>
      <c r="O34" s="20" t="e">
        <f>+#REF!/#REF!</f>
        <v>#REF!</v>
      </c>
      <c r="P34" s="20" t="e">
        <f>+#REF!/#REF!</f>
        <v>#REF!</v>
      </c>
      <c r="Q34" s="20" t="e">
        <f>+#REF!/#REF!</f>
        <v>#REF!</v>
      </c>
      <c r="R34" s="20" t="e">
        <f>+#REF!/#REF!</f>
        <v>#REF!</v>
      </c>
      <c r="S34" s="20"/>
      <c r="T34" s="20" t="e">
        <f>+#REF!/#REF!</f>
        <v>#REF!</v>
      </c>
    </row>
    <row r="35" spans="1:20" x14ac:dyDescent="0.2">
      <c r="A35" s="7" t="s">
        <v>26</v>
      </c>
      <c r="B35" s="20" t="e">
        <f>+#REF!/#REF!</f>
        <v>#REF!</v>
      </c>
      <c r="C35" s="20" t="e">
        <f>+#REF!/#REF!</f>
        <v>#REF!</v>
      </c>
      <c r="D35" s="20" t="e">
        <f>+#REF!/#REF!</f>
        <v>#REF!</v>
      </c>
      <c r="E35" s="20" t="e">
        <f>+#REF!/#REF!</f>
        <v>#REF!</v>
      </c>
      <c r="F35" s="20" t="e">
        <f>+#REF!/#REF!</f>
        <v>#REF!</v>
      </c>
      <c r="G35" s="20" t="e">
        <f>+#REF!/#REF!</f>
        <v>#REF!</v>
      </c>
      <c r="H35" s="20" t="e">
        <f>+#REF!/#REF!</f>
        <v>#REF!</v>
      </c>
      <c r="I35" s="20" t="e">
        <f>+#REF!/#REF!</f>
        <v>#REF!</v>
      </c>
      <c r="J35" s="20" t="e">
        <f>+#REF!/#REF!</f>
        <v>#REF!</v>
      </c>
      <c r="K35" s="20" t="e">
        <f>+#REF!/#REF!</f>
        <v>#REF!</v>
      </c>
      <c r="L35" s="20" t="e">
        <f>+#REF!/#REF!</f>
        <v>#REF!</v>
      </c>
      <c r="M35" s="20" t="e">
        <f>+#REF!/#REF!</f>
        <v>#REF!</v>
      </c>
      <c r="N35" s="20"/>
      <c r="O35" s="20" t="e">
        <f>+#REF!/#REF!</f>
        <v>#REF!</v>
      </c>
      <c r="P35" s="20" t="e">
        <f>+#REF!/#REF!</f>
        <v>#REF!</v>
      </c>
      <c r="Q35" s="20" t="e">
        <f>+#REF!/#REF!</f>
        <v>#REF!</v>
      </c>
      <c r="R35" s="20" t="e">
        <f>+#REF!/#REF!</f>
        <v>#REF!</v>
      </c>
      <c r="S35" s="20"/>
      <c r="T35" s="20" t="e">
        <f>+#REF!/#REF!</f>
        <v>#REF!</v>
      </c>
    </row>
    <row r="36" spans="1:20" x14ac:dyDescent="0.2">
      <c r="A36" s="7" t="s">
        <v>48</v>
      </c>
      <c r="B36" s="20" t="e">
        <f>+#REF!/#REF!</f>
        <v>#REF!</v>
      </c>
      <c r="C36" s="20" t="e">
        <f>+#REF!/#REF!</f>
        <v>#REF!</v>
      </c>
      <c r="D36" s="20" t="e">
        <f>+#REF!/#REF!</f>
        <v>#REF!</v>
      </c>
      <c r="E36" s="20" t="e">
        <f>+#REF!/#REF!</f>
        <v>#REF!</v>
      </c>
      <c r="F36" s="20" t="e">
        <f>+#REF!/#REF!</f>
        <v>#REF!</v>
      </c>
      <c r="G36" s="20" t="e">
        <f>+#REF!/#REF!</f>
        <v>#REF!</v>
      </c>
      <c r="H36" s="20" t="e">
        <f>+#REF!/#REF!</f>
        <v>#REF!</v>
      </c>
      <c r="I36" s="20" t="e">
        <f>+#REF!/#REF!</f>
        <v>#REF!</v>
      </c>
      <c r="J36" s="20" t="e">
        <f>+#REF!/#REF!</f>
        <v>#REF!</v>
      </c>
      <c r="K36" s="20" t="e">
        <f>+#REF!/#REF!</f>
        <v>#REF!</v>
      </c>
      <c r="L36" s="20" t="e">
        <f>+#REF!/#REF!</f>
        <v>#REF!</v>
      </c>
      <c r="M36" s="20" t="e">
        <f>+#REF!/#REF!</f>
        <v>#REF!</v>
      </c>
      <c r="N36" s="20"/>
      <c r="O36" s="20" t="e">
        <f>+#REF!/#REF!</f>
        <v>#REF!</v>
      </c>
      <c r="P36" s="20" t="e">
        <f>+#REF!/#REF!</f>
        <v>#REF!</v>
      </c>
      <c r="Q36" s="20" t="e">
        <f>+#REF!/#REF!</f>
        <v>#REF!</v>
      </c>
      <c r="R36" s="20" t="e">
        <f>+#REF!/#REF!</f>
        <v>#REF!</v>
      </c>
      <c r="S36" s="20"/>
      <c r="T36" s="20" t="e">
        <f>+#REF!/#REF!</f>
        <v>#REF!</v>
      </c>
    </row>
    <row r="38" spans="1:20" x14ac:dyDescent="0.2">
      <c r="A38" s="7" t="s">
        <v>45</v>
      </c>
      <c r="B38" s="20" t="e">
        <f>+#REF!/#REF!</f>
        <v>#REF!</v>
      </c>
      <c r="C38" s="20" t="e">
        <f>+#REF!/#REF!</f>
        <v>#REF!</v>
      </c>
      <c r="D38" s="20" t="e">
        <f>+#REF!/#REF!</f>
        <v>#REF!</v>
      </c>
      <c r="E38" s="20" t="e">
        <f>+#REF!/#REF!</f>
        <v>#REF!</v>
      </c>
      <c r="F38" s="20" t="e">
        <f>+#REF!/#REF!</f>
        <v>#REF!</v>
      </c>
      <c r="G38" s="20" t="e">
        <f>+#REF!/#REF!</f>
        <v>#REF!</v>
      </c>
      <c r="H38" s="20" t="e">
        <f>+#REF!/#REF!</f>
        <v>#REF!</v>
      </c>
      <c r="I38" s="20" t="e">
        <f>+#REF!/#REF!</f>
        <v>#REF!</v>
      </c>
      <c r="J38" s="20" t="e">
        <f>+#REF!/#REF!</f>
        <v>#REF!</v>
      </c>
      <c r="K38" s="20" t="e">
        <f>+#REF!/#REF!</f>
        <v>#REF!</v>
      </c>
      <c r="L38" s="20" t="e">
        <f>+#REF!/#REF!</f>
        <v>#REF!</v>
      </c>
      <c r="M38" s="20" t="e">
        <f>+#REF!/#REF!</f>
        <v>#REF!</v>
      </c>
      <c r="O38" s="20" t="e">
        <f>+#REF!/#REF!</f>
        <v>#REF!</v>
      </c>
      <c r="P38" s="20" t="e">
        <f>+#REF!/#REF!</f>
        <v>#REF!</v>
      </c>
      <c r="Q38" s="20" t="e">
        <f>+#REF!/#REF!</f>
        <v>#REF!</v>
      </c>
      <c r="R38" s="20" t="e">
        <f>+#REF!/#REF!</f>
        <v>#REF!</v>
      </c>
      <c r="T38" s="20" t="e">
        <f>+#REF!/#REF!</f>
        <v>#REF!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D77D-05D0-4A15-A1BC-2F84800EEE4C}">
  <dimension ref="A2:T38"/>
  <sheetViews>
    <sheetView workbookViewId="0">
      <pane xSplit="1" ySplit="3" topLeftCell="B4" activePane="bottomRight" state="frozen"/>
      <selection activeCell="R38" sqref="R38"/>
      <selection pane="topRight" activeCell="R38" sqref="R38"/>
      <selection pane="bottomLeft" activeCell="R38" sqref="R38"/>
      <selection pane="bottomRight" activeCell="R38" sqref="R38"/>
    </sheetView>
  </sheetViews>
  <sheetFormatPr baseColWidth="10" defaultColWidth="9.1640625" defaultRowHeight="14" x14ac:dyDescent="0.2"/>
  <cols>
    <col min="1" max="1" width="30" style="1" customWidth="1"/>
    <col min="2" max="13" width="10.6640625" style="1" customWidth="1"/>
    <col min="14" max="14" width="2.6640625" style="1" customWidth="1"/>
    <col min="15" max="18" width="10.6640625" style="1" customWidth="1"/>
    <col min="19" max="19" width="2.6640625" style="1" customWidth="1"/>
    <col min="20" max="20" width="10.6640625" style="1" customWidth="1"/>
    <col min="21" max="16384" width="9.1640625" style="1"/>
  </cols>
  <sheetData>
    <row r="2" spans="1:20" x14ac:dyDescent="0.2">
      <c r="A2" s="8" t="s">
        <v>47</v>
      </c>
      <c r="B2" s="9">
        <v>45292</v>
      </c>
      <c r="C2" s="9">
        <v>45323</v>
      </c>
      <c r="D2" s="9">
        <v>45352</v>
      </c>
      <c r="E2" s="9">
        <v>45383</v>
      </c>
      <c r="F2" s="9">
        <v>45413</v>
      </c>
      <c r="G2" s="9">
        <v>45444</v>
      </c>
      <c r="H2" s="9">
        <v>45474</v>
      </c>
      <c r="I2" s="9">
        <v>45505</v>
      </c>
      <c r="J2" s="9">
        <v>45536</v>
      </c>
      <c r="K2" s="9">
        <v>45566</v>
      </c>
      <c r="L2" s="9">
        <v>45597</v>
      </c>
      <c r="M2" s="9">
        <v>45627</v>
      </c>
      <c r="N2" s="8"/>
      <c r="O2" s="10" t="s">
        <v>36</v>
      </c>
      <c r="P2" s="10" t="s">
        <v>37</v>
      </c>
      <c r="Q2" s="10" t="s">
        <v>38</v>
      </c>
      <c r="R2" s="10" t="s">
        <v>39</v>
      </c>
      <c r="S2" s="10"/>
      <c r="T2" s="11">
        <v>2024</v>
      </c>
    </row>
    <row r="3" spans="1:20" x14ac:dyDescent="0.2">
      <c r="A3" s="19"/>
    </row>
    <row r="4" spans="1:20" x14ac:dyDescent="0.2">
      <c r="A4" s="7" t="s">
        <v>23</v>
      </c>
      <c r="B4" s="20" t="e">
        <f>+#REF!/(#REF!+#REF!+#REF!+SUM(#REF!))</f>
        <v>#REF!</v>
      </c>
      <c r="C4" s="20" t="e">
        <f>+#REF!/(#REF!+#REF!+#REF!+SUM(#REF!))</f>
        <v>#REF!</v>
      </c>
      <c r="D4" s="20" t="e">
        <f>+#REF!/(#REF!+#REF!+#REF!+SUM(#REF!))</f>
        <v>#REF!</v>
      </c>
      <c r="E4" s="20" t="e">
        <f>+#REF!/(#REF!+#REF!+#REF!+SUM(#REF!))</f>
        <v>#REF!</v>
      </c>
      <c r="F4" s="20" t="e">
        <f>+#REF!/(#REF!+#REF!+#REF!+SUM(#REF!))</f>
        <v>#REF!</v>
      </c>
      <c r="G4" s="20" t="e">
        <f>+#REF!/(#REF!+#REF!+#REF!+SUM(#REF!))</f>
        <v>#REF!</v>
      </c>
      <c r="H4" s="20" t="e">
        <f>+#REF!/(#REF!+#REF!+#REF!+SUM(#REF!))</f>
        <v>#REF!</v>
      </c>
      <c r="I4" s="20" t="e">
        <f>+#REF!/(#REF!+#REF!+#REF!+SUM(#REF!))</f>
        <v>#REF!</v>
      </c>
      <c r="J4" s="20" t="e">
        <f>+#REF!/(#REF!+#REF!+#REF!+SUM(#REF!))</f>
        <v>#REF!</v>
      </c>
      <c r="K4" s="20" t="e">
        <f>+#REF!/(#REF!+#REF!+#REF!+SUM(#REF!))</f>
        <v>#REF!</v>
      </c>
      <c r="L4" s="20" t="e">
        <f>+#REF!/(#REF!+#REF!+#REF!+SUM(#REF!))</f>
        <v>#REF!</v>
      </c>
      <c r="M4" s="20" t="e">
        <f>+#REF!/(#REF!+#REF!+#REF!+SUM(#REF!))</f>
        <v>#REF!</v>
      </c>
      <c r="N4" s="20"/>
      <c r="O4" s="20" t="e">
        <f>+#REF!/(#REF!+#REF!+#REF!+SUM(#REF!))</f>
        <v>#REF!</v>
      </c>
      <c r="P4" s="20" t="e">
        <f>+#REF!/(#REF!+#REF!+#REF!+SUM(#REF!))</f>
        <v>#REF!</v>
      </c>
      <c r="Q4" s="20" t="e">
        <f>+#REF!/(#REF!+#REF!+#REF!+SUM(#REF!))</f>
        <v>#REF!</v>
      </c>
      <c r="R4" s="20" t="e">
        <f>+#REF!/(#REF!+#REF!+#REF!+SUM(#REF!))</f>
        <v>#REF!</v>
      </c>
      <c r="S4" s="20"/>
      <c r="T4" s="20" t="e">
        <f>+#REF!/(#REF!+#REF!+#REF!+SUM(#REF!))</f>
        <v>#REF!</v>
      </c>
    </row>
    <row r="5" spans="1:20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x14ac:dyDescent="0.2">
      <c r="A6" s="8" t="s">
        <v>42</v>
      </c>
      <c r="B6" s="21" t="e">
        <f>+#REF!/(#REF!+#REF!+#REF!+SUM(#REF!))</f>
        <v>#REF!</v>
      </c>
      <c r="C6" s="21" t="e">
        <f>+#REF!/(#REF!+#REF!+#REF!+SUM(#REF!))</f>
        <v>#REF!</v>
      </c>
      <c r="D6" s="21" t="e">
        <f>+#REF!/(#REF!+#REF!+#REF!+SUM(#REF!))</f>
        <v>#REF!</v>
      </c>
      <c r="E6" s="21" t="e">
        <f>+#REF!/(#REF!+#REF!+#REF!+SUM(#REF!))</f>
        <v>#REF!</v>
      </c>
      <c r="F6" s="21" t="e">
        <f>+#REF!/(#REF!+#REF!+#REF!+SUM(#REF!))</f>
        <v>#REF!</v>
      </c>
      <c r="G6" s="21" t="e">
        <f>+#REF!/(#REF!+#REF!+#REF!+SUM(#REF!))</f>
        <v>#REF!</v>
      </c>
      <c r="H6" s="21" t="e">
        <f>+#REF!/(#REF!+#REF!+#REF!+SUM(#REF!))</f>
        <v>#REF!</v>
      </c>
      <c r="I6" s="21" t="e">
        <f>+#REF!/(#REF!+#REF!+#REF!+SUM(#REF!))</f>
        <v>#REF!</v>
      </c>
      <c r="J6" s="21" t="e">
        <f>+#REF!/(#REF!+#REF!+#REF!+SUM(#REF!))</f>
        <v>#REF!</v>
      </c>
      <c r="K6" s="21" t="e">
        <f>+#REF!/(#REF!+#REF!+#REF!+SUM(#REF!))</f>
        <v>#REF!</v>
      </c>
      <c r="L6" s="21" t="e">
        <f>+#REF!/(#REF!+#REF!+#REF!+SUM(#REF!))</f>
        <v>#REF!</v>
      </c>
      <c r="M6" s="21" t="e">
        <f>+#REF!/(#REF!+#REF!+#REF!+SUM(#REF!))</f>
        <v>#REF!</v>
      </c>
      <c r="N6" s="21"/>
      <c r="O6" s="21" t="e">
        <f>+#REF!/(#REF!+#REF!+#REF!+SUM(#REF!))</f>
        <v>#REF!</v>
      </c>
      <c r="P6" s="21" t="e">
        <f>+#REF!/(#REF!+#REF!+#REF!+SUM(#REF!))</f>
        <v>#REF!</v>
      </c>
      <c r="Q6" s="21" t="e">
        <f>+#REF!/(#REF!+#REF!+#REF!+SUM(#REF!))</f>
        <v>#REF!</v>
      </c>
      <c r="R6" s="21" t="e">
        <f>+#REF!/(#REF!+#REF!+#REF!+SUM(#REF!))</f>
        <v>#REF!</v>
      </c>
      <c r="S6" s="21"/>
      <c r="T6" s="21" t="e">
        <f>+#REF!/(#REF!+#REF!+#REF!+SUM(#REF!))</f>
        <v>#REF!</v>
      </c>
    </row>
    <row r="7" spans="1:20" x14ac:dyDescent="0.2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 x14ac:dyDescent="0.2">
      <c r="A8" s="7" t="s">
        <v>24</v>
      </c>
      <c r="B8" s="20" t="e">
        <f>+#REF!/(#REF!+#REF!+#REF!+SUM(#REF!))</f>
        <v>#REF!</v>
      </c>
      <c r="C8" s="20" t="e">
        <f>+#REF!/(#REF!+#REF!+#REF!+SUM(#REF!))</f>
        <v>#REF!</v>
      </c>
      <c r="D8" s="20" t="e">
        <f>+#REF!/(#REF!+#REF!+#REF!+SUM(#REF!))</f>
        <v>#REF!</v>
      </c>
      <c r="E8" s="20" t="e">
        <f>+#REF!/(#REF!+#REF!+#REF!+SUM(#REF!))</f>
        <v>#REF!</v>
      </c>
      <c r="F8" s="20" t="e">
        <f>+#REF!/(#REF!+#REF!+#REF!+SUM(#REF!))</f>
        <v>#REF!</v>
      </c>
      <c r="G8" s="20" t="e">
        <f>+#REF!/(#REF!+#REF!+#REF!+SUM(#REF!))</f>
        <v>#REF!</v>
      </c>
      <c r="H8" s="20" t="e">
        <f>+#REF!/(#REF!+#REF!+#REF!+SUM(#REF!))</f>
        <v>#REF!</v>
      </c>
      <c r="I8" s="20" t="e">
        <f>+#REF!/(#REF!+#REF!+#REF!+SUM(#REF!))</f>
        <v>#REF!</v>
      </c>
      <c r="J8" s="20" t="e">
        <f>+#REF!/(#REF!+#REF!+#REF!+SUM(#REF!))</f>
        <v>#REF!</v>
      </c>
      <c r="K8" s="20" t="e">
        <f>+#REF!/(#REF!+#REF!+#REF!+SUM(#REF!))</f>
        <v>#REF!</v>
      </c>
      <c r="L8" s="20" t="e">
        <f>+#REF!/(#REF!+#REF!+#REF!+SUM(#REF!))</f>
        <v>#REF!</v>
      </c>
      <c r="M8" s="20" t="e">
        <f>+#REF!/(#REF!+#REF!+#REF!+SUM(#REF!))</f>
        <v>#REF!</v>
      </c>
      <c r="N8" s="20"/>
      <c r="O8" s="20" t="e">
        <f>+#REF!/(#REF!+#REF!+#REF!+SUM(#REF!))</f>
        <v>#REF!</v>
      </c>
      <c r="P8" s="20" t="e">
        <f>+#REF!/(#REF!+#REF!+#REF!+SUM(#REF!))</f>
        <v>#REF!</v>
      </c>
      <c r="Q8" s="20" t="e">
        <f>+#REF!/(#REF!+#REF!+#REF!+SUM(#REF!))</f>
        <v>#REF!</v>
      </c>
      <c r="R8" s="20" t="e">
        <f>+#REF!/(#REF!+#REF!+#REF!+SUM(#REF!))</f>
        <v>#REF!</v>
      </c>
      <c r="S8" s="20"/>
      <c r="T8" s="20" t="e">
        <f>+#REF!/(#REF!+#REF!+#REF!+SUM(#REF!))</f>
        <v>#REF!</v>
      </c>
    </row>
    <row r="9" spans="1:20" x14ac:dyDescent="0.2">
      <c r="A9" s="7" t="s">
        <v>25</v>
      </c>
      <c r="B9" s="20" t="e">
        <f>+#REF!/(#REF!+#REF!+#REF!+SUM(#REF!))</f>
        <v>#REF!</v>
      </c>
      <c r="C9" s="20" t="e">
        <f>+#REF!/(#REF!+#REF!+#REF!+SUM(#REF!))</f>
        <v>#REF!</v>
      </c>
      <c r="D9" s="20" t="e">
        <f>+#REF!/(#REF!+#REF!+#REF!+SUM(#REF!))</f>
        <v>#REF!</v>
      </c>
      <c r="E9" s="20" t="e">
        <f>+#REF!/(#REF!+#REF!+#REF!+SUM(#REF!))</f>
        <v>#REF!</v>
      </c>
      <c r="F9" s="20" t="e">
        <f>+#REF!/(#REF!+#REF!+#REF!+SUM(#REF!))</f>
        <v>#REF!</v>
      </c>
      <c r="G9" s="20" t="e">
        <f>+#REF!/(#REF!+#REF!+#REF!+SUM(#REF!))</f>
        <v>#REF!</v>
      </c>
      <c r="H9" s="20" t="e">
        <f>+#REF!/(#REF!+#REF!+#REF!+SUM(#REF!))</f>
        <v>#REF!</v>
      </c>
      <c r="I9" s="20" t="e">
        <f>+#REF!/(#REF!+#REF!+#REF!+SUM(#REF!))</f>
        <v>#REF!</v>
      </c>
      <c r="J9" s="20" t="e">
        <f>+#REF!/(#REF!+#REF!+#REF!+SUM(#REF!))</f>
        <v>#REF!</v>
      </c>
      <c r="K9" s="20" t="e">
        <f>+#REF!/(#REF!+#REF!+#REF!+SUM(#REF!))</f>
        <v>#REF!</v>
      </c>
      <c r="L9" s="20" t="e">
        <f>+#REF!/(#REF!+#REF!+#REF!+SUM(#REF!))</f>
        <v>#REF!</v>
      </c>
      <c r="M9" s="20" t="e">
        <f>+#REF!/(#REF!+#REF!+#REF!+SUM(#REF!))</f>
        <v>#REF!</v>
      </c>
      <c r="N9" s="20"/>
      <c r="O9" s="20" t="e">
        <f>+#REF!/(#REF!+#REF!+#REF!+SUM(#REF!))</f>
        <v>#REF!</v>
      </c>
      <c r="P9" s="20" t="e">
        <f>+#REF!/(#REF!+#REF!+#REF!+SUM(#REF!))</f>
        <v>#REF!</v>
      </c>
      <c r="Q9" s="20" t="e">
        <f>+#REF!/(#REF!+#REF!+#REF!+SUM(#REF!))</f>
        <v>#REF!</v>
      </c>
      <c r="R9" s="20" t="e">
        <f>+#REF!/(#REF!+#REF!+#REF!+SUM(#REF!))</f>
        <v>#REF!</v>
      </c>
      <c r="S9" s="20"/>
      <c r="T9" s="20" t="e">
        <f>+#REF!/(#REF!+#REF!+#REF!+SUM(#REF!))</f>
        <v>#REF!</v>
      </c>
    </row>
    <row r="10" spans="1:20" x14ac:dyDescent="0.2">
      <c r="A10" s="7" t="s">
        <v>20</v>
      </c>
      <c r="B10" s="20" t="e">
        <f>+#REF!/(#REF!+#REF!+#REF!+SUM(#REF!))</f>
        <v>#REF!</v>
      </c>
      <c r="C10" s="20" t="e">
        <f>+#REF!/(#REF!+#REF!+#REF!+SUM(#REF!))</f>
        <v>#REF!</v>
      </c>
      <c r="D10" s="20" t="e">
        <f>+#REF!/(#REF!+#REF!+#REF!+SUM(#REF!))</f>
        <v>#REF!</v>
      </c>
      <c r="E10" s="20" t="e">
        <f>+#REF!/(#REF!+#REF!+#REF!+SUM(#REF!))</f>
        <v>#REF!</v>
      </c>
      <c r="F10" s="20" t="e">
        <f>+#REF!/(#REF!+#REF!+#REF!+SUM(#REF!))</f>
        <v>#REF!</v>
      </c>
      <c r="G10" s="20" t="e">
        <f>+#REF!/(#REF!+#REF!+#REF!+SUM(#REF!))</f>
        <v>#REF!</v>
      </c>
      <c r="H10" s="20" t="e">
        <f>+#REF!/(#REF!+#REF!+#REF!+SUM(#REF!))</f>
        <v>#REF!</v>
      </c>
      <c r="I10" s="20" t="e">
        <f>+#REF!/(#REF!+#REF!+#REF!+SUM(#REF!))</f>
        <v>#REF!</v>
      </c>
      <c r="J10" s="20" t="e">
        <f>+#REF!/(#REF!+#REF!+#REF!+SUM(#REF!))</f>
        <v>#REF!</v>
      </c>
      <c r="K10" s="20" t="e">
        <f>+#REF!/(#REF!+#REF!+#REF!+SUM(#REF!))</f>
        <v>#REF!</v>
      </c>
      <c r="L10" s="20" t="e">
        <f>+#REF!/(#REF!+#REF!+#REF!+SUM(#REF!))</f>
        <v>#REF!</v>
      </c>
      <c r="M10" s="20" t="e">
        <f>+#REF!/(#REF!+#REF!+#REF!+SUM(#REF!))</f>
        <v>#REF!</v>
      </c>
      <c r="N10" s="20"/>
      <c r="O10" s="20" t="e">
        <f>+#REF!/(#REF!+#REF!+#REF!+SUM(#REF!))</f>
        <v>#REF!</v>
      </c>
      <c r="P10" s="20" t="e">
        <f>+#REF!/(#REF!+#REF!+#REF!+SUM(#REF!))</f>
        <v>#REF!</v>
      </c>
      <c r="Q10" s="20" t="e">
        <f>+#REF!/(#REF!+#REF!+#REF!+SUM(#REF!))</f>
        <v>#REF!</v>
      </c>
      <c r="R10" s="20" t="e">
        <f>+#REF!/(#REF!+#REF!+#REF!+SUM(#REF!))</f>
        <v>#REF!</v>
      </c>
      <c r="S10" s="20"/>
      <c r="T10" s="20" t="e">
        <f>+#REF!/(#REF!+#REF!+#REF!+SUM(#REF!))</f>
        <v>#REF!</v>
      </c>
    </row>
    <row r="11" spans="1:20" x14ac:dyDescent="0.2">
      <c r="A11" s="7" t="s">
        <v>11</v>
      </c>
      <c r="B11" s="20" t="e">
        <f>+#REF!/(#REF!+#REF!+#REF!+SUM(#REF!))</f>
        <v>#REF!</v>
      </c>
      <c r="C11" s="20" t="e">
        <f>+#REF!/(#REF!+#REF!+#REF!+SUM(#REF!))</f>
        <v>#REF!</v>
      </c>
      <c r="D11" s="20" t="e">
        <f>+#REF!/(#REF!+#REF!+#REF!+SUM(#REF!))</f>
        <v>#REF!</v>
      </c>
      <c r="E11" s="20" t="e">
        <f>+#REF!/(#REF!+#REF!+#REF!+SUM(#REF!))</f>
        <v>#REF!</v>
      </c>
      <c r="F11" s="20" t="e">
        <f>+#REF!/(#REF!+#REF!+#REF!+SUM(#REF!))</f>
        <v>#REF!</v>
      </c>
      <c r="G11" s="20" t="e">
        <f>+#REF!/(#REF!+#REF!+#REF!+SUM(#REF!))</f>
        <v>#REF!</v>
      </c>
      <c r="H11" s="20" t="e">
        <f>+#REF!/(#REF!+#REF!+#REF!+SUM(#REF!))</f>
        <v>#REF!</v>
      </c>
      <c r="I11" s="20" t="e">
        <f>+#REF!/(#REF!+#REF!+#REF!+SUM(#REF!))</f>
        <v>#REF!</v>
      </c>
      <c r="J11" s="20" t="e">
        <f>+#REF!/(#REF!+#REF!+#REF!+SUM(#REF!))</f>
        <v>#REF!</v>
      </c>
      <c r="K11" s="20" t="e">
        <f>+#REF!/(#REF!+#REF!+#REF!+SUM(#REF!))</f>
        <v>#REF!</v>
      </c>
      <c r="L11" s="20" t="e">
        <f>+#REF!/(#REF!+#REF!+#REF!+SUM(#REF!))</f>
        <v>#REF!</v>
      </c>
      <c r="M11" s="20" t="e">
        <f>+#REF!/(#REF!+#REF!+#REF!+SUM(#REF!))</f>
        <v>#REF!</v>
      </c>
      <c r="N11" s="20"/>
      <c r="O11" s="20" t="e">
        <f>+#REF!/(#REF!+#REF!+#REF!+SUM(#REF!))</f>
        <v>#REF!</v>
      </c>
      <c r="P11" s="20" t="e">
        <f>+#REF!/(#REF!+#REF!+#REF!+SUM(#REF!))</f>
        <v>#REF!</v>
      </c>
      <c r="Q11" s="20" t="e">
        <f>+#REF!/(#REF!+#REF!+#REF!+SUM(#REF!))</f>
        <v>#REF!</v>
      </c>
      <c r="R11" s="20" t="e">
        <f>+#REF!/(#REF!+#REF!+#REF!+SUM(#REF!))</f>
        <v>#REF!</v>
      </c>
      <c r="S11" s="20"/>
      <c r="T11" s="20" t="e">
        <f>+#REF!/(#REF!+#REF!+#REF!+SUM(#REF!))</f>
        <v>#REF!</v>
      </c>
    </row>
    <row r="12" spans="1:20" x14ac:dyDescent="0.2">
      <c r="A12" s="7" t="s">
        <v>19</v>
      </c>
      <c r="B12" s="20" t="e">
        <f>+#REF!/(#REF!+#REF!+#REF!+SUM(#REF!))</f>
        <v>#REF!</v>
      </c>
      <c r="C12" s="20" t="e">
        <f>+#REF!/(#REF!+#REF!+#REF!+SUM(#REF!))</f>
        <v>#REF!</v>
      </c>
      <c r="D12" s="20" t="e">
        <f>+#REF!/(#REF!+#REF!+#REF!+SUM(#REF!))</f>
        <v>#REF!</v>
      </c>
      <c r="E12" s="20" t="e">
        <f>+#REF!/(#REF!+#REF!+#REF!+SUM(#REF!))</f>
        <v>#REF!</v>
      </c>
      <c r="F12" s="20" t="e">
        <f>+#REF!/(#REF!+#REF!+#REF!+SUM(#REF!))</f>
        <v>#REF!</v>
      </c>
      <c r="G12" s="20" t="e">
        <f>+#REF!/(#REF!+#REF!+#REF!+SUM(#REF!))</f>
        <v>#REF!</v>
      </c>
      <c r="H12" s="20" t="e">
        <f>+#REF!/(#REF!+#REF!+#REF!+SUM(#REF!))</f>
        <v>#REF!</v>
      </c>
      <c r="I12" s="20" t="e">
        <f>+#REF!/(#REF!+#REF!+#REF!+SUM(#REF!))</f>
        <v>#REF!</v>
      </c>
      <c r="J12" s="20" t="e">
        <f>+#REF!/(#REF!+#REF!+#REF!+SUM(#REF!))</f>
        <v>#REF!</v>
      </c>
      <c r="K12" s="20" t="e">
        <f>+#REF!/(#REF!+#REF!+#REF!+SUM(#REF!))</f>
        <v>#REF!</v>
      </c>
      <c r="L12" s="20" t="e">
        <f>+#REF!/(#REF!+#REF!+#REF!+SUM(#REF!))</f>
        <v>#REF!</v>
      </c>
      <c r="M12" s="20" t="e">
        <f>+#REF!/(#REF!+#REF!+#REF!+SUM(#REF!))</f>
        <v>#REF!</v>
      </c>
      <c r="N12" s="20"/>
      <c r="O12" s="20" t="e">
        <f>+#REF!/(#REF!+#REF!+#REF!+SUM(#REF!))</f>
        <v>#REF!</v>
      </c>
      <c r="P12" s="20" t="e">
        <f>+#REF!/(#REF!+#REF!+#REF!+SUM(#REF!))</f>
        <v>#REF!</v>
      </c>
      <c r="Q12" s="20" t="e">
        <f>+#REF!/(#REF!+#REF!+#REF!+SUM(#REF!))</f>
        <v>#REF!</v>
      </c>
      <c r="R12" s="20" t="e">
        <f>+#REF!/(#REF!+#REF!+#REF!+SUM(#REF!))</f>
        <v>#REF!</v>
      </c>
      <c r="S12" s="20"/>
      <c r="T12" s="20" t="e">
        <f>+#REF!/(#REF!+#REF!+#REF!+SUM(#REF!))</f>
        <v>#REF!</v>
      </c>
    </row>
    <row r="13" spans="1:20" x14ac:dyDescent="0.2">
      <c r="A13" s="8" t="s">
        <v>40</v>
      </c>
      <c r="B13" s="21" t="e">
        <f>+#REF!/(#REF!+#REF!+#REF!+SUM(#REF!))</f>
        <v>#REF!</v>
      </c>
      <c r="C13" s="21" t="e">
        <f>+#REF!/(#REF!+#REF!+#REF!+SUM(#REF!))</f>
        <v>#REF!</v>
      </c>
      <c r="D13" s="21" t="e">
        <f>+#REF!/(#REF!+#REF!+#REF!+SUM(#REF!))</f>
        <v>#REF!</v>
      </c>
      <c r="E13" s="21" t="e">
        <f>+#REF!/(#REF!+#REF!+#REF!+SUM(#REF!))</f>
        <v>#REF!</v>
      </c>
      <c r="F13" s="21" t="e">
        <f>+#REF!/(#REF!+#REF!+#REF!+SUM(#REF!))</f>
        <v>#REF!</v>
      </c>
      <c r="G13" s="21" t="e">
        <f>+#REF!/(#REF!+#REF!+#REF!+SUM(#REF!))</f>
        <v>#REF!</v>
      </c>
      <c r="H13" s="21" t="e">
        <f>+#REF!/(#REF!+#REF!+#REF!+SUM(#REF!))</f>
        <v>#REF!</v>
      </c>
      <c r="I13" s="21" t="e">
        <f>+#REF!/(#REF!+#REF!+#REF!+SUM(#REF!))</f>
        <v>#REF!</v>
      </c>
      <c r="J13" s="21" t="e">
        <f>+#REF!/(#REF!+#REF!+#REF!+SUM(#REF!))</f>
        <v>#REF!</v>
      </c>
      <c r="K13" s="21" t="e">
        <f>+#REF!/(#REF!+#REF!+#REF!+SUM(#REF!))</f>
        <v>#REF!</v>
      </c>
      <c r="L13" s="21" t="e">
        <f>+#REF!/(#REF!+#REF!+#REF!+SUM(#REF!))</f>
        <v>#REF!</v>
      </c>
      <c r="M13" s="21" t="e">
        <f>+#REF!/(#REF!+#REF!+#REF!+SUM(#REF!))</f>
        <v>#REF!</v>
      </c>
      <c r="N13" s="21"/>
      <c r="O13" s="21" t="e">
        <f>+#REF!/(#REF!+#REF!+#REF!+SUM(#REF!))</f>
        <v>#REF!</v>
      </c>
      <c r="P13" s="21" t="e">
        <f>+#REF!/(#REF!+#REF!+#REF!+SUM(#REF!))</f>
        <v>#REF!</v>
      </c>
      <c r="Q13" s="21" t="e">
        <f>+#REF!/(#REF!+#REF!+#REF!+SUM(#REF!))</f>
        <v>#REF!</v>
      </c>
      <c r="R13" s="21" t="e">
        <f>+#REF!/(#REF!+#REF!+#REF!+SUM(#REF!))</f>
        <v>#REF!</v>
      </c>
      <c r="S13" s="21"/>
      <c r="T13" s="21" t="e">
        <f>+#REF!/(#REF!+#REF!+#REF!+SUM(#REF!))</f>
        <v>#REF!</v>
      </c>
    </row>
    <row r="14" spans="1:20" x14ac:dyDescent="0.2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 x14ac:dyDescent="0.2">
      <c r="A15" s="8" t="s">
        <v>27</v>
      </c>
      <c r="B15" s="21" t="e">
        <f>+#REF!/(#REF!+#REF!+#REF!+SUM(#REF!))</f>
        <v>#REF!</v>
      </c>
      <c r="C15" s="21" t="e">
        <f>+#REF!/(#REF!+#REF!+#REF!+SUM(#REF!))</f>
        <v>#REF!</v>
      </c>
      <c r="D15" s="21" t="e">
        <f>+#REF!/(#REF!+#REF!+#REF!+SUM(#REF!))</f>
        <v>#REF!</v>
      </c>
      <c r="E15" s="21" t="e">
        <f>+#REF!/(#REF!+#REF!+#REF!+SUM(#REF!))</f>
        <v>#REF!</v>
      </c>
      <c r="F15" s="21" t="e">
        <f>+#REF!/(#REF!+#REF!+#REF!+SUM(#REF!))</f>
        <v>#REF!</v>
      </c>
      <c r="G15" s="21" t="e">
        <f>+#REF!/(#REF!+#REF!+#REF!+SUM(#REF!))</f>
        <v>#REF!</v>
      </c>
      <c r="H15" s="21" t="e">
        <f>+#REF!/(#REF!+#REF!+#REF!+SUM(#REF!))</f>
        <v>#REF!</v>
      </c>
      <c r="I15" s="21" t="e">
        <f>+#REF!/(#REF!+#REF!+#REF!+SUM(#REF!))</f>
        <v>#REF!</v>
      </c>
      <c r="J15" s="21" t="e">
        <f>+#REF!/(#REF!+#REF!+#REF!+SUM(#REF!))</f>
        <v>#REF!</v>
      </c>
      <c r="K15" s="21" t="e">
        <f>+#REF!/(#REF!+#REF!+#REF!+SUM(#REF!))</f>
        <v>#REF!</v>
      </c>
      <c r="L15" s="21" t="e">
        <f>+#REF!/(#REF!+#REF!+#REF!+SUM(#REF!))</f>
        <v>#REF!</v>
      </c>
      <c r="M15" s="21" t="e">
        <f>+#REF!/(#REF!+#REF!+#REF!+SUM(#REF!))</f>
        <v>#REF!</v>
      </c>
      <c r="N15" s="21"/>
      <c r="O15" s="21" t="e">
        <f>+#REF!/(#REF!+#REF!+#REF!+SUM(#REF!))</f>
        <v>#REF!</v>
      </c>
      <c r="P15" s="21" t="e">
        <f>+#REF!/(#REF!+#REF!+#REF!+SUM(#REF!))</f>
        <v>#REF!</v>
      </c>
      <c r="Q15" s="21" t="e">
        <f>+#REF!/(#REF!+#REF!+#REF!+SUM(#REF!))</f>
        <v>#REF!</v>
      </c>
      <c r="R15" s="21" t="e">
        <f>+#REF!/(#REF!+#REF!+#REF!+SUM(#REF!))</f>
        <v>#REF!</v>
      </c>
      <c r="S15" s="21"/>
      <c r="T15" s="21" t="e">
        <f>+#REF!/(#REF!+#REF!+#REF!+SUM(#REF!))</f>
        <v>#REF!</v>
      </c>
    </row>
    <row r="16" spans="1:20" x14ac:dyDescent="0.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 x14ac:dyDescent="0.2">
      <c r="A17" s="7" t="s">
        <v>34</v>
      </c>
      <c r="B17" s="20" t="e">
        <f>+#REF!/(#REF!+#REF!+#REF!+SUM(#REF!))</f>
        <v>#REF!</v>
      </c>
      <c r="C17" s="20" t="e">
        <f>+#REF!/(#REF!+#REF!+#REF!+SUM(#REF!))</f>
        <v>#REF!</v>
      </c>
      <c r="D17" s="20" t="e">
        <f>+#REF!/(#REF!+#REF!+#REF!+SUM(#REF!))</f>
        <v>#REF!</v>
      </c>
      <c r="E17" s="20" t="e">
        <f>+#REF!/(#REF!+#REF!+#REF!+SUM(#REF!))</f>
        <v>#REF!</v>
      </c>
      <c r="F17" s="20" t="e">
        <f>+#REF!/(#REF!+#REF!+#REF!+SUM(#REF!))</f>
        <v>#REF!</v>
      </c>
      <c r="G17" s="20" t="e">
        <f>+#REF!/(#REF!+#REF!+#REF!+SUM(#REF!))</f>
        <v>#REF!</v>
      </c>
      <c r="H17" s="20" t="e">
        <f>+#REF!/(#REF!+#REF!+#REF!+SUM(#REF!))</f>
        <v>#REF!</v>
      </c>
      <c r="I17" s="20" t="e">
        <f>+#REF!/(#REF!+#REF!+#REF!+SUM(#REF!))</f>
        <v>#REF!</v>
      </c>
      <c r="J17" s="20" t="e">
        <f>+#REF!/(#REF!+#REF!+#REF!+SUM(#REF!))</f>
        <v>#REF!</v>
      </c>
      <c r="K17" s="20" t="e">
        <f>+#REF!/(#REF!+#REF!+#REF!+SUM(#REF!))</f>
        <v>#REF!</v>
      </c>
      <c r="L17" s="20" t="e">
        <f>+#REF!/(#REF!+#REF!+#REF!+SUM(#REF!))</f>
        <v>#REF!</v>
      </c>
      <c r="M17" s="20" t="e">
        <f>+#REF!/(#REF!+#REF!+#REF!+SUM(#REF!))</f>
        <v>#REF!</v>
      </c>
      <c r="N17" s="20"/>
      <c r="O17" s="20" t="e">
        <f>+#REF!/(#REF!+#REF!+#REF!+SUM(#REF!))</f>
        <v>#REF!</v>
      </c>
      <c r="P17" s="20" t="e">
        <f>+#REF!/(#REF!+#REF!+#REF!+SUM(#REF!))</f>
        <v>#REF!</v>
      </c>
      <c r="Q17" s="20" t="e">
        <f>+#REF!/(#REF!+#REF!+#REF!+SUM(#REF!))</f>
        <v>#REF!</v>
      </c>
      <c r="R17" s="20" t="e">
        <f>+#REF!/(#REF!+#REF!+#REF!+SUM(#REF!))</f>
        <v>#REF!</v>
      </c>
      <c r="S17" s="20"/>
      <c r="T17" s="20" t="e">
        <f>+#REF!/(#REF!+#REF!+#REF!+SUM(#REF!))</f>
        <v>#REF!</v>
      </c>
    </row>
    <row r="18" spans="1:20" x14ac:dyDescent="0.2">
      <c r="A18" s="7" t="s">
        <v>30</v>
      </c>
      <c r="B18" s="20" t="e">
        <f>+#REF!/(#REF!+#REF!+#REF!+SUM(#REF!))</f>
        <v>#REF!</v>
      </c>
      <c r="C18" s="20" t="e">
        <f>+#REF!/(#REF!+#REF!+#REF!+SUM(#REF!))</f>
        <v>#REF!</v>
      </c>
      <c r="D18" s="20" t="e">
        <f>+#REF!/(#REF!+#REF!+#REF!+SUM(#REF!))</f>
        <v>#REF!</v>
      </c>
      <c r="E18" s="20" t="e">
        <f>+#REF!/(#REF!+#REF!+#REF!+SUM(#REF!))</f>
        <v>#REF!</v>
      </c>
      <c r="F18" s="20" t="e">
        <f>+#REF!/(#REF!+#REF!+#REF!+SUM(#REF!))</f>
        <v>#REF!</v>
      </c>
      <c r="G18" s="20" t="e">
        <f>+#REF!/(#REF!+#REF!+#REF!+SUM(#REF!))</f>
        <v>#REF!</v>
      </c>
      <c r="H18" s="20" t="e">
        <f>+#REF!/(#REF!+#REF!+#REF!+SUM(#REF!))</f>
        <v>#REF!</v>
      </c>
      <c r="I18" s="20" t="e">
        <f>+#REF!/(#REF!+#REF!+#REF!+SUM(#REF!))</f>
        <v>#REF!</v>
      </c>
      <c r="J18" s="20" t="e">
        <f>+#REF!/(#REF!+#REF!+#REF!+SUM(#REF!))</f>
        <v>#REF!</v>
      </c>
      <c r="K18" s="20" t="e">
        <f>+#REF!/(#REF!+#REF!+#REF!+SUM(#REF!))</f>
        <v>#REF!</v>
      </c>
      <c r="L18" s="20" t="e">
        <f>+#REF!/(#REF!+#REF!+#REF!+SUM(#REF!))</f>
        <v>#REF!</v>
      </c>
      <c r="M18" s="20" t="e">
        <f>+#REF!/(#REF!+#REF!+#REF!+SUM(#REF!))</f>
        <v>#REF!</v>
      </c>
      <c r="N18" s="20"/>
      <c r="O18" s="20" t="e">
        <f>+#REF!/(#REF!+#REF!+#REF!+SUM(#REF!))</f>
        <v>#REF!</v>
      </c>
      <c r="P18" s="20" t="e">
        <f>+#REF!/(#REF!+#REF!+#REF!+SUM(#REF!))</f>
        <v>#REF!</v>
      </c>
      <c r="Q18" s="20" t="e">
        <f>+#REF!/(#REF!+#REF!+#REF!+SUM(#REF!))</f>
        <v>#REF!</v>
      </c>
      <c r="R18" s="20" t="e">
        <f>+#REF!/(#REF!+#REF!+#REF!+SUM(#REF!))</f>
        <v>#REF!</v>
      </c>
      <c r="S18" s="20"/>
      <c r="T18" s="20" t="e">
        <f>+#REF!/(#REF!+#REF!+#REF!+SUM(#REF!))</f>
        <v>#REF!</v>
      </c>
    </row>
    <row r="19" spans="1:20" x14ac:dyDescent="0.2">
      <c r="A19" s="7" t="s">
        <v>17</v>
      </c>
      <c r="B19" s="20" t="e">
        <f>+#REF!/(#REF!+#REF!+#REF!+SUM(#REF!))</f>
        <v>#REF!</v>
      </c>
      <c r="C19" s="20" t="e">
        <f>+#REF!/(#REF!+#REF!+#REF!+SUM(#REF!))</f>
        <v>#REF!</v>
      </c>
      <c r="D19" s="20" t="e">
        <f>+#REF!/(#REF!+#REF!+#REF!+SUM(#REF!))</f>
        <v>#REF!</v>
      </c>
      <c r="E19" s="20" t="e">
        <f>+#REF!/(#REF!+#REF!+#REF!+SUM(#REF!))</f>
        <v>#REF!</v>
      </c>
      <c r="F19" s="20" t="e">
        <f>+#REF!/(#REF!+#REF!+#REF!+SUM(#REF!))</f>
        <v>#REF!</v>
      </c>
      <c r="G19" s="20" t="e">
        <f>+#REF!/(#REF!+#REF!+#REF!+SUM(#REF!))</f>
        <v>#REF!</v>
      </c>
      <c r="H19" s="20" t="e">
        <f>+#REF!/(#REF!+#REF!+#REF!+SUM(#REF!))</f>
        <v>#REF!</v>
      </c>
      <c r="I19" s="20" t="e">
        <f>+#REF!/(#REF!+#REF!+#REF!+SUM(#REF!))</f>
        <v>#REF!</v>
      </c>
      <c r="J19" s="20" t="e">
        <f>+#REF!/(#REF!+#REF!+#REF!+SUM(#REF!))</f>
        <v>#REF!</v>
      </c>
      <c r="K19" s="20" t="e">
        <f>+#REF!/(#REF!+#REF!+#REF!+SUM(#REF!))</f>
        <v>#REF!</v>
      </c>
      <c r="L19" s="20" t="e">
        <f>+#REF!/(#REF!+#REF!+#REF!+SUM(#REF!))</f>
        <v>#REF!</v>
      </c>
      <c r="M19" s="20" t="e">
        <f>+#REF!/(#REF!+#REF!+#REF!+SUM(#REF!))</f>
        <v>#REF!</v>
      </c>
      <c r="N19" s="20"/>
      <c r="O19" s="20" t="e">
        <f>+#REF!/(#REF!+#REF!+#REF!+SUM(#REF!))</f>
        <v>#REF!</v>
      </c>
      <c r="P19" s="20" t="e">
        <f>+#REF!/(#REF!+#REF!+#REF!+SUM(#REF!))</f>
        <v>#REF!</v>
      </c>
      <c r="Q19" s="20" t="e">
        <f>+#REF!/(#REF!+#REF!+#REF!+SUM(#REF!))</f>
        <v>#REF!</v>
      </c>
      <c r="R19" s="20" t="e">
        <f>+#REF!/(#REF!+#REF!+#REF!+SUM(#REF!))</f>
        <v>#REF!</v>
      </c>
      <c r="S19" s="20"/>
      <c r="T19" s="20" t="e">
        <f>+#REF!/(#REF!+#REF!+#REF!+SUM(#REF!))</f>
        <v>#REF!</v>
      </c>
    </row>
    <row r="20" spans="1:20" x14ac:dyDescent="0.2">
      <c r="A20" s="7" t="s">
        <v>28</v>
      </c>
      <c r="B20" s="20" t="e">
        <f>+#REF!/(#REF!+#REF!+#REF!+SUM(#REF!))</f>
        <v>#REF!</v>
      </c>
      <c r="C20" s="20" t="e">
        <f>+#REF!/(#REF!+#REF!+#REF!+SUM(#REF!))</f>
        <v>#REF!</v>
      </c>
      <c r="D20" s="20" t="e">
        <f>+#REF!/(#REF!+#REF!+#REF!+SUM(#REF!))</f>
        <v>#REF!</v>
      </c>
      <c r="E20" s="20" t="e">
        <f>+#REF!/(#REF!+#REF!+#REF!+SUM(#REF!))</f>
        <v>#REF!</v>
      </c>
      <c r="F20" s="20" t="e">
        <f>+#REF!/(#REF!+#REF!+#REF!+SUM(#REF!))</f>
        <v>#REF!</v>
      </c>
      <c r="G20" s="20" t="e">
        <f>+#REF!/(#REF!+#REF!+#REF!+SUM(#REF!))</f>
        <v>#REF!</v>
      </c>
      <c r="H20" s="20" t="e">
        <f>+#REF!/(#REF!+#REF!+#REF!+SUM(#REF!))</f>
        <v>#REF!</v>
      </c>
      <c r="I20" s="20" t="e">
        <f>+#REF!/(#REF!+#REF!+#REF!+SUM(#REF!))</f>
        <v>#REF!</v>
      </c>
      <c r="J20" s="20" t="e">
        <f>+#REF!/(#REF!+#REF!+#REF!+SUM(#REF!))</f>
        <v>#REF!</v>
      </c>
      <c r="K20" s="20" t="e">
        <f>+#REF!/(#REF!+#REF!+#REF!+SUM(#REF!))</f>
        <v>#REF!</v>
      </c>
      <c r="L20" s="20" t="e">
        <f>+#REF!/(#REF!+#REF!+#REF!+SUM(#REF!))</f>
        <v>#REF!</v>
      </c>
      <c r="M20" s="20" t="e">
        <f>+#REF!/(#REF!+#REF!+#REF!+SUM(#REF!))</f>
        <v>#REF!</v>
      </c>
      <c r="N20" s="20"/>
      <c r="O20" s="20" t="e">
        <f>+#REF!/(#REF!+#REF!+#REF!+SUM(#REF!))</f>
        <v>#REF!</v>
      </c>
      <c r="P20" s="20" t="e">
        <f>+#REF!/(#REF!+#REF!+#REF!+SUM(#REF!))</f>
        <v>#REF!</v>
      </c>
      <c r="Q20" s="20" t="e">
        <f>+#REF!/(#REF!+#REF!+#REF!+SUM(#REF!))</f>
        <v>#REF!</v>
      </c>
      <c r="R20" s="20" t="e">
        <f>+#REF!/(#REF!+#REF!+#REF!+SUM(#REF!))</f>
        <v>#REF!</v>
      </c>
      <c r="S20" s="20"/>
      <c r="T20" s="20" t="e">
        <f>+#REF!/(#REF!+#REF!+#REF!+SUM(#REF!))</f>
        <v>#REF!</v>
      </c>
    </row>
    <row r="21" spans="1:20" x14ac:dyDescent="0.2">
      <c r="A21" s="7" t="s">
        <v>18</v>
      </c>
      <c r="B21" s="20" t="e">
        <f>+#REF!/(#REF!+#REF!+#REF!+SUM(#REF!))</f>
        <v>#REF!</v>
      </c>
      <c r="C21" s="20" t="e">
        <f>+#REF!/(#REF!+#REF!+#REF!+SUM(#REF!))</f>
        <v>#REF!</v>
      </c>
      <c r="D21" s="20" t="e">
        <f>+#REF!/(#REF!+#REF!+#REF!+SUM(#REF!))</f>
        <v>#REF!</v>
      </c>
      <c r="E21" s="20" t="e">
        <f>+#REF!/(#REF!+#REF!+#REF!+SUM(#REF!))</f>
        <v>#REF!</v>
      </c>
      <c r="F21" s="20" t="e">
        <f>+#REF!/(#REF!+#REF!+#REF!+SUM(#REF!))</f>
        <v>#REF!</v>
      </c>
      <c r="G21" s="20" t="e">
        <f>+#REF!/(#REF!+#REF!+#REF!+SUM(#REF!))</f>
        <v>#REF!</v>
      </c>
      <c r="H21" s="20" t="e">
        <f>+#REF!/(#REF!+#REF!+#REF!+SUM(#REF!))</f>
        <v>#REF!</v>
      </c>
      <c r="I21" s="20" t="e">
        <f>+#REF!/(#REF!+#REF!+#REF!+SUM(#REF!))</f>
        <v>#REF!</v>
      </c>
      <c r="J21" s="20" t="e">
        <f>+#REF!/(#REF!+#REF!+#REF!+SUM(#REF!))</f>
        <v>#REF!</v>
      </c>
      <c r="K21" s="20" t="e">
        <f>+#REF!/(#REF!+#REF!+#REF!+SUM(#REF!))</f>
        <v>#REF!</v>
      </c>
      <c r="L21" s="20" t="e">
        <f>+#REF!/(#REF!+#REF!+#REF!+SUM(#REF!))</f>
        <v>#REF!</v>
      </c>
      <c r="M21" s="20" t="e">
        <f>+#REF!/(#REF!+#REF!+#REF!+SUM(#REF!))</f>
        <v>#REF!</v>
      </c>
      <c r="N21" s="20"/>
      <c r="O21" s="20" t="e">
        <f>+#REF!/(#REF!+#REF!+#REF!+SUM(#REF!))</f>
        <v>#REF!</v>
      </c>
      <c r="P21" s="20" t="e">
        <f>+#REF!/(#REF!+#REF!+#REF!+SUM(#REF!))</f>
        <v>#REF!</v>
      </c>
      <c r="Q21" s="20" t="e">
        <f>+#REF!/(#REF!+#REF!+#REF!+SUM(#REF!))</f>
        <v>#REF!</v>
      </c>
      <c r="R21" s="20" t="e">
        <f>+#REF!/(#REF!+#REF!+#REF!+SUM(#REF!))</f>
        <v>#REF!</v>
      </c>
      <c r="S21" s="20"/>
      <c r="T21" s="20" t="e">
        <f>+#REF!/(#REF!+#REF!+#REF!+SUM(#REF!))</f>
        <v>#REF!</v>
      </c>
    </row>
    <row r="22" spans="1:20" x14ac:dyDescent="0.2">
      <c r="A22" s="7" t="s">
        <v>29</v>
      </c>
      <c r="B22" s="20" t="e">
        <f>+#REF!/(#REF!+#REF!+#REF!+SUM(#REF!))</f>
        <v>#REF!</v>
      </c>
      <c r="C22" s="20" t="e">
        <f>+#REF!/(#REF!+#REF!+#REF!+SUM(#REF!))</f>
        <v>#REF!</v>
      </c>
      <c r="D22" s="20" t="e">
        <f>+#REF!/(#REF!+#REF!+#REF!+SUM(#REF!))</f>
        <v>#REF!</v>
      </c>
      <c r="E22" s="20" t="e">
        <f>+#REF!/(#REF!+#REF!+#REF!+SUM(#REF!))</f>
        <v>#REF!</v>
      </c>
      <c r="F22" s="20" t="e">
        <f>+#REF!/(#REF!+#REF!+#REF!+SUM(#REF!))</f>
        <v>#REF!</v>
      </c>
      <c r="G22" s="20" t="e">
        <f>+#REF!/(#REF!+#REF!+#REF!+SUM(#REF!))</f>
        <v>#REF!</v>
      </c>
      <c r="H22" s="20" t="e">
        <f>+#REF!/(#REF!+#REF!+#REF!+SUM(#REF!))</f>
        <v>#REF!</v>
      </c>
      <c r="I22" s="20" t="e">
        <f>+#REF!/(#REF!+#REF!+#REF!+SUM(#REF!))</f>
        <v>#REF!</v>
      </c>
      <c r="J22" s="20" t="e">
        <f>+#REF!/(#REF!+#REF!+#REF!+SUM(#REF!))</f>
        <v>#REF!</v>
      </c>
      <c r="K22" s="20" t="e">
        <f>+#REF!/(#REF!+#REF!+#REF!+SUM(#REF!))</f>
        <v>#REF!</v>
      </c>
      <c r="L22" s="20" t="e">
        <f>+#REF!/(#REF!+#REF!+#REF!+SUM(#REF!))</f>
        <v>#REF!</v>
      </c>
      <c r="M22" s="20" t="e">
        <f>+#REF!/(#REF!+#REF!+#REF!+SUM(#REF!))</f>
        <v>#REF!</v>
      </c>
      <c r="N22" s="20"/>
      <c r="O22" s="20" t="e">
        <f>+#REF!/(#REF!+#REF!+#REF!+SUM(#REF!))</f>
        <v>#REF!</v>
      </c>
      <c r="P22" s="20" t="e">
        <f>+#REF!/(#REF!+#REF!+#REF!+SUM(#REF!))</f>
        <v>#REF!</v>
      </c>
      <c r="Q22" s="20" t="e">
        <f>+#REF!/(#REF!+#REF!+#REF!+SUM(#REF!))</f>
        <v>#REF!</v>
      </c>
      <c r="R22" s="20" t="e">
        <f>+#REF!/(#REF!+#REF!+#REF!+SUM(#REF!))</f>
        <v>#REF!</v>
      </c>
      <c r="S22" s="20"/>
      <c r="T22" s="20" t="e">
        <f>+#REF!/(#REF!+#REF!+#REF!+SUM(#REF!))</f>
        <v>#REF!</v>
      </c>
    </row>
    <row r="23" spans="1:20" x14ac:dyDescent="0.2">
      <c r="A23" s="7" t="s">
        <v>32</v>
      </c>
      <c r="B23" s="20" t="e">
        <f>+#REF!/(#REF!+#REF!+#REF!+SUM(#REF!))</f>
        <v>#REF!</v>
      </c>
      <c r="C23" s="20" t="e">
        <f>+#REF!/(#REF!+#REF!+#REF!+SUM(#REF!))</f>
        <v>#REF!</v>
      </c>
      <c r="D23" s="20" t="e">
        <f>+#REF!/(#REF!+#REF!+#REF!+SUM(#REF!))</f>
        <v>#REF!</v>
      </c>
      <c r="E23" s="20" t="e">
        <f>+#REF!/(#REF!+#REF!+#REF!+SUM(#REF!))</f>
        <v>#REF!</v>
      </c>
      <c r="F23" s="20" t="e">
        <f>+#REF!/(#REF!+#REF!+#REF!+SUM(#REF!))</f>
        <v>#REF!</v>
      </c>
      <c r="G23" s="20" t="e">
        <f>+#REF!/(#REF!+#REF!+#REF!+SUM(#REF!))</f>
        <v>#REF!</v>
      </c>
      <c r="H23" s="20" t="e">
        <f>+#REF!/(#REF!+#REF!+#REF!+SUM(#REF!))</f>
        <v>#REF!</v>
      </c>
      <c r="I23" s="20" t="e">
        <f>+#REF!/(#REF!+#REF!+#REF!+SUM(#REF!))</f>
        <v>#REF!</v>
      </c>
      <c r="J23" s="20" t="e">
        <f>+#REF!/(#REF!+#REF!+#REF!+SUM(#REF!))</f>
        <v>#REF!</v>
      </c>
      <c r="K23" s="20" t="e">
        <f>+#REF!/(#REF!+#REF!+#REF!+SUM(#REF!))</f>
        <v>#REF!</v>
      </c>
      <c r="L23" s="20" t="e">
        <f>+#REF!/(#REF!+#REF!+#REF!+SUM(#REF!))</f>
        <v>#REF!</v>
      </c>
      <c r="M23" s="20" t="e">
        <f>+#REF!/(#REF!+#REF!+#REF!+SUM(#REF!))</f>
        <v>#REF!</v>
      </c>
      <c r="N23" s="20"/>
      <c r="O23" s="20" t="e">
        <f>+#REF!/(#REF!+#REF!+#REF!+SUM(#REF!))</f>
        <v>#REF!</v>
      </c>
      <c r="P23" s="20" t="e">
        <f>+#REF!/(#REF!+#REF!+#REF!+SUM(#REF!))</f>
        <v>#REF!</v>
      </c>
      <c r="Q23" s="20" t="e">
        <f>+#REF!/(#REF!+#REF!+#REF!+SUM(#REF!))</f>
        <v>#REF!</v>
      </c>
      <c r="R23" s="20" t="e">
        <f>+#REF!/(#REF!+#REF!+#REF!+SUM(#REF!))</f>
        <v>#REF!</v>
      </c>
      <c r="S23" s="20"/>
      <c r="T23" s="20" t="e">
        <f>+#REF!/(#REF!+#REF!+#REF!+SUM(#REF!))</f>
        <v>#REF!</v>
      </c>
    </row>
    <row r="24" spans="1:20" x14ac:dyDescent="0.2">
      <c r="A24" s="7" t="s">
        <v>31</v>
      </c>
      <c r="B24" s="20" t="e">
        <f>+#REF!/(#REF!+#REF!+#REF!+SUM(#REF!))</f>
        <v>#REF!</v>
      </c>
      <c r="C24" s="20" t="e">
        <f>+#REF!/(#REF!+#REF!+#REF!+SUM(#REF!))</f>
        <v>#REF!</v>
      </c>
      <c r="D24" s="20" t="e">
        <f>+#REF!/(#REF!+#REF!+#REF!+SUM(#REF!))</f>
        <v>#REF!</v>
      </c>
      <c r="E24" s="20" t="e">
        <f>+#REF!/(#REF!+#REF!+#REF!+SUM(#REF!))</f>
        <v>#REF!</v>
      </c>
      <c r="F24" s="20" t="e">
        <f>+#REF!/(#REF!+#REF!+#REF!+SUM(#REF!))</f>
        <v>#REF!</v>
      </c>
      <c r="G24" s="20" t="e">
        <f>+#REF!/(#REF!+#REF!+#REF!+SUM(#REF!))</f>
        <v>#REF!</v>
      </c>
      <c r="H24" s="20" t="e">
        <f>+#REF!/(#REF!+#REF!+#REF!+SUM(#REF!))</f>
        <v>#REF!</v>
      </c>
      <c r="I24" s="20" t="e">
        <f>+#REF!/(#REF!+#REF!+#REF!+SUM(#REF!))</f>
        <v>#REF!</v>
      </c>
      <c r="J24" s="20" t="e">
        <f>+#REF!/(#REF!+#REF!+#REF!+SUM(#REF!))</f>
        <v>#REF!</v>
      </c>
      <c r="K24" s="20" t="e">
        <f>+#REF!/(#REF!+#REF!+#REF!+SUM(#REF!))</f>
        <v>#REF!</v>
      </c>
      <c r="L24" s="20" t="e">
        <f>+#REF!/(#REF!+#REF!+#REF!+SUM(#REF!))</f>
        <v>#REF!</v>
      </c>
      <c r="M24" s="20" t="e">
        <f>+#REF!/(#REF!+#REF!+#REF!+SUM(#REF!))</f>
        <v>#REF!</v>
      </c>
      <c r="N24" s="20"/>
      <c r="O24" s="20" t="e">
        <f>+#REF!/(#REF!+#REF!+#REF!+SUM(#REF!))</f>
        <v>#REF!</v>
      </c>
      <c r="P24" s="20" t="e">
        <f>+#REF!/(#REF!+#REF!+#REF!+SUM(#REF!))</f>
        <v>#REF!</v>
      </c>
      <c r="Q24" s="20" t="e">
        <f>+#REF!/(#REF!+#REF!+#REF!+SUM(#REF!))</f>
        <v>#REF!</v>
      </c>
      <c r="R24" s="20" t="e">
        <f>+#REF!/(#REF!+#REF!+#REF!+SUM(#REF!))</f>
        <v>#REF!</v>
      </c>
      <c r="S24" s="20"/>
      <c r="T24" s="20" t="e">
        <f>+#REF!/(#REF!+#REF!+#REF!+SUM(#REF!))</f>
        <v>#REF!</v>
      </c>
    </row>
    <row r="25" spans="1:20" x14ac:dyDescent="0.2">
      <c r="A25" s="7" t="s">
        <v>21</v>
      </c>
      <c r="B25" s="20" t="e">
        <f>+#REF!/(#REF!+#REF!+#REF!+SUM(#REF!))</f>
        <v>#REF!</v>
      </c>
      <c r="C25" s="20" t="e">
        <f>+#REF!/(#REF!+#REF!+#REF!+SUM(#REF!))</f>
        <v>#REF!</v>
      </c>
      <c r="D25" s="20" t="e">
        <f>+#REF!/(#REF!+#REF!+#REF!+SUM(#REF!))</f>
        <v>#REF!</v>
      </c>
      <c r="E25" s="20" t="e">
        <f>+#REF!/(#REF!+#REF!+#REF!+SUM(#REF!))</f>
        <v>#REF!</v>
      </c>
      <c r="F25" s="20" t="e">
        <f>+#REF!/(#REF!+#REF!+#REF!+SUM(#REF!))</f>
        <v>#REF!</v>
      </c>
      <c r="G25" s="20" t="e">
        <f>+#REF!/(#REF!+#REF!+#REF!+SUM(#REF!))</f>
        <v>#REF!</v>
      </c>
      <c r="H25" s="20" t="e">
        <f>+#REF!/(#REF!+#REF!+#REF!+SUM(#REF!))</f>
        <v>#REF!</v>
      </c>
      <c r="I25" s="20" t="e">
        <f>+#REF!/(#REF!+#REF!+#REF!+SUM(#REF!))</f>
        <v>#REF!</v>
      </c>
      <c r="J25" s="20" t="e">
        <f>+#REF!/(#REF!+#REF!+#REF!+SUM(#REF!))</f>
        <v>#REF!</v>
      </c>
      <c r="K25" s="20" t="e">
        <f>+#REF!/(#REF!+#REF!+#REF!+SUM(#REF!))</f>
        <v>#REF!</v>
      </c>
      <c r="L25" s="20" t="e">
        <f>+#REF!/(#REF!+#REF!+#REF!+SUM(#REF!))</f>
        <v>#REF!</v>
      </c>
      <c r="M25" s="20" t="e">
        <f>+#REF!/(#REF!+#REF!+#REF!+SUM(#REF!))</f>
        <v>#REF!</v>
      </c>
      <c r="N25" s="20"/>
      <c r="O25" s="20" t="e">
        <f>+#REF!/(#REF!+#REF!+#REF!+SUM(#REF!))</f>
        <v>#REF!</v>
      </c>
      <c r="P25" s="20" t="e">
        <f>+#REF!/(#REF!+#REF!+#REF!+SUM(#REF!))</f>
        <v>#REF!</v>
      </c>
      <c r="Q25" s="20" t="e">
        <f>+#REF!/(#REF!+#REF!+#REF!+SUM(#REF!))</f>
        <v>#REF!</v>
      </c>
      <c r="R25" s="20" t="e">
        <f>+#REF!/(#REF!+#REF!+#REF!+SUM(#REF!))</f>
        <v>#REF!</v>
      </c>
      <c r="S25" s="20"/>
      <c r="T25" s="20" t="e">
        <f>+#REF!/(#REF!+#REF!+#REF!+SUM(#REF!))</f>
        <v>#REF!</v>
      </c>
    </row>
    <row r="26" spans="1:20" x14ac:dyDescent="0.2">
      <c r="A26" s="7" t="s">
        <v>22</v>
      </c>
      <c r="B26" s="20" t="e">
        <f>+#REF!/(#REF!+#REF!+#REF!+SUM(#REF!))</f>
        <v>#REF!</v>
      </c>
      <c r="C26" s="20" t="e">
        <f>+#REF!/(#REF!+#REF!+#REF!+SUM(#REF!))</f>
        <v>#REF!</v>
      </c>
      <c r="D26" s="20" t="e">
        <f>+#REF!/(#REF!+#REF!+#REF!+SUM(#REF!))</f>
        <v>#REF!</v>
      </c>
      <c r="E26" s="20" t="e">
        <f>+#REF!/(#REF!+#REF!+#REF!+SUM(#REF!))</f>
        <v>#REF!</v>
      </c>
      <c r="F26" s="20" t="e">
        <f>+#REF!/(#REF!+#REF!+#REF!+SUM(#REF!))</f>
        <v>#REF!</v>
      </c>
      <c r="G26" s="20" t="e">
        <f>+#REF!/(#REF!+#REF!+#REF!+SUM(#REF!))</f>
        <v>#REF!</v>
      </c>
      <c r="H26" s="20" t="e">
        <f>+#REF!/(#REF!+#REF!+#REF!+SUM(#REF!))</f>
        <v>#REF!</v>
      </c>
      <c r="I26" s="20" t="e">
        <f>+#REF!/(#REF!+#REF!+#REF!+SUM(#REF!))</f>
        <v>#REF!</v>
      </c>
      <c r="J26" s="20" t="e">
        <f>+#REF!/(#REF!+#REF!+#REF!+SUM(#REF!))</f>
        <v>#REF!</v>
      </c>
      <c r="K26" s="20" t="e">
        <f>+#REF!/(#REF!+#REF!+#REF!+SUM(#REF!))</f>
        <v>#REF!</v>
      </c>
      <c r="L26" s="20" t="e">
        <f>+#REF!/(#REF!+#REF!+#REF!+SUM(#REF!))</f>
        <v>#REF!</v>
      </c>
      <c r="M26" s="20" t="e">
        <f>+#REF!/(#REF!+#REF!+#REF!+SUM(#REF!))</f>
        <v>#REF!</v>
      </c>
      <c r="N26" s="20"/>
      <c r="O26" s="20" t="e">
        <f>+#REF!/(#REF!+#REF!+#REF!+SUM(#REF!))</f>
        <v>#REF!</v>
      </c>
      <c r="P26" s="20" t="e">
        <f>+#REF!/(#REF!+#REF!+#REF!+SUM(#REF!))</f>
        <v>#REF!</v>
      </c>
      <c r="Q26" s="20" t="e">
        <f>+#REF!/(#REF!+#REF!+#REF!+SUM(#REF!))</f>
        <v>#REF!</v>
      </c>
      <c r="R26" s="20" t="e">
        <f>+#REF!/(#REF!+#REF!+#REF!+SUM(#REF!))</f>
        <v>#REF!</v>
      </c>
      <c r="S26" s="20"/>
      <c r="T26" s="20" t="e">
        <f>+#REF!/(#REF!+#REF!+#REF!+SUM(#REF!))</f>
        <v>#REF!</v>
      </c>
    </row>
    <row r="27" spans="1:20" x14ac:dyDescent="0.2">
      <c r="A27" s="8" t="s">
        <v>41</v>
      </c>
      <c r="B27" s="21" t="e">
        <f>+#REF!/(#REF!+#REF!+#REF!+SUM(#REF!))</f>
        <v>#REF!</v>
      </c>
      <c r="C27" s="21" t="e">
        <f>+#REF!/(#REF!+#REF!+#REF!+SUM(#REF!))</f>
        <v>#REF!</v>
      </c>
      <c r="D27" s="21" t="e">
        <f>+#REF!/(#REF!+#REF!+#REF!+SUM(#REF!))</f>
        <v>#REF!</v>
      </c>
      <c r="E27" s="21" t="e">
        <f>+#REF!/(#REF!+#REF!+#REF!+SUM(#REF!))</f>
        <v>#REF!</v>
      </c>
      <c r="F27" s="21" t="e">
        <f>+#REF!/(#REF!+#REF!+#REF!+SUM(#REF!))</f>
        <v>#REF!</v>
      </c>
      <c r="G27" s="21" t="e">
        <f>+#REF!/(#REF!+#REF!+#REF!+SUM(#REF!))</f>
        <v>#REF!</v>
      </c>
      <c r="H27" s="21" t="e">
        <f>+#REF!/(#REF!+#REF!+#REF!+SUM(#REF!))</f>
        <v>#REF!</v>
      </c>
      <c r="I27" s="21" t="e">
        <f>+#REF!/(#REF!+#REF!+#REF!+SUM(#REF!))</f>
        <v>#REF!</v>
      </c>
      <c r="J27" s="21" t="e">
        <f>+#REF!/(#REF!+#REF!+#REF!+SUM(#REF!))</f>
        <v>#REF!</v>
      </c>
      <c r="K27" s="21" t="e">
        <f>+#REF!/(#REF!+#REF!+#REF!+SUM(#REF!))</f>
        <v>#REF!</v>
      </c>
      <c r="L27" s="21" t="e">
        <f>+#REF!/(#REF!+#REF!+#REF!+SUM(#REF!))</f>
        <v>#REF!</v>
      </c>
      <c r="M27" s="21" t="e">
        <f>+#REF!/(#REF!+#REF!+#REF!+SUM(#REF!))</f>
        <v>#REF!</v>
      </c>
      <c r="N27" s="21"/>
      <c r="O27" s="21" t="e">
        <f>+#REF!/(#REF!+#REF!+#REF!+SUM(#REF!))</f>
        <v>#REF!</v>
      </c>
      <c r="P27" s="21" t="e">
        <f>+#REF!/(#REF!+#REF!+#REF!+SUM(#REF!))</f>
        <v>#REF!</v>
      </c>
      <c r="Q27" s="21" t="e">
        <f>+#REF!/(#REF!+#REF!+#REF!+SUM(#REF!))</f>
        <v>#REF!</v>
      </c>
      <c r="R27" s="21" t="e">
        <f>+#REF!/(#REF!+#REF!+#REF!+SUM(#REF!))</f>
        <v>#REF!</v>
      </c>
      <c r="S27" s="21"/>
      <c r="T27" s="21" t="e">
        <f>+#REF!/(#REF!+#REF!+#REF!+SUM(#REF!))</f>
        <v>#REF!</v>
      </c>
    </row>
    <row r="28" spans="1:20" x14ac:dyDescent="0.2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 x14ac:dyDescent="0.2">
      <c r="A29" s="8" t="s">
        <v>43</v>
      </c>
      <c r="B29" s="21" t="e">
        <f>+#REF!/(#REF!+#REF!+#REF!+SUM(#REF!))</f>
        <v>#REF!</v>
      </c>
      <c r="C29" s="21" t="e">
        <f>+#REF!/(#REF!+#REF!+#REF!+SUM(#REF!))</f>
        <v>#REF!</v>
      </c>
      <c r="D29" s="21" t="e">
        <f>+#REF!/(#REF!+#REF!+#REF!+SUM(#REF!))</f>
        <v>#REF!</v>
      </c>
      <c r="E29" s="21" t="e">
        <f>+#REF!/(#REF!+#REF!+#REF!+SUM(#REF!))</f>
        <v>#REF!</v>
      </c>
      <c r="F29" s="21" t="e">
        <f>+#REF!/(#REF!+#REF!+#REF!+SUM(#REF!))</f>
        <v>#REF!</v>
      </c>
      <c r="G29" s="21" t="e">
        <f>+#REF!/(#REF!+#REF!+#REF!+SUM(#REF!))</f>
        <v>#REF!</v>
      </c>
      <c r="H29" s="21" t="e">
        <f>+#REF!/(#REF!+#REF!+#REF!+SUM(#REF!))</f>
        <v>#REF!</v>
      </c>
      <c r="I29" s="21" t="e">
        <f>+#REF!/(#REF!+#REF!+#REF!+SUM(#REF!))</f>
        <v>#REF!</v>
      </c>
      <c r="J29" s="21" t="e">
        <f>+#REF!/(#REF!+#REF!+#REF!+SUM(#REF!))</f>
        <v>#REF!</v>
      </c>
      <c r="K29" s="21" t="e">
        <f>+#REF!/(#REF!+#REF!+#REF!+SUM(#REF!))</f>
        <v>#REF!</v>
      </c>
      <c r="L29" s="21" t="e">
        <f>+#REF!/(#REF!+#REF!+#REF!+SUM(#REF!))</f>
        <v>#REF!</v>
      </c>
      <c r="M29" s="21" t="e">
        <f>+#REF!/(#REF!+#REF!+#REF!+SUM(#REF!))</f>
        <v>#REF!</v>
      </c>
      <c r="N29" s="21"/>
      <c r="O29" s="21" t="e">
        <f>+#REF!/(#REF!+#REF!+#REF!+SUM(#REF!))</f>
        <v>#REF!</v>
      </c>
      <c r="P29" s="21" t="e">
        <f>+#REF!/(#REF!+#REF!+#REF!+SUM(#REF!))</f>
        <v>#REF!</v>
      </c>
      <c r="Q29" s="21" t="e">
        <f>+#REF!/(#REF!+#REF!+#REF!+SUM(#REF!))</f>
        <v>#REF!</v>
      </c>
      <c r="R29" s="21" t="e">
        <f>+#REF!/(#REF!+#REF!+#REF!+SUM(#REF!))</f>
        <v>#REF!</v>
      </c>
      <c r="S29" s="21"/>
      <c r="T29" s="21" t="e">
        <f>+#REF!/(#REF!+#REF!+#REF!+SUM(#REF!))</f>
        <v>#REF!</v>
      </c>
    </row>
    <row r="30" spans="1:20" x14ac:dyDescent="0.2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1:20" x14ac:dyDescent="0.2">
      <c r="A31" s="7" t="s">
        <v>33</v>
      </c>
      <c r="B31" s="20" t="e">
        <f>+#REF!/(#REF!+#REF!+#REF!+SUM(#REF!))</f>
        <v>#REF!</v>
      </c>
      <c r="C31" s="20" t="e">
        <f>+#REF!/(#REF!+#REF!+#REF!+SUM(#REF!))</f>
        <v>#REF!</v>
      </c>
      <c r="D31" s="20" t="e">
        <f>+#REF!/(#REF!+#REF!+#REF!+SUM(#REF!))</f>
        <v>#REF!</v>
      </c>
      <c r="E31" s="20" t="e">
        <f>+#REF!/(#REF!+#REF!+#REF!+SUM(#REF!))</f>
        <v>#REF!</v>
      </c>
      <c r="F31" s="20" t="e">
        <f>+#REF!/(#REF!+#REF!+#REF!+SUM(#REF!))</f>
        <v>#REF!</v>
      </c>
      <c r="G31" s="20" t="e">
        <f>+#REF!/(#REF!+#REF!+#REF!+SUM(#REF!))</f>
        <v>#REF!</v>
      </c>
      <c r="H31" s="20" t="e">
        <f>+#REF!/(#REF!+#REF!+#REF!+SUM(#REF!))</f>
        <v>#REF!</v>
      </c>
      <c r="I31" s="20" t="e">
        <f>+#REF!/(#REF!+#REF!+#REF!+SUM(#REF!))</f>
        <v>#REF!</v>
      </c>
      <c r="J31" s="20" t="e">
        <f>+#REF!/(#REF!+#REF!+#REF!+SUM(#REF!))</f>
        <v>#REF!</v>
      </c>
      <c r="K31" s="20" t="e">
        <f>+#REF!/(#REF!+#REF!+#REF!+SUM(#REF!))</f>
        <v>#REF!</v>
      </c>
      <c r="L31" s="20" t="e">
        <f>+#REF!/(#REF!+#REF!+#REF!+SUM(#REF!))</f>
        <v>#REF!</v>
      </c>
      <c r="M31" s="20" t="e">
        <f>+#REF!/(#REF!+#REF!+#REF!+SUM(#REF!))</f>
        <v>#REF!</v>
      </c>
      <c r="N31" s="20"/>
      <c r="O31" s="20" t="e">
        <f>+#REF!/(#REF!+#REF!+#REF!+SUM(#REF!))</f>
        <v>#REF!</v>
      </c>
      <c r="P31" s="20" t="e">
        <f>+#REF!/(#REF!+#REF!+#REF!+SUM(#REF!))</f>
        <v>#REF!</v>
      </c>
      <c r="Q31" s="20" t="e">
        <f>+#REF!/(#REF!+#REF!+#REF!+SUM(#REF!))</f>
        <v>#REF!</v>
      </c>
      <c r="R31" s="20" t="e">
        <f>+#REF!/(#REF!+#REF!+#REF!+SUM(#REF!))</f>
        <v>#REF!</v>
      </c>
      <c r="S31" s="20"/>
      <c r="T31" s="20" t="e">
        <f>+#REF!/(#REF!+#REF!+#REF!+SUM(#REF!))</f>
        <v>#REF!</v>
      </c>
    </row>
    <row r="32" spans="1:20" x14ac:dyDescent="0.2">
      <c r="A32" s="7" t="s">
        <v>35</v>
      </c>
      <c r="B32" s="20" t="e">
        <f>+#REF!/(#REF!+#REF!+#REF!+SUM(#REF!))</f>
        <v>#REF!</v>
      </c>
      <c r="C32" s="20" t="e">
        <f>+#REF!/(#REF!+#REF!+#REF!+SUM(#REF!))</f>
        <v>#REF!</v>
      </c>
      <c r="D32" s="20" t="e">
        <f>+#REF!/(#REF!+#REF!+#REF!+SUM(#REF!))</f>
        <v>#REF!</v>
      </c>
      <c r="E32" s="20" t="e">
        <f>+#REF!/(#REF!+#REF!+#REF!+SUM(#REF!))</f>
        <v>#REF!</v>
      </c>
      <c r="F32" s="20" t="e">
        <f>+#REF!/(#REF!+#REF!+#REF!+SUM(#REF!))</f>
        <v>#REF!</v>
      </c>
      <c r="G32" s="20" t="e">
        <f>+#REF!/(#REF!+#REF!+#REF!+SUM(#REF!))</f>
        <v>#REF!</v>
      </c>
      <c r="H32" s="20" t="e">
        <f>+#REF!/(#REF!+#REF!+#REF!+SUM(#REF!))</f>
        <v>#REF!</v>
      </c>
      <c r="I32" s="20" t="e">
        <f>+#REF!/(#REF!+#REF!+#REF!+SUM(#REF!))</f>
        <v>#REF!</v>
      </c>
      <c r="J32" s="20" t="e">
        <f>+#REF!/(#REF!+#REF!+#REF!+SUM(#REF!))</f>
        <v>#REF!</v>
      </c>
      <c r="K32" s="20" t="e">
        <f>+#REF!/(#REF!+#REF!+#REF!+SUM(#REF!))</f>
        <v>#REF!</v>
      </c>
      <c r="L32" s="20" t="e">
        <f>+#REF!/(#REF!+#REF!+#REF!+SUM(#REF!))</f>
        <v>#REF!</v>
      </c>
      <c r="M32" s="20" t="e">
        <f>+#REF!/(#REF!+#REF!+#REF!+SUM(#REF!))</f>
        <v>#REF!</v>
      </c>
      <c r="N32" s="20"/>
      <c r="O32" s="20" t="e">
        <f>+#REF!/(#REF!+#REF!+#REF!+SUM(#REF!))</f>
        <v>#REF!</v>
      </c>
      <c r="P32" s="20" t="e">
        <f>+#REF!/(#REF!+#REF!+#REF!+SUM(#REF!))</f>
        <v>#REF!</v>
      </c>
      <c r="Q32" s="20" t="e">
        <f>+#REF!/(#REF!+#REF!+#REF!+SUM(#REF!))</f>
        <v>#REF!</v>
      </c>
      <c r="R32" s="20" t="e">
        <f>+#REF!/(#REF!+#REF!+#REF!+SUM(#REF!))</f>
        <v>#REF!</v>
      </c>
      <c r="S32" s="20"/>
      <c r="T32" s="20" t="e">
        <f>+#REF!/(#REF!+#REF!+#REF!+SUM(#REF!))</f>
        <v>#REF!</v>
      </c>
    </row>
    <row r="33" spans="1:20" x14ac:dyDescent="0.2">
      <c r="A33" s="7" t="s">
        <v>16</v>
      </c>
      <c r="B33" s="20" t="e">
        <f>+#REF!/(#REF!+#REF!+#REF!+SUM(#REF!))</f>
        <v>#REF!</v>
      </c>
      <c r="C33" s="20" t="e">
        <f>+#REF!/(#REF!+#REF!+#REF!+SUM(#REF!))</f>
        <v>#REF!</v>
      </c>
      <c r="D33" s="20" t="e">
        <f>+#REF!/(#REF!+#REF!+#REF!+SUM(#REF!))</f>
        <v>#REF!</v>
      </c>
      <c r="E33" s="20" t="e">
        <f>+#REF!/(#REF!+#REF!+#REF!+SUM(#REF!))</f>
        <v>#REF!</v>
      </c>
      <c r="F33" s="20" t="e">
        <f>+#REF!/(#REF!+#REF!+#REF!+SUM(#REF!))</f>
        <v>#REF!</v>
      </c>
      <c r="G33" s="20" t="e">
        <f>+#REF!/(#REF!+#REF!+#REF!+SUM(#REF!))</f>
        <v>#REF!</v>
      </c>
      <c r="H33" s="20" t="e">
        <f>+#REF!/(#REF!+#REF!+#REF!+SUM(#REF!))</f>
        <v>#REF!</v>
      </c>
      <c r="I33" s="20" t="e">
        <f>+#REF!/(#REF!+#REF!+#REF!+SUM(#REF!))</f>
        <v>#REF!</v>
      </c>
      <c r="J33" s="20" t="e">
        <f>+#REF!/(#REF!+#REF!+#REF!+SUM(#REF!))</f>
        <v>#REF!</v>
      </c>
      <c r="K33" s="20" t="e">
        <f>+#REF!/(#REF!+#REF!+#REF!+SUM(#REF!))</f>
        <v>#REF!</v>
      </c>
      <c r="L33" s="20" t="e">
        <f>+#REF!/(#REF!+#REF!+#REF!+SUM(#REF!))</f>
        <v>#REF!</v>
      </c>
      <c r="M33" s="20" t="e">
        <f>+#REF!/(#REF!+#REF!+#REF!+SUM(#REF!))</f>
        <v>#REF!</v>
      </c>
      <c r="N33" s="20"/>
      <c r="O33" s="20" t="e">
        <f>+#REF!/(#REF!+#REF!+#REF!+SUM(#REF!))</f>
        <v>#REF!</v>
      </c>
      <c r="P33" s="20" t="e">
        <f>+#REF!/(#REF!+#REF!+#REF!+SUM(#REF!))</f>
        <v>#REF!</v>
      </c>
      <c r="Q33" s="20" t="e">
        <f>+#REF!/(#REF!+#REF!+#REF!+SUM(#REF!))</f>
        <v>#REF!</v>
      </c>
      <c r="R33" s="20" t="e">
        <f>+#REF!/(#REF!+#REF!+#REF!+SUM(#REF!))</f>
        <v>#REF!</v>
      </c>
      <c r="S33" s="20"/>
      <c r="T33" s="20" t="e">
        <f>+#REF!/(#REF!+#REF!+#REF!+SUM(#REF!))</f>
        <v>#REF!</v>
      </c>
    </row>
    <row r="34" spans="1:20" x14ac:dyDescent="0.2">
      <c r="A34" s="7" t="s">
        <v>0</v>
      </c>
      <c r="B34" s="20" t="e">
        <f>+#REF!/(#REF!+#REF!+#REF!+SUM(#REF!))</f>
        <v>#REF!</v>
      </c>
      <c r="C34" s="20" t="e">
        <f>+#REF!/(#REF!+#REF!+#REF!+SUM(#REF!))</f>
        <v>#REF!</v>
      </c>
      <c r="D34" s="20" t="e">
        <f>+#REF!/(#REF!+#REF!+#REF!+SUM(#REF!))</f>
        <v>#REF!</v>
      </c>
      <c r="E34" s="20" t="e">
        <f>+#REF!/(#REF!+#REF!+#REF!+SUM(#REF!))</f>
        <v>#REF!</v>
      </c>
      <c r="F34" s="20" t="e">
        <f>+#REF!/(#REF!+#REF!+#REF!+SUM(#REF!))</f>
        <v>#REF!</v>
      </c>
      <c r="G34" s="20" t="e">
        <f>+#REF!/(#REF!+#REF!+#REF!+SUM(#REF!))</f>
        <v>#REF!</v>
      </c>
      <c r="H34" s="20" t="e">
        <f>+#REF!/(#REF!+#REF!+#REF!+SUM(#REF!))</f>
        <v>#REF!</v>
      </c>
      <c r="I34" s="20" t="e">
        <f>+#REF!/(#REF!+#REF!+#REF!+SUM(#REF!))</f>
        <v>#REF!</v>
      </c>
      <c r="J34" s="20" t="e">
        <f>+#REF!/(#REF!+#REF!+#REF!+SUM(#REF!))</f>
        <v>#REF!</v>
      </c>
      <c r="K34" s="20" t="e">
        <f>+#REF!/(#REF!+#REF!+#REF!+SUM(#REF!))</f>
        <v>#REF!</v>
      </c>
      <c r="L34" s="20" t="e">
        <f>+#REF!/(#REF!+#REF!+#REF!+SUM(#REF!))</f>
        <v>#REF!</v>
      </c>
      <c r="M34" s="20" t="e">
        <f>+#REF!/(#REF!+#REF!+#REF!+SUM(#REF!))</f>
        <v>#REF!</v>
      </c>
      <c r="N34" s="20"/>
      <c r="O34" s="20" t="e">
        <f>+#REF!/(#REF!+#REF!+#REF!+SUM(#REF!))</f>
        <v>#REF!</v>
      </c>
      <c r="P34" s="20" t="e">
        <f>+#REF!/(#REF!+#REF!+#REF!+SUM(#REF!))</f>
        <v>#REF!</v>
      </c>
      <c r="Q34" s="20" t="e">
        <f>+#REF!/(#REF!+#REF!+#REF!+SUM(#REF!))</f>
        <v>#REF!</v>
      </c>
      <c r="R34" s="20" t="e">
        <f>+#REF!/(#REF!+#REF!+#REF!+SUM(#REF!))</f>
        <v>#REF!</v>
      </c>
      <c r="S34" s="20"/>
      <c r="T34" s="20" t="e">
        <f>+#REF!/(#REF!+#REF!+#REF!+SUM(#REF!))</f>
        <v>#REF!</v>
      </c>
    </row>
    <row r="35" spans="1:20" x14ac:dyDescent="0.2">
      <c r="A35" s="7" t="s">
        <v>26</v>
      </c>
      <c r="B35" s="20" t="e">
        <f>+#REF!/(#REF!+#REF!+#REF!+SUM(#REF!))</f>
        <v>#REF!</v>
      </c>
      <c r="C35" s="20" t="e">
        <f>+#REF!/(#REF!+#REF!+#REF!+SUM(#REF!))</f>
        <v>#REF!</v>
      </c>
      <c r="D35" s="20" t="e">
        <f>+#REF!/(#REF!+#REF!+#REF!+SUM(#REF!))</f>
        <v>#REF!</v>
      </c>
      <c r="E35" s="20" t="e">
        <f>+#REF!/(#REF!+#REF!+#REF!+SUM(#REF!))</f>
        <v>#REF!</v>
      </c>
      <c r="F35" s="20" t="e">
        <f>+#REF!/(#REF!+#REF!+#REF!+SUM(#REF!))</f>
        <v>#REF!</v>
      </c>
      <c r="G35" s="20" t="e">
        <f>+#REF!/(#REF!+#REF!+#REF!+SUM(#REF!))</f>
        <v>#REF!</v>
      </c>
      <c r="H35" s="20" t="e">
        <f>+#REF!/(#REF!+#REF!+#REF!+SUM(#REF!))</f>
        <v>#REF!</v>
      </c>
      <c r="I35" s="20" t="e">
        <f>+#REF!/(#REF!+#REF!+#REF!+SUM(#REF!))</f>
        <v>#REF!</v>
      </c>
      <c r="J35" s="20" t="e">
        <f>+#REF!/(#REF!+#REF!+#REF!+SUM(#REF!))</f>
        <v>#REF!</v>
      </c>
      <c r="K35" s="20" t="e">
        <f>+#REF!/(#REF!+#REF!+#REF!+SUM(#REF!))</f>
        <v>#REF!</v>
      </c>
      <c r="L35" s="20" t="e">
        <f>+#REF!/(#REF!+#REF!+#REF!+SUM(#REF!))</f>
        <v>#REF!</v>
      </c>
      <c r="M35" s="20" t="e">
        <f>+#REF!/(#REF!+#REF!+#REF!+SUM(#REF!))</f>
        <v>#REF!</v>
      </c>
      <c r="N35" s="20"/>
      <c r="O35" s="20" t="e">
        <f>+#REF!/(#REF!+#REF!+#REF!+SUM(#REF!))</f>
        <v>#REF!</v>
      </c>
      <c r="P35" s="20" t="e">
        <f>+#REF!/(#REF!+#REF!+#REF!+SUM(#REF!))</f>
        <v>#REF!</v>
      </c>
      <c r="Q35" s="20" t="e">
        <f>+#REF!/(#REF!+#REF!+#REF!+SUM(#REF!))</f>
        <v>#REF!</v>
      </c>
      <c r="R35" s="20" t="e">
        <f>+#REF!/(#REF!+#REF!+#REF!+SUM(#REF!))</f>
        <v>#REF!</v>
      </c>
      <c r="S35" s="20"/>
      <c r="T35" s="20" t="e">
        <f>+#REF!/(#REF!+#REF!+#REF!+SUM(#REF!))</f>
        <v>#REF!</v>
      </c>
    </row>
    <row r="36" spans="1:20" x14ac:dyDescent="0.2">
      <c r="A36" s="7" t="s">
        <v>48</v>
      </c>
      <c r="B36" s="20" t="e">
        <f>+#REF!/(#REF!+#REF!+#REF!+SUM(#REF!))</f>
        <v>#REF!</v>
      </c>
      <c r="C36" s="20" t="e">
        <f>+#REF!/(#REF!+#REF!+#REF!+SUM(#REF!))</f>
        <v>#REF!</v>
      </c>
      <c r="D36" s="20" t="e">
        <f>+#REF!/(#REF!+#REF!+#REF!+SUM(#REF!))</f>
        <v>#REF!</v>
      </c>
      <c r="E36" s="20" t="e">
        <f>+#REF!/(#REF!+#REF!+#REF!+SUM(#REF!))</f>
        <v>#REF!</v>
      </c>
      <c r="F36" s="20" t="e">
        <f>+#REF!/(#REF!+#REF!+#REF!+SUM(#REF!))</f>
        <v>#REF!</v>
      </c>
      <c r="G36" s="20" t="e">
        <f>+#REF!/(#REF!+#REF!+#REF!+SUM(#REF!))</f>
        <v>#REF!</v>
      </c>
      <c r="H36" s="20" t="e">
        <f>+#REF!/(#REF!+#REF!+#REF!+SUM(#REF!))</f>
        <v>#REF!</v>
      </c>
      <c r="I36" s="20" t="e">
        <f>+#REF!/(#REF!+#REF!+#REF!+SUM(#REF!))</f>
        <v>#REF!</v>
      </c>
      <c r="J36" s="20" t="e">
        <f>+#REF!/(#REF!+#REF!+#REF!+SUM(#REF!))</f>
        <v>#REF!</v>
      </c>
      <c r="K36" s="20" t="e">
        <f>+#REF!/(#REF!+#REF!+#REF!+SUM(#REF!))</f>
        <v>#REF!</v>
      </c>
      <c r="L36" s="20" t="e">
        <f>+#REF!/(#REF!+#REF!+#REF!+SUM(#REF!))</f>
        <v>#REF!</v>
      </c>
      <c r="M36" s="20" t="e">
        <f>+#REF!/(#REF!+#REF!+#REF!+SUM(#REF!))</f>
        <v>#REF!</v>
      </c>
      <c r="N36" s="20"/>
      <c r="O36" s="20" t="e">
        <f>+#REF!/(#REF!+#REF!+#REF!+SUM(#REF!))</f>
        <v>#REF!</v>
      </c>
      <c r="P36" s="20" t="e">
        <f>+#REF!/(#REF!+#REF!+#REF!+SUM(#REF!))</f>
        <v>#REF!</v>
      </c>
      <c r="Q36" s="20" t="e">
        <f>+#REF!/(#REF!+#REF!+#REF!+SUM(#REF!))</f>
        <v>#REF!</v>
      </c>
      <c r="R36" s="20" t="e">
        <f>+#REF!/(#REF!+#REF!+#REF!+SUM(#REF!))</f>
        <v>#REF!</v>
      </c>
      <c r="S36" s="20"/>
      <c r="T36" s="20" t="e">
        <f>+#REF!/(#REF!+#REF!+#REF!+SUM(#REF!))</f>
        <v>#REF!</v>
      </c>
    </row>
    <row r="38" spans="1:20" x14ac:dyDescent="0.2">
      <c r="A38" s="7" t="s">
        <v>45</v>
      </c>
      <c r="B38" s="20" t="e">
        <f>+#REF!/(#REF!+#REF!+#REF!+SUM(#REF!))</f>
        <v>#REF!</v>
      </c>
      <c r="C38" s="20" t="e">
        <f>+#REF!/(#REF!+#REF!+#REF!+SUM(#REF!))</f>
        <v>#REF!</v>
      </c>
      <c r="D38" s="20" t="e">
        <f>+#REF!/(#REF!+#REF!+#REF!+SUM(#REF!))</f>
        <v>#REF!</v>
      </c>
      <c r="E38" s="20" t="e">
        <f>+#REF!/(#REF!+#REF!+#REF!+SUM(#REF!))</f>
        <v>#REF!</v>
      </c>
      <c r="F38" s="20" t="e">
        <f>+#REF!/(#REF!+#REF!+#REF!+SUM(#REF!))</f>
        <v>#REF!</v>
      </c>
      <c r="G38" s="20" t="e">
        <f>+#REF!/(#REF!+#REF!+#REF!+SUM(#REF!))</f>
        <v>#REF!</v>
      </c>
      <c r="H38" s="20" t="e">
        <f>+#REF!/(#REF!+#REF!+#REF!+SUM(#REF!))</f>
        <v>#REF!</v>
      </c>
      <c r="I38" s="20" t="e">
        <f>+#REF!/(#REF!+#REF!+#REF!+SUM(#REF!))</f>
        <v>#REF!</v>
      </c>
      <c r="J38" s="20" t="e">
        <f>+#REF!/(#REF!+#REF!+#REF!+SUM(#REF!))</f>
        <v>#REF!</v>
      </c>
      <c r="K38" s="20" t="e">
        <f>+#REF!/(#REF!+#REF!+#REF!+SUM(#REF!))</f>
        <v>#REF!</v>
      </c>
      <c r="L38" s="20" t="e">
        <f>+#REF!/(#REF!+#REF!+#REF!+SUM(#REF!))</f>
        <v>#REF!</v>
      </c>
      <c r="M38" s="20" t="e">
        <f>+#REF!/(#REF!+#REF!+#REF!+SUM(#REF!))</f>
        <v>#REF!</v>
      </c>
      <c r="O38" s="20" t="e">
        <f>+#REF!/(#REF!+#REF!+#REF!+SUM(#REF!))</f>
        <v>#REF!</v>
      </c>
      <c r="P38" s="20" t="e">
        <f>+#REF!/(#REF!+#REF!+#REF!+SUM(#REF!))</f>
        <v>#REF!</v>
      </c>
      <c r="Q38" s="20" t="e">
        <f>+#REF!/(#REF!+#REF!+#REF!+SUM(#REF!))</f>
        <v>#REF!</v>
      </c>
      <c r="R38" s="20" t="e">
        <f>+#REF!/(#REF!+#REF!+#REF!+SUM(#REF!))</f>
        <v>#REF!</v>
      </c>
      <c r="T38" s="20" t="e">
        <f>+#REF!/(#REF!+#REF!+#REF!+SUM(#REF!))</f>
        <v>#REF!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6</vt:i4>
      </vt:variant>
    </vt:vector>
  </HeadingPairs>
  <TitlesOfParts>
    <vt:vector size="35" baseType="lpstr">
      <vt:lpstr>Math</vt:lpstr>
      <vt:lpstr>2026 Summary - BK No Bonus</vt:lpstr>
      <vt:lpstr>2026 Summary (2)</vt:lpstr>
      <vt:lpstr>Assumptions</vt:lpstr>
      <vt:lpstr>Overview</vt:lpstr>
      <vt:lpstr>2025 to 2026 Detail View</vt:lpstr>
      <vt:lpstr>2025 Summary</vt:lpstr>
      <vt:lpstr>CF Detail - Allocated</vt:lpstr>
      <vt:lpstr>(R) CF Summary By Dept</vt:lpstr>
      <vt:lpstr>2025 Detail</vt:lpstr>
      <vt:lpstr>2025 CF Basic</vt:lpstr>
      <vt:lpstr>(R) Bookings</vt:lpstr>
      <vt:lpstr>(R) Billings</vt:lpstr>
      <vt:lpstr>2026 Summary</vt:lpstr>
      <vt:lpstr>2026 Detail</vt:lpstr>
      <vt:lpstr>2026 CF Basic</vt:lpstr>
      <vt:lpstr>1 Collections</vt:lpstr>
      <vt:lpstr>1 Collections Build</vt:lpstr>
      <vt:lpstr>2 Employees</vt:lpstr>
      <vt:lpstr>3 Benefits</vt:lpstr>
      <vt:lpstr>4 Contractors</vt:lpstr>
      <vt:lpstr>5 Allocations</vt:lpstr>
      <vt:lpstr>6 Other</vt:lpstr>
      <vt:lpstr>PV</vt:lpstr>
      <vt:lpstr>Data</vt:lpstr>
      <vt:lpstr>Version</vt:lpstr>
      <vt:lpstr>Last Month</vt:lpstr>
      <vt:lpstr>% of Collections</vt:lpstr>
      <vt:lpstr>% of Disbursements</vt:lpstr>
      <vt:lpstr>'(R) CF Summary By Dept'!Print_Area</vt:lpstr>
      <vt:lpstr>'2025 Summary'!Print_Area</vt:lpstr>
      <vt:lpstr>'2026 Summary'!Print_Area</vt:lpstr>
      <vt:lpstr>'2026 Summary - BK No Bonus'!Print_Area</vt:lpstr>
      <vt:lpstr>'2026 Summary (2)'!Print_Area</vt:lpstr>
      <vt:lpstr>'6 Other'!Print_Area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Norris</dc:creator>
  <cp:lastModifiedBy>Bill Karpovich</cp:lastModifiedBy>
  <cp:lastPrinted>2024-10-23T12:23:10Z</cp:lastPrinted>
  <dcterms:created xsi:type="dcterms:W3CDTF">2024-06-15T16:35:30Z</dcterms:created>
  <dcterms:modified xsi:type="dcterms:W3CDTF">2026-01-09T21:59:41Z</dcterms:modified>
</cp:coreProperties>
</file>